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spreadsheetml.comments+xml" PartName="/xl/comments7.xml"/>
  <Override ContentType="application/vnd.openxmlformats-officedocument.spreadsheetml.comments+xml" PartName="/xl/comments8.xml"/>
  <Override ContentType="application/vnd.openxmlformats-officedocument.drawing+xml" PartName="/xl/drawings/drawing1.xml"/>
  <Override ContentType="application/vnd.openxmlformats-officedocument.drawing+xml" PartName="/xl/drawings/drawing10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10.xml"/>
  <Override ContentType="application/vnd.openxmlformats-officedocument.spreadsheetml.externalLink+xml" PartName="/xl/externalLinks/externalLink11.xml"/>
  <Override ContentType="application/vnd.openxmlformats-officedocument.spreadsheetml.externalLink+xml" PartName="/xl/externalLinks/externalLink12.xml"/>
  <Override ContentType="application/vnd.openxmlformats-officedocument.spreadsheetml.externalLink+xml" PartName="/xl/externalLinks/externalLink13.xml"/>
  <Override ContentType="application/vnd.openxmlformats-officedocument.spreadsheetml.externalLink+xml" PartName="/xl/externalLinks/externalLink14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4.xml"/>
  <Override ContentType="application/vnd.openxmlformats-officedocument.spreadsheetml.externalLink+xml" PartName="/xl/externalLinks/externalLink5.xml"/>
  <Override ContentType="application/vnd.openxmlformats-officedocument.spreadsheetml.externalLink+xml" PartName="/xl/externalLinks/externalLink6.xml"/>
  <Override ContentType="application/vnd.openxmlformats-officedocument.spreadsheetml.externalLink+xml" PartName="/xl/externalLinks/externalLink7.xml"/>
  <Override ContentType="application/vnd.openxmlformats-officedocument.spreadsheetml.externalLink+xml" PartName="/xl/externalLinks/externalLink8.xml"/>
  <Override ContentType="application/vnd.openxmlformats-officedocument.spreadsheetml.externalLink+xml" PartName="/xl/externalLinks/externalLink9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870" windowWidth="2235" windowHeight="5520" firstSheet="1" activeTab="1"/>
  </bookViews>
  <sheets>
    <sheet name="__FDSCACHE__" sheetId="39" state="veryHidden" r:id="rId1"/>
    <sheet name="ImportantDisclosures" sheetId="84" r:id="rId2"/>
    <sheet name="Cover" sheetId="62" r:id="rId3"/>
    <sheet name="Valuation" sheetId="73" r:id="rId4"/>
    <sheet name="Financial" sheetId="71" r:id="rId5"/>
    <sheet name="PEG" sheetId="46" r:id="rId6"/>
    <sheet name="PSE&amp;G" sheetId="72" r:id="rId7"/>
    <sheet name="Power" sheetId="15" r:id="rId8"/>
    <sheet name="Parent" sheetId="51" r:id="rId9"/>
    <sheet name="Debt" sheetId="59" r:id="rId10"/>
    <sheet name="Market Prices" sheetId="77" r:id="rId11"/>
    <sheet name="IndexInformation" sheetId="85" r:id="rId12"/>
    <sheet name="ModPubIndex" sheetId="86" r:id="rId13"/>
    <sheet name="MW-Cache" sheetId="23" state="veryHidden" r:id="rId14"/>
  </sheets>
  <functionGroups builtInGroupCount="17"/>
  <externalReferences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_FDS_HYPERLINK_TOGGLE_STATE__" hidden="1">"ON"</definedName>
    <definedName name="__FDS_UNIQUE_RANGE_ID_GENERATOR_COUNTER" hidden="1">1</definedName>
    <definedName name="__FDS_USED_FOR_REUSING_RANGE_IDS_RECYCLE" localSheetId="2" hidden="1">{1,1,1,1,1,1,1,1,1,1,1,1,1,1,1,1,1,1,1,1,1,1,1,1,1,1,1,1,1,1}</definedName>
    <definedName name="__FDS_USED_FOR_REUSING_RANGE_IDS_RECYCLE" localSheetId="9" hidden="1">{1,1,1,1,1,1,1,1,1,1,1,1,1,1,1,1,1,1,1,1,1,1,1,1,1,1,1,1,1,1}</definedName>
    <definedName name="__FDS_USED_FOR_REUSING_RANGE_IDS_RECYCLE" localSheetId="10" hidden="1">{1,1,1,1,1,1,1,1,1,1,1,1,1,1,1,1,1,1,1,1,1,1,1,1,1,1,1,1,1,1}</definedName>
    <definedName name="__FDS_USED_FOR_REUSING_RANGE_IDS_RECYCLE" localSheetId="6" hidden="1">{1,1,1,1,1,1,1,1,1,1,1,1,1,1,1,1,1,1,1,1,1,1,1,1,1,1,1,1,1,1}</definedName>
    <definedName name="__FDS_USED_FOR_REUSING_RANGE_IDS_RECYCLE" hidden="1">{1,1,1,1,1,1,1,1,1,1,1,1,1,1,1,1,1,1,1,1,1,1,1,1,1,1,1,1,1,1}</definedName>
    <definedName name="_1__FDSAUDITLINK__" localSheetId="2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1__FDSAUDITLINK__" localSheetId="9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1__FDSAUDITLINK__" localSheetId="4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1__FDSAUDITLINK__" localSheetId="10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1__FDSAUDITLINK__" localSheetId="6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1__FDSAUDITLINK__" localSheetId="3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1__FDSAUDITLINK__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10__FDSAUDITLINK__" localSheetId="2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0__FDSAUDITLINK__" localSheetId="9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0__FDSAUDITLINK__" localSheetId="4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0__FDSAUDITLINK__" localSheetId="10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0__FDSAUDITLINK__" localSheetId="6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0__FDSAUDITLINK__" localSheetId="3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0__FDSAUDITLINK__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__FDSAUDITLINK__" localSheetId="2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__FDSAUDITLINK__" localSheetId="9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__FDSAUDITLINK__" localSheetId="4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__FDSAUDITLINK__" localSheetId="10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__FDSAUDITLINK__" localSheetId="6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__FDSAUDITLINK__" localSheetId="3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__FDSAUDITLINK__" localSheetId="2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__FDSAUDITLINK__" localSheetId="9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__FDSAUDITLINK__" localSheetId="4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__FDSAUDITLINK__" localSheetId="10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__FDSAUDITLINK__" localSheetId="6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__FDSAUDITLINK__" localSheetId="3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__FDSAUDITLINK__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__FDSAUDITLINK__" localSheetId="2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__FDSAUDITLINK__" localSheetId="9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__FDSAUDITLINK__" localSheetId="4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__FDSAUDITLINK__" localSheetId="10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__FDSAUDITLINK__" localSheetId="6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__FDSAUDITLINK__" localSheetId="3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__FDSAUDITLINK__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__FDSAUDITLINK__" localSheetId="2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__FDSAUDITLINK__" localSheetId="9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__FDSAUDITLINK__" localSheetId="4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__FDSAUDITLINK__" localSheetId="10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__FDSAUDITLINK__" localSheetId="6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__FDSAUDITLINK__" localSheetId="3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__FDSAUDITLINK__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5__FDSAUDITLINK__" localSheetId="2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5__FDSAUDITLINK__" localSheetId="9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5__FDSAUDITLINK__" localSheetId="4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5__FDSAUDITLINK__" localSheetId="10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5__FDSAUDITLINK__" localSheetId="6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5__FDSAUDITLINK__" localSheetId="3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5__FDSAUDITLINK__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localSheetId="2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localSheetId="9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localSheetId="4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localSheetId="10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localSheetId="6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localSheetId="3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7__FDSAUDITLINK__" localSheetId="2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7__FDSAUDITLINK__" localSheetId="9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7__FDSAUDITLINK__" localSheetId="4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7__FDSAUDITLINK__" localSheetId="10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7__FDSAUDITLINK__" localSheetId="6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7__FDSAUDITLINK__" localSheetId="3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7__FDSAUDITLINK__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8__FDSAUDITLINK__" localSheetId="2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8__FDSAUDITLINK__" localSheetId="9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8__FDSAUDITLINK__" localSheetId="4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8__FDSAUDITLINK__" localSheetId="10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8__FDSAUDITLINK__" localSheetId="6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8__FDSAUDITLINK__" localSheetId="3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8__FDSAUDITLINK__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localSheetId="2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localSheetId="9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localSheetId="4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localSheetId="10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localSheetId="6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localSheetId="3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__FDSAUDITLINK__" localSheetId="2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2__FDSAUDITLINK__" localSheetId="9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2__FDSAUDITLINK__" localSheetId="4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2__FDSAUDITLINK__" localSheetId="10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2__FDSAUDITLINK__" localSheetId="6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2__FDSAUDITLINK__" localSheetId="3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2__FDSAUDITLINK__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20__FDSAUDITLINK__" localSheetId="2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0__FDSAUDITLINK__" localSheetId="9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0__FDSAUDITLINK__" localSheetId="4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0__FDSAUDITLINK__" localSheetId="10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0__FDSAUDITLINK__" localSheetId="6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0__FDSAUDITLINK__" localSheetId="3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0__FDSAUDITLINK__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localSheetId="2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localSheetId="9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localSheetId="4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localSheetId="10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localSheetId="6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localSheetId="3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localSheetId="2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localSheetId="9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localSheetId="4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localSheetId="10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localSheetId="6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localSheetId="3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localSheetId="2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localSheetId="9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localSheetId="4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localSheetId="10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localSheetId="6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localSheetId="3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localSheetId="2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localSheetId="9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localSheetId="4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localSheetId="10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localSheetId="6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localSheetId="3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localSheetId="2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localSheetId="9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localSheetId="4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localSheetId="10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localSheetId="6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localSheetId="3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localSheetId="2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localSheetId="9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localSheetId="4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localSheetId="10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localSheetId="6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localSheetId="3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localSheetId="2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localSheetId="9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localSheetId="4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localSheetId="10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localSheetId="6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localSheetId="3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localSheetId="2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localSheetId="9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localSheetId="4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localSheetId="10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localSheetId="6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localSheetId="3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3__FDSAUDITLINK__" localSheetId="2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3__FDSAUDITLINK__" localSheetId="9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3__FDSAUDITLINK__" localSheetId="4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3__FDSAUDITLINK__" localSheetId="10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3__FDSAUDITLINK__" localSheetId="6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3__FDSAUDITLINK__" localSheetId="3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3__FDSAUDITLINK__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4__FDSAUDITLINK__" localSheetId="2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4__FDSAUDITLINK__" localSheetId="9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4__FDSAUDITLINK__" localSheetId="4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4__FDSAUDITLINK__" localSheetId="10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4__FDSAUDITLINK__" localSheetId="6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4__FDSAUDITLINK__" localSheetId="3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4__FDSAUDITLINK__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5__FDSAUDITLINK__" localSheetId="2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5__FDSAUDITLINK__" localSheetId="9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5__FDSAUDITLINK__" localSheetId="4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5__FDSAUDITLINK__" localSheetId="10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5__FDSAUDITLINK__" localSheetId="6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5__FDSAUDITLINK__" localSheetId="3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5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6__FDSAUDITLINK__" localSheetId="2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6__FDSAUDITLINK__" localSheetId="9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6__FDSAUDITLINK__" localSheetId="4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6__FDSAUDITLINK__" localSheetId="10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6__FDSAUDITLINK__" localSheetId="6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6__FDSAUDITLINK__" localSheetId="3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6__FDSAUDITLINK__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__FDSAUDITLINK__" localSheetId="2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__FDSAUDITLINK__" localSheetId="9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__FDSAUDITLINK__" localSheetId="4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__FDSAUDITLINK__" localSheetId="10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__FDSAUDITLINK__" localSheetId="6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__FDSAUDITLINK__" localSheetId="3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__FDSAUDITLINK__" localSheetId="2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__FDSAUDITLINK__" localSheetId="9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__FDSAUDITLINK__" localSheetId="4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__FDSAUDITLINK__" localSheetId="10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__FDSAUDITLINK__" localSheetId="6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__FDSAUDITLINK__" localSheetId="3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__FDSAUDITLINK__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__FDSAUDITLINK__" localSheetId="2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__FDSAUDITLINK__" localSheetId="9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__FDSAUDITLINK__" localSheetId="4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__FDSAUDITLINK__" localSheetId="10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__FDSAUDITLINK__" localSheetId="6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__FDSAUDITLINK__" localSheetId="3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bdm.02E29E7B1053433EA3CCCBE4E5141596.edm" hidden="1">[1]Sheet1!$A:$IV</definedName>
    <definedName name="_bdm.261112BAE8204F8280374C78A1E02552.edm" hidden="1" xml:space="preserve"> '[2]Capex Chart'!$A:$IV</definedName>
    <definedName name="_bdm.48BD514DC04A4AB4891E926213491EC9.edm" localSheetId="4">Financial!$A$5:$CI$62</definedName>
    <definedName name="_bdm.530488839E8A407C8F1C1B550BFC2836.edm" localSheetId="4">Financial!$A$5:$CI$60</definedName>
    <definedName name="_bdm.5C8302ADDFAB47CFA0BC58B537A8ADEE.edm" localSheetId="4" hidden="1">Financial!$B$5:$DE$64</definedName>
    <definedName name="_bdm.6AFA43F0E39A44E1A1138F4D6AB6937E.edm" hidden="1">'[3]Financial Summary'!$A:$IV</definedName>
    <definedName name="_bdm.7264DC3258CD40029D96B7569D540AD9.edm" localSheetId="4">Financial!$A$5:$CI$62</definedName>
    <definedName name="_bdm.95D97703F0B44275930D649261210A38.edm" hidden="1">'[2]Capex Chart'!$A:$IV</definedName>
    <definedName name="_bdm.9CF1EC782CA246C5B743B60E78EFF75A.edm" hidden="1">'[4]New Resources'!$A:$IV</definedName>
    <definedName name="_bdm.9CFEC88413C7456AB7E9D2DFFC3FD9FB.edm" hidden="1">Power!$1:$1048576</definedName>
    <definedName name="_bdm.A552EFC7BDCB4B65921447ED0EB2DE33.edm" hidden="1">Financial!$1:$1048576</definedName>
    <definedName name="_bdm.BB11A2CB11314C6E9BE7E6722D945EB9.edm" hidden="1">'[2]FCF-Div. Working Chart'!$A:$IV</definedName>
    <definedName name="_bdm.E967D92EDBF846E2B7B774FBF88F28E1.edm" localSheetId="4">Financial!$B$6:$CH$60</definedName>
    <definedName name="_bdm.F7E901476B1C4A78A8384B81CD6FDDBF.edm" hidden="1">'[2]MWA RR'!$A:$IV</definedName>
    <definedName name="_Order1" hidden="1">255</definedName>
    <definedName name="AdditionalInstructions">IndexInformation!$B$42</definedName>
    <definedName name="Address" localSheetId="1">ImportantDisclosures!$A$2:$A$2</definedName>
    <definedName name="ANA" localSheetId="12">ModPubIndex!$A$7</definedName>
    <definedName name="Analyst_Detail" localSheetId="4">'[6]Income Statement'!$O$1</definedName>
    <definedName name="Analyst_Detail" localSheetId="10">'[6]Income Statement'!$O$1</definedName>
    <definedName name="Analyst_Detail" localSheetId="6">'[6]Income Statement'!$O$1</definedName>
    <definedName name="Analyst_Detail">'[6]Income Statement'!$O$1</definedName>
    <definedName name="anscount" hidden="1">1</definedName>
    <definedName name="Authors" localSheetId="1">ImportantDisclosures!$A$7</definedName>
    <definedName name="Authors" localSheetId="11">IndexInformation!$B$18</definedName>
    <definedName name="Average_Cost_of_Total_Debt" localSheetId="4">'[7]Fin Stats'!$B$59:$M$59</definedName>
    <definedName name="Average_Cost_of_Total_Debt" localSheetId="10">'[7]Fin Stats'!$B$59:$M$59</definedName>
    <definedName name="Average_Cost_of_Total_Debt" localSheetId="6">'[7]Fin Stats'!$B$59:$M$59</definedName>
    <definedName name="Average_Cost_of_Total_Debt">'[7]Fin Stats'!$B$59:$M$59</definedName>
    <definedName name="basept" localSheetId="3">Valuation!$BX$18</definedName>
    <definedName name="bearpt" localSheetId="3">Valuation!$BW$18</definedName>
    <definedName name="BRO" localSheetId="12">ModPubIndex!$A$1</definedName>
    <definedName name="bullpt" localSheetId="3">Valuation!$BY$18</definedName>
    <definedName name="Capital_Expenditures" localSheetId="4">'[7]Fin Stats'!$B$111:$M$111</definedName>
    <definedName name="Capital_Expenditures" localSheetId="10">'[7]Fin Stats'!$B$111:$M$111</definedName>
    <definedName name="Capital_Expenditures" localSheetId="6">'[7]Fin Stats'!$B$111:$M$111</definedName>
    <definedName name="Capital_Expenditures">'[7]Fin Stats'!$B$111:$M$111</definedName>
    <definedName name="Cash_Flow" localSheetId="4">'[7]Fin Stats'!$B$113:$M$113</definedName>
    <definedName name="Cash_Flow" localSheetId="10">'[7]Fin Stats'!$B$113:$M$113</definedName>
    <definedName name="Cash_Flow" localSheetId="6">'[7]Fin Stats'!$B$113:$M$113</definedName>
    <definedName name="Cash_Flow">'[7]Fin Stats'!$B$113:$M$113</definedName>
    <definedName name="Cash_Flow_per_Share" localSheetId="4">'[7]Fin Stats'!$B$116:$M$116</definedName>
    <definedName name="Cash_Flow_per_Share" localSheetId="10">'[7]Fin Stats'!$B$116:$M$116</definedName>
    <definedName name="Cash_Flow_per_Share" localSheetId="6">'[7]Fin Stats'!$B$116:$M$116</definedName>
    <definedName name="Cash_Flow_per_Share">'[7]Fin Stats'!$B$116:$M$116</definedName>
    <definedName name="CFO_Assets" localSheetId="4">'[7]Fin Stats'!$B$67:$M$67</definedName>
    <definedName name="CFO_Assets" localSheetId="10">'[7]Fin Stats'!$B$67:$M$67</definedName>
    <definedName name="CFO_Assets" localSheetId="6">'[7]Fin Stats'!$B$67:$M$67</definedName>
    <definedName name="CFO_Assets">'[7]Fin Stats'!$B$67:$M$67</definedName>
    <definedName name="CFO_Total_Debt" localSheetId="4">'[7]Fin Stats'!$B$78:$M$78</definedName>
    <definedName name="CFO_Total_Debt" localSheetId="10">'[7]Fin Stats'!$B$78:$M$78</definedName>
    <definedName name="CFO_Total_Debt" localSheetId="6">'[7]Fin Stats'!$B$78:$M$78</definedName>
    <definedName name="CFO_Total_Debt">'[7]Fin Stats'!$B$78:$M$78</definedName>
    <definedName name="Common_equity" localSheetId="4">'[7]Fin Stats'!$B$38:$M$38</definedName>
    <definedName name="Common_equity" localSheetId="10">'[7]Fin Stats'!$B$38:$M$38</definedName>
    <definedName name="Common_equity" localSheetId="6">'[7]Fin Stats'!$B$38:$M$38</definedName>
    <definedName name="Common_equity">'[7]Fin Stats'!$B$38:$M$38</definedName>
    <definedName name="Company_Name" localSheetId="4">'[8]Income Statement'!$A$1</definedName>
    <definedName name="Company_Name" localSheetId="10">'[8]Income Statement'!$A$1</definedName>
    <definedName name="Company_Name" localSheetId="6">'[8]Income Statement'!$A$1</definedName>
    <definedName name="Company_Name">'[8]Income Statement'!$A$1</definedName>
    <definedName name="CopyrightStamp">ImportantDisclosures!$A$27</definedName>
    <definedName name="COU" localSheetId="12">ModPubIndex!$A$5</definedName>
    <definedName name="CQEnd" localSheetId="11">IndexInformation!$B$31</definedName>
    <definedName name="Currency" localSheetId="11">IndexInformation!$B$24</definedName>
    <definedName name="CurrentStockPrice" localSheetId="11">IndexInformation!$B$23</definedName>
    <definedName name="CurrQtrEPS" localSheetId="11">IndexInformation!$B$29</definedName>
    <definedName name="CurrYearEPS" localSheetId="11">IndexInformation!$B$11</definedName>
    <definedName name="CurrYearTotalRevenue" localSheetId="11">IndexInformation!$B$10</definedName>
    <definedName name="CurrYearTotalRevenueActual" localSheetId="11">IndexInformation!$B$32</definedName>
    <definedName name="CUSIP" localSheetId="11">IndexInformation!$B$20</definedName>
    <definedName name="CYEnd" localSheetId="11">IndexInformation!$B$30</definedName>
    <definedName name="dataseries1" localSheetId="10">#N/A</definedName>
    <definedName name="dataseries1">#N/A</definedName>
    <definedName name="dataseries4">OFFSET([9]c1!$G$12,0,0,COUNTA([9]c1!$G$12:$G$31),1)</definedName>
    <definedName name="Date" localSheetId="1">ImportantDisclosures!$A$8</definedName>
    <definedName name="Debt_Equity" localSheetId="4">'[7]Fin Stats'!$B$60:$M$60</definedName>
    <definedName name="Debt_Equity" localSheetId="10">'[7]Fin Stats'!$B$60:$M$60</definedName>
    <definedName name="Debt_Equity" localSheetId="6">'[7]Fin Stats'!$B$60:$M$60</definedName>
    <definedName name="Debt_Equity">'[7]Fin Stats'!$B$60:$M$60</definedName>
    <definedName name="Debt_Total_Capital" localSheetId="4">'[7]Fin Stats'!$B$61:$M$61</definedName>
    <definedName name="Debt_Total_Capital" localSheetId="10">'[7]Fin Stats'!$B$61:$M$61</definedName>
    <definedName name="Debt_Total_Capital" localSheetId="6">'[7]Fin Stats'!$B$61:$M$61</definedName>
    <definedName name="Debt_Total_Capital">'[7]Fin Stats'!$B$61:$M$61</definedName>
    <definedName name="Deleted" localSheetId="11">IndexInformation!$B$27</definedName>
    <definedName name="Depreciation__D___A" localSheetId="4">'[7]Fin Stats'!$B$110:$M$110</definedName>
    <definedName name="Depreciation__D___A" localSheetId="10">'[7]Fin Stats'!$B$110:$M$110</definedName>
    <definedName name="Depreciation__D___A" localSheetId="6">'[7]Fin Stats'!$B$110:$M$110</definedName>
    <definedName name="Depreciation__D___A">'[7]Fin Stats'!$B$110:$M$110</definedName>
    <definedName name="Description" localSheetId="11">IndexInformation!$B$7</definedName>
    <definedName name="Discipline" localSheetId="11">IndexInformation!$B$3</definedName>
    <definedName name="DISCIPLINE" localSheetId="12">ModPubIndex!$A$12</definedName>
    <definedName name="DisclosuresText">ImportantDisclosures!$A$22</definedName>
    <definedName name="Distribution" localSheetId="11">IndexInformation!$B$26</definedName>
    <definedName name="DistTable" localSheetId="1">ImportantDisclosures!#REF!</definedName>
    <definedName name="DistTablePreamble" localSheetId="1">ImportantDisclosures!#REF!</definedName>
    <definedName name="Dividends_per_Share" localSheetId="4">'[7]Fin Stats'!$B$118:$M$118</definedName>
    <definedName name="Dividends_per_Share" localSheetId="10">'[7]Fin Stats'!$B$118:$M$118</definedName>
    <definedName name="Dividends_per_Share" localSheetId="6">'[7]Fin Stats'!$B$118:$M$118</definedName>
    <definedName name="Dividends_per_Share">'[7]Fin Stats'!$B$118:$M$118</definedName>
    <definedName name="DOCDAT" localSheetId="12">ModPubIndex!$A$2</definedName>
    <definedName name="DOCTIME" localSheetId="12">ModPubIndex!$A$3</definedName>
    <definedName name="DocType" localSheetId="11">IndexInformation!$B$5</definedName>
    <definedName name="Earnings" localSheetId="4">'[7]Fin Stats'!$B$106:$M$106</definedName>
    <definedName name="Earnings" localSheetId="10">'[7]Fin Stats'!$B$106:$M$106</definedName>
    <definedName name="Earnings" localSheetId="6">'[7]Fin Stats'!$B$106:$M$106</definedName>
    <definedName name="Earnings">'[7]Fin Stats'!$B$106:$M$106</definedName>
    <definedName name="Earnings_per_Share" localSheetId="4">'[7]Fin Stats'!$B$107:$M$107</definedName>
    <definedName name="Earnings_per_Share" localSheetId="10">'[7]Fin Stats'!$B$107:$M$107</definedName>
    <definedName name="Earnings_per_Share" localSheetId="6">'[7]Fin Stats'!$B$107:$M$107</definedName>
    <definedName name="Earnings_per_Share">'[7]Fin Stats'!$B$107:$M$107</definedName>
    <definedName name="EBIT" localSheetId="4">'[7]Fin Stats'!$B$101:$M$101</definedName>
    <definedName name="EBIT" localSheetId="10">'[7]Fin Stats'!$B$101:$M$101</definedName>
    <definedName name="EBIT" localSheetId="6">'[7]Fin Stats'!$B$101:$M$101</definedName>
    <definedName name="EBIT">'[7]Fin Stats'!$B$101:$M$101</definedName>
    <definedName name="EBIT_Assets" localSheetId="4">'[7]Fin Stats'!$B$66:$M$66</definedName>
    <definedName name="EBIT_Assets" localSheetId="10">'[7]Fin Stats'!$B$66:$M$66</definedName>
    <definedName name="EBIT_Assets" localSheetId="6">'[7]Fin Stats'!$B$66:$M$66</definedName>
    <definedName name="EBIT_Assets">'[7]Fin Stats'!$B$66:$M$66</definedName>
    <definedName name="EBIT_Margin" localSheetId="4">'[7]Fin Stats'!$B$24:$M$24</definedName>
    <definedName name="EBIT_Margin" localSheetId="10">'[7]Fin Stats'!$B$24:$M$24</definedName>
    <definedName name="EBIT_Margin" localSheetId="6">'[7]Fin Stats'!$B$24:$M$24</definedName>
    <definedName name="EBIT_Margin">'[7]Fin Stats'!$B$24:$M$24</definedName>
    <definedName name="EBIT_to_Interest_Expense" localSheetId="4">'[7]Fin Stats'!$B$45:$M$45</definedName>
    <definedName name="EBIT_to_Interest_Expense" localSheetId="10">'[7]Fin Stats'!$B$45:$M$45</definedName>
    <definedName name="EBIT_to_Interest_Expense" localSheetId="6">'[7]Fin Stats'!$B$45:$M$45</definedName>
    <definedName name="EBIT_to_Interest_Expense">'[7]Fin Stats'!$B$45:$M$45</definedName>
    <definedName name="EBITDA" localSheetId="4">'[7]Fin Stats'!$B$100:$M$100</definedName>
    <definedName name="EBITDA" localSheetId="10">'[7]Fin Stats'!$B$100:$M$100</definedName>
    <definedName name="EBITDA" localSheetId="6">'[7]Fin Stats'!$B$100:$M$100</definedName>
    <definedName name="EBITDA">'[7]Fin Stats'!$B$100:$M$100</definedName>
    <definedName name="EBITDA_Interest" localSheetId="4">'[7]Fin Stats'!$B$75:$M$75</definedName>
    <definedName name="EBITDA_Interest" localSheetId="10">'[7]Fin Stats'!$B$75:$M$75</definedName>
    <definedName name="EBITDA_Interest" localSheetId="6">'[7]Fin Stats'!$B$75:$M$75</definedName>
    <definedName name="EBITDA_Interest">'[7]Fin Stats'!$B$75:$M$75</definedName>
    <definedName name="EMAIL_ALERT" localSheetId="12">ModPubIndex!$A$10</definedName>
    <definedName name="EmailAlert" localSheetId="11">IndexInformation!$B$28</definedName>
    <definedName name="Energy">[10]Data!$P$9:$Q$29</definedName>
    <definedName name="EnergyGrowth">[10]Data!$U$58:$X$76</definedName>
    <definedName name="Enterprise_Value" localSheetId="4">'[7]Fin Stats'!$B$57:$M$57</definedName>
    <definedName name="Enterprise_Value" localSheetId="10">'[7]Fin Stats'!$B$57:$M$57</definedName>
    <definedName name="Enterprise_Value" localSheetId="6">'[7]Fin Stats'!$B$57:$M$57</definedName>
    <definedName name="Enterprise_Value">'[7]Fin Stats'!$B$57:$M$57</definedName>
    <definedName name="EPS">PEG!$N$49:$BV$49</definedName>
    <definedName name="Equity_to_Capital" localSheetId="4">'[7]Fin Stats'!$B$43:$M$43</definedName>
    <definedName name="Equity_to_Capital" localSheetId="10">'[7]Fin Stats'!$B$43:$M$43</definedName>
    <definedName name="Equity_to_Capital" localSheetId="6">'[7]Fin Stats'!$B$43:$M$43</definedName>
    <definedName name="Equity_to_Capital">'[7]Fin Stats'!$B$43:$M$43</definedName>
    <definedName name="ev.Calculation" hidden="1">-4105</definedName>
    <definedName name="ev.Initialized" hidden="1">FALSE</definedName>
    <definedName name="EV_EBITDA_Current_Year" localSheetId="4">'[7]Fin Stats'!$B$85:$M$85</definedName>
    <definedName name="EV_EBITDA_Current_Year" localSheetId="10">'[7]Fin Stats'!$B$85:$M$85</definedName>
    <definedName name="EV_EBITDA_Current_Year" localSheetId="6">'[7]Fin Stats'!$B$85:$M$85</definedName>
    <definedName name="EV_EBITDA_Current_Year">'[7]Fin Stats'!$B$85:$M$85</definedName>
    <definedName name="EV_EBITDA_Forward_Year" localSheetId="4">'[7]Fin Stats'!$B$86:$M$86</definedName>
    <definedName name="EV_EBITDA_Forward_Year" localSheetId="10">'[7]Fin Stats'!$B$86:$M$86</definedName>
    <definedName name="EV_EBITDA_Forward_Year" localSheetId="6">'[7]Fin Stats'!$B$86:$M$86</definedName>
    <definedName name="EV_EBITDA_Forward_Year">'[7]Fin Stats'!$B$86:$M$86</definedName>
    <definedName name="EV_Sales_Current_Year" localSheetId="4">'[7]Fin Stats'!$B$82:$M$82</definedName>
    <definedName name="EV_Sales_Current_Year" localSheetId="10">'[7]Fin Stats'!$B$82:$M$82</definedName>
    <definedName name="EV_Sales_Current_Year" localSheetId="6">'[7]Fin Stats'!$B$82:$M$82</definedName>
    <definedName name="EV_Sales_Current_Year">'[7]Fin Stats'!$B$82:$M$82</definedName>
    <definedName name="EV_Sales_Forward_Year" localSheetId="4">'[7]Fin Stats'!$B$83:$M$83</definedName>
    <definedName name="EV_Sales_Forward_Year" localSheetId="10">'[7]Fin Stats'!$B$83:$M$83</definedName>
    <definedName name="EV_Sales_Forward_Year" localSheetId="6">'[7]Fin Stats'!$B$83:$M$83</definedName>
    <definedName name="EV_Sales_Forward_Year">'[7]Fin Stats'!$B$83:$M$83</definedName>
    <definedName name="FFO_Coverage" localSheetId="4">'[7]Fin Stats'!$B$76:$M$76</definedName>
    <definedName name="FFO_Coverage" localSheetId="10">'[7]Fin Stats'!$B$76:$M$76</definedName>
    <definedName name="FFO_Coverage" localSheetId="6">'[7]Fin Stats'!$B$76:$M$76</definedName>
    <definedName name="FFO_Coverage">'[7]Fin Stats'!$B$76:$M$76</definedName>
    <definedName name="FFO_Total_Debt" localSheetId="4">'[7]Fin Stats'!$B$77:$M$77</definedName>
    <definedName name="FFO_Total_Debt" localSheetId="10">'[7]Fin Stats'!$B$77:$M$77</definedName>
    <definedName name="FFO_Total_Debt" localSheetId="6">'[7]Fin Stats'!$B$77:$M$77</definedName>
    <definedName name="FFO_Total_Debt">'[7]Fin Stats'!$B$77:$M$77</definedName>
    <definedName name="FiveYearGrowthRate" localSheetId="11">IndexInformation!$B$16</definedName>
    <definedName name="FollowingYearEPS" localSheetId="11">IndexInformation!$B$15</definedName>
    <definedName name="FollowingYearTotalRevenue" localSheetId="11">IndexInformation!$B$14</definedName>
    <definedName name="FollowingYearTotalRevenueActual" localSheetId="11">IndexInformation!$B$34</definedName>
    <definedName name="Free_Cash_Flow" localSheetId="4">'[7]Fin Stats'!$B$114:$M$114</definedName>
    <definedName name="Free_Cash_Flow" localSheetId="10">'[7]Fin Stats'!$B$114:$M$114</definedName>
    <definedName name="Free_Cash_Flow" localSheetId="6">'[7]Fin Stats'!$B$114:$M$114</definedName>
    <definedName name="Free_Cash_Flow">'[7]Fin Stats'!$B$114:$M$114</definedName>
    <definedName name="GasPaste" localSheetId="2">[11]Gas!$D$7</definedName>
    <definedName name="GasPaste" localSheetId="4">[11]Gas!$D$7</definedName>
    <definedName name="GasPaste" localSheetId="10">[11]Gas!$D$7</definedName>
    <definedName name="GasPaste" localSheetId="6">[12]Gas!$D$7</definedName>
    <definedName name="GasPaste">[12]Gas!$D$7</definedName>
    <definedName name="GenCo">Valuation!$BX$15</definedName>
    <definedName name="Generation">[10]Data!$P$34:$Q$54</definedName>
    <definedName name="Gross_Margin" localSheetId="4">'[7]Fin Stats'!$B$22:$M$22</definedName>
    <definedName name="Gross_Margin" localSheetId="10">'[7]Fin Stats'!$B$22:$M$22</definedName>
    <definedName name="Gross_Margin" localSheetId="6">'[7]Fin Stats'!$B$22:$M$22</definedName>
    <definedName name="Gross_Margin">'[7]Fin Stats'!$B$22:$M$22</definedName>
    <definedName name="Growth_ROIC" localSheetId="2">OFFSET([0]!XRange,10,0)</definedName>
    <definedName name="Growth_ROIC" localSheetId="9">OFFSET(Debt!XRange,10,0)</definedName>
    <definedName name="Growth_ROIC" localSheetId="4">OFFSET([0]!XRange,10,0)</definedName>
    <definedName name="Growth_ROIC" localSheetId="10">OFFSET([0]!XRange,10,0)</definedName>
    <definedName name="Growth_ROIC" localSheetId="6">OFFSET([0]!XRange,10,0)</definedName>
    <definedName name="Growth_ROIC" localSheetId="3">OFFSET(Valuation!XRange,10,0)</definedName>
    <definedName name="Growth_ROIC">OFFSET([0]!XRange,10,0)</definedName>
    <definedName name="highmid_gas_cf">'[4]Valuation Summary'!$AQ$28</definedName>
    <definedName name="highmidmargin">'[4]Valuation Summary'!$AN$28</definedName>
    <definedName name="HL" localSheetId="12">ModPubIndex!$A$8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huge_gas_cf">'[4]Valuation Summary'!$AQ$27</definedName>
    <definedName name="hugemargin">'[4]Valuation Summary'!$AN$27</definedName>
    <definedName name="Img_ML_7g5e5e2b" hidden="1">"IMG_12"</definedName>
    <definedName name="IND" localSheetId="12">ModPubIndex!$A$9</definedName>
    <definedName name="Industry" localSheetId="1">ImportantDisclosures!$A$12</definedName>
    <definedName name="IndustryId" localSheetId="10">[13]IndexInformation!$B$40</definedName>
    <definedName name="IndustryId">IndexInformation!$B$40</definedName>
    <definedName name="IndustryRating" localSheetId="1">ImportantDisclosures!$A$13</definedName>
    <definedName name="Interest_Expense" localSheetId="4">'[7]Fin Stats'!$B$103:$M$103</definedName>
    <definedName name="Interest_Expense" localSheetId="10">'[7]Fin Stats'!$B$103:$M$103</definedName>
    <definedName name="Interest_Expense" localSheetId="6">'[7]Fin Stats'!$B$103:$M$103</definedName>
    <definedName name="Interest_Expense">'[7]Fin Stats'!$B$103:$M$103</definedName>
    <definedName name="InvestCapGrowth" localSheetId="2">OFFSET([0]!XRange2,4,0)</definedName>
    <definedName name="InvestCapGrowth" localSheetId="9">OFFSET(Debt!XRange2,4,0)</definedName>
    <definedName name="InvestCapGrowth" localSheetId="4">OFFSET([0]!XRange2,4,0)</definedName>
    <definedName name="InvestCapGrowth" localSheetId="10">OFFSET([0]!XRange2,4,0)</definedName>
    <definedName name="InvestCapGrowth" localSheetId="6">OFFSET([0]!XRange2,4,0)</definedName>
    <definedName name="InvestCapGrowth" localSheetId="3">OFFSET(Valuation!XRange2,4,0)</definedName>
    <definedName name="InvestCapGrowth">OFFSET([0]!XRange2,4,0)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INDUSTRY_REC" hidden="1">"c4455"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W_ACT_OR_EST" hidden="1">"c4306"</definedName>
    <definedName name="IQ_EBIT_INT" hidden="1">"c360"</definedName>
    <definedName name="IQ_EBIT_MARGIN" hidden="1">"c359"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EST_REUT" hidden="1">"c5453"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UM_EST" hidden="1">"c402"</definedName>
    <definedName name="IQ_EPS_NUM_EST_REUT" hidden="1">"c5451"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5YR" hidden="1">"c1655"</definedName>
    <definedName name="IQ_EST_EPS_GROWTH_5YR_REUT" hidden="1">"c3633"</definedName>
    <definedName name="IQ_EST_EPS_GROWTH_Q_1YR" hidden="1">"c1641"</definedName>
    <definedName name="IQ_EST_EPS_GROWTH_Q_1YR_REUT" hidden="1">"c5410"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DJ_ACT_OR_EST" hidden="1">"c4435"</definedName>
    <definedName name="IQ_FFO_PAYOUT_RATIO" hidden="1">"c3492"</definedName>
    <definedName name="IQ_FFO_SHARE_ACT_OR_EST" hidden="1">"c4446"</definedName>
    <definedName name="IQ_FH" hidden="1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_TARGET_PRICE_REUT" hidden="1">"c5317"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LTMMONTH" hidden="1">120000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MES_REVISION_DATE_" hidden="1">40521.6808449074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BC_ACT_OR_EST" hidden="1">"c4474"</definedName>
    <definedName name="IQ_NI_SBC_GW_ACT_OR_EST" hidden="1">"c4478"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39177.4967361111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ShowHideColumns" hidden="1">"iQShowAll"</definedName>
    <definedName name="KeepVersions" localSheetId="11">IndexInformation!$B$8</definedName>
    <definedName name="LanguageCode" localSheetId="10">[13]IndexInformation!$B$38</definedName>
    <definedName name="LanguageCode">IndexInformation!$B$38</definedName>
    <definedName name="LastCell" localSheetId="1">ImportantDisclosures!$A$22</definedName>
    <definedName name="Linking_1">Financial!$B$4:$ED$64</definedName>
    <definedName name="Linking_2">Power!$CM$171:$CO$179</definedName>
    <definedName name="Linking_3">Financial!$B$4:$EI$64</definedName>
    <definedName name="Linking_Range_1" localSheetId="4">Financial!$B$5:$DE$64</definedName>
    <definedName name="Linking_Range_10">Power!$CM$196:$CO$249</definedName>
    <definedName name="Linking_Range_11">Power!$CM$181:$CO$189</definedName>
    <definedName name="Linking_Range_12">Power!$CM$181:$CO$190</definedName>
    <definedName name="Linking_Range_13">Financial!$B$4:$DO$64</definedName>
    <definedName name="Linking_Range_14">Power!$CM$230:$CO$238</definedName>
    <definedName name="Linking_Range_15">Financial!$B$4:$DT$64</definedName>
    <definedName name="Linking_Range_7">Valuation!$B$6:$AM$21</definedName>
    <definedName name="Linking_Range_8">Financial!$B$4:$DE$64</definedName>
    <definedName name="Linking_Range_9">Power!$CM$196:$CU$227</definedName>
    <definedName name="Long_term_debt" localSheetId="4">'[7]Fin Stats'!$B$36:$M$36</definedName>
    <definedName name="Long_term_debt" localSheetId="10">'[7]Fin Stats'!$B$36:$M$36</definedName>
    <definedName name="Long_term_debt" localSheetId="6">'[7]Fin Stats'!$B$36:$M$36</definedName>
    <definedName name="Long_term_debt">'[7]Fin Stats'!$B$36:$M$36</definedName>
    <definedName name="Long_term_Debt_to_Capital" localSheetId="4">'[7]Fin Stats'!$B$41:$M$41</definedName>
    <definedName name="Long_term_Debt_to_Capital" localSheetId="10">'[7]Fin Stats'!$B$41:$M$41</definedName>
    <definedName name="Long_term_Debt_to_Capital" localSheetId="6">'[7]Fin Stats'!$B$41:$M$41</definedName>
    <definedName name="Long_term_Debt_to_Capital">'[7]Fin Stats'!$B$41:$M$41</definedName>
    <definedName name="lowmid_gas_cf">'[4]Valuation Summary'!$AQ$29</definedName>
    <definedName name="lowmidmargin">'[4]Valuation Summary'!$AN$29</definedName>
    <definedName name="MacroVersion" localSheetId="11">IndexInformation!$B$1</definedName>
    <definedName name="Market_Value" localSheetId="4">'[7]Fin Stats'!$B$56:$M$56</definedName>
    <definedName name="Market_Value" localSheetId="10">'[7]Fin Stats'!$B$56:$M$56</definedName>
    <definedName name="Market_Value" localSheetId="6">'[7]Fin Stats'!$B$56:$M$56</definedName>
    <definedName name="Market_Value">'[7]Fin Stats'!$B$56:$M$56</definedName>
    <definedName name="Minority_Interest" localSheetId="4">'[7]Fin Stats'!$B$53:$M$53</definedName>
    <definedName name="Minority_Interest" localSheetId="10">'[7]Fin Stats'!$B$53:$M$53</definedName>
    <definedName name="Minority_Interest" localSheetId="6">'[7]Fin Stats'!$B$53:$M$53</definedName>
    <definedName name="Minority_Interest">'[7]Fin Stats'!$B$53:$M$53</definedName>
    <definedName name="ModelPrice" localSheetId="1">ImportantDisclosures!$A$14</definedName>
    <definedName name="Multiplier" localSheetId="11">IndexInformation!$B$35</definedName>
    <definedName name="Net_Debt" localSheetId="4">'[7]Fin Stats'!$B$51:$M$51</definedName>
    <definedName name="Net_Debt" localSheetId="10">'[7]Fin Stats'!$B$51:$M$51</definedName>
    <definedName name="Net_Debt" localSheetId="6">'[7]Fin Stats'!$B$51:$M$51</definedName>
    <definedName name="Net_Debt">'[7]Fin Stats'!$B$51:$M$51</definedName>
    <definedName name="Net_Income_Margin" localSheetId="4">'[7]Fin Stats'!$B$26:$M$26</definedName>
    <definedName name="Net_Income_Margin" localSheetId="10">'[7]Fin Stats'!$B$26:$M$26</definedName>
    <definedName name="Net_Income_Margin" localSheetId="6">'[7]Fin Stats'!$B$26:$M$26</definedName>
    <definedName name="Net_Income_Margin">'[7]Fin Stats'!$B$26:$M$26</definedName>
    <definedName name="NextYearEPS" localSheetId="11">IndexInformation!$B$13</definedName>
    <definedName name="NextYearTotalRevenue" localSheetId="11">IndexInformation!$B$12</definedName>
    <definedName name="NextYearTotalRevenueActual" localSheetId="11">IndexInformation!$B$33</definedName>
    <definedName name="NM">"NM"</definedName>
    <definedName name="ObjectType" localSheetId="10">[13]IndexInformation!$B$37</definedName>
    <definedName name="ObjectType">IndexInformation!$B$37</definedName>
    <definedName name="Operating_Margin" localSheetId="4">'[7]Fin Stats'!$B$23:$M$23</definedName>
    <definedName name="Operating_Margin" localSheetId="10">'[7]Fin Stats'!$B$23:$M$23</definedName>
    <definedName name="Operating_Margin" localSheetId="6">'[7]Fin Stats'!$B$23:$M$23</definedName>
    <definedName name="Operating_Margin">'[7]Fin Stats'!$B$23:$M$23</definedName>
    <definedName name="OPkPaste" localSheetId="2">'[11]Off Peak'!$D$7</definedName>
    <definedName name="OPkPaste" localSheetId="4">'[11]Off Peak'!$D$7</definedName>
    <definedName name="OPkPaste" localSheetId="10">'[11]Off Peak'!$D$7</definedName>
    <definedName name="OPkPaste" localSheetId="6">'[12]Off Peak'!$D$7</definedName>
    <definedName name="OPkPaste">'[12]Off Peak'!$D$7</definedName>
    <definedName name="OpMargin" localSheetId="2">OFFSET([0]!XRange2,5,0)</definedName>
    <definedName name="OpMargin" localSheetId="9">OFFSET(Debt!XRange2,5,0)</definedName>
    <definedName name="OpMargin" localSheetId="4">OFFSET([0]!XRange2,5,0)</definedName>
    <definedName name="OpMargin" localSheetId="10">OFFSET([0]!XRange2,5,0)</definedName>
    <definedName name="OpMargin" localSheetId="6">OFFSET([0]!XRange2,5,0)</definedName>
    <definedName name="OpMargin" localSheetId="3">OFFSET(Valuation!XRange2,5,0)</definedName>
    <definedName name="OpMargin">OFFSET([0]!XRange2,5,0)</definedName>
    <definedName name="PANA" localSheetId="12">ModPubIndex!$A$11</definedName>
    <definedName name="PathName" localSheetId="11">IndexInformation!$B$25</definedName>
    <definedName name="Payout_ratio" localSheetId="4">'[7]Fin Stats'!$B$119:$M$119</definedName>
    <definedName name="Payout_ratio" localSheetId="10">'[7]Fin Stats'!$B$119:$M$119</definedName>
    <definedName name="Payout_ratio" localSheetId="6">'[7]Fin Stats'!$B$119:$M$119</definedName>
    <definedName name="Payout_ratio">'[7]Fin Stats'!$B$119:$M$119</definedName>
    <definedName name="PeakGrowth">[10]Data!$P$56:$S$74</definedName>
    <definedName name="Phase1NPVFCF" localSheetId="2">OFFSET([0]!XRange,39,0)</definedName>
    <definedName name="Phase1NPVFCF" localSheetId="9">OFFSET(Debt!XRange,39,0)</definedName>
    <definedName name="Phase1NPVFCF" localSheetId="4">OFFSET([0]!XRange,39,0)</definedName>
    <definedName name="Phase1NPVFCF" localSheetId="10">OFFSET([0]!XRange,39,0)</definedName>
    <definedName name="Phase1NPVFCF" localSheetId="6">OFFSET([0]!XRange,39,0)</definedName>
    <definedName name="Phase1NPVFCF" localSheetId="3">OFFSET(Valuation!XRange,39,0)</definedName>
    <definedName name="Phase1NPVFCF">OFFSET([0]!XRange,39,0)</definedName>
    <definedName name="Phase2NPVFCF" localSheetId="2">OFFSET([0]!XRange,40,0)</definedName>
    <definedName name="Phase2NPVFCF" localSheetId="9">OFFSET(Debt!XRange,40,0)</definedName>
    <definedName name="Phase2NPVFCF" localSheetId="4">OFFSET([0]!XRange,40,0)</definedName>
    <definedName name="Phase2NPVFCF" localSheetId="10">OFFSET([0]!XRange,40,0)</definedName>
    <definedName name="Phase2NPVFCF" localSheetId="6">OFFSET([0]!XRange,40,0)</definedName>
    <definedName name="Phase2NPVFCF" localSheetId="3">OFFSET(Valuation!XRange,40,0)</definedName>
    <definedName name="Phase2NPVFCF">OFFSET([0]!XRange,40,0)</definedName>
    <definedName name="Phase3NPVFCF" localSheetId="2">OFFSET([0]!XRange,41,0)</definedName>
    <definedName name="Phase3NPVFCF" localSheetId="9">OFFSET(Debt!XRange,41,0)</definedName>
    <definedName name="Phase3NPVFCF" localSheetId="4">OFFSET([0]!XRange,41,0)</definedName>
    <definedName name="Phase3NPVFCF" localSheetId="10">OFFSET([0]!XRange,41,0)</definedName>
    <definedName name="Phase3NPVFCF" localSheetId="6">OFFSET([0]!XRange,41,0)</definedName>
    <definedName name="Phase3NPVFCF" localSheetId="3">OFFSET(Valuation!XRange,41,0)</definedName>
    <definedName name="Phase3NPVFCF">OFFSET([0]!XRange,41,0)</definedName>
    <definedName name="PkPaste" localSheetId="2">[11]Peak!$D$7</definedName>
    <definedName name="PkPaste" localSheetId="4">[11]Peak!$D$7</definedName>
    <definedName name="PkPaste" localSheetId="10">[11]Peak!$D$7</definedName>
    <definedName name="PkPaste" localSheetId="6">[12]Peak!$D$7</definedName>
    <definedName name="PkPaste">[12]Peak!$D$7</definedName>
    <definedName name="Preferred_Equity" localSheetId="4">'[7]Fin Stats'!$B$52:$M$52</definedName>
    <definedName name="Preferred_Equity" localSheetId="10">'[7]Fin Stats'!$B$52:$M$52</definedName>
    <definedName name="Preferred_Equity" localSheetId="6">'[7]Fin Stats'!$B$52:$M$52</definedName>
    <definedName name="Preferred_Equity">'[7]Fin Stats'!$B$52:$M$52</definedName>
    <definedName name="Preferred_stock" localSheetId="4">'[7]Fin Stats'!$B$37:$M$37</definedName>
    <definedName name="Preferred_stock" localSheetId="10">'[7]Fin Stats'!$B$37:$M$37</definedName>
    <definedName name="Preferred_stock" localSheetId="6">'[7]Fin Stats'!$B$37:$M$37</definedName>
    <definedName name="Preferred_stock">'[7]Fin Stats'!$B$37:$M$37</definedName>
    <definedName name="Preferred_to_Capital" localSheetId="4">'[7]Fin Stats'!$B$44:$M$44</definedName>
    <definedName name="Preferred_to_Capital" localSheetId="10">'[7]Fin Stats'!$B$44:$M$44</definedName>
    <definedName name="Preferred_to_Capital" localSheetId="6">'[7]Fin Stats'!$B$44:$M$44</definedName>
    <definedName name="Preferred_to_Capital">'[7]Fin Stats'!$B$44:$M$44</definedName>
    <definedName name="Premium">Valuation!$BX$11</definedName>
    <definedName name="Pretax_Income" localSheetId="4">'[7]Fin Stats'!$B$104:$M$104</definedName>
    <definedName name="Pretax_Income" localSheetId="10">'[7]Fin Stats'!$B$104:$M$104</definedName>
    <definedName name="Pretax_Income" localSheetId="6">'[7]Fin Stats'!$B$104:$M$104</definedName>
    <definedName name="Pretax_Income">'[7]Fin Stats'!$B$104:$M$104</definedName>
    <definedName name="Pretax_Margin" localSheetId="4">'[7]Fin Stats'!$B$25:$M$25</definedName>
    <definedName name="Pretax_Margin" localSheetId="10">'[7]Fin Stats'!$B$25:$M$25</definedName>
    <definedName name="Pretax_Margin" localSheetId="6">'[7]Fin Stats'!$B$25:$M$25</definedName>
    <definedName name="Pretax_Margin">'[7]Fin Stats'!$B$25:$M$25</definedName>
    <definedName name="Price_Book" localSheetId="4">'[7]Fin Stats'!$B$94:$M$94</definedName>
    <definedName name="Price_Book" localSheetId="10">'[7]Fin Stats'!$B$94:$M$94</definedName>
    <definedName name="Price_Book" localSheetId="6">'[7]Fin Stats'!$B$94:$M$94</definedName>
    <definedName name="Price_Book">'[7]Fin Stats'!$B$94:$M$94</definedName>
    <definedName name="Price_Cash_Flow" localSheetId="4">'[7]Fin Stats'!$B$88:$M$88</definedName>
    <definedName name="Price_Cash_Flow" localSheetId="10">'[7]Fin Stats'!$B$88:$M$88</definedName>
    <definedName name="Price_Cash_Flow" localSheetId="6">'[7]Fin Stats'!$B$88:$M$88</definedName>
    <definedName name="Price_Cash_Flow">'[7]Fin Stats'!$B$88:$M$88</definedName>
    <definedName name="Price_Earnings" localSheetId="4">'[7]Fin Stats'!$B$91:$M$91</definedName>
    <definedName name="Price_Earnings" localSheetId="10">'[7]Fin Stats'!$B$91:$M$91</definedName>
    <definedName name="Price_Earnings" localSheetId="6">'[7]Fin Stats'!$B$91:$M$91</definedName>
    <definedName name="Price_Earnings">'[7]Fin Stats'!$B$91:$M$91</definedName>
    <definedName name="_xlnm.Print_Area" localSheetId="9">Debt!$B$7:$J$109</definedName>
    <definedName name="_xlnm.Print_Area" localSheetId="4">Financial!$A$1:$DE$62</definedName>
    <definedName name="_xlnm.Print_Area" localSheetId="8">Parent!$A$2:$AR$72</definedName>
    <definedName name="_xlnm.Print_Area" localSheetId="5">PEG!$B$2:$BS$226</definedName>
    <definedName name="_xlnm.Print_Area" localSheetId="7">Power!$A$2:$AR$563</definedName>
    <definedName name="_xlnm.Print_Area" localSheetId="3">Valuation!$A$1:$CE$68</definedName>
    <definedName name="_xlnm.Print_Area">#REF!</definedName>
    <definedName name="_xlnm.Print_Titles" localSheetId="7">Power!$2:$5</definedName>
    <definedName name="_xlnm.Print_Titles">#REF!</definedName>
    <definedName name="PRODUCT" localSheetId="12">ModPubIndex!$A$6</definedName>
    <definedName name="ProjectName" localSheetId="2">{"Client Name or Project Name"}</definedName>
    <definedName name="ProjectName" localSheetId="9">{"Client Name or Project Name"}</definedName>
    <definedName name="ProjectName" localSheetId="4">{"Client Name or Project Name"}</definedName>
    <definedName name="ProjectName" localSheetId="10">{"Client Name or Project Name"}</definedName>
    <definedName name="ProjectName" localSheetId="6">{"Client Name or Project Name"}</definedName>
    <definedName name="ProjectName" localSheetId="3">{"Client Name or Project Name"}</definedName>
    <definedName name="ProjectName">{"Client Name or Project Name"}</definedName>
    <definedName name="ProjectName_1" localSheetId="2">{"Client Name or Project Name"}</definedName>
    <definedName name="ProjectName_1" localSheetId="4">{"Client Name or Project Name"}</definedName>
    <definedName name="ProjectName_1" localSheetId="10">{"Client Name or Project Name"}</definedName>
    <definedName name="ProjectName_1" localSheetId="6">{"Client Name or Project Name"}</definedName>
    <definedName name="ProjectName_1" localSheetId="3">{"Client Name or Project Name"}</definedName>
    <definedName name="ProjectName_1">{"Client Name or Project Name"}</definedName>
    <definedName name="PSYM" localSheetId="12">ModPubIndex!$A$4</definedName>
    <definedName name="PublishDate" localSheetId="11">IndexInformation!$B$2</definedName>
    <definedName name="Rate_Case_2004" localSheetId="4">'[7]Income Statement'!$K$1</definedName>
    <definedName name="Rate_Case_2004" localSheetId="10">'[7]Income Statement'!$K$1</definedName>
    <definedName name="Rate_Case_2004" localSheetId="6">'[7]Income Statement'!$K$1</definedName>
    <definedName name="Rate_Case_2004">'[7]Income Statement'!$K$1</definedName>
    <definedName name="Rate_Case_2005" localSheetId="4">'[7]Income Statement'!$K$2</definedName>
    <definedName name="Rate_Case_2005" localSheetId="10">'[7]Income Statement'!$K$2</definedName>
    <definedName name="Rate_Case_2005" localSheetId="6">'[7]Income Statement'!$K$2</definedName>
    <definedName name="Rate_Case_2005">'[7]Income Statement'!$K$2</definedName>
    <definedName name="Rating" localSheetId="11">IndexInformation!$B$9</definedName>
    <definedName name="RatingsDefined" localSheetId="1">ImportantDisclosures!$A$21</definedName>
    <definedName name="RatingsDefs" localSheetId="1">ImportantDisclosures!#REF!</definedName>
    <definedName name="RCF_Total_Debt" localSheetId="4">'[7]Fin Stats'!$B$79:$M$79</definedName>
    <definedName name="RCF_Total_Debt" localSheetId="10">'[7]Fin Stats'!$B$79:$M$79</definedName>
    <definedName name="RCF_Total_Debt" localSheetId="6">'[7]Fin Stats'!$B$79:$M$79</definedName>
    <definedName name="RCF_Total_Debt">'[7]Fin Stats'!$B$79:$M$79</definedName>
    <definedName name="RegACDisclosure" localSheetId="1">ImportantDisclosures!#REF!</definedName>
    <definedName name="RegPct" localSheetId="4">Financial!$D$11</definedName>
    <definedName name="Rem_Bus_ROIC" localSheetId="2">OFFSET([0]!XRange,11,0)</definedName>
    <definedName name="Rem_Bus_ROIC" localSheetId="9">OFFSET(Debt!XRange,11,0)</definedName>
    <definedName name="Rem_Bus_ROIC" localSheetId="4">OFFSET([0]!XRange,11,0)</definedName>
    <definedName name="Rem_Bus_ROIC" localSheetId="10">OFFSET([0]!XRange,11,0)</definedName>
    <definedName name="Rem_Bus_ROIC" localSheetId="6">OFFSET([0]!XRange,11,0)</definedName>
    <definedName name="Rem_Bus_ROIC" localSheetId="3">OFFSET(Valuation!XRange,11,0)</definedName>
    <definedName name="Rem_Bus_ROIC">OFFSET([0]!XRange,11,0)</definedName>
    <definedName name="ResearchTopic" localSheetId="11">IndexInformation!$B$4</definedName>
    <definedName name="Return_on_Assets" localSheetId="4">'[7]Fin Stats'!$B$29:$M$29</definedName>
    <definedName name="Return_on_Assets" localSheetId="10">'[7]Fin Stats'!$B$29:$M$29</definedName>
    <definedName name="Return_on_Assets" localSheetId="6">'[7]Fin Stats'!$B$29:$M$29</definedName>
    <definedName name="Return_on_Assets">'[7]Fin Stats'!$B$29:$M$29</definedName>
    <definedName name="Return_on_Equity" localSheetId="4">'[7]Fin Stats'!$B$30:$M$30</definedName>
    <definedName name="Return_on_Equity" localSheetId="10">'[7]Fin Stats'!$B$30:$M$30</definedName>
    <definedName name="Return_on_Equity" localSheetId="6">'[7]Fin Stats'!$B$30:$M$30</definedName>
    <definedName name="Return_on_Equity">'[7]Fin Stats'!$B$30:$M$30</definedName>
    <definedName name="Return_on_Invested_Capital" localSheetId="4">'[7]Fin Stats'!$B$31:$M$31</definedName>
    <definedName name="Return_on_Invested_Capital" localSheetId="10">'[7]Fin Stats'!$B$31:$M$31</definedName>
    <definedName name="Return_on_Invested_Capital" localSheetId="6">'[7]Fin Stats'!$B$31:$M$31</definedName>
    <definedName name="Return_on_Invested_Capital">'[7]Fin Stats'!$B$31:$M$31</definedName>
    <definedName name="Return_Relative_to_S_P_500" localSheetId="4">'[7]Fin Stats'!$B$133:$M$133</definedName>
    <definedName name="Return_Relative_to_S_P_500" localSheetId="10">'[7]Fin Stats'!$B$133:$M$133</definedName>
    <definedName name="Return_Relative_to_S_P_500" localSheetId="6">'[7]Fin Stats'!$B$133:$M$133</definedName>
    <definedName name="Return_Relative_to_S_P_500">'[7]Fin Stats'!$B$133:$M$133</definedName>
    <definedName name="Revenues" localSheetId="4">'[7]Fin Stats'!$B$99:$M$99</definedName>
    <definedName name="Revenues" localSheetId="10">'[7]Fin Stats'!$B$99:$M$99</definedName>
    <definedName name="Revenues" localSheetId="6">'[7]Fin Stats'!$B$99:$M$99</definedName>
    <definedName name="Revenues">'[7]Fin Stats'!$B$99:$M$99</definedName>
    <definedName name="RIC" localSheetId="11">IndexInformation!$B$21</definedName>
    <definedName name="SECSettlement" localSheetId="1">ImportantDisclosures!#REF!</definedName>
    <definedName name="SEDOL" localSheetId="11">IndexInformation!$B$22</definedName>
    <definedName name="Shareholder_Return" localSheetId="4">'[7]Fin Stats'!$B$32:$M$32</definedName>
    <definedName name="Shareholder_Return" localSheetId="10">'[7]Fin Stats'!$B$32:$M$32</definedName>
    <definedName name="Shareholder_Return" localSheetId="6">'[7]Fin Stats'!$B$32:$M$32</definedName>
    <definedName name="Shareholder_Return">'[7]Fin Stats'!$B$32:$M$32</definedName>
    <definedName name="SharePrice" localSheetId="4">'[5]Valuation Summary'!$BO$11</definedName>
    <definedName name="SharePrice" localSheetId="10">'[5]Valuation Summary'!$BO$11</definedName>
    <definedName name="SharePrice">#REF!</definedName>
    <definedName name="Shares_Outstanding" localSheetId="4">'[7]Fin Stats'!$B$54:$M$54</definedName>
    <definedName name="Shares_Outstanding" localSheetId="10">'[7]Fin Stats'!$B$54:$M$54</definedName>
    <definedName name="Shares_Outstanding" localSheetId="6">'[7]Fin Stats'!$B$54:$M$54</definedName>
    <definedName name="Shares_Outstanding">'[7]Fin Stats'!$B$54:$M$54</definedName>
    <definedName name="Short_term_debt" localSheetId="4">'[7]Fin Stats'!$B$35:$M$35</definedName>
    <definedName name="Short_term_debt" localSheetId="10">'[7]Fin Stats'!$B$35:$M$35</definedName>
    <definedName name="Short_term_debt" localSheetId="6">'[7]Fin Stats'!$B$35:$M$35</definedName>
    <definedName name="Short_term_debt">'[7]Fin Stats'!$B$35:$M$35</definedName>
    <definedName name="SO" localSheetId="4">Financial!$AH$30</definedName>
    <definedName name="SourceDefined" localSheetId="1">ImportantDisclosures!$A$19</definedName>
    <definedName name="SPWS_WBID">"AB974E08-D2D4-47A3-BC27-DEDF1C76035D"</definedName>
    <definedName name="StockRating" localSheetId="1">ImportantDisclosures!$A$11</definedName>
    <definedName name="SubjectCode" localSheetId="11">IndexInformation!$B$6</definedName>
    <definedName name="SubmitterUserId" localSheetId="10">[13]IndexInformation!$B$39</definedName>
    <definedName name="SubmitterUserId">IndexInformation!$B$39</definedName>
    <definedName name="Subs" localSheetId="4">Financial!$C$11</definedName>
    <definedName name="SUPPRESSED" localSheetId="12">ModPubIndex!$A$13</definedName>
    <definedName name="TargetPrice" localSheetId="1">ImportantDisclosures!$A$15</definedName>
    <definedName name="Tax" localSheetId="4">'[5]Valuation Summary'!$BO$8</definedName>
    <definedName name="Tax" localSheetId="10">'[5]Valuation Summary'!$BO$8</definedName>
    <definedName name="TemplateRegion" localSheetId="10">[13]IndexInformation!$B$36</definedName>
    <definedName name="TemplateRegion">IndexInformation!$B$36</definedName>
    <definedName name="Ticker" localSheetId="1">ImportantDisclosures!$A$10</definedName>
    <definedName name="ticker" localSheetId="3">Valuation!$N$2</definedName>
    <definedName name="TickerRegion">IndexInformation!$B$41</definedName>
    <definedName name="Tickers" localSheetId="11">IndexInformation!$B$19</definedName>
    <definedName name="Total_Bus_ROIC" localSheetId="2">OFFSET([0]!XRange,12,0)</definedName>
    <definedName name="Total_Bus_ROIC" localSheetId="9">OFFSET(Debt!XRange,12,0)</definedName>
    <definedName name="Total_Bus_ROIC" localSheetId="4">OFFSET([0]!XRange,12,0)</definedName>
    <definedName name="Total_Bus_ROIC" localSheetId="10">OFFSET([0]!XRange,12,0)</definedName>
    <definedName name="Total_Bus_ROIC" localSheetId="6">OFFSET([0]!XRange,12,0)</definedName>
    <definedName name="Total_Bus_ROIC" localSheetId="3">OFFSET(Valuation!XRange,12,0)</definedName>
    <definedName name="Total_Bus_ROIC">OFFSET([0]!XRange,12,0)</definedName>
    <definedName name="Total_Capital" localSheetId="4">'[7]Fin Stats'!$B$39:$M$39</definedName>
    <definedName name="Total_Capital" localSheetId="10">'[7]Fin Stats'!$B$39:$M$39</definedName>
    <definedName name="Total_Capital" localSheetId="6">'[7]Fin Stats'!$B$39:$M$39</definedName>
    <definedName name="Total_Capital">'[7]Fin Stats'!$B$39:$M$39</definedName>
    <definedName name="Total_Debt_EBITDA" localSheetId="4">'[7]Fin Stats'!$B$74:$M$74</definedName>
    <definedName name="Total_Debt_EBITDA" localSheetId="10">'[7]Fin Stats'!$B$74:$M$74</definedName>
    <definedName name="Total_Debt_EBITDA" localSheetId="6">'[7]Fin Stats'!$B$74:$M$74</definedName>
    <definedName name="Total_Debt_EBITDA">'[7]Fin Stats'!$B$74:$M$74</definedName>
    <definedName name="Total_Debt_Outstanding" localSheetId="4">'[7]Fin Stats'!$B$50:$M$50</definedName>
    <definedName name="Total_Debt_Outstanding" localSheetId="10">'[7]Fin Stats'!$B$50:$M$50</definedName>
    <definedName name="Total_Debt_Outstanding" localSheetId="6">'[7]Fin Stats'!$B$50:$M$50</definedName>
    <definedName name="Total_Debt_Outstanding">'[7]Fin Stats'!$B$50:$M$50</definedName>
    <definedName name="Total_Debt_to_Capital" localSheetId="4">'[7]Fin Stats'!$B$42:$M$42</definedName>
    <definedName name="Total_Debt_to_Capital" localSheetId="10">'[7]Fin Stats'!$B$42:$M$42</definedName>
    <definedName name="Total_Debt_to_Capital" localSheetId="6">'[7]Fin Stats'!$B$42:$M$42</definedName>
    <definedName name="Total_Debt_to_Capital">'[7]Fin Stats'!$B$42:$M$42</definedName>
    <definedName name="Total_Debt_Total_Market_Cap" localSheetId="4">'[7]Fin Stats'!$B$62:$M$62</definedName>
    <definedName name="Total_Debt_Total_Market_Cap" localSheetId="10">'[7]Fin Stats'!$B$62:$M$62</definedName>
    <definedName name="Total_Debt_Total_Market_Cap" localSheetId="6">'[7]Fin Stats'!$B$62:$M$62</definedName>
    <definedName name="Total_Debt_Total_Market_Cap">'[7]Fin Stats'!$B$62:$M$62</definedName>
    <definedName name="trc_XLS_DATASHEET_ProtectDate" localSheetId="2">36879.7503587963</definedName>
    <definedName name="trc_XLS_DATASHEET_ProtectDate" localSheetId="4">36879.7503587963</definedName>
    <definedName name="trc_XLS_DATASHEET_ProtectDate" localSheetId="10">36879.7503587963</definedName>
    <definedName name="trc_XLS_DATASHEET_ProtectDate" localSheetId="3">36879.7503587963</definedName>
    <definedName name="trc_XLS_DATASHEET_ProtectDate">36879.7503587963</definedName>
    <definedName name="trc_XLS_DATASHEET_ProtectDate_1">36879.7503587963</definedName>
    <definedName name="Update_This">[14]!Update_This</definedName>
    <definedName name="UpdateReason" localSheetId="11">IndexInformation!$B$17</definedName>
    <definedName name="Uplift" localSheetId="10">'Market Prices'!$D$4</definedName>
    <definedName name="USRegDisclosures" localSheetId="1">ImportantDisclosures!#REF!</definedName>
    <definedName name="UtilityEPS">Valuation!$BX$8</definedName>
    <definedName name="UtilityPE">Valuation!$BX$10</definedName>
    <definedName name="Version">"June 29, 2004"</definedName>
    <definedName name="WACC" localSheetId="2">OFFSET([0]!XRange,13,0)</definedName>
    <definedName name="WACC" localSheetId="9">OFFSET(Debt!XRange,13,0)</definedName>
    <definedName name="WACC" localSheetId="4">OFFSET([0]!XRange,13,0)</definedName>
    <definedName name="WACC" localSheetId="10">OFFSET([0]!XRange,13,0)</definedName>
    <definedName name="WACC" localSheetId="6">OFFSET([0]!XRange,13,0)</definedName>
    <definedName name="WACC" localSheetId="3">OFFSET(Valuation!XRange,13,0)</definedName>
    <definedName name="WACC">OFFSET([0]!XRange,13,0)</definedName>
    <definedName name="wrn.Earnings._.Model." localSheetId="4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localSheetId="1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localSheetId="6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xaxis">#N/A</definedName>
    <definedName name="Year_End_Market_Price" localSheetId="4">'[7]Fin Stats'!$B$55:$M$55</definedName>
    <definedName name="Year_End_Market_Price" localSheetId="10">'[7]Fin Stats'!$B$55:$M$55</definedName>
    <definedName name="Year_End_Market_Price" localSheetId="6">'[7]Fin Stats'!$B$55:$M$55</definedName>
    <definedName name="Year_End_Market_Price">'[7]Fin Stats'!$B$55:$M$55</definedName>
  </definedNames>
  <calcPr calcId="145621" calcMode="manual" iterate="1"/>
</workbook>
</file>

<file path=xl/calcChain.xml><?xml version="1.0" encoding="utf-8"?>
<calcChain xmlns="http://schemas.openxmlformats.org/spreadsheetml/2006/main">
  <c r="DD11" i="73" l="1"/>
  <c r="DD7" i="73"/>
  <c r="DE7" i="73" s="1"/>
  <c r="DF7" i="73" s="1"/>
  <c r="DG7" i="73" s="1"/>
  <c r="DH7" i="73" s="1"/>
  <c r="DI7" i="73" s="1"/>
  <c r="DJ7" i="73" s="1"/>
  <c r="DK7" i="73" s="1"/>
  <c r="DL7" i="73" s="1"/>
  <c r="DM7" i="73" s="1"/>
  <c r="DN7" i="73" s="1"/>
  <c r="DO7" i="73" s="1"/>
  <c r="DP7" i="73" s="1"/>
  <c r="DQ7" i="73" s="1"/>
  <c r="DR7" i="73" s="1"/>
  <c r="DS7" i="73" s="1"/>
  <c r="DT7" i="73" s="1"/>
  <c r="EC7" i="73" l="1"/>
  <c r="DV7" i="73"/>
  <c r="DZ7" i="73"/>
  <c r="ED7" i="73"/>
  <c r="DW7" i="73"/>
  <c r="EA7" i="73"/>
  <c r="EE7" i="73"/>
  <c r="DX7" i="73"/>
  <c r="EB7" i="73"/>
  <c r="DY7" i="73"/>
  <c r="DU7" i="73"/>
  <c r="CC221" i="15"/>
  <c r="CC201" i="15"/>
  <c r="AX201" i="15"/>
  <c r="AY201" i="15" s="1"/>
  <c r="AZ201" i="15" s="1"/>
  <c r="BA201" i="15" s="1"/>
  <c r="AS201" i="15"/>
  <c r="AT201" i="15" s="1"/>
  <c r="AU201" i="15" s="1"/>
  <c r="AV201" i="15" s="1"/>
  <c r="AN201" i="15"/>
  <c r="AO201" i="15" s="1"/>
  <c r="AP201" i="15" s="1"/>
  <c r="AQ201" i="15" s="1"/>
  <c r="BQ115" i="15"/>
  <c r="BX95" i="77"/>
  <c r="BY96" i="77"/>
  <c r="BX58" i="77"/>
  <c r="BX80" i="77"/>
  <c r="BW8" i="77"/>
  <c r="BQ93" i="15"/>
  <c r="BQ94" i="15"/>
  <c r="BP94" i="15" s="1"/>
  <c r="BQ95" i="15"/>
  <c r="BQ97" i="15"/>
  <c r="BB138" i="77"/>
  <c r="BA138" i="77"/>
  <c r="AZ138" i="77"/>
  <c r="AY138" i="77"/>
  <c r="BP138" i="77" s="1"/>
  <c r="BB137" i="77"/>
  <c r="BA137" i="77"/>
  <c r="AZ137" i="77"/>
  <c r="AY137" i="77"/>
  <c r="BP137" i="77" s="1"/>
  <c r="BB136" i="77"/>
  <c r="BA136" i="77"/>
  <c r="AZ136" i="77"/>
  <c r="AY136" i="77"/>
  <c r="BP136" i="77" s="1"/>
  <c r="BB135" i="77"/>
  <c r="BA135" i="77"/>
  <c r="AZ135" i="77"/>
  <c r="AY135" i="77"/>
  <c r="BP135" i="77" s="1"/>
  <c r="BB134" i="77"/>
  <c r="BP134" i="77"/>
  <c r="BA134" i="77"/>
  <c r="AZ134" i="77"/>
  <c r="AY134" i="77"/>
  <c r="BB133" i="77"/>
  <c r="BP133" i="77"/>
  <c r="BA133" i="77"/>
  <c r="AZ133" i="77"/>
  <c r="AY133" i="77"/>
  <c r="BB132" i="77"/>
  <c r="BP132" i="77"/>
  <c r="BA132" i="77"/>
  <c r="AZ132" i="77"/>
  <c r="AY132" i="77"/>
  <c r="BB131" i="77"/>
  <c r="BA131" i="77"/>
  <c r="AZ131" i="77"/>
  <c r="AY131" i="77"/>
  <c r="BB130" i="77"/>
  <c r="BA130" i="77"/>
  <c r="AZ130" i="77"/>
  <c r="AY130" i="77"/>
  <c r="BG128" i="77"/>
  <c r="BF128" i="77"/>
  <c r="BE128" i="77"/>
  <c r="BB128" i="77"/>
  <c r="BP128" i="77"/>
  <c r="BA128" i="77"/>
  <c r="AZ128" i="77"/>
  <c r="AY128" i="77"/>
  <c r="BG127" i="77"/>
  <c r="BF127" i="77"/>
  <c r="BE127" i="77"/>
  <c r="BB127" i="77"/>
  <c r="BP127" i="77"/>
  <c r="BA127" i="77"/>
  <c r="AZ127" i="77"/>
  <c r="AY127" i="77"/>
  <c r="BG126" i="77"/>
  <c r="BF126" i="77"/>
  <c r="BE126" i="77"/>
  <c r="BB126" i="77"/>
  <c r="BP126" i="77"/>
  <c r="BA126" i="77"/>
  <c r="AZ126" i="77"/>
  <c r="AY126" i="77"/>
  <c r="BG125" i="77"/>
  <c r="BF125" i="77"/>
  <c r="BE125" i="77"/>
  <c r="BB125" i="77"/>
  <c r="BP125" i="77"/>
  <c r="BA125" i="77"/>
  <c r="AZ125" i="77"/>
  <c r="AY125" i="77"/>
  <c r="BG124" i="77"/>
  <c r="BF124" i="77"/>
  <c r="BE124" i="77"/>
  <c r="BB124" i="77"/>
  <c r="BA124" i="77"/>
  <c r="BA129" i="77" s="1"/>
  <c r="AZ124" i="77"/>
  <c r="AZ129" i="77" s="1"/>
  <c r="AY124" i="77"/>
  <c r="AY129" i="77" s="1"/>
  <c r="BG123" i="77"/>
  <c r="BF123" i="77"/>
  <c r="BE123" i="77"/>
  <c r="BB123" i="77"/>
  <c r="BP96" i="15" s="1"/>
  <c r="BA123" i="77"/>
  <c r="BO96" i="15" s="1"/>
  <c r="AZ123" i="77"/>
  <c r="BN96" i="15" s="1"/>
  <c r="AY123" i="77"/>
  <c r="BM96" i="15" s="1"/>
  <c r="BG122" i="77"/>
  <c r="BF122" i="77"/>
  <c r="BE122" i="77"/>
  <c r="BB122" i="77"/>
  <c r="BA122" i="77"/>
  <c r="AZ122" i="77"/>
  <c r="BP122" i="77" s="1"/>
  <c r="AY122" i="77"/>
  <c r="BG121" i="77"/>
  <c r="BF121" i="77"/>
  <c r="BE121" i="77"/>
  <c r="BB121" i="77"/>
  <c r="BA121" i="77"/>
  <c r="AZ121" i="77"/>
  <c r="BP121" i="77" s="1"/>
  <c r="AY121" i="77"/>
  <c r="BG120" i="77"/>
  <c r="BF120" i="77"/>
  <c r="BE120" i="77"/>
  <c r="BB120" i="77"/>
  <c r="BA120" i="77"/>
  <c r="AZ120" i="77"/>
  <c r="BP120" i="77" s="1"/>
  <c r="AY120" i="77"/>
  <c r="BG119" i="77"/>
  <c r="BF119" i="77"/>
  <c r="BE119" i="77"/>
  <c r="BB119" i="77"/>
  <c r="BA119" i="77"/>
  <c r="AZ119" i="77"/>
  <c r="AY119" i="77"/>
  <c r="BP119" i="77" s="1"/>
  <c r="BG118" i="77"/>
  <c r="BF118" i="77"/>
  <c r="BE118" i="77"/>
  <c r="BB118" i="77"/>
  <c r="BA118" i="77"/>
  <c r="AZ118" i="77"/>
  <c r="AY118" i="77"/>
  <c r="BG117" i="77"/>
  <c r="BF117" i="77"/>
  <c r="BE117" i="77"/>
  <c r="BB117" i="77"/>
  <c r="BA117" i="77"/>
  <c r="AZ117" i="77"/>
  <c r="AY117" i="77"/>
  <c r="BP117" i="77" s="1"/>
  <c r="BG116" i="77"/>
  <c r="BF116" i="77"/>
  <c r="BE116" i="77"/>
  <c r="BB116" i="77"/>
  <c r="BA116" i="77"/>
  <c r="AZ116" i="77"/>
  <c r="AY116" i="77"/>
  <c r="BG115" i="77"/>
  <c r="BF115" i="77"/>
  <c r="BE115" i="77"/>
  <c r="BB115" i="77"/>
  <c r="BA115" i="77"/>
  <c r="AZ115" i="77"/>
  <c r="AY115" i="77"/>
  <c r="BP115" i="77"/>
  <c r="BG114" i="77"/>
  <c r="BF114" i="77"/>
  <c r="BE114" i="77"/>
  <c r="BB114" i="77"/>
  <c r="BA114" i="77"/>
  <c r="AZ114" i="77"/>
  <c r="AY114" i="77"/>
  <c r="BP114" i="77"/>
  <c r="BB113" i="77"/>
  <c r="BA113" i="77"/>
  <c r="AZ113" i="77"/>
  <c r="AY113" i="77"/>
  <c r="BB112" i="77"/>
  <c r="BA112" i="77"/>
  <c r="AZ112" i="77"/>
  <c r="AY112" i="77"/>
  <c r="BB111" i="77"/>
  <c r="BA111" i="77"/>
  <c r="AZ111" i="77"/>
  <c r="AY111" i="77"/>
  <c r="BP111" i="77" s="1"/>
  <c r="BB110" i="77"/>
  <c r="BA110" i="77"/>
  <c r="BP110" i="77" s="1"/>
  <c r="AZ110" i="77"/>
  <c r="AY110" i="77"/>
  <c r="BB109" i="77"/>
  <c r="BA109" i="77"/>
  <c r="AZ109" i="77"/>
  <c r="AY109" i="77"/>
  <c r="BB108" i="77"/>
  <c r="BA108" i="77"/>
  <c r="AZ108" i="77"/>
  <c r="AY108" i="77"/>
  <c r="BB107" i="77"/>
  <c r="BA107" i="77"/>
  <c r="AZ107" i="77"/>
  <c r="BP107" i="77" s="1"/>
  <c r="AY107" i="77"/>
  <c r="BB106" i="77"/>
  <c r="BA106" i="77"/>
  <c r="AZ106" i="77"/>
  <c r="AY106" i="77"/>
  <c r="BP106" i="77" s="1"/>
  <c r="CG105" i="77"/>
  <c r="CH105" i="77"/>
  <c r="CI105" i="77"/>
  <c r="CJ105" i="77" s="1"/>
  <c r="CK105" i="77" s="1"/>
  <c r="CL105" i="77" s="1"/>
  <c r="CM105" i="77" s="1"/>
  <c r="CN105" i="77" s="1"/>
  <c r="CO105" i="77" s="1"/>
  <c r="CP105" i="77" s="1"/>
  <c r="CQ105" i="77" s="1"/>
  <c r="CR105" i="77" s="1"/>
  <c r="CS105" i="77" s="1"/>
  <c r="CT105" i="77" s="1"/>
  <c r="CU105" i="77" s="1"/>
  <c r="CV105" i="77" s="1"/>
  <c r="CE105" i="77"/>
  <c r="CD105" i="77"/>
  <c r="CC105" i="77"/>
  <c r="CB105" i="77" s="1"/>
  <c r="CA105" i="77" s="1"/>
  <c r="BZ105" i="77" s="1"/>
  <c r="BY105" i="77" s="1"/>
  <c r="BX105" i="77" s="1"/>
  <c r="BB105" i="77"/>
  <c r="BA105" i="77"/>
  <c r="AZ105" i="77"/>
  <c r="AY105" i="77"/>
  <c r="BP105" i="77" s="1"/>
  <c r="BB99" i="77"/>
  <c r="BA99" i="77"/>
  <c r="AZ99" i="77"/>
  <c r="AY99" i="77"/>
  <c r="BP99" i="77"/>
  <c r="CG98" i="77"/>
  <c r="CH98" i="77" s="1"/>
  <c r="CI98" i="77" s="1"/>
  <c r="CJ98" i="77" s="1"/>
  <c r="CK98" i="77" s="1"/>
  <c r="CL98" i="77" s="1"/>
  <c r="CM98" i="77" s="1"/>
  <c r="CN98" i="77" s="1"/>
  <c r="CO98" i="77" s="1"/>
  <c r="CP98" i="77" s="1"/>
  <c r="CQ98" i="77" s="1"/>
  <c r="CR98" i="77" s="1"/>
  <c r="CS98" i="77" s="1"/>
  <c r="CT98" i="77" s="1"/>
  <c r="CU98" i="77" s="1"/>
  <c r="CV98" i="77" s="1"/>
  <c r="CE98" i="77"/>
  <c r="CD98" i="77" s="1"/>
  <c r="CC98" i="77" s="1"/>
  <c r="CB98" i="77" s="1"/>
  <c r="CA98" i="77" s="1"/>
  <c r="BZ98" i="77" s="1"/>
  <c r="BY98" i="77" s="1"/>
  <c r="BX98" i="77" s="1"/>
  <c r="BB98" i="77"/>
  <c r="BA98" i="77"/>
  <c r="AZ98" i="77"/>
  <c r="AY98" i="77"/>
  <c r="BP98" i="77"/>
  <c r="BB97" i="77"/>
  <c r="BP84" i="15" s="1"/>
  <c r="BA97" i="77"/>
  <c r="BO84" i="15" s="1"/>
  <c r="AZ97" i="77"/>
  <c r="BN84" i="15" s="1"/>
  <c r="BQ84" i="15" s="1"/>
  <c r="AY97" i="77"/>
  <c r="BM84" i="15" s="1"/>
  <c r="BB96" i="77"/>
  <c r="BP81" i="15" s="1"/>
  <c r="BA96" i="77"/>
  <c r="BP96" i="77" s="1"/>
  <c r="AZ96" i="77"/>
  <c r="BN81" i="15" s="1"/>
  <c r="AY96" i="77"/>
  <c r="BM81" i="15" s="1"/>
  <c r="BY97" i="77"/>
  <c r="CO106" i="77" s="1"/>
  <c r="BB95" i="77"/>
  <c r="BA95" i="77"/>
  <c r="AZ95" i="77"/>
  <c r="AY95" i="77"/>
  <c r="BB94" i="77"/>
  <c r="BA94" i="77"/>
  <c r="AZ94" i="77"/>
  <c r="AY94" i="77"/>
  <c r="BB93" i="77"/>
  <c r="BA93" i="77"/>
  <c r="AZ93" i="77"/>
  <c r="AY93" i="77"/>
  <c r="BP93" i="77" s="1"/>
  <c r="BB92" i="77"/>
  <c r="BA92" i="77"/>
  <c r="AZ92" i="77"/>
  <c r="AY92" i="77"/>
  <c r="BP92" i="77" s="1"/>
  <c r="BB91" i="77"/>
  <c r="BA91" i="77"/>
  <c r="AZ91" i="77"/>
  <c r="AY91" i="77"/>
  <c r="BP91" i="77" s="1"/>
  <c r="BB90" i="77"/>
  <c r="BA90" i="77"/>
  <c r="AZ90" i="77"/>
  <c r="AY90" i="77"/>
  <c r="BB89" i="77"/>
  <c r="BA89" i="77"/>
  <c r="AZ89" i="77"/>
  <c r="AY89" i="77"/>
  <c r="BP89" i="77"/>
  <c r="BW76" i="77"/>
  <c r="BB88" i="77"/>
  <c r="BA88" i="77"/>
  <c r="AZ88" i="77"/>
  <c r="AY88" i="77"/>
  <c r="BP88" i="77" s="1"/>
  <c r="BW75" i="77" s="1"/>
  <c r="BB87" i="77"/>
  <c r="BA87" i="77"/>
  <c r="AZ87" i="77"/>
  <c r="AY87" i="77"/>
  <c r="BB81" i="77"/>
  <c r="BA81" i="77"/>
  <c r="AZ81" i="77"/>
  <c r="AY81" i="77"/>
  <c r="BP81" i="77"/>
  <c r="BV80" i="77"/>
  <c r="BB80" i="77"/>
  <c r="BA80" i="77"/>
  <c r="AZ80" i="77"/>
  <c r="AY80" i="77"/>
  <c r="BP80" i="77"/>
  <c r="BV79" i="77"/>
  <c r="BB79" i="77"/>
  <c r="BP83" i="15" s="1"/>
  <c r="BA79" i="77"/>
  <c r="BO83" i="15" s="1"/>
  <c r="AZ79" i="77"/>
  <c r="BN83" i="15" s="1"/>
  <c r="AY79" i="77"/>
  <c r="BM83" i="15" s="1"/>
  <c r="BP79" i="77"/>
  <c r="BV78" i="77"/>
  <c r="BB78" i="77"/>
  <c r="BP80" i="15" s="1"/>
  <c r="BA78" i="77"/>
  <c r="BO80" i="15" s="1"/>
  <c r="AZ78" i="77"/>
  <c r="BN80" i="15" s="1"/>
  <c r="AY78" i="77"/>
  <c r="BM80" i="15" s="1"/>
  <c r="BP78" i="77"/>
  <c r="BB77" i="77"/>
  <c r="BA77" i="77"/>
  <c r="AZ77" i="77"/>
  <c r="AY77" i="77"/>
  <c r="BV76" i="77"/>
  <c r="BB76" i="77"/>
  <c r="BA76" i="77"/>
  <c r="AZ76" i="77"/>
  <c r="AY76" i="77"/>
  <c r="BV75" i="77"/>
  <c r="BB75" i="77"/>
  <c r="BA75" i="77"/>
  <c r="AZ75" i="77"/>
  <c r="AY75" i="77"/>
  <c r="BV74" i="77"/>
  <c r="BB74" i="77"/>
  <c r="BA74" i="77"/>
  <c r="AZ74" i="77"/>
  <c r="AY74" i="77"/>
  <c r="BP74" i="77"/>
  <c r="BV73" i="77"/>
  <c r="BB73" i="77"/>
  <c r="BP101" i="15" s="1"/>
  <c r="BA73" i="77"/>
  <c r="BO101" i="15" s="1"/>
  <c r="AZ73" i="77"/>
  <c r="BN101" i="15" s="1"/>
  <c r="BN105" i="15" s="1"/>
  <c r="AY73" i="77"/>
  <c r="BM101" i="15" s="1"/>
  <c r="BP73" i="77"/>
  <c r="BV72" i="77"/>
  <c r="BB72" i="77"/>
  <c r="BA72" i="77"/>
  <c r="AZ72" i="77"/>
  <c r="AY72" i="77"/>
  <c r="BP72" i="77"/>
  <c r="BV71" i="77"/>
  <c r="BB71" i="77"/>
  <c r="BA71" i="77"/>
  <c r="AZ71" i="77"/>
  <c r="AY71" i="77"/>
  <c r="BV70" i="77"/>
  <c r="BB70" i="77"/>
  <c r="BA70" i="77"/>
  <c r="AZ70" i="77"/>
  <c r="AY70" i="77"/>
  <c r="BV69" i="77"/>
  <c r="BB69" i="77"/>
  <c r="BA69" i="77"/>
  <c r="AZ69" i="77"/>
  <c r="AY69" i="77"/>
  <c r="BB68" i="77"/>
  <c r="BA68" i="77"/>
  <c r="AZ68" i="77"/>
  <c r="AY68" i="77"/>
  <c r="BP68" i="77"/>
  <c r="BB67" i="77"/>
  <c r="BA67" i="77"/>
  <c r="AZ67" i="77"/>
  <c r="AY67" i="77"/>
  <c r="BP67" i="77"/>
  <c r="BB66" i="77"/>
  <c r="BA66" i="77"/>
  <c r="AZ66" i="77"/>
  <c r="AY66" i="77"/>
  <c r="BP66" i="77"/>
  <c r="BB65" i="77"/>
  <c r="BA65" i="77"/>
  <c r="AZ65" i="77"/>
  <c r="AY65" i="77"/>
  <c r="BB64" i="77"/>
  <c r="BA64" i="77"/>
  <c r="AZ64" i="77"/>
  <c r="AY64" i="77"/>
  <c r="BP64" i="77"/>
  <c r="BB63" i="77"/>
  <c r="BA63" i="77"/>
  <c r="AZ63" i="77"/>
  <c r="AY63" i="77"/>
  <c r="BP63" i="77"/>
  <c r="BB62" i="77"/>
  <c r="BA62" i="77"/>
  <c r="AZ62" i="77"/>
  <c r="AY62" i="77"/>
  <c r="BP62" i="77" s="1"/>
  <c r="BB61" i="77"/>
  <c r="BA61" i="77"/>
  <c r="AZ61" i="77"/>
  <c r="AY61" i="77"/>
  <c r="BP61" i="77"/>
  <c r="BB60" i="77"/>
  <c r="BA60" i="77"/>
  <c r="AZ60" i="77"/>
  <c r="AY60" i="77"/>
  <c r="BP60" i="77"/>
  <c r="CZ58" i="77"/>
  <c r="CY58" i="77"/>
  <c r="CX58" i="77"/>
  <c r="CW58" i="77"/>
  <c r="CV58" i="77"/>
  <c r="CU58" i="77"/>
  <c r="CT58" i="77"/>
  <c r="CS58" i="77"/>
  <c r="CR58" i="77"/>
  <c r="CQ58" i="77"/>
  <c r="CP58" i="77"/>
  <c r="CO58" i="77"/>
  <c r="CN58" i="77"/>
  <c r="CM58" i="77"/>
  <c r="CL58" i="77"/>
  <c r="CK58" i="77"/>
  <c r="CJ58" i="77"/>
  <c r="CI58" i="77"/>
  <c r="CH58" i="77"/>
  <c r="CG58" i="77"/>
  <c r="CF58" i="77"/>
  <c r="CE58" i="77"/>
  <c r="CD58" i="77"/>
  <c r="CC58" i="77"/>
  <c r="CB58" i="77"/>
  <c r="CZ57" i="77"/>
  <c r="CY57" i="77"/>
  <c r="CX57" i="77"/>
  <c r="CW57" i="77"/>
  <c r="CV57" i="77"/>
  <c r="CU57" i="77"/>
  <c r="CT57" i="77"/>
  <c r="CS57" i="77"/>
  <c r="CR57" i="77"/>
  <c r="CQ57" i="77"/>
  <c r="CP57" i="77"/>
  <c r="CO57" i="77"/>
  <c r="CN57" i="77"/>
  <c r="CM57" i="77"/>
  <c r="CL57" i="77"/>
  <c r="CK57" i="77"/>
  <c r="CJ57" i="77"/>
  <c r="CI57" i="77"/>
  <c r="CH57" i="77"/>
  <c r="CG57" i="77"/>
  <c r="CF57" i="77"/>
  <c r="CE57" i="77"/>
  <c r="CD57" i="77"/>
  <c r="CC57" i="77"/>
  <c r="CB57" i="77"/>
  <c r="CZ56" i="77"/>
  <c r="CY56" i="77"/>
  <c r="CX56" i="77"/>
  <c r="CW56" i="77"/>
  <c r="CV56" i="77"/>
  <c r="CU56" i="77"/>
  <c r="CT56" i="77"/>
  <c r="CS56" i="77"/>
  <c r="CR56" i="77"/>
  <c r="CQ56" i="77"/>
  <c r="CP56" i="77"/>
  <c r="CO56" i="77"/>
  <c r="CN56" i="77"/>
  <c r="CM56" i="77"/>
  <c r="CL56" i="77"/>
  <c r="CK56" i="77"/>
  <c r="CJ56" i="77"/>
  <c r="CI56" i="77"/>
  <c r="CH56" i="77"/>
  <c r="CG56" i="77"/>
  <c r="CF56" i="77"/>
  <c r="CE56" i="77"/>
  <c r="CD56" i="77"/>
  <c r="CC56" i="77"/>
  <c r="CB56" i="77"/>
  <c r="BB56" i="77"/>
  <c r="BA56" i="77"/>
  <c r="AZ56" i="77"/>
  <c r="AY56" i="77"/>
  <c r="BP56" i="77"/>
  <c r="CZ55" i="77"/>
  <c r="CY55" i="77"/>
  <c r="CX55" i="77"/>
  <c r="CW55" i="77"/>
  <c r="CV55" i="77"/>
  <c r="CU55" i="77"/>
  <c r="CT55" i="77"/>
  <c r="CS55" i="77"/>
  <c r="CR55" i="77"/>
  <c r="CQ55" i="77"/>
  <c r="CP55" i="77"/>
  <c r="CO55" i="77"/>
  <c r="CN55" i="77"/>
  <c r="CM55" i="77"/>
  <c r="CL55" i="77"/>
  <c r="CK55" i="77"/>
  <c r="CJ55" i="77"/>
  <c r="CI55" i="77"/>
  <c r="CH55" i="77"/>
  <c r="CG55" i="77"/>
  <c r="CF55" i="77"/>
  <c r="CE55" i="77"/>
  <c r="CD55" i="77"/>
  <c r="CC55" i="77"/>
  <c r="CB55" i="77"/>
  <c r="BB55" i="77"/>
  <c r="BP56" i="15" s="1"/>
  <c r="BA55" i="77"/>
  <c r="BO56" i="15" s="1"/>
  <c r="AZ55" i="77"/>
  <c r="BN56" i="15" s="1"/>
  <c r="AY55" i="77"/>
  <c r="BM56" i="15" s="1"/>
  <c r="BQ56" i="15" s="1"/>
  <c r="CZ54" i="77"/>
  <c r="CY54" i="77"/>
  <c r="CX54" i="77"/>
  <c r="CW54" i="77"/>
  <c r="CV54" i="77"/>
  <c r="CU54" i="77"/>
  <c r="CT54" i="77"/>
  <c r="CS54" i="77"/>
  <c r="CR54" i="77"/>
  <c r="CQ54" i="77"/>
  <c r="CP54" i="77"/>
  <c r="CO54" i="77"/>
  <c r="CN54" i="77"/>
  <c r="CM54" i="77"/>
  <c r="CL54" i="77"/>
  <c r="CK54" i="77"/>
  <c r="CJ54" i="77"/>
  <c r="CI54" i="77"/>
  <c r="CH54" i="77"/>
  <c r="CG54" i="77"/>
  <c r="CF54" i="77"/>
  <c r="CE54" i="77"/>
  <c r="CD54" i="77"/>
  <c r="CC54" i="77"/>
  <c r="CB54" i="77"/>
  <c r="BB54" i="77"/>
  <c r="BP54" i="15" s="1"/>
  <c r="BA54" i="77"/>
  <c r="BO54" i="15" s="1"/>
  <c r="AZ54" i="77"/>
  <c r="BN54" i="15" s="1"/>
  <c r="AY54" i="77"/>
  <c r="BM54" i="15" s="1"/>
  <c r="CK53" i="77"/>
  <c r="CL53" i="77" s="1"/>
  <c r="CM53" i="77" s="1"/>
  <c r="CN53" i="77" s="1"/>
  <c r="CO53" i="77" s="1"/>
  <c r="CP53" i="77" s="1"/>
  <c r="CQ53" i="77" s="1"/>
  <c r="CR53" i="77" s="1"/>
  <c r="CS53" i="77" s="1"/>
  <c r="CT53" i="77" s="1"/>
  <c r="CU53" i="77" s="1"/>
  <c r="CV53" i="77" s="1"/>
  <c r="CW53" i="77" s="1"/>
  <c r="CX53" i="77" s="1"/>
  <c r="CY53" i="77" s="1"/>
  <c r="CZ53" i="77" s="1"/>
  <c r="CI53" i="77"/>
  <c r="CH53" i="77"/>
  <c r="CG53" i="77" s="1"/>
  <c r="CF53" i="77" s="1"/>
  <c r="CE53" i="77" s="1"/>
  <c r="CD53" i="77" s="1"/>
  <c r="CC53" i="77" s="1"/>
  <c r="CB53" i="77" s="1"/>
  <c r="BB53" i="77"/>
  <c r="BP53" i="15" s="1"/>
  <c r="BA53" i="77"/>
  <c r="BO53" i="15" s="1"/>
  <c r="AZ53" i="77"/>
  <c r="BN53" i="15" s="1"/>
  <c r="AY53" i="77"/>
  <c r="BM53" i="15" s="1"/>
  <c r="BP53" i="77"/>
  <c r="BB52" i="77"/>
  <c r="BA52" i="77"/>
  <c r="AZ52" i="77"/>
  <c r="AY52" i="77"/>
  <c r="BB51" i="77"/>
  <c r="BB50" i="77"/>
  <c r="BA50" i="77"/>
  <c r="AZ50" i="77"/>
  <c r="AY50" i="77"/>
  <c r="BB49" i="77"/>
  <c r="BA49" i="77"/>
  <c r="AZ49" i="77"/>
  <c r="AY49" i="77"/>
  <c r="BP49" i="77"/>
  <c r="BB48" i="77"/>
  <c r="BA48" i="77"/>
  <c r="AZ48" i="77"/>
  <c r="AY48" i="77"/>
  <c r="BP48" i="77"/>
  <c r="BB47" i="77"/>
  <c r="BA47" i="77"/>
  <c r="AZ47" i="77"/>
  <c r="AY47" i="77"/>
  <c r="BP47" i="77" s="1"/>
  <c r="BB46" i="77"/>
  <c r="BA46" i="77"/>
  <c r="AZ46" i="77"/>
  <c r="AY46" i="77"/>
  <c r="BP46" i="77"/>
  <c r="CK45" i="77"/>
  <c r="CL45" i="77" s="1"/>
  <c r="CM45" i="77" s="1"/>
  <c r="CN45" i="77" s="1"/>
  <c r="CO45" i="77" s="1"/>
  <c r="CP45" i="77" s="1"/>
  <c r="CQ45" i="77" s="1"/>
  <c r="CR45" i="77" s="1"/>
  <c r="CS45" i="77" s="1"/>
  <c r="CT45" i="77" s="1"/>
  <c r="CU45" i="77" s="1"/>
  <c r="CV45" i="77" s="1"/>
  <c r="CW45" i="77" s="1"/>
  <c r="CX45" i="77" s="1"/>
  <c r="CY45" i="77" s="1"/>
  <c r="CZ45" i="77" s="1"/>
  <c r="CI45" i="77"/>
  <c r="CH45" i="77" s="1"/>
  <c r="CG45" i="77" s="1"/>
  <c r="CF45" i="77" s="1"/>
  <c r="CE45" i="77" s="1"/>
  <c r="CD45" i="77" s="1"/>
  <c r="CC45" i="77" s="1"/>
  <c r="CB45" i="77" s="1"/>
  <c r="BB45" i="77"/>
  <c r="BA45" i="77"/>
  <c r="AZ45" i="77"/>
  <c r="AY45" i="77"/>
  <c r="BP45" i="77" s="1"/>
  <c r="BB44" i="77"/>
  <c r="BA44" i="77"/>
  <c r="AZ44" i="77"/>
  <c r="AY44" i="77"/>
  <c r="BP44" i="77"/>
  <c r="BB43" i="77"/>
  <c r="BA43" i="77"/>
  <c r="AZ43" i="77"/>
  <c r="AY43" i="77"/>
  <c r="BP43" i="77"/>
  <c r="BB42" i="77"/>
  <c r="BA42" i="77"/>
  <c r="AZ42" i="77"/>
  <c r="AY42" i="77"/>
  <c r="BB41" i="77"/>
  <c r="BA41" i="77"/>
  <c r="AZ41" i="77"/>
  <c r="AY41" i="77"/>
  <c r="BP41" i="77"/>
  <c r="BB40" i="77"/>
  <c r="BA40" i="77"/>
  <c r="AZ40" i="77"/>
  <c r="AY40" i="77"/>
  <c r="BP40" i="77" s="1"/>
  <c r="BB39" i="77"/>
  <c r="BA39" i="77"/>
  <c r="AZ39" i="77"/>
  <c r="AY39" i="77"/>
  <c r="BP39" i="77"/>
  <c r="BB38" i="77"/>
  <c r="BA38" i="77"/>
  <c r="AZ38" i="77"/>
  <c r="AY38" i="77"/>
  <c r="BP38" i="77" s="1"/>
  <c r="BB37" i="77"/>
  <c r="BA37" i="77"/>
  <c r="AZ37" i="77"/>
  <c r="AY37" i="77"/>
  <c r="BP37" i="77" s="1"/>
  <c r="BB36" i="77"/>
  <c r="BA36" i="77"/>
  <c r="AZ36" i="77"/>
  <c r="AY36" i="77"/>
  <c r="BP36" i="77" s="1"/>
  <c r="BB35" i="77"/>
  <c r="BA35" i="77"/>
  <c r="AZ35" i="77"/>
  <c r="AY35" i="77"/>
  <c r="BP35" i="77" s="1"/>
  <c r="BB34" i="77"/>
  <c r="BA34" i="77"/>
  <c r="AZ34" i="77"/>
  <c r="AY34" i="77"/>
  <c r="BP34" i="77" s="1"/>
  <c r="BB33" i="77"/>
  <c r="BA33" i="77"/>
  <c r="AZ33" i="77"/>
  <c r="AY33" i="77"/>
  <c r="BB32" i="77"/>
  <c r="BA32" i="77"/>
  <c r="AZ32" i="77"/>
  <c r="AY32" i="77"/>
  <c r="BB31" i="77"/>
  <c r="BA31" i="77"/>
  <c r="AZ31" i="77"/>
  <c r="AY31" i="77"/>
  <c r="BP31" i="77"/>
  <c r="BB30" i="77"/>
  <c r="BA30" i="77"/>
  <c r="AZ30" i="77"/>
  <c r="AY30" i="77"/>
  <c r="BP30" i="77"/>
  <c r="BB29" i="77"/>
  <c r="BA29" i="77"/>
  <c r="AZ29" i="77"/>
  <c r="AY29" i="77"/>
  <c r="BB28" i="77"/>
  <c r="BA28" i="77"/>
  <c r="AZ28" i="77"/>
  <c r="AY28" i="77"/>
  <c r="BB27" i="77"/>
  <c r="BA27" i="77"/>
  <c r="AZ27" i="77"/>
  <c r="AY27" i="77"/>
  <c r="BP27" i="77" s="1"/>
  <c r="BB26" i="77"/>
  <c r="BA26" i="77"/>
  <c r="AZ26" i="77"/>
  <c r="AY26" i="77"/>
  <c r="BP26" i="77" s="1"/>
  <c r="BB25" i="77"/>
  <c r="BA25" i="77"/>
  <c r="AZ25" i="77"/>
  <c r="AY25" i="77"/>
  <c r="BP25" i="77" s="1"/>
  <c r="BB19" i="77"/>
  <c r="BA19" i="77"/>
  <c r="AZ19" i="77"/>
  <c r="AY19" i="77"/>
  <c r="BB18" i="77"/>
  <c r="BA18" i="77"/>
  <c r="AZ18" i="77"/>
  <c r="AY18" i="77"/>
  <c r="BP18" i="77"/>
  <c r="BB17" i="77"/>
  <c r="BA17" i="77"/>
  <c r="AZ17" i="77"/>
  <c r="AY17" i="77"/>
  <c r="BP17" i="77" s="1"/>
  <c r="BB16" i="77"/>
  <c r="BA16" i="77"/>
  <c r="AZ16" i="77"/>
  <c r="AY16" i="77"/>
  <c r="BP16" i="77" s="1"/>
  <c r="BB15" i="77"/>
  <c r="BA15" i="77"/>
  <c r="AZ15" i="77"/>
  <c r="AY15" i="77"/>
  <c r="BB14" i="77"/>
  <c r="BA14" i="77"/>
  <c r="AZ14" i="77"/>
  <c r="AY14" i="77"/>
  <c r="BB13" i="77"/>
  <c r="BA13" i="77"/>
  <c r="AZ13" i="77"/>
  <c r="AY13" i="77"/>
  <c r="BB12" i="77"/>
  <c r="BA12" i="77"/>
  <c r="AZ12" i="77"/>
  <c r="AY12" i="77"/>
  <c r="BP12" i="77"/>
  <c r="BB11" i="77"/>
  <c r="BP104" i="15" s="1"/>
  <c r="BA11" i="77"/>
  <c r="BO104" i="15" s="1"/>
  <c r="AZ11" i="77"/>
  <c r="BN104" i="15" s="1"/>
  <c r="BQ104" i="15" s="1"/>
  <c r="AY11" i="77"/>
  <c r="BM104" i="15" s="1"/>
  <c r="BP11" i="77"/>
  <c r="BB10" i="77"/>
  <c r="BA10" i="77"/>
  <c r="AZ10" i="77"/>
  <c r="AY10" i="77"/>
  <c r="BP10" i="77"/>
  <c r="BB9" i="77"/>
  <c r="BP100" i="15" s="1"/>
  <c r="BA9" i="77"/>
  <c r="BO100" i="15" s="1"/>
  <c r="AZ9" i="77"/>
  <c r="BN100" i="15" s="1"/>
  <c r="AY9" i="77"/>
  <c r="BM100" i="15" s="1"/>
  <c r="BQ100" i="15" s="1"/>
  <c r="BB8" i="77"/>
  <c r="BA8" i="77"/>
  <c r="AZ8" i="77"/>
  <c r="AY8" i="77"/>
  <c r="BP8" i="77" s="1"/>
  <c r="BB7" i="77"/>
  <c r="BA7" i="77"/>
  <c r="AZ7" i="77"/>
  <c r="AY7" i="77"/>
  <c r="BB6" i="77"/>
  <c r="BA6" i="77"/>
  <c r="AZ6" i="77"/>
  <c r="AY6" i="77"/>
  <c r="BG4" i="77"/>
  <c r="BH4" i="77" s="1"/>
  <c r="BI4" i="77" s="1"/>
  <c r="BJ4" i="77" s="1"/>
  <c r="BK4" i="77" s="1"/>
  <c r="BL4" i="77" s="1"/>
  <c r="BM4" i="77" s="1"/>
  <c r="BN4" i="77" s="1"/>
  <c r="BO4" i="77" s="1"/>
  <c r="BP4" i="77" s="1"/>
  <c r="BQ320" i="15"/>
  <c r="BP320" i="15" s="1"/>
  <c r="BO320" i="15" s="1"/>
  <c r="BN320" i="15" s="1"/>
  <c r="BM320" i="15" s="1"/>
  <c r="BL320" i="15"/>
  <c r="BM247" i="15"/>
  <c r="BN247" i="15" s="1"/>
  <c r="BO247" i="15" s="1"/>
  <c r="BP247" i="15" s="1"/>
  <c r="BQ212" i="15"/>
  <c r="BP212" i="15" s="1"/>
  <c r="BO212" i="15"/>
  <c r="BN212" i="15"/>
  <c r="BM212" i="15"/>
  <c r="BM206" i="15"/>
  <c r="BN206" i="15" s="1"/>
  <c r="BO206" i="15" s="1"/>
  <c r="BQ204" i="15"/>
  <c r="BP204" i="15" s="1"/>
  <c r="BO204" i="15"/>
  <c r="BN204" i="15"/>
  <c r="BM204" i="15"/>
  <c r="BL204" i="15"/>
  <c r="BQ203" i="15"/>
  <c r="BO203" i="15" s="1"/>
  <c r="BL203" i="15"/>
  <c r="BQ193" i="15"/>
  <c r="BP193" i="15"/>
  <c r="BO193" i="15"/>
  <c r="BN193" i="15"/>
  <c r="BM193" i="15"/>
  <c r="BL193" i="15"/>
  <c r="BQ151" i="15"/>
  <c r="BL151" i="15"/>
  <c r="BQ150" i="15"/>
  <c r="BL150" i="15"/>
  <c r="BQ149" i="15"/>
  <c r="BL149" i="15"/>
  <c r="BP115" i="15"/>
  <c r="BP105" i="15"/>
  <c r="BP106" i="15"/>
  <c r="BO105" i="15"/>
  <c r="BO106" i="15"/>
  <c r="BM105" i="15"/>
  <c r="BP97" i="15"/>
  <c r="BO97" i="15"/>
  <c r="BN97" i="15" s="1"/>
  <c r="BM97" i="15" s="1"/>
  <c r="BQ96" i="15"/>
  <c r="BP95" i="15"/>
  <c r="BO95" i="15" s="1"/>
  <c r="BP93" i="15"/>
  <c r="BO93" i="15" s="1"/>
  <c r="BN93" i="15" s="1"/>
  <c r="BM93" i="15" s="1"/>
  <c r="BQ83" i="15"/>
  <c r="BQ80" i="15"/>
  <c r="BQ54" i="15"/>
  <c r="BQ53" i="15"/>
  <c r="BM50" i="15"/>
  <c r="BN50" i="15" s="1"/>
  <c r="BO50" i="15" s="1"/>
  <c r="BP50" i="15" s="1"/>
  <c r="BM49" i="15"/>
  <c r="BN49" i="15" s="1"/>
  <c r="BO49" i="15" s="1"/>
  <c r="BP49" i="15" s="1"/>
  <c r="BU46" i="15"/>
  <c r="BQ47" i="15"/>
  <c r="BK457" i="15"/>
  <c r="BJ457" i="15"/>
  <c r="BI457" i="15"/>
  <c r="BH457" i="15"/>
  <c r="BF457" i="15"/>
  <c r="BE457" i="15"/>
  <c r="BD457" i="15"/>
  <c r="BC457" i="15"/>
  <c r="BP256" i="72"/>
  <c r="BO256" i="72"/>
  <c r="BN256" i="72"/>
  <c r="BM256" i="72"/>
  <c r="BK256" i="72"/>
  <c r="BJ256" i="72"/>
  <c r="BI256" i="72"/>
  <c r="BH256" i="72"/>
  <c r="BF256" i="72"/>
  <c r="BE256" i="72"/>
  <c r="BD256" i="72"/>
  <c r="BC256" i="72"/>
  <c r="BA256" i="72"/>
  <c r="AZ256" i="72"/>
  <c r="AY256" i="72"/>
  <c r="AX256" i="72"/>
  <c r="AV256" i="72"/>
  <c r="AU256" i="72"/>
  <c r="AT256" i="72"/>
  <c r="AS256" i="72"/>
  <c r="BC54" i="46"/>
  <c r="BH54" i="46" s="1"/>
  <c r="BM54" i="46" s="1"/>
  <c r="AX54" i="46"/>
  <c r="BW7" i="77"/>
  <c r="BW9" i="77" s="1"/>
  <c r="CA88" i="77"/>
  <c r="BY88" i="77"/>
  <c r="CB88" i="77" s="1"/>
  <c r="CA37" i="77"/>
  <c r="BP29" i="77"/>
  <c r="BP55" i="77"/>
  <c r="BP9" i="77"/>
  <c r="BP28" i="77"/>
  <c r="BB129" i="77"/>
  <c r="BP124" i="77"/>
  <c r="BP19" i="77"/>
  <c r="BP42" i="77"/>
  <c r="BP65" i="77"/>
  <c r="BX78" i="77"/>
  <c r="BX79" i="77"/>
  <c r="BP90" i="77"/>
  <c r="BP97" i="77"/>
  <c r="BP108" i="77"/>
  <c r="BP118" i="77"/>
  <c r="BP109" i="77"/>
  <c r="BP116" i="77"/>
  <c r="BP87" i="77"/>
  <c r="BW74" i="77" s="1"/>
  <c r="BM106" i="15"/>
  <c r="BP117" i="15"/>
  <c r="BO115" i="15"/>
  <c r="BP118" i="15"/>
  <c r="BP316" i="15" s="1"/>
  <c r="BP116" i="15"/>
  <c r="BN102" i="15"/>
  <c r="BQ101" i="15"/>
  <c r="BO102" i="15"/>
  <c r="BP102" i="15"/>
  <c r="BM102" i="15"/>
  <c r="BP206" i="15"/>
  <c r="BP203" i="15"/>
  <c r="BQ247" i="15"/>
  <c r="B2" i="73"/>
  <c r="DD6" i="73"/>
  <c r="DE6" i="73" s="1"/>
  <c r="DF6" i="73" s="1"/>
  <c r="DG6" i="73" s="1"/>
  <c r="DH6" i="73" s="1"/>
  <c r="DI6" i="73" s="1"/>
  <c r="DJ6" i="73" s="1"/>
  <c r="DK6" i="73" s="1"/>
  <c r="DL6" i="73" s="1"/>
  <c r="DM6" i="73" s="1"/>
  <c r="DN6" i="73" s="1"/>
  <c r="DO6" i="73" s="1"/>
  <c r="DP6" i="73" s="1"/>
  <c r="DQ6" i="73" s="1"/>
  <c r="DR6" i="73" s="1"/>
  <c r="DS6" i="73" s="1"/>
  <c r="DT6" i="73" s="1"/>
  <c r="DU6" i="73" s="1"/>
  <c r="DV6" i="73" s="1"/>
  <c r="DW6" i="73" s="1"/>
  <c r="DX6" i="73" s="1"/>
  <c r="DY6" i="73" s="1"/>
  <c r="DZ6" i="73" s="1"/>
  <c r="EA6" i="73" s="1"/>
  <c r="EB6" i="73" s="1"/>
  <c r="EC6" i="73" s="1"/>
  <c r="ED6" i="73" s="1"/>
  <c r="EE6" i="73" s="1"/>
  <c r="BW10" i="73"/>
  <c r="BY10" i="73"/>
  <c r="BY37" i="77"/>
  <c r="CB37" i="77" s="1"/>
  <c r="BX37" i="77" s="1"/>
  <c r="BQ102" i="15"/>
  <c r="BO118" i="15"/>
  <c r="BO316" i="15"/>
  <c r="BO116" i="15"/>
  <c r="BO117" i="15"/>
  <c r="BN115" i="15"/>
  <c r="BN116" i="15" s="1"/>
  <c r="BW12" i="73"/>
  <c r="BX12" i="73"/>
  <c r="BY12" i="73"/>
  <c r="AH15" i="73"/>
  <c r="AM15" i="73"/>
  <c r="AR15" i="73"/>
  <c r="AW15" i="73"/>
  <c r="BB15" i="73"/>
  <c r="BG15" i="73"/>
  <c r="BL15" i="73"/>
  <c r="BQ15" i="73"/>
  <c r="DU19" i="73"/>
  <c r="BL18" i="73"/>
  <c r="BL73" i="73" s="1"/>
  <c r="BT36" i="73"/>
  <c r="CT53" i="73" s="1"/>
  <c r="BX39" i="73"/>
  <c r="BY39" i="73"/>
  <c r="BZ39" i="73"/>
  <c r="BX40" i="73"/>
  <c r="BY40" i="73"/>
  <c r="BZ40" i="73"/>
  <c r="DE38" i="73"/>
  <c r="DE45" i="73"/>
  <c r="DL36" i="73" s="1"/>
  <c r="DE39" i="73"/>
  <c r="X34" i="73"/>
  <c r="X35" i="73"/>
  <c r="X36" i="73"/>
  <c r="X37" i="73"/>
  <c r="X38" i="73"/>
  <c r="X39" i="73"/>
  <c r="X40" i="73"/>
  <c r="AC34" i="73"/>
  <c r="AC35" i="73"/>
  <c r="AC36" i="73"/>
  <c r="AC37" i="73"/>
  <c r="AC38" i="73"/>
  <c r="AC39" i="73"/>
  <c r="AC40" i="73"/>
  <c r="AH34" i="73"/>
  <c r="AH35" i="73"/>
  <c r="AH36" i="73"/>
  <c r="AH37" i="73"/>
  <c r="AH38" i="73"/>
  <c r="AH39" i="73"/>
  <c r="AH40" i="73"/>
  <c r="AM34" i="73"/>
  <c r="AM35" i="73"/>
  <c r="AM36" i="73"/>
  <c r="AM37" i="73"/>
  <c r="AM38" i="73"/>
  <c r="AM39" i="73"/>
  <c r="AM40" i="73"/>
  <c r="AR34" i="73"/>
  <c r="AR35" i="73"/>
  <c r="AR36" i="73"/>
  <c r="AR37" i="73"/>
  <c r="AR38" i="73"/>
  <c r="AR39" i="73"/>
  <c r="AR40" i="73"/>
  <c r="AW34" i="73"/>
  <c r="AW35" i="73"/>
  <c r="AW36" i="73"/>
  <c r="AW37" i="73"/>
  <c r="AW38" i="73"/>
  <c r="AW39" i="73"/>
  <c r="AW40" i="73"/>
  <c r="BB35" i="73"/>
  <c r="BG35" i="73"/>
  <c r="BL34" i="73"/>
  <c r="BL35" i="73"/>
  <c r="BQ34" i="73"/>
  <c r="BQ35" i="73"/>
  <c r="CE39" i="73"/>
  <c r="CE40" i="73"/>
  <c r="BB42" i="73"/>
  <c r="BB43" i="73"/>
  <c r="BG42" i="73"/>
  <c r="BG43" i="73"/>
  <c r="BL42" i="73"/>
  <c r="BL43" i="73"/>
  <c r="BQ42" i="73"/>
  <c r="BQ43" i="73"/>
  <c r="BX44" i="73"/>
  <c r="BY44" i="73"/>
  <c r="BZ44" i="73"/>
  <c r="BX45" i="73"/>
  <c r="BY45" i="73"/>
  <c r="BZ45" i="73"/>
  <c r="BX46" i="73"/>
  <c r="BY46" i="73"/>
  <c r="BZ46" i="73"/>
  <c r="BZ47" i="73" s="1"/>
  <c r="BZ49" i="73" s="1"/>
  <c r="BZ50" i="73" s="1"/>
  <c r="CE44" i="73"/>
  <c r="CE45" i="73"/>
  <c r="BX76" i="73" s="1"/>
  <c r="CE46" i="73"/>
  <c r="CJ44" i="73"/>
  <c r="CJ45" i="73"/>
  <c r="CJ46" i="73"/>
  <c r="CO44" i="73"/>
  <c r="CO45" i="73"/>
  <c r="BY76" i="73" s="1"/>
  <c r="CO46" i="73"/>
  <c r="CT44" i="73"/>
  <c r="CT45" i="73"/>
  <c r="CT46" i="73"/>
  <c r="CY44" i="73"/>
  <c r="CY45" i="73"/>
  <c r="CY46" i="73"/>
  <c r="X49" i="73"/>
  <c r="AC49" i="73"/>
  <c r="AH49" i="73"/>
  <c r="AM49" i="73"/>
  <c r="AR49" i="73"/>
  <c r="AW49" i="73"/>
  <c r="BB49" i="73"/>
  <c r="BG49" i="73"/>
  <c r="BL49" i="73"/>
  <c r="BQ49" i="73"/>
  <c r="DE52" i="73"/>
  <c r="DQ58" i="73"/>
  <c r="DR58" i="73" s="1"/>
  <c r="DS58" i="73" s="1"/>
  <c r="DT58" i="73" s="1"/>
  <c r="DU58" i="73" s="1"/>
  <c r="DV58" i="73" s="1"/>
  <c r="DW58" i="73" s="1"/>
  <c r="DX58" i="73" s="1"/>
  <c r="BV62" i="73"/>
  <c r="DD63" i="73"/>
  <c r="DD64" i="73" s="1"/>
  <c r="DD65" i="73" s="1"/>
  <c r="DD66" i="73" s="1"/>
  <c r="DD67" i="73" s="1"/>
  <c r="DD68" i="73" s="1"/>
  <c r="DD69" i="73" s="1"/>
  <c r="DD70" i="73" s="1"/>
  <c r="DD71" i="73" s="1"/>
  <c r="DD72" i="73" s="1"/>
  <c r="DD73" i="73" s="1"/>
  <c r="DD74" i="73" s="1"/>
  <c r="DD75" i="73" s="1"/>
  <c r="DD76" i="73" s="1"/>
  <c r="DD77" i="73" s="1"/>
  <c r="DD78" i="73" s="1"/>
  <c r="DD79" i="73" s="1"/>
  <c r="DD80" i="73" s="1"/>
  <c r="DD81" i="73" s="1"/>
  <c r="DD82" i="73" s="1"/>
  <c r="DD83" i="73" s="1"/>
  <c r="AM66" i="73"/>
  <c r="AH66" i="73"/>
  <c r="BB65" i="73"/>
  <c r="AW65" i="73" s="1"/>
  <c r="BZ76" i="73"/>
  <c r="BQ73" i="73"/>
  <c r="CE76" i="73"/>
  <c r="CJ76" i="73"/>
  <c r="DB64" i="73"/>
  <c r="DB65" i="73"/>
  <c r="DB66" i="73" s="1"/>
  <c r="DB67" i="73" s="1"/>
  <c r="DB68" i="73" s="1"/>
  <c r="DB69" i="73" s="1"/>
  <c r="DB70" i="73" s="1"/>
  <c r="DB71" i="73" s="1"/>
  <c r="DB72" i="73" s="1"/>
  <c r="DB73" i="73" s="1"/>
  <c r="DB74" i="73" s="1"/>
  <c r="DB75" i="73" s="1"/>
  <c r="DB76" i="73" s="1"/>
  <c r="DB77" i="73" s="1"/>
  <c r="DB78" i="73" s="1"/>
  <c r="DB79" i="73" s="1"/>
  <c r="DB80" i="73" s="1"/>
  <c r="DB81" i="73" s="1"/>
  <c r="DB82" i="73" s="1"/>
  <c r="DB83" i="73" s="1"/>
  <c r="J112" i="77"/>
  <c r="I112" i="77"/>
  <c r="H112" i="77"/>
  <c r="G112" i="77"/>
  <c r="J111" i="77"/>
  <c r="I111" i="77"/>
  <c r="H111" i="77"/>
  <c r="G111" i="77"/>
  <c r="J110" i="77"/>
  <c r="I110" i="77"/>
  <c r="H110" i="77"/>
  <c r="G110" i="77"/>
  <c r="J109" i="77"/>
  <c r="I109" i="77"/>
  <c r="H109" i="77"/>
  <c r="G109" i="77"/>
  <c r="J108" i="77"/>
  <c r="I108" i="77"/>
  <c r="H108" i="77"/>
  <c r="G108" i="77"/>
  <c r="J107" i="77"/>
  <c r="I107" i="77"/>
  <c r="H107" i="77"/>
  <c r="G107" i="77"/>
  <c r="J106" i="77"/>
  <c r="I106" i="77"/>
  <c r="H106" i="77"/>
  <c r="G106" i="77"/>
  <c r="J105" i="77"/>
  <c r="I105" i="77"/>
  <c r="H105" i="77"/>
  <c r="G105" i="77"/>
  <c r="J104" i="77"/>
  <c r="I104" i="77"/>
  <c r="H104" i="77"/>
  <c r="G104" i="77"/>
  <c r="J103" i="77"/>
  <c r="I103" i="77"/>
  <c r="H103" i="77"/>
  <c r="G103" i="77"/>
  <c r="J102" i="77"/>
  <c r="I102" i="77"/>
  <c r="H102" i="77"/>
  <c r="G102" i="77"/>
  <c r="J101" i="77"/>
  <c r="I101" i="77"/>
  <c r="H101" i="77"/>
  <c r="G101" i="77"/>
  <c r="J100" i="77"/>
  <c r="I100" i="77"/>
  <c r="H100" i="77"/>
  <c r="G100" i="77"/>
  <c r="J99" i="77"/>
  <c r="I99" i="77"/>
  <c r="H99" i="77"/>
  <c r="G99" i="77"/>
  <c r="J98" i="77"/>
  <c r="I98" i="77"/>
  <c r="H98" i="77"/>
  <c r="G98" i="77"/>
  <c r="BE98" i="77" s="1"/>
  <c r="J97" i="77"/>
  <c r="I97" i="77"/>
  <c r="H97" i="77"/>
  <c r="G97" i="77"/>
  <c r="BE97" i="77" s="1"/>
  <c r="J96" i="77"/>
  <c r="I96" i="77"/>
  <c r="H96" i="77"/>
  <c r="G96" i="77"/>
  <c r="BE96" i="77" s="1"/>
  <c r="J95" i="77"/>
  <c r="I95" i="77"/>
  <c r="H95" i="77"/>
  <c r="G95" i="77"/>
  <c r="J94" i="77"/>
  <c r="I94" i="77"/>
  <c r="H94" i="77"/>
  <c r="G94" i="77"/>
  <c r="J93" i="77"/>
  <c r="I93" i="77"/>
  <c r="H93" i="77"/>
  <c r="G93" i="77"/>
  <c r="BE93" i="77" s="1"/>
  <c r="J92" i="77"/>
  <c r="I92" i="77"/>
  <c r="H92" i="77"/>
  <c r="G92" i="77"/>
  <c r="BE92" i="77" s="1"/>
  <c r="J91" i="77"/>
  <c r="I91" i="77"/>
  <c r="H91" i="77"/>
  <c r="G91" i="77"/>
  <c r="BE91" i="77" s="1"/>
  <c r="J90" i="77"/>
  <c r="I90" i="77"/>
  <c r="H90" i="77"/>
  <c r="G90" i="77"/>
  <c r="BE90" i="77" s="1"/>
  <c r="J89" i="77"/>
  <c r="I89" i="77"/>
  <c r="H89" i="77"/>
  <c r="G89" i="77"/>
  <c r="BE89" i="77" s="1"/>
  <c r="J88" i="77"/>
  <c r="I88" i="77"/>
  <c r="H88" i="77"/>
  <c r="G88" i="77"/>
  <c r="BE88" i="77" s="1"/>
  <c r="J87" i="77"/>
  <c r="I87" i="77"/>
  <c r="H87" i="77"/>
  <c r="G87" i="77"/>
  <c r="BE87" i="77" s="1"/>
  <c r="J86" i="77"/>
  <c r="I86" i="77"/>
  <c r="H86" i="77"/>
  <c r="G86" i="77"/>
  <c r="BE86" i="77" s="1"/>
  <c r="J85" i="77"/>
  <c r="I85" i="77"/>
  <c r="H85" i="77"/>
  <c r="G85" i="77"/>
  <c r="BE85" i="77" s="1"/>
  <c r="J84" i="77"/>
  <c r="I84" i="77"/>
  <c r="H84" i="77"/>
  <c r="G84" i="77"/>
  <c r="BE84" i="77" s="1"/>
  <c r="J83" i="77"/>
  <c r="I83" i="77"/>
  <c r="H83" i="77"/>
  <c r="G83" i="77"/>
  <c r="BE83" i="77" s="1"/>
  <c r="J82" i="77"/>
  <c r="I82" i="77"/>
  <c r="H82" i="77"/>
  <c r="G82" i="77"/>
  <c r="BE82" i="77" s="1"/>
  <c r="J81" i="77"/>
  <c r="I81" i="77"/>
  <c r="H81" i="77"/>
  <c r="G81" i="77"/>
  <c r="BE81" i="77" s="1"/>
  <c r="J80" i="77"/>
  <c r="I80" i="77"/>
  <c r="H80" i="77"/>
  <c r="G80" i="77"/>
  <c r="BE80" i="77" s="1"/>
  <c r="J79" i="77"/>
  <c r="I79" i="77"/>
  <c r="H79" i="77"/>
  <c r="G79" i="77"/>
  <c r="BE79" i="77" s="1"/>
  <c r="J78" i="77"/>
  <c r="I78" i="77"/>
  <c r="H78" i="77"/>
  <c r="G78" i="77"/>
  <c r="BE78" i="77" s="1"/>
  <c r="J77" i="77"/>
  <c r="I77" i="77"/>
  <c r="H77" i="77"/>
  <c r="G77" i="77"/>
  <c r="J76" i="77"/>
  <c r="I76" i="77"/>
  <c r="H76" i="77"/>
  <c r="G76" i="77"/>
  <c r="J75" i="77"/>
  <c r="I75" i="77"/>
  <c r="H75" i="77"/>
  <c r="G75" i="77"/>
  <c r="J74" i="77"/>
  <c r="I74" i="77"/>
  <c r="H74" i="77"/>
  <c r="G74" i="77"/>
  <c r="BE74" i="77" s="1"/>
  <c r="J73" i="77"/>
  <c r="I73" i="77"/>
  <c r="H73" i="77"/>
  <c r="G73" i="77"/>
  <c r="BE73" i="77" s="1"/>
  <c r="J72" i="77"/>
  <c r="I72" i="77"/>
  <c r="H72" i="77"/>
  <c r="G72" i="77"/>
  <c r="BE72" i="77" s="1"/>
  <c r="J71" i="77"/>
  <c r="I71" i="77"/>
  <c r="H71" i="77"/>
  <c r="G71" i="77"/>
  <c r="J70" i="77"/>
  <c r="I70" i="77"/>
  <c r="H70" i="77"/>
  <c r="G70" i="77"/>
  <c r="J69" i="77"/>
  <c r="I69" i="77"/>
  <c r="H69" i="77"/>
  <c r="G69" i="77"/>
  <c r="J68" i="77"/>
  <c r="I68" i="77"/>
  <c r="H68" i="77"/>
  <c r="G68" i="77"/>
  <c r="BE68" i="77" s="1"/>
  <c r="J67" i="77"/>
  <c r="I67" i="77"/>
  <c r="H67" i="77"/>
  <c r="G67" i="77"/>
  <c r="BE67" i="77" s="1"/>
  <c r="J66" i="77"/>
  <c r="I66" i="77"/>
  <c r="H66" i="77"/>
  <c r="G66" i="77"/>
  <c r="BE66" i="77" s="1"/>
  <c r="J65" i="77"/>
  <c r="I65" i="77"/>
  <c r="H65" i="77"/>
  <c r="G65" i="77"/>
  <c r="BE65" i="77" s="1"/>
  <c r="J64" i="77"/>
  <c r="I64" i="77"/>
  <c r="H64" i="77"/>
  <c r="G64" i="77"/>
  <c r="BE64" i="77" s="1"/>
  <c r="J63" i="77"/>
  <c r="I63" i="77"/>
  <c r="H63" i="77"/>
  <c r="G63" i="77"/>
  <c r="BE63" i="77" s="1"/>
  <c r="J62" i="77"/>
  <c r="I62" i="77"/>
  <c r="H62" i="77"/>
  <c r="G62" i="77"/>
  <c r="BE62" i="77" s="1"/>
  <c r="J61" i="77"/>
  <c r="I61" i="77"/>
  <c r="H61" i="77"/>
  <c r="G61" i="77"/>
  <c r="BE61" i="77" s="1"/>
  <c r="J60" i="77"/>
  <c r="I60" i="77"/>
  <c r="H60" i="77"/>
  <c r="G60" i="77"/>
  <c r="BE60" i="77" s="1"/>
  <c r="J59" i="77"/>
  <c r="I59" i="77"/>
  <c r="H59" i="77"/>
  <c r="G59" i="77"/>
  <c r="BE59" i="77" s="1"/>
  <c r="J58" i="77"/>
  <c r="I58" i="77"/>
  <c r="H58" i="77"/>
  <c r="G58" i="77"/>
  <c r="BE58" i="77" s="1"/>
  <c r="J57" i="77"/>
  <c r="I57" i="77"/>
  <c r="H57" i="77"/>
  <c r="G57" i="77"/>
  <c r="BE57" i="77" s="1"/>
  <c r="J56" i="77"/>
  <c r="I56" i="77"/>
  <c r="H56" i="77"/>
  <c r="G56" i="77"/>
  <c r="BE56" i="77" s="1"/>
  <c r="J55" i="77"/>
  <c r="I55" i="77"/>
  <c r="H55" i="77"/>
  <c r="G55" i="77"/>
  <c r="BE55" i="77" s="1"/>
  <c r="J54" i="77"/>
  <c r="I54" i="77"/>
  <c r="H54" i="77"/>
  <c r="G54" i="77"/>
  <c r="BE54" i="77" s="1"/>
  <c r="J53" i="77"/>
  <c r="I53" i="77"/>
  <c r="H53" i="77"/>
  <c r="G53" i="77"/>
  <c r="BE53" i="77" s="1"/>
  <c r="J52" i="77"/>
  <c r="I52" i="77"/>
  <c r="H52" i="77"/>
  <c r="G52" i="77"/>
  <c r="J50" i="77"/>
  <c r="I50" i="77"/>
  <c r="H50" i="77"/>
  <c r="G50" i="77"/>
  <c r="J49" i="77"/>
  <c r="I49" i="77"/>
  <c r="H49" i="77"/>
  <c r="G49" i="77"/>
  <c r="BE49" i="77" s="1"/>
  <c r="J48" i="77"/>
  <c r="I48" i="77"/>
  <c r="H48" i="77"/>
  <c r="G48" i="77"/>
  <c r="BE48" i="77" s="1"/>
  <c r="J47" i="77"/>
  <c r="I47" i="77"/>
  <c r="H47" i="77"/>
  <c r="G47" i="77"/>
  <c r="BE47" i="77" s="1"/>
  <c r="J46" i="77"/>
  <c r="I46" i="77"/>
  <c r="H46" i="77"/>
  <c r="G46" i="77"/>
  <c r="BE46" i="77" s="1"/>
  <c r="J45" i="77"/>
  <c r="I45" i="77"/>
  <c r="H45" i="77"/>
  <c r="G45" i="77"/>
  <c r="BE45" i="77" s="1"/>
  <c r="J44" i="77"/>
  <c r="I44" i="77"/>
  <c r="H44" i="77"/>
  <c r="G44" i="77"/>
  <c r="BE44" i="77" s="1"/>
  <c r="J43" i="77"/>
  <c r="I43" i="77"/>
  <c r="H43" i="77"/>
  <c r="G43" i="77"/>
  <c r="BE43" i="77" s="1"/>
  <c r="J42" i="77"/>
  <c r="I42" i="77"/>
  <c r="H42" i="77"/>
  <c r="G42" i="77"/>
  <c r="BE42" i="77" s="1"/>
  <c r="J41" i="77"/>
  <c r="I41" i="77"/>
  <c r="H41" i="77"/>
  <c r="G41" i="77"/>
  <c r="BE41" i="77" s="1"/>
  <c r="J40" i="77"/>
  <c r="I40" i="77"/>
  <c r="H40" i="77"/>
  <c r="G40" i="77"/>
  <c r="BE40" i="77" s="1"/>
  <c r="J39" i="77"/>
  <c r="I39" i="77"/>
  <c r="H39" i="77"/>
  <c r="G39" i="77"/>
  <c r="BE39" i="77" s="1"/>
  <c r="J38" i="77"/>
  <c r="I38" i="77"/>
  <c r="H38" i="77"/>
  <c r="G38" i="77"/>
  <c r="BE38" i="77" s="1"/>
  <c r="J37" i="77"/>
  <c r="I37" i="77"/>
  <c r="H37" i="77"/>
  <c r="G37" i="77"/>
  <c r="BE37" i="77" s="1"/>
  <c r="J36" i="77"/>
  <c r="I36" i="77"/>
  <c r="H36" i="77"/>
  <c r="G36" i="77"/>
  <c r="BE36" i="77" s="1"/>
  <c r="J35" i="77"/>
  <c r="I35" i="77"/>
  <c r="H35" i="77"/>
  <c r="G35" i="77"/>
  <c r="BE35" i="77" s="1"/>
  <c r="J34" i="77"/>
  <c r="I34" i="77"/>
  <c r="H34" i="77"/>
  <c r="G34" i="77"/>
  <c r="BE34" i="77" s="1"/>
  <c r="J33" i="77"/>
  <c r="I33" i="77"/>
  <c r="H33" i="77"/>
  <c r="G33" i="77"/>
  <c r="J32" i="77"/>
  <c r="I32" i="77"/>
  <c r="H32" i="77"/>
  <c r="G32" i="77"/>
  <c r="J31" i="77"/>
  <c r="I31" i="77"/>
  <c r="H31" i="77"/>
  <c r="G31" i="77"/>
  <c r="BE31" i="77" s="1"/>
  <c r="J30" i="77"/>
  <c r="I30" i="77"/>
  <c r="H30" i="77"/>
  <c r="G30" i="77"/>
  <c r="BE30" i="77" s="1"/>
  <c r="J29" i="77"/>
  <c r="I29" i="77"/>
  <c r="H29" i="77"/>
  <c r="G29" i="77"/>
  <c r="BE29" i="77" s="1"/>
  <c r="J28" i="77"/>
  <c r="I28" i="77"/>
  <c r="H28" i="77"/>
  <c r="G28" i="77"/>
  <c r="BE28" i="77" s="1"/>
  <c r="J27" i="77"/>
  <c r="I27" i="77"/>
  <c r="H27" i="77"/>
  <c r="G27" i="77"/>
  <c r="BE27" i="77" s="1"/>
  <c r="J26" i="77"/>
  <c r="I26" i="77"/>
  <c r="H26" i="77"/>
  <c r="G26" i="77"/>
  <c r="BE26" i="77" s="1"/>
  <c r="J25" i="77"/>
  <c r="I25" i="77"/>
  <c r="H25" i="77"/>
  <c r="G25" i="77"/>
  <c r="BE25" i="77" s="1"/>
  <c r="J24" i="77"/>
  <c r="I24" i="77"/>
  <c r="H24" i="77"/>
  <c r="G24" i="77"/>
  <c r="BE24" i="77" s="1"/>
  <c r="J23" i="77"/>
  <c r="I23" i="77"/>
  <c r="H23" i="77"/>
  <c r="G23" i="77"/>
  <c r="BE23" i="77" s="1"/>
  <c r="J22" i="77"/>
  <c r="I22" i="77"/>
  <c r="H22" i="77"/>
  <c r="G22" i="77"/>
  <c r="BE22" i="77" s="1"/>
  <c r="J21" i="77"/>
  <c r="I21" i="77"/>
  <c r="H21" i="77"/>
  <c r="G21" i="77"/>
  <c r="BE21" i="77" s="1"/>
  <c r="J20" i="77"/>
  <c r="I20" i="77"/>
  <c r="H20" i="77"/>
  <c r="G20" i="77"/>
  <c r="BE20" i="77" s="1"/>
  <c r="J19" i="77"/>
  <c r="I19" i="77"/>
  <c r="H19" i="77"/>
  <c r="G19" i="77"/>
  <c r="BE19" i="77" s="1"/>
  <c r="J18" i="77"/>
  <c r="I18" i="77"/>
  <c r="H18" i="77"/>
  <c r="G18" i="77"/>
  <c r="BE18" i="77" s="1"/>
  <c r="J17" i="77"/>
  <c r="I17" i="77"/>
  <c r="H17" i="77"/>
  <c r="G17" i="77"/>
  <c r="BE17" i="77" s="1"/>
  <c r="J16" i="77"/>
  <c r="I16" i="77"/>
  <c r="H16" i="77"/>
  <c r="G16" i="77"/>
  <c r="BE16" i="77" s="1"/>
  <c r="J15" i="77"/>
  <c r="I15" i="77"/>
  <c r="H15" i="77"/>
  <c r="G15" i="77"/>
  <c r="J14" i="77"/>
  <c r="I14" i="77"/>
  <c r="H14" i="77"/>
  <c r="G14" i="77"/>
  <c r="J13" i="77"/>
  <c r="I13" i="77"/>
  <c r="H13" i="77"/>
  <c r="G13" i="77"/>
  <c r="J12" i="77"/>
  <c r="I12" i="77"/>
  <c r="H12" i="77"/>
  <c r="G12" i="77"/>
  <c r="BE12" i="77" s="1"/>
  <c r="J11" i="77"/>
  <c r="I11" i="77"/>
  <c r="H11" i="77"/>
  <c r="G11" i="77"/>
  <c r="BE11" i="77" s="1"/>
  <c r="J10" i="77"/>
  <c r="I10" i="77"/>
  <c r="H10" i="77"/>
  <c r="G10" i="77"/>
  <c r="BE10" i="77" s="1"/>
  <c r="J9" i="77"/>
  <c r="I9" i="77"/>
  <c r="H9" i="77"/>
  <c r="G9" i="77"/>
  <c r="BE9" i="77" s="1"/>
  <c r="J8" i="77"/>
  <c r="I8" i="77"/>
  <c r="H8" i="77"/>
  <c r="G8" i="77"/>
  <c r="BE8" i="77" s="1"/>
  <c r="N112" i="77"/>
  <c r="M112" i="77"/>
  <c r="L112" i="77"/>
  <c r="K112" i="77"/>
  <c r="N111" i="77"/>
  <c r="M111" i="77"/>
  <c r="L111" i="77"/>
  <c r="K111" i="77"/>
  <c r="BF111" i="77" s="1"/>
  <c r="N110" i="77"/>
  <c r="M110" i="77"/>
  <c r="L110" i="77"/>
  <c r="K110" i="77"/>
  <c r="BF110" i="77" s="1"/>
  <c r="N109" i="77"/>
  <c r="M109" i="77"/>
  <c r="L109" i="77"/>
  <c r="K109" i="77"/>
  <c r="BF109" i="77" s="1"/>
  <c r="N108" i="77"/>
  <c r="M108" i="77"/>
  <c r="L108" i="77"/>
  <c r="K108" i="77"/>
  <c r="BF108" i="77" s="1"/>
  <c r="N107" i="77"/>
  <c r="M107" i="77"/>
  <c r="L107" i="77"/>
  <c r="K107" i="77"/>
  <c r="BF107" i="77" s="1"/>
  <c r="N106" i="77"/>
  <c r="M106" i="77"/>
  <c r="L106" i="77"/>
  <c r="K106" i="77"/>
  <c r="BF106" i="77" s="1"/>
  <c r="N105" i="77"/>
  <c r="M105" i="77"/>
  <c r="L105" i="77"/>
  <c r="K105" i="77"/>
  <c r="BF105" i="77" s="1"/>
  <c r="N104" i="77"/>
  <c r="M104" i="77"/>
  <c r="L104" i="77"/>
  <c r="K104" i="77"/>
  <c r="BF104" i="77" s="1"/>
  <c r="N103" i="77"/>
  <c r="M103" i="77"/>
  <c r="L103" i="77"/>
  <c r="K103" i="77"/>
  <c r="BF103" i="77" s="1"/>
  <c r="N102" i="77"/>
  <c r="M102" i="77"/>
  <c r="L102" i="77"/>
  <c r="K102" i="77"/>
  <c r="BF102" i="77" s="1"/>
  <c r="N101" i="77"/>
  <c r="M101" i="77"/>
  <c r="L101" i="77"/>
  <c r="K101" i="77"/>
  <c r="BF101" i="77" s="1"/>
  <c r="N100" i="77"/>
  <c r="M100" i="77"/>
  <c r="L100" i="77"/>
  <c r="K100" i="77"/>
  <c r="BF100" i="77" s="1"/>
  <c r="N99" i="77"/>
  <c r="M99" i="77"/>
  <c r="L99" i="77"/>
  <c r="K99" i="77"/>
  <c r="BF99" i="77" s="1"/>
  <c r="N98" i="77"/>
  <c r="M98" i="77"/>
  <c r="L98" i="77"/>
  <c r="K98" i="77"/>
  <c r="BF98" i="77" s="1"/>
  <c r="N97" i="77"/>
  <c r="M97" i="77"/>
  <c r="L97" i="77"/>
  <c r="K97" i="77"/>
  <c r="BF97" i="77" s="1"/>
  <c r="N96" i="77"/>
  <c r="M96" i="77"/>
  <c r="L96" i="77"/>
  <c r="K96" i="77"/>
  <c r="BF96" i="77" s="1"/>
  <c r="N95" i="77"/>
  <c r="M95" i="77"/>
  <c r="L95" i="77"/>
  <c r="K95" i="77"/>
  <c r="N94" i="77"/>
  <c r="M94" i="77"/>
  <c r="L94" i="77"/>
  <c r="K94" i="77"/>
  <c r="N93" i="77"/>
  <c r="M93" i="77"/>
  <c r="L93" i="77"/>
  <c r="K93" i="77"/>
  <c r="BF93" i="77" s="1"/>
  <c r="N92" i="77"/>
  <c r="M92" i="77"/>
  <c r="L92" i="77"/>
  <c r="K92" i="77"/>
  <c r="BF92" i="77" s="1"/>
  <c r="N91" i="77"/>
  <c r="M91" i="77"/>
  <c r="L91" i="77"/>
  <c r="K91" i="77"/>
  <c r="BF91" i="77" s="1"/>
  <c r="N90" i="77"/>
  <c r="M90" i="77"/>
  <c r="L90" i="77"/>
  <c r="K90" i="77"/>
  <c r="BF90" i="77" s="1"/>
  <c r="N89" i="77"/>
  <c r="M89" i="77"/>
  <c r="L89" i="77"/>
  <c r="K89" i="77"/>
  <c r="BF89" i="77" s="1"/>
  <c r="N88" i="77"/>
  <c r="M88" i="77"/>
  <c r="L88" i="77"/>
  <c r="K88" i="77"/>
  <c r="BF88" i="77" s="1"/>
  <c r="N87" i="77"/>
  <c r="M87" i="77"/>
  <c r="L87" i="77"/>
  <c r="K87" i="77"/>
  <c r="BF87" i="77" s="1"/>
  <c r="N86" i="77"/>
  <c r="M86" i="77"/>
  <c r="L86" i="77"/>
  <c r="K86" i="77"/>
  <c r="BF86" i="77" s="1"/>
  <c r="N85" i="77"/>
  <c r="M85" i="77"/>
  <c r="L85" i="77"/>
  <c r="K85" i="77"/>
  <c r="BF85" i="77" s="1"/>
  <c r="N84" i="77"/>
  <c r="M84" i="77"/>
  <c r="L84" i="77"/>
  <c r="K84" i="77"/>
  <c r="BF84" i="77" s="1"/>
  <c r="N83" i="77"/>
  <c r="M83" i="77"/>
  <c r="L83" i="77"/>
  <c r="K83" i="77"/>
  <c r="BF83" i="77" s="1"/>
  <c r="N82" i="77"/>
  <c r="M82" i="77"/>
  <c r="L82" i="77"/>
  <c r="K82" i="77"/>
  <c r="BF82" i="77" s="1"/>
  <c r="N81" i="77"/>
  <c r="M81" i="77"/>
  <c r="L81" i="77"/>
  <c r="K81" i="77"/>
  <c r="BF81" i="77" s="1"/>
  <c r="N80" i="77"/>
  <c r="M80" i="77"/>
  <c r="L80" i="77"/>
  <c r="K80" i="77"/>
  <c r="BF80" i="77" s="1"/>
  <c r="N79" i="77"/>
  <c r="M79" i="77"/>
  <c r="L79" i="77"/>
  <c r="K79" i="77"/>
  <c r="BF79" i="77" s="1"/>
  <c r="N78" i="77"/>
  <c r="M78" i="77"/>
  <c r="L78" i="77"/>
  <c r="K78" i="77"/>
  <c r="BF78" i="77" s="1"/>
  <c r="N77" i="77"/>
  <c r="M77" i="77"/>
  <c r="L77" i="77"/>
  <c r="K77" i="77"/>
  <c r="N76" i="77"/>
  <c r="M76" i="77"/>
  <c r="L76" i="77"/>
  <c r="K76" i="77"/>
  <c r="N75" i="77"/>
  <c r="M75" i="77"/>
  <c r="L75" i="77"/>
  <c r="K75" i="77"/>
  <c r="N74" i="77"/>
  <c r="M74" i="77"/>
  <c r="L74" i="77"/>
  <c r="K74" i="77"/>
  <c r="BF74" i="77" s="1"/>
  <c r="N73" i="77"/>
  <c r="M73" i="77"/>
  <c r="L73" i="77"/>
  <c r="K73" i="77"/>
  <c r="BF73" i="77" s="1"/>
  <c r="N72" i="77"/>
  <c r="M72" i="77"/>
  <c r="L72" i="77"/>
  <c r="K72" i="77"/>
  <c r="BF72" i="77" s="1"/>
  <c r="N71" i="77"/>
  <c r="M71" i="77"/>
  <c r="L71" i="77"/>
  <c r="K71" i="77"/>
  <c r="N70" i="77"/>
  <c r="M70" i="77"/>
  <c r="L70" i="77"/>
  <c r="K70" i="77"/>
  <c r="N69" i="77"/>
  <c r="M69" i="77"/>
  <c r="L69" i="77"/>
  <c r="K69" i="77"/>
  <c r="N68" i="77"/>
  <c r="M68" i="77"/>
  <c r="L68" i="77"/>
  <c r="K68" i="77"/>
  <c r="BF68" i="77" s="1"/>
  <c r="N67" i="77"/>
  <c r="M67" i="77"/>
  <c r="L67" i="77"/>
  <c r="K67" i="77"/>
  <c r="BF67" i="77" s="1"/>
  <c r="N66" i="77"/>
  <c r="M66" i="77"/>
  <c r="L66" i="77"/>
  <c r="K66" i="77"/>
  <c r="BF66" i="77" s="1"/>
  <c r="N65" i="77"/>
  <c r="M65" i="77"/>
  <c r="L65" i="77"/>
  <c r="K65" i="77"/>
  <c r="BF65" i="77" s="1"/>
  <c r="N64" i="77"/>
  <c r="M64" i="77"/>
  <c r="L64" i="77"/>
  <c r="K64" i="77"/>
  <c r="BF64" i="77" s="1"/>
  <c r="N63" i="77"/>
  <c r="M63" i="77"/>
  <c r="L63" i="77"/>
  <c r="K63" i="77"/>
  <c r="BF63" i="77" s="1"/>
  <c r="N62" i="77"/>
  <c r="M62" i="77"/>
  <c r="L62" i="77"/>
  <c r="K62" i="77"/>
  <c r="BF62" i="77" s="1"/>
  <c r="N61" i="77"/>
  <c r="M61" i="77"/>
  <c r="L61" i="77"/>
  <c r="K61" i="77"/>
  <c r="BF61" i="77" s="1"/>
  <c r="N60" i="77"/>
  <c r="M60" i="77"/>
  <c r="L60" i="77"/>
  <c r="K60" i="77"/>
  <c r="BF60" i="77" s="1"/>
  <c r="N59" i="77"/>
  <c r="M59" i="77"/>
  <c r="L59" i="77"/>
  <c r="K59" i="77"/>
  <c r="BF59" i="77" s="1"/>
  <c r="N58" i="77"/>
  <c r="M58" i="77"/>
  <c r="L58" i="77"/>
  <c r="K58" i="77"/>
  <c r="BF58" i="77" s="1"/>
  <c r="N57" i="77"/>
  <c r="M57" i="77"/>
  <c r="L57" i="77"/>
  <c r="K57" i="77"/>
  <c r="BF57" i="77" s="1"/>
  <c r="N56" i="77"/>
  <c r="M56" i="77"/>
  <c r="L56" i="77"/>
  <c r="K56" i="77"/>
  <c r="BF56" i="77" s="1"/>
  <c r="N55" i="77"/>
  <c r="M55" i="77"/>
  <c r="L55" i="77"/>
  <c r="K55" i="77"/>
  <c r="BF55" i="77" s="1"/>
  <c r="N54" i="77"/>
  <c r="M54" i="77"/>
  <c r="L54" i="77"/>
  <c r="K54" i="77"/>
  <c r="BF54" i="77" s="1"/>
  <c r="N53" i="77"/>
  <c r="M53" i="77"/>
  <c r="L53" i="77"/>
  <c r="K53" i="77"/>
  <c r="BF53" i="77" s="1"/>
  <c r="N52" i="77"/>
  <c r="M52" i="77"/>
  <c r="L52" i="77"/>
  <c r="K52" i="77"/>
  <c r="N50" i="77"/>
  <c r="M50" i="77"/>
  <c r="L50" i="77"/>
  <c r="K50" i="77"/>
  <c r="N49" i="77"/>
  <c r="M49" i="77"/>
  <c r="L49" i="77"/>
  <c r="K49" i="77"/>
  <c r="BF49" i="77" s="1"/>
  <c r="N48" i="77"/>
  <c r="M48" i="77"/>
  <c r="L48" i="77"/>
  <c r="K48" i="77"/>
  <c r="BF48" i="77" s="1"/>
  <c r="N47" i="77"/>
  <c r="M47" i="77"/>
  <c r="L47" i="77"/>
  <c r="K47" i="77"/>
  <c r="BF47" i="77" s="1"/>
  <c r="N46" i="77"/>
  <c r="M46" i="77"/>
  <c r="L46" i="77"/>
  <c r="K46" i="77"/>
  <c r="BF46" i="77" s="1"/>
  <c r="N45" i="77"/>
  <c r="M45" i="77"/>
  <c r="L45" i="77"/>
  <c r="K45" i="77"/>
  <c r="BF45" i="77" s="1"/>
  <c r="N44" i="77"/>
  <c r="M44" i="77"/>
  <c r="L44" i="77"/>
  <c r="K44" i="77"/>
  <c r="BF44" i="77" s="1"/>
  <c r="N43" i="77"/>
  <c r="M43" i="77"/>
  <c r="L43" i="77"/>
  <c r="K43" i="77"/>
  <c r="BF43" i="77" s="1"/>
  <c r="N42" i="77"/>
  <c r="M42" i="77"/>
  <c r="L42" i="77"/>
  <c r="K42" i="77"/>
  <c r="BF42" i="77" s="1"/>
  <c r="N41" i="77"/>
  <c r="M41" i="77"/>
  <c r="L41" i="77"/>
  <c r="K41" i="77"/>
  <c r="BF41" i="77" s="1"/>
  <c r="N40" i="77"/>
  <c r="M40" i="77"/>
  <c r="L40" i="77"/>
  <c r="K40" i="77"/>
  <c r="BF40" i="77" s="1"/>
  <c r="N39" i="77"/>
  <c r="M39" i="77"/>
  <c r="L39" i="77"/>
  <c r="K39" i="77"/>
  <c r="BF39" i="77" s="1"/>
  <c r="N38" i="77"/>
  <c r="M38" i="77"/>
  <c r="L38" i="77"/>
  <c r="K38" i="77"/>
  <c r="BF38" i="77" s="1"/>
  <c r="N37" i="77"/>
  <c r="M37" i="77"/>
  <c r="L37" i="77"/>
  <c r="K37" i="77"/>
  <c r="BF37" i="77" s="1"/>
  <c r="N36" i="77"/>
  <c r="M36" i="77"/>
  <c r="L36" i="77"/>
  <c r="K36" i="77"/>
  <c r="BF36" i="77" s="1"/>
  <c r="N35" i="77"/>
  <c r="M35" i="77"/>
  <c r="L35" i="77"/>
  <c r="K35" i="77"/>
  <c r="BF35" i="77" s="1"/>
  <c r="N34" i="77"/>
  <c r="M34" i="77"/>
  <c r="L34" i="77"/>
  <c r="K34" i="77"/>
  <c r="BF34" i="77" s="1"/>
  <c r="N33" i="77"/>
  <c r="M33" i="77"/>
  <c r="L33" i="77"/>
  <c r="K33" i="77"/>
  <c r="N32" i="77"/>
  <c r="M32" i="77"/>
  <c r="L32" i="77"/>
  <c r="K32" i="77"/>
  <c r="N31" i="77"/>
  <c r="M31" i="77"/>
  <c r="L31" i="77"/>
  <c r="K31" i="77"/>
  <c r="BF31" i="77" s="1"/>
  <c r="N30" i="77"/>
  <c r="M30" i="77"/>
  <c r="L30" i="77"/>
  <c r="K30" i="77"/>
  <c r="BF30" i="77" s="1"/>
  <c r="N29" i="77"/>
  <c r="M29" i="77"/>
  <c r="L29" i="77"/>
  <c r="K29" i="77"/>
  <c r="BF29" i="77" s="1"/>
  <c r="N28" i="77"/>
  <c r="M28" i="77"/>
  <c r="L28" i="77"/>
  <c r="K28" i="77"/>
  <c r="BF28" i="77" s="1"/>
  <c r="N27" i="77"/>
  <c r="M27" i="77"/>
  <c r="L27" i="77"/>
  <c r="K27" i="77"/>
  <c r="BF27" i="77" s="1"/>
  <c r="N26" i="77"/>
  <c r="M26" i="77"/>
  <c r="L26" i="77"/>
  <c r="K26" i="77"/>
  <c r="BF26" i="77" s="1"/>
  <c r="N25" i="77"/>
  <c r="M25" i="77"/>
  <c r="L25" i="77"/>
  <c r="K25" i="77"/>
  <c r="BF25" i="77" s="1"/>
  <c r="N24" i="77"/>
  <c r="M24" i="77"/>
  <c r="L24" i="77"/>
  <c r="K24" i="77"/>
  <c r="BF24" i="77" s="1"/>
  <c r="N23" i="77"/>
  <c r="M23" i="77"/>
  <c r="L23" i="77"/>
  <c r="K23" i="77"/>
  <c r="BF23" i="77" s="1"/>
  <c r="N22" i="77"/>
  <c r="M22" i="77"/>
  <c r="L22" i="77"/>
  <c r="K22" i="77"/>
  <c r="BF22" i="77" s="1"/>
  <c r="N21" i="77"/>
  <c r="M21" i="77"/>
  <c r="L21" i="77"/>
  <c r="K21" i="77"/>
  <c r="BF21" i="77" s="1"/>
  <c r="N20" i="77"/>
  <c r="M20" i="77"/>
  <c r="L20" i="77"/>
  <c r="K20" i="77"/>
  <c r="BF20" i="77" s="1"/>
  <c r="N19" i="77"/>
  <c r="M19" i="77"/>
  <c r="L19" i="77"/>
  <c r="K19" i="77"/>
  <c r="BF19" i="77" s="1"/>
  <c r="N18" i="77"/>
  <c r="M18" i="77"/>
  <c r="L18" i="77"/>
  <c r="K18" i="77"/>
  <c r="BF18" i="77" s="1"/>
  <c r="N17" i="77"/>
  <c r="M17" i="77"/>
  <c r="L17" i="77"/>
  <c r="K17" i="77"/>
  <c r="BF17" i="77" s="1"/>
  <c r="N16" i="77"/>
  <c r="M16" i="77"/>
  <c r="L16" i="77"/>
  <c r="K16" i="77"/>
  <c r="BF16" i="77" s="1"/>
  <c r="N15" i="77"/>
  <c r="M15" i="77"/>
  <c r="L15" i="77"/>
  <c r="K15" i="77"/>
  <c r="N14" i="77"/>
  <c r="M14" i="77"/>
  <c r="L14" i="77"/>
  <c r="K14" i="77"/>
  <c r="N13" i="77"/>
  <c r="M13" i="77"/>
  <c r="L13" i="77"/>
  <c r="K13" i="77"/>
  <c r="N12" i="77"/>
  <c r="M12" i="77"/>
  <c r="L12" i="77"/>
  <c r="K12" i="77"/>
  <c r="BF12" i="77" s="1"/>
  <c r="N11" i="77"/>
  <c r="M11" i="77"/>
  <c r="L11" i="77"/>
  <c r="K11" i="77"/>
  <c r="BF11" i="77" s="1"/>
  <c r="N10" i="77"/>
  <c r="M10" i="77"/>
  <c r="L10" i="77"/>
  <c r="K10" i="77"/>
  <c r="BF10" i="77" s="1"/>
  <c r="N9" i="77"/>
  <c r="M9" i="77"/>
  <c r="L9" i="77"/>
  <c r="K9" i="77"/>
  <c r="BF9" i="77" s="1"/>
  <c r="N8" i="77"/>
  <c r="M8" i="77"/>
  <c r="L8" i="77"/>
  <c r="K8" i="77"/>
  <c r="BF8" i="77" s="1"/>
  <c r="R112" i="77"/>
  <c r="Q112" i="77"/>
  <c r="P112" i="77"/>
  <c r="O112" i="77"/>
  <c r="R111" i="77"/>
  <c r="Q111" i="77"/>
  <c r="P111" i="77"/>
  <c r="O111" i="77"/>
  <c r="BG111" i="77" s="1"/>
  <c r="R110" i="77"/>
  <c r="Q110" i="77"/>
  <c r="P110" i="77"/>
  <c r="O110" i="77"/>
  <c r="BG110" i="77" s="1"/>
  <c r="R109" i="77"/>
  <c r="Q109" i="77"/>
  <c r="P109" i="77"/>
  <c r="O109" i="77"/>
  <c r="BG109" i="77" s="1"/>
  <c r="R108" i="77"/>
  <c r="Q108" i="77"/>
  <c r="P108" i="77"/>
  <c r="O108" i="77"/>
  <c r="BG108" i="77" s="1"/>
  <c r="R107" i="77"/>
  <c r="Q107" i="77"/>
  <c r="P107" i="77"/>
  <c r="O107" i="77"/>
  <c r="BG107" i="77" s="1"/>
  <c r="R106" i="77"/>
  <c r="Q106" i="77"/>
  <c r="P106" i="77"/>
  <c r="O106" i="77"/>
  <c r="BG106" i="77" s="1"/>
  <c r="R105" i="77"/>
  <c r="Q105" i="77"/>
  <c r="P105" i="77"/>
  <c r="O105" i="77"/>
  <c r="BG105" i="77" s="1"/>
  <c r="R104" i="77"/>
  <c r="Q104" i="77"/>
  <c r="P104" i="77"/>
  <c r="O104" i="77"/>
  <c r="BG104" i="77" s="1"/>
  <c r="R103" i="77"/>
  <c r="Q103" i="77"/>
  <c r="P103" i="77"/>
  <c r="O103" i="77"/>
  <c r="BG103" i="77" s="1"/>
  <c r="R102" i="77"/>
  <c r="Q102" i="77"/>
  <c r="P102" i="77"/>
  <c r="O102" i="77"/>
  <c r="BG102" i="77" s="1"/>
  <c r="R101" i="77"/>
  <c r="Q101" i="77"/>
  <c r="P101" i="77"/>
  <c r="O101" i="77"/>
  <c r="BG101" i="77" s="1"/>
  <c r="R100" i="77"/>
  <c r="Q100" i="77"/>
  <c r="P100" i="77"/>
  <c r="O100" i="77"/>
  <c r="BG100" i="77" s="1"/>
  <c r="R99" i="77"/>
  <c r="Q99" i="77"/>
  <c r="P99" i="77"/>
  <c r="O99" i="77"/>
  <c r="BG99" i="77" s="1"/>
  <c r="R98" i="77"/>
  <c r="Q98" i="77"/>
  <c r="P98" i="77"/>
  <c r="O98" i="77"/>
  <c r="BG98" i="77" s="1"/>
  <c r="R97" i="77"/>
  <c r="Q97" i="77"/>
  <c r="P97" i="77"/>
  <c r="O97" i="77"/>
  <c r="BG97" i="77" s="1"/>
  <c r="R96" i="77"/>
  <c r="Q96" i="77"/>
  <c r="P96" i="77"/>
  <c r="O96" i="77"/>
  <c r="BG96" i="77" s="1"/>
  <c r="R95" i="77"/>
  <c r="Q95" i="77"/>
  <c r="P95" i="77"/>
  <c r="O95" i="77"/>
  <c r="R94" i="77"/>
  <c r="Q94" i="77"/>
  <c r="P94" i="77"/>
  <c r="O94" i="77"/>
  <c r="R93" i="77"/>
  <c r="Q93" i="77"/>
  <c r="P93" i="77"/>
  <c r="O93" i="77"/>
  <c r="BG93" i="77" s="1"/>
  <c r="R92" i="77"/>
  <c r="Q92" i="77"/>
  <c r="P92" i="77"/>
  <c r="O92" i="77"/>
  <c r="BG92" i="77" s="1"/>
  <c r="R91" i="77"/>
  <c r="Q91" i="77"/>
  <c r="P91" i="77"/>
  <c r="O91" i="77"/>
  <c r="BG91" i="77" s="1"/>
  <c r="R90" i="77"/>
  <c r="Q90" i="77"/>
  <c r="P90" i="77"/>
  <c r="O90" i="77"/>
  <c r="BG90" i="77" s="1"/>
  <c r="R89" i="77"/>
  <c r="Q89" i="77"/>
  <c r="P89" i="77"/>
  <c r="O89" i="77"/>
  <c r="BG89" i="77" s="1"/>
  <c r="R88" i="77"/>
  <c r="Q88" i="77"/>
  <c r="P88" i="77"/>
  <c r="O88" i="77"/>
  <c r="BG88" i="77" s="1"/>
  <c r="R87" i="77"/>
  <c r="Q87" i="77"/>
  <c r="P87" i="77"/>
  <c r="O87" i="77"/>
  <c r="BG87" i="77" s="1"/>
  <c r="R86" i="77"/>
  <c r="Q86" i="77"/>
  <c r="P86" i="77"/>
  <c r="O86" i="77"/>
  <c r="BG86" i="77" s="1"/>
  <c r="R85" i="77"/>
  <c r="Q85" i="77"/>
  <c r="P85" i="77"/>
  <c r="O85" i="77"/>
  <c r="BG85" i="77" s="1"/>
  <c r="R84" i="77"/>
  <c r="Q84" i="77"/>
  <c r="P84" i="77"/>
  <c r="O84" i="77"/>
  <c r="BG84" i="77" s="1"/>
  <c r="R83" i="77"/>
  <c r="Q83" i="77"/>
  <c r="P83" i="77"/>
  <c r="O83" i="77"/>
  <c r="BG83" i="77" s="1"/>
  <c r="R82" i="77"/>
  <c r="Q82" i="77"/>
  <c r="P82" i="77"/>
  <c r="O82" i="77"/>
  <c r="BG82" i="77" s="1"/>
  <c r="R81" i="77"/>
  <c r="Q81" i="77"/>
  <c r="P81" i="77"/>
  <c r="O81" i="77"/>
  <c r="BG81" i="77" s="1"/>
  <c r="R80" i="77"/>
  <c r="Q80" i="77"/>
  <c r="P80" i="77"/>
  <c r="O80" i="77"/>
  <c r="BG80" i="77" s="1"/>
  <c r="R79" i="77"/>
  <c r="Q79" i="77"/>
  <c r="P79" i="77"/>
  <c r="O79" i="77"/>
  <c r="BG79" i="77" s="1"/>
  <c r="R78" i="77"/>
  <c r="Q78" i="77"/>
  <c r="P78" i="77"/>
  <c r="O78" i="77"/>
  <c r="BG78" i="77" s="1"/>
  <c r="R77" i="77"/>
  <c r="Q77" i="77"/>
  <c r="P77" i="77"/>
  <c r="O77" i="77"/>
  <c r="R76" i="77"/>
  <c r="Q76" i="77"/>
  <c r="P76" i="77"/>
  <c r="O76" i="77"/>
  <c r="R75" i="77"/>
  <c r="Q75" i="77"/>
  <c r="P75" i="77"/>
  <c r="O75" i="77"/>
  <c r="R74" i="77"/>
  <c r="Q74" i="77"/>
  <c r="P74" i="77"/>
  <c r="O74" i="77"/>
  <c r="BG74" i="77" s="1"/>
  <c r="R73" i="77"/>
  <c r="Q73" i="77"/>
  <c r="P73" i="77"/>
  <c r="O73" i="77"/>
  <c r="BG73" i="77" s="1"/>
  <c r="R72" i="77"/>
  <c r="Q72" i="77"/>
  <c r="P72" i="77"/>
  <c r="O72" i="77"/>
  <c r="BG72" i="77" s="1"/>
  <c r="R71" i="77"/>
  <c r="Q71" i="77"/>
  <c r="P71" i="77"/>
  <c r="O71" i="77"/>
  <c r="R70" i="77"/>
  <c r="Q70" i="77"/>
  <c r="P70" i="77"/>
  <c r="O70" i="77"/>
  <c r="R69" i="77"/>
  <c r="Q69" i="77"/>
  <c r="P69" i="77"/>
  <c r="O69" i="77"/>
  <c r="R68" i="77"/>
  <c r="Q68" i="77"/>
  <c r="P68" i="77"/>
  <c r="O68" i="77"/>
  <c r="BG68" i="77" s="1"/>
  <c r="R67" i="77"/>
  <c r="Q67" i="77"/>
  <c r="P67" i="77"/>
  <c r="O67" i="77"/>
  <c r="BG67" i="77" s="1"/>
  <c r="R66" i="77"/>
  <c r="Q66" i="77"/>
  <c r="P66" i="77"/>
  <c r="O66" i="77"/>
  <c r="BG66" i="77" s="1"/>
  <c r="R65" i="77"/>
  <c r="Q65" i="77"/>
  <c r="P65" i="77"/>
  <c r="O65" i="77"/>
  <c r="BG65" i="77" s="1"/>
  <c r="R64" i="77"/>
  <c r="Q64" i="77"/>
  <c r="P64" i="77"/>
  <c r="O64" i="77"/>
  <c r="BG64" i="77" s="1"/>
  <c r="R63" i="77"/>
  <c r="Q63" i="77"/>
  <c r="P63" i="77"/>
  <c r="O63" i="77"/>
  <c r="BG63" i="77" s="1"/>
  <c r="R62" i="77"/>
  <c r="Q62" i="77"/>
  <c r="P62" i="77"/>
  <c r="O62" i="77"/>
  <c r="BG62" i="77" s="1"/>
  <c r="R61" i="77"/>
  <c r="Q61" i="77"/>
  <c r="P61" i="77"/>
  <c r="O61" i="77"/>
  <c r="BG61" i="77" s="1"/>
  <c r="R60" i="77"/>
  <c r="Q60" i="77"/>
  <c r="P60" i="77"/>
  <c r="O60" i="77"/>
  <c r="BG60" i="77" s="1"/>
  <c r="R59" i="77"/>
  <c r="Q59" i="77"/>
  <c r="P59" i="77"/>
  <c r="O59" i="77"/>
  <c r="BG59" i="77" s="1"/>
  <c r="R58" i="77"/>
  <c r="Q58" i="77"/>
  <c r="P58" i="77"/>
  <c r="O58" i="77"/>
  <c r="BG58" i="77" s="1"/>
  <c r="R57" i="77"/>
  <c r="Q57" i="77"/>
  <c r="P57" i="77"/>
  <c r="O57" i="77"/>
  <c r="BG57" i="77" s="1"/>
  <c r="R56" i="77"/>
  <c r="Q56" i="77"/>
  <c r="P56" i="77"/>
  <c r="O56" i="77"/>
  <c r="BG56" i="77" s="1"/>
  <c r="R55" i="77"/>
  <c r="Q55" i="77"/>
  <c r="P55" i="77"/>
  <c r="O55" i="77"/>
  <c r="BG55" i="77" s="1"/>
  <c r="R54" i="77"/>
  <c r="Q54" i="77"/>
  <c r="P54" i="77"/>
  <c r="O54" i="77"/>
  <c r="BG54" i="77" s="1"/>
  <c r="R53" i="77"/>
  <c r="Q53" i="77"/>
  <c r="P53" i="77"/>
  <c r="O53" i="77"/>
  <c r="BG53" i="77" s="1"/>
  <c r="R52" i="77"/>
  <c r="Q52" i="77"/>
  <c r="P52" i="77"/>
  <c r="O52" i="77"/>
  <c r="R50" i="77"/>
  <c r="Q50" i="77"/>
  <c r="P50" i="77"/>
  <c r="O50" i="77"/>
  <c r="R49" i="77"/>
  <c r="Q49" i="77"/>
  <c r="P49" i="77"/>
  <c r="O49" i="77"/>
  <c r="BG49" i="77" s="1"/>
  <c r="R48" i="77"/>
  <c r="Q48" i="77"/>
  <c r="P48" i="77"/>
  <c r="O48" i="77"/>
  <c r="BG48" i="77" s="1"/>
  <c r="R47" i="77"/>
  <c r="Q47" i="77"/>
  <c r="P47" i="77"/>
  <c r="O47" i="77"/>
  <c r="BG47" i="77" s="1"/>
  <c r="R46" i="77"/>
  <c r="Q46" i="77"/>
  <c r="P46" i="77"/>
  <c r="O46" i="77"/>
  <c r="BG46" i="77" s="1"/>
  <c r="R45" i="77"/>
  <c r="Q45" i="77"/>
  <c r="P45" i="77"/>
  <c r="O45" i="77"/>
  <c r="BG45" i="77" s="1"/>
  <c r="R44" i="77"/>
  <c r="Q44" i="77"/>
  <c r="P44" i="77"/>
  <c r="O44" i="77"/>
  <c r="BG44" i="77" s="1"/>
  <c r="R43" i="77"/>
  <c r="Q43" i="77"/>
  <c r="P43" i="77"/>
  <c r="O43" i="77"/>
  <c r="BG43" i="77" s="1"/>
  <c r="R42" i="77"/>
  <c r="Q42" i="77"/>
  <c r="P42" i="77"/>
  <c r="O42" i="77"/>
  <c r="BG42" i="77" s="1"/>
  <c r="R41" i="77"/>
  <c r="Q41" i="77"/>
  <c r="P41" i="77"/>
  <c r="O41" i="77"/>
  <c r="BG41" i="77" s="1"/>
  <c r="R40" i="77"/>
  <c r="Q40" i="77"/>
  <c r="P40" i="77"/>
  <c r="O40" i="77"/>
  <c r="BG40" i="77" s="1"/>
  <c r="R39" i="77"/>
  <c r="Q39" i="77"/>
  <c r="P39" i="77"/>
  <c r="O39" i="77"/>
  <c r="BG39" i="77" s="1"/>
  <c r="R38" i="77"/>
  <c r="Q38" i="77"/>
  <c r="P38" i="77"/>
  <c r="O38" i="77"/>
  <c r="BG38" i="77" s="1"/>
  <c r="R37" i="77"/>
  <c r="Q37" i="77"/>
  <c r="P37" i="77"/>
  <c r="O37" i="77"/>
  <c r="BG37" i="77" s="1"/>
  <c r="R36" i="77"/>
  <c r="Q36" i="77"/>
  <c r="P36" i="77"/>
  <c r="O36" i="77"/>
  <c r="BG36" i="77" s="1"/>
  <c r="R35" i="77"/>
  <c r="Q35" i="77"/>
  <c r="P35" i="77"/>
  <c r="O35" i="77"/>
  <c r="BG35" i="77" s="1"/>
  <c r="R34" i="77"/>
  <c r="Q34" i="77"/>
  <c r="P34" i="77"/>
  <c r="O34" i="77"/>
  <c r="BG34" i="77" s="1"/>
  <c r="R33" i="77"/>
  <c r="Q33" i="77"/>
  <c r="P33" i="77"/>
  <c r="O33" i="77"/>
  <c r="R32" i="77"/>
  <c r="Q32" i="77"/>
  <c r="P32" i="77"/>
  <c r="O32" i="77"/>
  <c r="R31" i="77"/>
  <c r="Q31" i="77"/>
  <c r="P31" i="77"/>
  <c r="O31" i="77"/>
  <c r="BG31" i="77" s="1"/>
  <c r="R30" i="77"/>
  <c r="Q30" i="77"/>
  <c r="P30" i="77"/>
  <c r="O30" i="77"/>
  <c r="BG30" i="77" s="1"/>
  <c r="R29" i="77"/>
  <c r="Q29" i="77"/>
  <c r="P29" i="77"/>
  <c r="O29" i="77"/>
  <c r="BG29" i="77" s="1"/>
  <c r="R28" i="77"/>
  <c r="Q28" i="77"/>
  <c r="P28" i="77"/>
  <c r="O28" i="77"/>
  <c r="BG28" i="77" s="1"/>
  <c r="R27" i="77"/>
  <c r="Q27" i="77"/>
  <c r="P27" i="77"/>
  <c r="O27" i="77"/>
  <c r="BG27" i="77" s="1"/>
  <c r="R26" i="77"/>
  <c r="Q26" i="77"/>
  <c r="P26" i="77"/>
  <c r="O26" i="77"/>
  <c r="BG26" i="77" s="1"/>
  <c r="R25" i="77"/>
  <c r="Q25" i="77"/>
  <c r="P25" i="77"/>
  <c r="O25" i="77"/>
  <c r="BG25" i="77" s="1"/>
  <c r="R24" i="77"/>
  <c r="Q24" i="77"/>
  <c r="P24" i="77"/>
  <c r="O24" i="77"/>
  <c r="BG24" i="77" s="1"/>
  <c r="R23" i="77"/>
  <c r="Q23" i="77"/>
  <c r="P23" i="77"/>
  <c r="O23" i="77"/>
  <c r="BG23" i="77" s="1"/>
  <c r="R22" i="77"/>
  <c r="Q22" i="77"/>
  <c r="P22" i="77"/>
  <c r="O22" i="77"/>
  <c r="BG22" i="77" s="1"/>
  <c r="R21" i="77"/>
  <c r="Q21" i="77"/>
  <c r="P21" i="77"/>
  <c r="O21" i="77"/>
  <c r="BG21" i="77" s="1"/>
  <c r="R20" i="77"/>
  <c r="Q20" i="77"/>
  <c r="P20" i="77"/>
  <c r="O20" i="77"/>
  <c r="BG20" i="77" s="1"/>
  <c r="R19" i="77"/>
  <c r="Q19" i="77"/>
  <c r="P19" i="77"/>
  <c r="O19" i="77"/>
  <c r="BG19" i="77" s="1"/>
  <c r="R18" i="77"/>
  <c r="Q18" i="77"/>
  <c r="P18" i="77"/>
  <c r="O18" i="77"/>
  <c r="BG18" i="77" s="1"/>
  <c r="R17" i="77"/>
  <c r="Q17" i="77"/>
  <c r="P17" i="77"/>
  <c r="O17" i="77"/>
  <c r="BG17" i="77" s="1"/>
  <c r="R16" i="77"/>
  <c r="Q16" i="77"/>
  <c r="P16" i="77"/>
  <c r="O16" i="77"/>
  <c r="BG16" i="77" s="1"/>
  <c r="R15" i="77"/>
  <c r="Q15" i="77"/>
  <c r="P15" i="77"/>
  <c r="O15" i="77"/>
  <c r="R14" i="77"/>
  <c r="Q14" i="77"/>
  <c r="P14" i="77"/>
  <c r="O14" i="77"/>
  <c r="R13" i="77"/>
  <c r="Q13" i="77"/>
  <c r="P13" i="77"/>
  <c r="O13" i="77"/>
  <c r="R12" i="77"/>
  <c r="Q12" i="77"/>
  <c r="P12" i="77"/>
  <c r="O12" i="77"/>
  <c r="BG12" i="77" s="1"/>
  <c r="R11" i="77"/>
  <c r="Q11" i="77"/>
  <c r="P11" i="77"/>
  <c r="O11" i="77"/>
  <c r="BG11" i="77" s="1"/>
  <c r="R10" i="77"/>
  <c r="Q10" i="77"/>
  <c r="P10" i="77"/>
  <c r="O10" i="77"/>
  <c r="BG10" i="77" s="1"/>
  <c r="R9" i="77"/>
  <c r="Q9" i="77"/>
  <c r="P9" i="77"/>
  <c r="O9" i="77"/>
  <c r="BG9" i="77" s="1"/>
  <c r="R8" i="77"/>
  <c r="Q8" i="77"/>
  <c r="P8" i="77"/>
  <c r="O8" i="77"/>
  <c r="BG8" i="77" s="1"/>
  <c r="BB168" i="46"/>
  <c r="BB128" i="46"/>
  <c r="BA126" i="46"/>
  <c r="AZ126" i="46"/>
  <c r="AY126" i="46"/>
  <c r="AX126" i="46"/>
  <c r="BB125" i="46"/>
  <c r="BB124" i="46"/>
  <c r="BB119" i="46"/>
  <c r="BB118" i="46"/>
  <c r="BA49" i="72"/>
  <c r="AS469" i="15"/>
  <c r="AT469" i="15" s="1"/>
  <c r="AU469" i="15" s="1"/>
  <c r="AW457" i="15"/>
  <c r="AW38" i="15"/>
  <c r="AV38" i="15"/>
  <c r="AW37" i="15"/>
  <c r="AV37" i="15"/>
  <c r="AV177" i="72"/>
  <c r="AW174" i="72"/>
  <c r="AW173" i="72"/>
  <c r="AW168" i="72"/>
  <c r="AW159" i="72"/>
  <c r="AS152" i="72"/>
  <c r="AT152" i="72"/>
  <c r="AU152" i="72"/>
  <c r="AW138" i="72"/>
  <c r="AW137" i="72"/>
  <c r="AV37" i="72"/>
  <c r="AQ37" i="72"/>
  <c r="AU12" i="72"/>
  <c r="AT12" i="72"/>
  <c r="AW104" i="46"/>
  <c r="AW75" i="46"/>
  <c r="DO44" i="71"/>
  <c r="AV54" i="46"/>
  <c r="AW54" i="46"/>
  <c r="BA14" i="51"/>
  <c r="AV12" i="72"/>
  <c r="AZ142" i="77"/>
  <c r="AZ141" i="77"/>
  <c r="AZ140" i="77"/>
  <c r="AZ139" i="77"/>
  <c r="AZ108" i="59"/>
  <c r="AZ106" i="59"/>
  <c r="AZ105" i="59"/>
  <c r="AZ100" i="59"/>
  <c r="AY100" i="59" s="1"/>
  <c r="AZ99" i="59"/>
  <c r="AZ98" i="59"/>
  <c r="AZ97" i="59"/>
  <c r="AZ96" i="59"/>
  <c r="AW96" i="59" s="1"/>
  <c r="AZ94" i="59"/>
  <c r="AZ83" i="59"/>
  <c r="AZ81" i="59"/>
  <c r="AZ80" i="59"/>
  <c r="AY80" i="59" s="1"/>
  <c r="AZ79" i="59"/>
  <c r="AZ78" i="59"/>
  <c r="AZ72" i="59"/>
  <c r="AY72" i="59"/>
  <c r="AZ71" i="59"/>
  <c r="AZ70" i="59"/>
  <c r="AZ69" i="59"/>
  <c r="AZ68" i="59"/>
  <c r="AY68" i="59" s="1"/>
  <c r="AZ67" i="59"/>
  <c r="AZ66" i="59"/>
  <c r="AZ65" i="59"/>
  <c r="AZ64" i="59"/>
  <c r="AY64" i="59" s="1"/>
  <c r="AZ63" i="59"/>
  <c r="AZ62" i="59"/>
  <c r="AZ61" i="59"/>
  <c r="AZ60" i="59"/>
  <c r="AY60" i="59" s="1"/>
  <c r="AZ59" i="59"/>
  <c r="AZ58" i="59"/>
  <c r="AZ57" i="59"/>
  <c r="AZ56" i="59"/>
  <c r="AY56" i="59" s="1"/>
  <c r="AZ55" i="59"/>
  <c r="AZ54" i="59"/>
  <c r="AZ53" i="59"/>
  <c r="AZ52" i="59"/>
  <c r="AY52" i="59" s="1"/>
  <c r="AZ49" i="59"/>
  <c r="AZ48" i="59"/>
  <c r="AZ47" i="59"/>
  <c r="AZ46" i="59"/>
  <c r="AY46" i="59" s="1"/>
  <c r="AZ45" i="59"/>
  <c r="AZ44" i="59"/>
  <c r="AZ43" i="59"/>
  <c r="AZ32" i="59"/>
  <c r="AY32" i="59" s="1"/>
  <c r="AZ30" i="59"/>
  <c r="AZ29" i="59"/>
  <c r="AY29" i="59"/>
  <c r="AZ28" i="59"/>
  <c r="AZ27" i="59"/>
  <c r="AX27" i="59"/>
  <c r="AZ22" i="59"/>
  <c r="AV22" i="59" s="1"/>
  <c r="AZ21" i="59"/>
  <c r="AZ20" i="59"/>
  <c r="AZ19" i="59"/>
  <c r="AY19" i="59"/>
  <c r="AZ18" i="59"/>
  <c r="AZ66" i="51"/>
  <c r="AZ63" i="51"/>
  <c r="AZ62" i="51"/>
  <c r="AZ56" i="51"/>
  <c r="AZ14" i="51"/>
  <c r="AZ499" i="15"/>
  <c r="AZ133" i="15"/>
  <c r="AZ41" i="46"/>
  <c r="AZ38" i="46"/>
  <c r="AZ269" i="72"/>
  <c r="AZ67" i="72"/>
  <c r="AZ185" i="72"/>
  <c r="AY108" i="59"/>
  <c r="AX108" i="59"/>
  <c r="AW108" i="59"/>
  <c r="AV108" i="59"/>
  <c r="AY106" i="59"/>
  <c r="AX106" i="59"/>
  <c r="AW106" i="59"/>
  <c r="AV106" i="59"/>
  <c r="AY105" i="59"/>
  <c r="AX105" i="59"/>
  <c r="AV105" i="59"/>
  <c r="AV100" i="59"/>
  <c r="AY99" i="59"/>
  <c r="AX99" i="59"/>
  <c r="AV99" i="59"/>
  <c r="AY98" i="59"/>
  <c r="AX98" i="59"/>
  <c r="AW98" i="59"/>
  <c r="AV98" i="59"/>
  <c r="AY97" i="59"/>
  <c r="AX97" i="59"/>
  <c r="AV97" i="59"/>
  <c r="AX96" i="59"/>
  <c r="AY94" i="59"/>
  <c r="AX94" i="59"/>
  <c r="AW94" i="59"/>
  <c r="AV94" i="59"/>
  <c r="AY30" i="59"/>
  <c r="AX30" i="59"/>
  <c r="AW30" i="59"/>
  <c r="AV30" i="59"/>
  <c r="AV29" i="59"/>
  <c r="AY28" i="59"/>
  <c r="AX28" i="59"/>
  <c r="AW28" i="59"/>
  <c r="AV28" i="59"/>
  <c r="AY27" i="59"/>
  <c r="AV27" i="59"/>
  <c r="AX22" i="59"/>
  <c r="AY21" i="59"/>
  <c r="AX21" i="59"/>
  <c r="AW21" i="59"/>
  <c r="AV21" i="59"/>
  <c r="AY20" i="59"/>
  <c r="AX20" i="59"/>
  <c r="AV20" i="59"/>
  <c r="AX19" i="59"/>
  <c r="AW19" i="59"/>
  <c r="AV19" i="59"/>
  <c r="AY18" i="59"/>
  <c r="AX18" i="59"/>
  <c r="AV18" i="59"/>
  <c r="AY193" i="15"/>
  <c r="AX72" i="59"/>
  <c r="AY71" i="59"/>
  <c r="AX71" i="59"/>
  <c r="AW71" i="59"/>
  <c r="AV71" i="59"/>
  <c r="AY70" i="59"/>
  <c r="AX70" i="59"/>
  <c r="AW70" i="59"/>
  <c r="AV70" i="59"/>
  <c r="AY69" i="59"/>
  <c r="AX69" i="59"/>
  <c r="AW69" i="59"/>
  <c r="AV69" i="59"/>
  <c r="AV68" i="59"/>
  <c r="AY67" i="59"/>
  <c r="AX67" i="59"/>
  <c r="AW67" i="59"/>
  <c r="AV67" i="59"/>
  <c r="AY66" i="59"/>
  <c r="AX66" i="59"/>
  <c r="AW66" i="59"/>
  <c r="AV66" i="59"/>
  <c r="AY65" i="59"/>
  <c r="AX65" i="59"/>
  <c r="AW65" i="59"/>
  <c r="AV65" i="59"/>
  <c r="AV64" i="59"/>
  <c r="AY63" i="59"/>
  <c r="AX63" i="59"/>
  <c r="AW63" i="59"/>
  <c r="AV63" i="59"/>
  <c r="AY62" i="59"/>
  <c r="AX62" i="59"/>
  <c r="AW62" i="59"/>
  <c r="AV62" i="59"/>
  <c r="AY61" i="59"/>
  <c r="AX61" i="59"/>
  <c r="AW61" i="59"/>
  <c r="AV61" i="59"/>
  <c r="AV60" i="59"/>
  <c r="AY59" i="59"/>
  <c r="AX59" i="59"/>
  <c r="AW59" i="59"/>
  <c r="AV59" i="59"/>
  <c r="AY58" i="59"/>
  <c r="AX58" i="59"/>
  <c r="AW58" i="59"/>
  <c r="AV58" i="59"/>
  <c r="AY57" i="59"/>
  <c r="AX57" i="59"/>
  <c r="AW57" i="59"/>
  <c r="AV57" i="59"/>
  <c r="AV56" i="59"/>
  <c r="AY55" i="59"/>
  <c r="AX55" i="59"/>
  <c r="AW55" i="59"/>
  <c r="AV55" i="59"/>
  <c r="AY54" i="59"/>
  <c r="AX54" i="59"/>
  <c r="AW54" i="59"/>
  <c r="AV54" i="59"/>
  <c r="AY53" i="59"/>
  <c r="AX53" i="59"/>
  <c r="AW53" i="59"/>
  <c r="AV53" i="59"/>
  <c r="AV52" i="59"/>
  <c r="AY49" i="59"/>
  <c r="AX49" i="59"/>
  <c r="AW49" i="59"/>
  <c r="AV49" i="59"/>
  <c r="AY48" i="59"/>
  <c r="AX48" i="59"/>
  <c r="AW48" i="59"/>
  <c r="AV48" i="59"/>
  <c r="AY47" i="59"/>
  <c r="AX47" i="59"/>
  <c r="AW47" i="59"/>
  <c r="AV47" i="59"/>
  <c r="AV46" i="59"/>
  <c r="AY45" i="59"/>
  <c r="AX45" i="59"/>
  <c r="AW45" i="59"/>
  <c r="AV45" i="59"/>
  <c r="AY44" i="59"/>
  <c r="AX44" i="59"/>
  <c r="AW44" i="59"/>
  <c r="AV44" i="59"/>
  <c r="AY43" i="59"/>
  <c r="AX43" i="59"/>
  <c r="AW43" i="59"/>
  <c r="AV43" i="59"/>
  <c r="AY83" i="59"/>
  <c r="AX83" i="59"/>
  <c r="AW83" i="59"/>
  <c r="AV83" i="59"/>
  <c r="AY81" i="59"/>
  <c r="AX81" i="59"/>
  <c r="AW81" i="59"/>
  <c r="AV81" i="59"/>
  <c r="AY79" i="59"/>
  <c r="AX79" i="59"/>
  <c r="AW79" i="59"/>
  <c r="AV79" i="59"/>
  <c r="AY78" i="59"/>
  <c r="AX78" i="59"/>
  <c r="AV78" i="59"/>
  <c r="BE13" i="51"/>
  <c r="BE12" i="51"/>
  <c r="BE9" i="51"/>
  <c r="AZ336" i="46"/>
  <c r="CY79" i="59"/>
  <c r="CX79" i="59"/>
  <c r="CW79" i="59"/>
  <c r="CV79" i="59"/>
  <c r="CT79" i="59"/>
  <c r="CS79" i="59"/>
  <c r="CR79" i="59"/>
  <c r="CQ79" i="59"/>
  <c r="CO79" i="59"/>
  <c r="CN79" i="59"/>
  <c r="CM79" i="59"/>
  <c r="CL79" i="59"/>
  <c r="BZ79" i="59"/>
  <c r="BY79" i="59"/>
  <c r="BX79" i="59"/>
  <c r="BW79" i="59"/>
  <c r="BU79" i="59"/>
  <c r="BT79" i="59"/>
  <c r="BS79" i="59"/>
  <c r="BR79" i="59"/>
  <c r="BP79" i="59"/>
  <c r="BO79" i="59"/>
  <c r="BN79" i="59"/>
  <c r="BM79" i="59"/>
  <c r="BK79" i="59"/>
  <c r="BJ79" i="59"/>
  <c r="BI79" i="59"/>
  <c r="BH79" i="59"/>
  <c r="BG79" i="59"/>
  <c r="BL79" i="59" s="1"/>
  <c r="BQ79" i="59" s="1"/>
  <c r="BV79" i="59" s="1"/>
  <c r="CA79" i="59" s="1"/>
  <c r="CF79" i="59" s="1"/>
  <c r="BE79" i="59"/>
  <c r="BA79" i="59"/>
  <c r="AU79" i="59"/>
  <c r="AT79" i="59" s="1"/>
  <c r="AP79" i="59"/>
  <c r="AO79" i="59"/>
  <c r="AK79" i="59"/>
  <c r="AG79" i="59" s="1"/>
  <c r="AF79" i="59"/>
  <c r="AE79" i="59"/>
  <c r="AA79" i="59"/>
  <c r="Z79" i="59" s="1"/>
  <c r="V79" i="59"/>
  <c r="U79" i="59"/>
  <c r="Q79" i="59"/>
  <c r="P79" i="59" s="1"/>
  <c r="L79" i="59"/>
  <c r="CY27" i="59"/>
  <c r="CX27" i="59"/>
  <c r="CW27" i="59"/>
  <c r="CV27" i="59"/>
  <c r="CT27" i="59"/>
  <c r="CS27" i="59"/>
  <c r="CR27" i="59"/>
  <c r="CQ27" i="59"/>
  <c r="CO27" i="59"/>
  <c r="CN27" i="59"/>
  <c r="CM27" i="59"/>
  <c r="CL27" i="59"/>
  <c r="BZ27" i="59"/>
  <c r="BY27" i="59"/>
  <c r="BX27" i="59"/>
  <c r="BW27" i="59"/>
  <c r="BU27" i="59"/>
  <c r="BT27" i="59"/>
  <c r="BS27" i="59"/>
  <c r="BR27" i="59"/>
  <c r="BP27" i="59"/>
  <c r="BO27" i="59"/>
  <c r="BN27" i="59"/>
  <c r="BM27" i="59"/>
  <c r="BK27" i="59"/>
  <c r="BJ27" i="59"/>
  <c r="BI27" i="59"/>
  <c r="BH27" i="59"/>
  <c r="BG27" i="59"/>
  <c r="BL27" i="59"/>
  <c r="BQ27" i="59" s="1"/>
  <c r="BV27" i="59" s="1"/>
  <c r="CA27" i="59" s="1"/>
  <c r="CF27" i="59" s="1"/>
  <c r="BE27" i="59"/>
  <c r="BC27" i="59"/>
  <c r="AU27" i="59"/>
  <c r="AS27" i="59"/>
  <c r="AP27" i="59"/>
  <c r="AO27" i="59"/>
  <c r="AK27" i="59"/>
  <c r="AJ27" i="59"/>
  <c r="AF27" i="59"/>
  <c r="AE27" i="59"/>
  <c r="AA27" i="59"/>
  <c r="Z27" i="59"/>
  <c r="V27" i="59"/>
  <c r="T27" i="59"/>
  <c r="U27" i="59"/>
  <c r="R27" i="59"/>
  <c r="Q27" i="59"/>
  <c r="P27" i="59"/>
  <c r="L27" i="59"/>
  <c r="CY72" i="59"/>
  <c r="CX72" i="59"/>
  <c r="CW72" i="59"/>
  <c r="CV72" i="59"/>
  <c r="CT72" i="59"/>
  <c r="CS72" i="59"/>
  <c r="CR72" i="59"/>
  <c r="CQ72" i="59"/>
  <c r="CO72" i="59"/>
  <c r="CN72" i="59"/>
  <c r="CM72" i="59"/>
  <c r="CL72" i="59"/>
  <c r="CJ72" i="59"/>
  <c r="CI72" i="59"/>
  <c r="CH72" i="59"/>
  <c r="CG72" i="59"/>
  <c r="CE72" i="59"/>
  <c r="CD72" i="59"/>
  <c r="CC72" i="59"/>
  <c r="CB72" i="59"/>
  <c r="BZ72" i="59"/>
  <c r="BY72" i="59"/>
  <c r="BX72" i="59"/>
  <c r="BW72" i="59"/>
  <c r="BU72" i="59"/>
  <c r="BT72" i="59"/>
  <c r="BS72" i="59"/>
  <c r="BR72" i="59"/>
  <c r="BP72" i="59"/>
  <c r="BO72" i="59"/>
  <c r="BN72" i="59"/>
  <c r="BM72" i="59"/>
  <c r="BK72" i="59"/>
  <c r="BJ72" i="59"/>
  <c r="BI72" i="59"/>
  <c r="BH72" i="59"/>
  <c r="BG72" i="59"/>
  <c r="BL72" i="59" s="1"/>
  <c r="BQ72" i="59" s="1"/>
  <c r="BV72" i="59" s="1"/>
  <c r="CA72" i="59" s="1"/>
  <c r="CF72" i="59" s="1"/>
  <c r="CK72" i="59" s="1"/>
  <c r="CP72" i="59" s="1"/>
  <c r="CU72" i="59" s="1"/>
  <c r="CZ72" i="59" s="1"/>
  <c r="BE72" i="59"/>
  <c r="BD72" i="59"/>
  <c r="AU72" i="59"/>
  <c r="AT72" i="59" s="1"/>
  <c r="AP72" i="59"/>
  <c r="AO72" i="59"/>
  <c r="AK72" i="59"/>
  <c r="AJ72" i="59" s="1"/>
  <c r="AF72" i="59"/>
  <c r="AE72" i="59"/>
  <c r="AA72" i="59"/>
  <c r="Z72" i="59" s="1"/>
  <c r="V72" i="59"/>
  <c r="U72" i="59"/>
  <c r="Q72" i="59"/>
  <c r="P72" i="59" s="1"/>
  <c r="L72" i="59"/>
  <c r="E72" i="59"/>
  <c r="E59" i="59"/>
  <c r="CY21" i="59"/>
  <c r="CX21" i="59"/>
  <c r="CW21" i="59"/>
  <c r="CV21" i="59"/>
  <c r="CJ21" i="59"/>
  <c r="CI21" i="59"/>
  <c r="CH21" i="59"/>
  <c r="CG21" i="59"/>
  <c r="CE21" i="59"/>
  <c r="CD21" i="59"/>
  <c r="CC21" i="59"/>
  <c r="CB21" i="59"/>
  <c r="BZ21" i="59"/>
  <c r="BY21" i="59"/>
  <c r="BX21" i="59"/>
  <c r="BW21" i="59"/>
  <c r="BU21" i="59"/>
  <c r="BT21" i="59"/>
  <c r="BS21" i="59"/>
  <c r="BR21" i="59"/>
  <c r="BP21" i="59"/>
  <c r="BO21" i="59"/>
  <c r="BN21" i="59"/>
  <c r="BM21" i="59"/>
  <c r="BK21" i="59"/>
  <c r="BJ21" i="59"/>
  <c r="BI21" i="59"/>
  <c r="BH21" i="59"/>
  <c r="BG21" i="59"/>
  <c r="BL21" i="59" s="1"/>
  <c r="BQ21" i="59" s="1"/>
  <c r="BV21" i="59" s="1"/>
  <c r="CA21" i="59" s="1"/>
  <c r="CF21" i="59" s="1"/>
  <c r="CK21" i="59" s="1"/>
  <c r="CP21" i="59" s="1"/>
  <c r="CU21" i="59" s="1"/>
  <c r="CZ21" i="59" s="1"/>
  <c r="BE21" i="59"/>
  <c r="BD21" i="59"/>
  <c r="AP21" i="59"/>
  <c r="AO21" i="59" s="1"/>
  <c r="AK21" i="59"/>
  <c r="AJ21" i="59"/>
  <c r="AF21" i="59"/>
  <c r="AE21" i="59" s="1"/>
  <c r="AA21" i="59"/>
  <c r="Z21" i="59"/>
  <c r="V21" i="59"/>
  <c r="U21" i="59" s="1"/>
  <c r="Q21" i="59"/>
  <c r="P21" i="59"/>
  <c r="L21" i="59"/>
  <c r="E21" i="59"/>
  <c r="AU21" i="59"/>
  <c r="AT21" i="59"/>
  <c r="E22" i="59"/>
  <c r="G102" i="59"/>
  <c r="G75" i="59"/>
  <c r="G24" i="59"/>
  <c r="AW34" i="51"/>
  <c r="AV34" i="51"/>
  <c r="AW33" i="51"/>
  <c r="AV33" i="51"/>
  <c r="AW27" i="51"/>
  <c r="AW23" i="51"/>
  <c r="AW13" i="51"/>
  <c r="AW12" i="51"/>
  <c r="AW8" i="51"/>
  <c r="AV533" i="15"/>
  <c r="AV548" i="15"/>
  <c r="AW552" i="15"/>
  <c r="AW540" i="15"/>
  <c r="AW533" i="15"/>
  <c r="AW532" i="15"/>
  <c r="AW530" i="15"/>
  <c r="AW549" i="15" s="1"/>
  <c r="AV469" i="15"/>
  <c r="AV465" i="15" s="1"/>
  <c r="AW466" i="15"/>
  <c r="AW34" i="15"/>
  <c r="AW18" i="15"/>
  <c r="AV31" i="15"/>
  <c r="AV27" i="15"/>
  <c r="AV23" i="15"/>
  <c r="AW14" i="15"/>
  <c r="AW16" i="15"/>
  <c r="AW20" i="15" s="1"/>
  <c r="AV13" i="15"/>
  <c r="AV472" i="15"/>
  <c r="AV12" i="15"/>
  <c r="AV14" i="15" s="1"/>
  <c r="AV16" i="15" s="1"/>
  <c r="AW10" i="15"/>
  <c r="AV9" i="15"/>
  <c r="AV8" i="15"/>
  <c r="AW274" i="72"/>
  <c r="AW255" i="72"/>
  <c r="AW253" i="72"/>
  <c r="AW218" i="72"/>
  <c r="AV218" i="72"/>
  <c r="AV219" i="72" s="1"/>
  <c r="AW237" i="72"/>
  <c r="AV225" i="72"/>
  <c r="AW219" i="72"/>
  <c r="AW266" i="72"/>
  <c r="AV217" i="72"/>
  <c r="AV215" i="72"/>
  <c r="AW197" i="72"/>
  <c r="AW193" i="72"/>
  <c r="AW192" i="72"/>
  <c r="AW206" i="72"/>
  <c r="AW148" i="72"/>
  <c r="AW150" i="72"/>
  <c r="AV152" i="72"/>
  <c r="AV159" i="72"/>
  <c r="AV149" i="72"/>
  <c r="S27" i="59"/>
  <c r="AB27" i="59"/>
  <c r="N79" i="59"/>
  <c r="AI79" i="59"/>
  <c r="AS79" i="59"/>
  <c r="BB79" i="59"/>
  <c r="AD27" i="59"/>
  <c r="AH27" i="59"/>
  <c r="AR27" i="59"/>
  <c r="BB27" i="59"/>
  <c r="AL79" i="59"/>
  <c r="AL21" i="59"/>
  <c r="AC27" i="59"/>
  <c r="AG27" i="59"/>
  <c r="AI27" i="59"/>
  <c r="AL27" i="59"/>
  <c r="AB79" i="59"/>
  <c r="AR79" i="59"/>
  <c r="T79" i="59"/>
  <c r="AD79" i="59"/>
  <c r="AN79" i="59"/>
  <c r="AB72" i="59"/>
  <c r="S79" i="59"/>
  <c r="AC79" i="59"/>
  <c r="AM79" i="59"/>
  <c r="N27" i="59"/>
  <c r="BA21" i="59"/>
  <c r="O27" i="59"/>
  <c r="Y27" i="59"/>
  <c r="AN27" i="59"/>
  <c r="AM27" i="59"/>
  <c r="AB21" i="59"/>
  <c r="BC21" i="59"/>
  <c r="AR72" i="59"/>
  <c r="T21" i="59"/>
  <c r="AD21" i="59"/>
  <c r="AM21" i="59"/>
  <c r="X72" i="59"/>
  <c r="W72" i="59"/>
  <c r="S21" i="59"/>
  <c r="AC21" i="59"/>
  <c r="AG21" i="59"/>
  <c r="M21" i="59"/>
  <c r="O21" i="59"/>
  <c r="Y21" i="59"/>
  <c r="AI21" i="59"/>
  <c r="W21" i="59"/>
  <c r="AS21" i="59"/>
  <c r="AQ21" i="59"/>
  <c r="AR21" i="59"/>
  <c r="CT21" i="59"/>
  <c r="CR21" i="59"/>
  <c r="CN21" i="59"/>
  <c r="CL21" i="59"/>
  <c r="CS21" i="59"/>
  <c r="CQ21" i="59"/>
  <c r="CO21" i="59"/>
  <c r="CM21" i="59"/>
  <c r="N21" i="59"/>
  <c r="X21" i="59"/>
  <c r="AH21" i="59"/>
  <c r="BB21" i="59"/>
  <c r="AV534" i="15"/>
  <c r="AW534" i="15"/>
  <c r="AW543" i="15"/>
  <c r="AV549" i="15"/>
  <c r="AW548" i="15"/>
  <c r="AV10" i="15"/>
  <c r="AW229" i="72"/>
  <c r="AW194" i="72"/>
  <c r="AW208" i="72" s="1"/>
  <c r="AW198" i="72"/>
  <c r="AV148" i="72"/>
  <c r="AW541" i="15"/>
  <c r="AW555" i="15"/>
  <c r="AW556" i="15"/>
  <c r="AV543" i="15"/>
  <c r="AV535" i="15"/>
  <c r="AW535" i="15"/>
  <c r="AW544" i="15"/>
  <c r="AW538" i="15"/>
  <c r="AW241" i="72"/>
  <c r="AW226" i="72"/>
  <c r="AV229" i="72"/>
  <c r="AV226" i="72" s="1"/>
  <c r="AW223" i="72"/>
  <c r="AW230" i="72"/>
  <c r="AW220" i="72"/>
  <c r="AW242" i="72"/>
  <c r="AV150" i="72"/>
  <c r="AV555" i="15"/>
  <c r="AV541" i="15"/>
  <c r="AV556" i="15"/>
  <c r="AV538" i="15"/>
  <c r="AV544" i="15"/>
  <c r="AV227" i="72"/>
  <c r="AW127" i="72"/>
  <c r="AV126" i="72"/>
  <c r="AW124" i="72"/>
  <c r="AV123" i="72"/>
  <c r="AW120" i="72"/>
  <c r="AV113" i="72"/>
  <c r="AV116" i="72"/>
  <c r="AV112" i="72"/>
  <c r="AV101" i="72"/>
  <c r="AV100" i="72"/>
  <c r="AW84" i="72"/>
  <c r="AW88" i="72" s="1"/>
  <c r="AV83" i="72"/>
  <c r="AV82" i="72"/>
  <c r="AV81" i="72"/>
  <c r="AV80" i="72"/>
  <c r="AW77" i="72"/>
  <c r="AV76" i="72"/>
  <c r="AV75" i="72"/>
  <c r="AV74" i="72"/>
  <c r="AV73" i="72"/>
  <c r="AW25" i="72"/>
  <c r="AW41" i="72"/>
  <c r="AW61" i="73" s="1"/>
  <c r="AV41" i="72"/>
  <c r="AV34" i="72"/>
  <c r="AV30" i="72"/>
  <c r="AV237" i="72" s="1"/>
  <c r="AW21" i="72"/>
  <c r="AW23" i="72" s="1"/>
  <c r="AW27" i="72" s="1"/>
  <c r="AV20" i="72"/>
  <c r="AV142" i="72"/>
  <c r="AV19" i="72"/>
  <c r="AV154" i="72"/>
  <c r="AV18" i="72"/>
  <c r="AV137" i="72" s="1"/>
  <c r="AV139" i="72" s="1"/>
  <c r="AW16" i="72"/>
  <c r="AV14" i="72"/>
  <c r="AV10" i="72"/>
  <c r="AW9" i="72"/>
  <c r="AV8" i="72"/>
  <c r="AV9" i="72" s="1"/>
  <c r="AW215" i="46"/>
  <c r="AV211" i="46"/>
  <c r="AV194" i="46"/>
  <c r="AV190" i="46"/>
  <c r="AV189" i="46"/>
  <c r="AV187" i="46"/>
  <c r="AV169" i="46"/>
  <c r="AV161" i="46"/>
  <c r="AV160" i="46"/>
  <c r="AV155" i="46"/>
  <c r="AV151" i="46"/>
  <c r="AV150" i="46"/>
  <c r="AW150" i="46"/>
  <c r="AX150" i="46"/>
  <c r="AY150" i="46"/>
  <c r="AZ150" i="46" s="1"/>
  <c r="BA150" i="46" s="1"/>
  <c r="BB150" i="46" s="1"/>
  <c r="AV143" i="46"/>
  <c r="AV142" i="46"/>
  <c r="AV141" i="46"/>
  <c r="AV179" i="46"/>
  <c r="AV197" i="46"/>
  <c r="AW178" i="46"/>
  <c r="AX178" i="46" s="1"/>
  <c r="AY178" i="46" s="1"/>
  <c r="AZ178" i="46" s="1"/>
  <c r="BA178" i="46" s="1"/>
  <c r="BB178" i="46" s="1"/>
  <c r="AW177" i="46"/>
  <c r="AX177" i="46"/>
  <c r="AY177" i="46" s="1"/>
  <c r="AZ177" i="46" s="1"/>
  <c r="BA177" i="46" s="1"/>
  <c r="BB177" i="46" s="1"/>
  <c r="AW176" i="46"/>
  <c r="AW175" i="46"/>
  <c r="AX175" i="46" s="1"/>
  <c r="AY175" i="46" s="1"/>
  <c r="AZ175" i="46" s="1"/>
  <c r="BA175" i="46" s="1"/>
  <c r="BB175" i="46" s="1"/>
  <c r="AW174" i="46"/>
  <c r="AW194" i="46" s="1"/>
  <c r="AW173" i="46"/>
  <c r="AX173" i="46" s="1"/>
  <c r="AY173" i="46" s="1"/>
  <c r="AZ173" i="46" s="1"/>
  <c r="BA173" i="46" s="1"/>
  <c r="BB173" i="46" s="1"/>
  <c r="AW169" i="46"/>
  <c r="AW168" i="46"/>
  <c r="AW167" i="46"/>
  <c r="AW166" i="46"/>
  <c r="AX166" i="46"/>
  <c r="AY166" i="46" s="1"/>
  <c r="AZ166" i="46" s="1"/>
  <c r="BA166" i="46" s="1"/>
  <c r="BB166" i="46" s="1"/>
  <c r="AW164" i="46"/>
  <c r="AW161" i="46"/>
  <c r="AX161" i="46" s="1"/>
  <c r="AY161" i="46" s="1"/>
  <c r="AZ161" i="46" s="1"/>
  <c r="BA161" i="46" s="1"/>
  <c r="BB161" i="46" s="1"/>
  <c r="AW160" i="46"/>
  <c r="AX160" i="46" s="1"/>
  <c r="AY160" i="46" s="1"/>
  <c r="AZ160" i="46" s="1"/>
  <c r="BA160" i="46" s="1"/>
  <c r="BB160" i="46" s="1"/>
  <c r="AW159" i="46"/>
  <c r="AW189" i="46" s="1"/>
  <c r="AW158" i="46"/>
  <c r="AW154" i="46"/>
  <c r="AX154" i="46"/>
  <c r="AY154" i="46" s="1"/>
  <c r="AZ154" i="46" s="1"/>
  <c r="BA154" i="46" s="1"/>
  <c r="BB154" i="46" s="1"/>
  <c r="AW153" i="46"/>
  <c r="AX153" i="46"/>
  <c r="AY153" i="46" s="1"/>
  <c r="AZ153" i="46" s="1"/>
  <c r="BA153" i="46" s="1"/>
  <c r="BB153" i="46" s="1"/>
  <c r="AW152" i="46"/>
  <c r="AX152" i="46"/>
  <c r="AY152" i="46" s="1"/>
  <c r="AZ152" i="46" s="1"/>
  <c r="BA152" i="46" s="1"/>
  <c r="BB152" i="46" s="1"/>
  <c r="AV148" i="46"/>
  <c r="AW147" i="46"/>
  <c r="AW146" i="46"/>
  <c r="AW141" i="46"/>
  <c r="AX141" i="46"/>
  <c r="AY141" i="46"/>
  <c r="AZ141" i="46" s="1"/>
  <c r="BA141" i="46" s="1"/>
  <c r="BB141" i="46" s="1"/>
  <c r="AW140" i="46"/>
  <c r="AW187" i="46" s="1"/>
  <c r="AV44" i="46"/>
  <c r="AV40" i="72"/>
  <c r="AW41" i="46"/>
  <c r="AW25" i="46"/>
  <c r="AW18" i="51"/>
  <c r="AW10" i="46"/>
  <c r="AV38" i="46"/>
  <c r="AV34" i="46"/>
  <c r="AV27" i="51"/>
  <c r="AV30" i="46"/>
  <c r="AV23" i="51"/>
  <c r="AV16" i="46"/>
  <c r="AV15" i="46"/>
  <c r="AV13" i="51" s="1"/>
  <c r="AV14" i="46"/>
  <c r="AV12" i="51" s="1"/>
  <c r="AV11" i="46"/>
  <c r="AV8" i="46"/>
  <c r="AV8" i="51"/>
  <c r="BB262" i="72"/>
  <c r="BG262" i="72" s="1"/>
  <c r="BL262" i="72" s="1"/>
  <c r="BQ262" i="72" s="1"/>
  <c r="BB263" i="72"/>
  <c r="BS167" i="72"/>
  <c r="BT167" i="72" s="1"/>
  <c r="BQ167" i="72"/>
  <c r="BL167" i="72"/>
  <c r="BG167" i="72"/>
  <c r="BT166" i="72"/>
  <c r="BT165" i="72"/>
  <c r="BT164" i="72"/>
  <c r="BT163" i="72"/>
  <c r="BT162" i="72"/>
  <c r="BT161" i="72"/>
  <c r="CE201" i="15"/>
  <c r="CE206" i="15"/>
  <c r="CD221" i="15"/>
  <c r="CE221" i="15"/>
  <c r="BG204" i="15"/>
  <c r="BB204" i="15"/>
  <c r="AX204" i="15" s="1"/>
  <c r="BG203" i="15"/>
  <c r="BB54" i="72"/>
  <c r="BA54" i="72" s="1"/>
  <c r="BQ484" i="15"/>
  <c r="BL484" i="15"/>
  <c r="BG484" i="15"/>
  <c r="BB484" i="15"/>
  <c r="AX138" i="77"/>
  <c r="AW138" i="77"/>
  <c r="AV138" i="77"/>
  <c r="AU138" i="77"/>
  <c r="AT138" i="77"/>
  <c r="AS138" i="77"/>
  <c r="AR138" i="77"/>
  <c r="AQ138" i="77"/>
  <c r="AP138" i="77"/>
  <c r="AO138" i="77"/>
  <c r="AN138" i="77"/>
  <c r="AM138" i="77"/>
  <c r="AL138" i="77"/>
  <c r="AK138" i="77"/>
  <c r="AJ138" i="77"/>
  <c r="AI138" i="77"/>
  <c r="AH138" i="77"/>
  <c r="AG138" i="77"/>
  <c r="AF138" i="77"/>
  <c r="AE138" i="77"/>
  <c r="AD138" i="77"/>
  <c r="AC138" i="77"/>
  <c r="AB138" i="77"/>
  <c r="AA138" i="77"/>
  <c r="Z138" i="77"/>
  <c r="Y138" i="77"/>
  <c r="X138" i="77"/>
  <c r="W138" i="77"/>
  <c r="V138" i="77"/>
  <c r="U138" i="77"/>
  <c r="T138" i="77"/>
  <c r="S138" i="77"/>
  <c r="AX137" i="77"/>
  <c r="AW137" i="77"/>
  <c r="AV137" i="77"/>
  <c r="AU137" i="77"/>
  <c r="AT137" i="77"/>
  <c r="AS137" i="77"/>
  <c r="AR137" i="77"/>
  <c r="AQ137" i="77"/>
  <c r="AP137" i="77"/>
  <c r="AO137" i="77"/>
  <c r="AN137" i="77"/>
  <c r="AM137" i="77"/>
  <c r="AL137" i="77"/>
  <c r="AK137" i="77"/>
  <c r="AJ137" i="77"/>
  <c r="AI137" i="77"/>
  <c r="AH137" i="77"/>
  <c r="AG137" i="77"/>
  <c r="AF137" i="77"/>
  <c r="AE137" i="77"/>
  <c r="AD137" i="77"/>
  <c r="AC137" i="77"/>
  <c r="AB137" i="77"/>
  <c r="AA137" i="77"/>
  <c r="Z137" i="77"/>
  <c r="Y137" i="77"/>
  <c r="X137" i="77"/>
  <c r="W137" i="77"/>
  <c r="V137" i="77"/>
  <c r="U137" i="77"/>
  <c r="T137" i="77"/>
  <c r="S137" i="77"/>
  <c r="AX136" i="77"/>
  <c r="AW136" i="77"/>
  <c r="AV136" i="77"/>
  <c r="AU136" i="77"/>
  <c r="AT136" i="77"/>
  <c r="AS136" i="77"/>
  <c r="AR136" i="77"/>
  <c r="AQ136" i="77"/>
  <c r="AP136" i="77"/>
  <c r="AO136" i="77"/>
  <c r="AN136" i="77"/>
  <c r="AM136" i="77"/>
  <c r="AL136" i="77"/>
  <c r="AK136" i="77"/>
  <c r="AJ136" i="77"/>
  <c r="AI136" i="77"/>
  <c r="AH136" i="77"/>
  <c r="AG136" i="77"/>
  <c r="AF136" i="77"/>
  <c r="AE136" i="77"/>
  <c r="AD136" i="77"/>
  <c r="AC136" i="77"/>
  <c r="AB136" i="77"/>
  <c r="AA136" i="77"/>
  <c r="Z136" i="77"/>
  <c r="Y136" i="77"/>
  <c r="X136" i="77"/>
  <c r="W136" i="77"/>
  <c r="V136" i="77"/>
  <c r="U136" i="77"/>
  <c r="T136" i="77"/>
  <c r="S136" i="77"/>
  <c r="AX135" i="77"/>
  <c r="AW135" i="77"/>
  <c r="AV135" i="77"/>
  <c r="AU135" i="77"/>
  <c r="AT135" i="77"/>
  <c r="AS135" i="77"/>
  <c r="AR135" i="77"/>
  <c r="AQ135" i="77"/>
  <c r="AP135" i="77"/>
  <c r="AO135" i="77"/>
  <c r="AN135" i="77"/>
  <c r="AM135" i="77"/>
  <c r="AL135" i="77"/>
  <c r="AK135" i="77"/>
  <c r="AJ135" i="77"/>
  <c r="AI135" i="77"/>
  <c r="AH135" i="77"/>
  <c r="AG135" i="77"/>
  <c r="AF135" i="77"/>
  <c r="AE135" i="77"/>
  <c r="AD135" i="77"/>
  <c r="AC135" i="77"/>
  <c r="AB135" i="77"/>
  <c r="AA135" i="77"/>
  <c r="Z135" i="77"/>
  <c r="Y135" i="77"/>
  <c r="X135" i="77"/>
  <c r="W135" i="77"/>
  <c r="V135" i="77"/>
  <c r="U135" i="77"/>
  <c r="T135" i="77"/>
  <c r="S135" i="77"/>
  <c r="AX134" i="77"/>
  <c r="AW134" i="77"/>
  <c r="AV134" i="77"/>
  <c r="AU134" i="77"/>
  <c r="AT134" i="77"/>
  <c r="AS134" i="77"/>
  <c r="AR134" i="77"/>
  <c r="AQ134" i="77"/>
  <c r="AP134" i="77"/>
  <c r="AO134" i="77"/>
  <c r="AN134" i="77"/>
  <c r="AM134" i="77"/>
  <c r="AL134" i="77"/>
  <c r="AK134" i="77"/>
  <c r="AJ134" i="77"/>
  <c r="AI134" i="77"/>
  <c r="AH134" i="77"/>
  <c r="AG134" i="77"/>
  <c r="AF134" i="77"/>
  <c r="AE134" i="77"/>
  <c r="AD134" i="77"/>
  <c r="AC134" i="77"/>
  <c r="AB134" i="77"/>
  <c r="AA134" i="77"/>
  <c r="Z134" i="77"/>
  <c r="Y134" i="77"/>
  <c r="X134" i="77"/>
  <c r="W134" i="77"/>
  <c r="V134" i="77"/>
  <c r="U134" i="77"/>
  <c r="T134" i="77"/>
  <c r="S134" i="77"/>
  <c r="AX133" i="77"/>
  <c r="AW133" i="77"/>
  <c r="AV133" i="77"/>
  <c r="AU133" i="77"/>
  <c r="AT133" i="77"/>
  <c r="AS133" i="77"/>
  <c r="AR133" i="77"/>
  <c r="AQ133" i="77"/>
  <c r="AP133" i="77"/>
  <c r="AO133" i="77"/>
  <c r="AN133" i="77"/>
  <c r="AM133" i="77"/>
  <c r="AL133" i="77"/>
  <c r="AK133" i="77"/>
  <c r="AJ133" i="77"/>
  <c r="AI133" i="77"/>
  <c r="AH133" i="77"/>
  <c r="AG133" i="77"/>
  <c r="AF133" i="77"/>
  <c r="AE133" i="77"/>
  <c r="AD133" i="77"/>
  <c r="AC133" i="77"/>
  <c r="AB133" i="77"/>
  <c r="AA133" i="77"/>
  <c r="Z133" i="77"/>
  <c r="Y133" i="77"/>
  <c r="X133" i="77"/>
  <c r="W133" i="77"/>
  <c r="V133" i="77"/>
  <c r="U133" i="77"/>
  <c r="T133" i="77"/>
  <c r="S133" i="77"/>
  <c r="AX132" i="77"/>
  <c r="AW132" i="77"/>
  <c r="AV132" i="77"/>
  <c r="AU132" i="77"/>
  <c r="AT132" i="77"/>
  <c r="AS132" i="77"/>
  <c r="AR132" i="77"/>
  <c r="AQ132" i="77"/>
  <c r="AP132" i="77"/>
  <c r="AO132" i="77"/>
  <c r="AN132" i="77"/>
  <c r="AM132" i="77"/>
  <c r="AL132" i="77"/>
  <c r="AK132" i="77"/>
  <c r="AJ132" i="77"/>
  <c r="AI132" i="77"/>
  <c r="AH132" i="77"/>
  <c r="AG132" i="77"/>
  <c r="AF132" i="77"/>
  <c r="AE132" i="77"/>
  <c r="AD132" i="77"/>
  <c r="AC132" i="77"/>
  <c r="AB132" i="77"/>
  <c r="AA132" i="77"/>
  <c r="Z132" i="77"/>
  <c r="Y132" i="77"/>
  <c r="X132" i="77"/>
  <c r="W132" i="77"/>
  <c r="V132" i="77"/>
  <c r="U132" i="77"/>
  <c r="T132" i="77"/>
  <c r="S132" i="77"/>
  <c r="AX131" i="77"/>
  <c r="AW131" i="77"/>
  <c r="AV131" i="77"/>
  <c r="AU131" i="77"/>
  <c r="AT131" i="77"/>
  <c r="AS131" i="77"/>
  <c r="AR131" i="77"/>
  <c r="AQ131" i="77"/>
  <c r="AP131" i="77"/>
  <c r="AO131" i="77"/>
  <c r="AN131" i="77"/>
  <c r="AM131" i="77"/>
  <c r="AL131" i="77"/>
  <c r="AK131" i="77"/>
  <c r="AJ131" i="77"/>
  <c r="AI131" i="77"/>
  <c r="AH131" i="77"/>
  <c r="AG131" i="77"/>
  <c r="AF131" i="77"/>
  <c r="AE131" i="77"/>
  <c r="AD131" i="77"/>
  <c r="AC131" i="77"/>
  <c r="AB131" i="77"/>
  <c r="AA131" i="77"/>
  <c r="Z131" i="77"/>
  <c r="Y131" i="77"/>
  <c r="X131" i="77"/>
  <c r="W131" i="77"/>
  <c r="V131" i="77"/>
  <c r="U131" i="77"/>
  <c r="T131" i="77"/>
  <c r="S131" i="77"/>
  <c r="AX130" i="77"/>
  <c r="AW130" i="77"/>
  <c r="AV130" i="77"/>
  <c r="AU130" i="77"/>
  <c r="AT130" i="77"/>
  <c r="AS130" i="77"/>
  <c r="AR130" i="77"/>
  <c r="AQ130" i="77"/>
  <c r="AP130" i="77"/>
  <c r="AO130" i="77"/>
  <c r="AN130" i="77"/>
  <c r="AM130" i="77"/>
  <c r="AL130" i="77"/>
  <c r="AK130" i="77"/>
  <c r="AJ130" i="77"/>
  <c r="AI130" i="77"/>
  <c r="AH130" i="77"/>
  <c r="AG130" i="77"/>
  <c r="AF130" i="77"/>
  <c r="AE130" i="77"/>
  <c r="AD130" i="77"/>
  <c r="AC130" i="77"/>
  <c r="AB130" i="77"/>
  <c r="AA130" i="77"/>
  <c r="Z130" i="77"/>
  <c r="Y130" i="77"/>
  <c r="X130" i="77"/>
  <c r="W130" i="77"/>
  <c r="V130" i="77"/>
  <c r="U130" i="77"/>
  <c r="T130" i="77"/>
  <c r="S130" i="77"/>
  <c r="AX128" i="77"/>
  <c r="AW128" i="77"/>
  <c r="AV128" i="77"/>
  <c r="AU128" i="77"/>
  <c r="AT128" i="77"/>
  <c r="AS128" i="77"/>
  <c r="AR128" i="77"/>
  <c r="AQ128" i="77"/>
  <c r="AP128" i="77"/>
  <c r="AO128" i="77"/>
  <c r="AN128" i="77"/>
  <c r="AM128" i="77"/>
  <c r="AL128" i="77"/>
  <c r="AK128" i="77"/>
  <c r="AJ128" i="77"/>
  <c r="AI128" i="77"/>
  <c r="AH128" i="77"/>
  <c r="AG128" i="77"/>
  <c r="AF128" i="77"/>
  <c r="AE128" i="77"/>
  <c r="AD128" i="77"/>
  <c r="AC128" i="77"/>
  <c r="AB128" i="77"/>
  <c r="AA128" i="77"/>
  <c r="Z128" i="77"/>
  <c r="Y128" i="77"/>
  <c r="X128" i="77"/>
  <c r="W128" i="77"/>
  <c r="V128" i="77"/>
  <c r="U128" i="77"/>
  <c r="T128" i="77"/>
  <c r="S128" i="77"/>
  <c r="AX127" i="77"/>
  <c r="AW127" i="77"/>
  <c r="AV127" i="77"/>
  <c r="AU127" i="77"/>
  <c r="AT127" i="77"/>
  <c r="AS127" i="77"/>
  <c r="AR127" i="77"/>
  <c r="AQ127" i="77"/>
  <c r="AP127" i="77"/>
  <c r="AO127" i="77"/>
  <c r="AZ97" i="15"/>
  <c r="AN127" i="77"/>
  <c r="AM127" i="77"/>
  <c r="AL127" i="77"/>
  <c r="AK127" i="77"/>
  <c r="AJ127" i="77"/>
  <c r="AI127" i="77"/>
  <c r="AH127" i="77"/>
  <c r="AG127" i="77"/>
  <c r="AF127" i="77"/>
  <c r="AE127" i="77"/>
  <c r="AD127" i="77"/>
  <c r="AC127" i="77"/>
  <c r="AB127" i="77"/>
  <c r="AA127" i="77"/>
  <c r="Z127" i="77"/>
  <c r="Y127" i="77"/>
  <c r="X127" i="77"/>
  <c r="W127" i="77"/>
  <c r="V127" i="77"/>
  <c r="U127" i="77"/>
  <c r="T127" i="77"/>
  <c r="S127" i="77"/>
  <c r="AX126" i="77"/>
  <c r="AW126" i="77"/>
  <c r="AV126" i="77"/>
  <c r="AU126" i="77"/>
  <c r="AT126" i="77"/>
  <c r="AS126" i="77"/>
  <c r="AR126" i="77"/>
  <c r="AQ126" i="77"/>
  <c r="AP126" i="77"/>
  <c r="AO126" i="77"/>
  <c r="AN126" i="77"/>
  <c r="AM126" i="77"/>
  <c r="AL126" i="77"/>
  <c r="AK126" i="77"/>
  <c r="AJ126" i="77"/>
  <c r="AI126" i="77"/>
  <c r="AH126" i="77"/>
  <c r="AG126" i="77"/>
  <c r="AF126" i="77"/>
  <c r="AE126" i="77"/>
  <c r="AD126" i="77"/>
  <c r="AC126" i="77"/>
  <c r="AB126" i="77"/>
  <c r="AA126" i="77"/>
  <c r="Z126" i="77"/>
  <c r="Y126" i="77"/>
  <c r="X126" i="77"/>
  <c r="W126" i="77"/>
  <c r="V126" i="77"/>
  <c r="U126" i="77"/>
  <c r="T126" i="77"/>
  <c r="S126" i="77"/>
  <c r="AX125" i="77"/>
  <c r="AW125" i="77"/>
  <c r="AV125" i="77"/>
  <c r="AU125" i="77"/>
  <c r="AT125" i="77"/>
  <c r="AS125" i="77"/>
  <c r="AR125" i="77"/>
  <c r="AQ125" i="77"/>
  <c r="AP125" i="77"/>
  <c r="AO125" i="77"/>
  <c r="AN125" i="77"/>
  <c r="AM125" i="77"/>
  <c r="AL125" i="77"/>
  <c r="AK125" i="77"/>
  <c r="AJ125" i="77"/>
  <c r="AI125" i="77"/>
  <c r="AH125" i="77"/>
  <c r="AG125" i="77"/>
  <c r="AF125" i="77"/>
  <c r="AE125" i="77"/>
  <c r="AD125" i="77"/>
  <c r="AC125" i="77"/>
  <c r="AB125" i="77"/>
  <c r="AA125" i="77"/>
  <c r="Z125" i="77"/>
  <c r="Y125" i="77"/>
  <c r="X125" i="77"/>
  <c r="W125" i="77"/>
  <c r="V125" i="77"/>
  <c r="U125" i="77"/>
  <c r="T125" i="77"/>
  <c r="S125" i="77"/>
  <c r="AX124" i="77"/>
  <c r="AW124" i="77"/>
  <c r="AV124" i="77"/>
  <c r="AU124" i="77"/>
  <c r="AU129" i="77" s="1"/>
  <c r="AT124" i="77"/>
  <c r="AS124" i="77"/>
  <c r="AR124" i="77"/>
  <c r="AQ124" i="77"/>
  <c r="AP124" i="77"/>
  <c r="AO124" i="77"/>
  <c r="AN124" i="77"/>
  <c r="AM124" i="77"/>
  <c r="AL124" i="77"/>
  <c r="AK124" i="77"/>
  <c r="AJ124" i="77"/>
  <c r="AI124" i="77"/>
  <c r="AH124" i="77"/>
  <c r="AG124" i="77"/>
  <c r="AF124" i="77"/>
  <c r="AE124" i="77"/>
  <c r="AD124" i="77"/>
  <c r="AC124" i="77"/>
  <c r="AB124" i="77"/>
  <c r="AA124" i="77"/>
  <c r="BJ124" i="77" s="1"/>
  <c r="Z124" i="77"/>
  <c r="Y124" i="77"/>
  <c r="X124" i="77"/>
  <c r="W124" i="77"/>
  <c r="BI124" i="77" s="1"/>
  <c r="V124" i="77"/>
  <c r="U124" i="77"/>
  <c r="T124" i="77"/>
  <c r="S124" i="77"/>
  <c r="BH124" i="77" s="1"/>
  <c r="AX123" i="77"/>
  <c r="AW123" i="77"/>
  <c r="AV123" i="77"/>
  <c r="AU123" i="77"/>
  <c r="BO123" i="77" s="1"/>
  <c r="AT123" i="77"/>
  <c r="AS123" i="77"/>
  <c r="AS129" i="77" s="1"/>
  <c r="AR123" i="77"/>
  <c r="AQ123" i="77"/>
  <c r="AP123" i="77"/>
  <c r="AO123" i="77"/>
  <c r="AZ96" i="15"/>
  <c r="AN123" i="77"/>
  <c r="AM123" i="77"/>
  <c r="AL123" i="77"/>
  <c r="AK123" i="77"/>
  <c r="AJ123" i="77"/>
  <c r="AI123" i="77"/>
  <c r="AH123" i="77"/>
  <c r="AG123" i="77"/>
  <c r="AG129" i="77"/>
  <c r="AF123" i="77"/>
  <c r="AE123" i="77"/>
  <c r="BK123" i="77" s="1"/>
  <c r="AD123" i="77"/>
  <c r="AC123" i="77"/>
  <c r="AC129" i="77" s="1"/>
  <c r="AB123" i="77"/>
  <c r="AA123" i="77"/>
  <c r="BJ123" i="77" s="1"/>
  <c r="Z123" i="77"/>
  <c r="Y123" i="77"/>
  <c r="X123" i="77"/>
  <c r="W123" i="77"/>
  <c r="BI123" i="77" s="1"/>
  <c r="V123" i="77"/>
  <c r="V129" i="77" s="1"/>
  <c r="U123" i="77"/>
  <c r="U129" i="77" s="1"/>
  <c r="T123" i="77"/>
  <c r="T129" i="77" s="1"/>
  <c r="S123" i="77"/>
  <c r="BH123" i="77" s="1"/>
  <c r="AX122" i="77"/>
  <c r="AW122" i="77"/>
  <c r="AV122" i="77"/>
  <c r="AU122" i="77"/>
  <c r="AT122" i="77"/>
  <c r="AS122" i="77"/>
  <c r="AR122" i="77"/>
  <c r="AQ122" i="77"/>
  <c r="AP122" i="77"/>
  <c r="AO122" i="77"/>
  <c r="AZ93" i="15"/>
  <c r="AN122" i="77"/>
  <c r="AM122" i="77"/>
  <c r="BM122" i="77" s="1"/>
  <c r="AL122" i="77"/>
  <c r="AK122" i="77"/>
  <c r="AJ122" i="77"/>
  <c r="AI122" i="77"/>
  <c r="AH122" i="77"/>
  <c r="AG122" i="77"/>
  <c r="AF122" i="77"/>
  <c r="AE122" i="77"/>
  <c r="AD122" i="77"/>
  <c r="AC122" i="77"/>
  <c r="AB122" i="77"/>
  <c r="AA122" i="77"/>
  <c r="Z122" i="77"/>
  <c r="Y122" i="77"/>
  <c r="X122" i="77"/>
  <c r="W122" i="77"/>
  <c r="V122" i="77"/>
  <c r="U122" i="77"/>
  <c r="T122" i="77"/>
  <c r="S122" i="77"/>
  <c r="AX121" i="77"/>
  <c r="AW121" i="77"/>
  <c r="AV121" i="77"/>
  <c r="AU121" i="77"/>
  <c r="AT121" i="77"/>
  <c r="AS121" i="77"/>
  <c r="AR121" i="77"/>
  <c r="AQ121" i="77"/>
  <c r="AP121" i="77"/>
  <c r="AO121" i="77"/>
  <c r="AN121" i="77"/>
  <c r="AM121" i="77"/>
  <c r="AL121" i="77"/>
  <c r="AK121" i="77"/>
  <c r="AJ121" i="77"/>
  <c r="AI121" i="77"/>
  <c r="AH121" i="77"/>
  <c r="AG121" i="77"/>
  <c r="AF121" i="77"/>
  <c r="AE121" i="77"/>
  <c r="AD121" i="77"/>
  <c r="AC121" i="77"/>
  <c r="AB121" i="77"/>
  <c r="AA121" i="77"/>
  <c r="Z121" i="77"/>
  <c r="Y121" i="77"/>
  <c r="X121" i="77"/>
  <c r="W121" i="77"/>
  <c r="V121" i="77"/>
  <c r="U121" i="77"/>
  <c r="T121" i="77"/>
  <c r="S121" i="77"/>
  <c r="AX120" i="77"/>
  <c r="AW120" i="77"/>
  <c r="AV120" i="77"/>
  <c r="AU120" i="77"/>
  <c r="AT120" i="77"/>
  <c r="AS120" i="77"/>
  <c r="AR120" i="77"/>
  <c r="AQ120" i="77"/>
  <c r="AP120" i="77"/>
  <c r="AO120" i="77"/>
  <c r="AN120" i="77"/>
  <c r="AM120" i="77"/>
  <c r="AL120" i="77"/>
  <c r="AK120" i="77"/>
  <c r="AJ120" i="77"/>
  <c r="AI120" i="77"/>
  <c r="AH120" i="77"/>
  <c r="AG120" i="77"/>
  <c r="AF120" i="77"/>
  <c r="AE120" i="77"/>
  <c r="AD120" i="77"/>
  <c r="AC120" i="77"/>
  <c r="AB120" i="77"/>
  <c r="AA120" i="77"/>
  <c r="Z120" i="77"/>
  <c r="Y120" i="77"/>
  <c r="X120" i="77"/>
  <c r="W120" i="77"/>
  <c r="V120" i="77"/>
  <c r="U120" i="77"/>
  <c r="T120" i="77"/>
  <c r="S120" i="77"/>
  <c r="AX119" i="77"/>
  <c r="AW119" i="77"/>
  <c r="AV119" i="77"/>
  <c r="AU119" i="77"/>
  <c r="AT119" i="77"/>
  <c r="AS119" i="77"/>
  <c r="AR119" i="77"/>
  <c r="AQ119" i="77"/>
  <c r="AP119" i="77"/>
  <c r="AO119" i="77"/>
  <c r="AZ94" i="15" s="1"/>
  <c r="AZ276" i="15" s="1"/>
  <c r="AN119" i="77"/>
  <c r="AM119" i="77"/>
  <c r="BM119" i="77" s="1"/>
  <c r="AL119" i="77"/>
  <c r="AK119" i="77"/>
  <c r="AJ119" i="77"/>
  <c r="AI119" i="77"/>
  <c r="BL119" i="77" s="1"/>
  <c r="AH119" i="77"/>
  <c r="AG119" i="77"/>
  <c r="AF119" i="77"/>
  <c r="AE119" i="77"/>
  <c r="BK119" i="77" s="1"/>
  <c r="AD119" i="77"/>
  <c r="AC119" i="77"/>
  <c r="AB119" i="77"/>
  <c r="AA119" i="77"/>
  <c r="BJ119" i="77" s="1"/>
  <c r="Z119" i="77"/>
  <c r="Y119" i="77"/>
  <c r="X119" i="77"/>
  <c r="W119" i="77"/>
  <c r="BI119" i="77" s="1"/>
  <c r="V119" i="77"/>
  <c r="U119" i="77"/>
  <c r="T119" i="77"/>
  <c r="S119" i="77"/>
  <c r="BH119" i="77" s="1"/>
  <c r="AX118" i="77"/>
  <c r="AW118" i="77"/>
  <c r="AV118" i="77"/>
  <c r="AU118" i="77"/>
  <c r="BO118" i="77" s="1"/>
  <c r="AT118" i="77"/>
  <c r="AS118" i="77"/>
  <c r="AR118" i="77"/>
  <c r="AQ118" i="77"/>
  <c r="BN118" i="77" s="1"/>
  <c r="AP118" i="77"/>
  <c r="AO118" i="77"/>
  <c r="AN118" i="77"/>
  <c r="AM118" i="77"/>
  <c r="BM118" i="77" s="1"/>
  <c r="AL118" i="77"/>
  <c r="AK118" i="77"/>
  <c r="AJ118" i="77"/>
  <c r="AI118" i="77"/>
  <c r="BL118" i="77" s="1"/>
  <c r="AH118" i="77"/>
  <c r="AG118" i="77"/>
  <c r="AF118" i="77"/>
  <c r="AE118" i="77"/>
  <c r="BK118" i="77" s="1"/>
  <c r="AD118" i="77"/>
  <c r="AC118" i="77"/>
  <c r="AB118" i="77"/>
  <c r="AA118" i="77"/>
  <c r="BJ118" i="77" s="1"/>
  <c r="Z118" i="77"/>
  <c r="Y118" i="77"/>
  <c r="X118" i="77"/>
  <c r="W118" i="77"/>
  <c r="BI118" i="77" s="1"/>
  <c r="V118" i="77"/>
  <c r="U118" i="77"/>
  <c r="T118" i="77"/>
  <c r="S118" i="77"/>
  <c r="BH118" i="77" s="1"/>
  <c r="AX117" i="77"/>
  <c r="AW117" i="77"/>
  <c r="AV117" i="77"/>
  <c r="BI95" i="15"/>
  <c r="AU117" i="77"/>
  <c r="AT117" i="77"/>
  <c r="BF95" i="15" s="1"/>
  <c r="AS117" i="77"/>
  <c r="AR117" i="77"/>
  <c r="BD95" i="15"/>
  <c r="AQ117" i="77"/>
  <c r="AP117" i="77"/>
  <c r="BA95" i="15" s="1"/>
  <c r="AO117" i="77"/>
  <c r="AZ95" i="15" s="1"/>
  <c r="AN117" i="77"/>
  <c r="AY95" i="15" s="1"/>
  <c r="BB95" i="15" s="1"/>
  <c r="AM117" i="77"/>
  <c r="AL117" i="77"/>
  <c r="AV95" i="15"/>
  <c r="AK117" i="77"/>
  <c r="AJ117" i="77"/>
  <c r="AT95" i="15" s="1"/>
  <c r="AI117" i="77"/>
  <c r="AH117" i="77"/>
  <c r="AG117" i="77"/>
  <c r="AF117" i="77"/>
  <c r="AE117" i="77"/>
  <c r="AD117" i="77"/>
  <c r="AL95" i="15" s="1"/>
  <c r="AC117" i="77"/>
  <c r="AB117" i="77"/>
  <c r="AJ95" i="15"/>
  <c r="AA117" i="77"/>
  <c r="Z117" i="77"/>
  <c r="AG95" i="15" s="1"/>
  <c r="Y117" i="77"/>
  <c r="X117" i="77"/>
  <c r="AE95" i="15" s="1"/>
  <c r="W117" i="77"/>
  <c r="V117" i="77"/>
  <c r="AB95" i="15"/>
  <c r="U117" i="77"/>
  <c r="T117" i="77"/>
  <c r="Z95" i="15" s="1"/>
  <c r="S117" i="77"/>
  <c r="BH117" i="77" s="1"/>
  <c r="AX116" i="77"/>
  <c r="AW116" i="77"/>
  <c r="AV116" i="77"/>
  <c r="AU116" i="77"/>
  <c r="BO116" i="77" s="1"/>
  <c r="AT116" i="77"/>
  <c r="AS116" i="77"/>
  <c r="AR116" i="77"/>
  <c r="AQ116" i="77"/>
  <c r="BN116" i="77" s="1"/>
  <c r="AP116" i="77"/>
  <c r="AO116" i="77"/>
  <c r="AN116" i="77"/>
  <c r="AM116" i="77"/>
  <c r="BM116" i="77" s="1"/>
  <c r="AL116" i="77"/>
  <c r="AK116" i="77"/>
  <c r="AJ116" i="77"/>
  <c r="AI116" i="77"/>
  <c r="BL116" i="77" s="1"/>
  <c r="AH116" i="77"/>
  <c r="AG116" i="77"/>
  <c r="AF116" i="77"/>
  <c r="AE116" i="77"/>
  <c r="BK116" i="77" s="1"/>
  <c r="AD116" i="77"/>
  <c r="AC116" i="77"/>
  <c r="AB116" i="77"/>
  <c r="AA116" i="77"/>
  <c r="BJ116" i="77" s="1"/>
  <c r="Z116" i="77"/>
  <c r="Y116" i="77"/>
  <c r="X116" i="77"/>
  <c r="W116" i="77"/>
  <c r="BI116" i="77" s="1"/>
  <c r="V116" i="77"/>
  <c r="U116" i="77"/>
  <c r="T116" i="77"/>
  <c r="S116" i="77"/>
  <c r="BH116" i="77" s="1"/>
  <c r="AX115" i="77"/>
  <c r="AW115" i="77"/>
  <c r="AV115" i="77"/>
  <c r="AU115" i="77"/>
  <c r="BO115" i="77" s="1"/>
  <c r="AT115" i="77"/>
  <c r="AS115" i="77"/>
  <c r="AR115" i="77"/>
  <c r="AQ115" i="77"/>
  <c r="BN115" i="77" s="1"/>
  <c r="AP115" i="77"/>
  <c r="AO115" i="77"/>
  <c r="AN115" i="77"/>
  <c r="AM115" i="77"/>
  <c r="BM115" i="77" s="1"/>
  <c r="AL115" i="77"/>
  <c r="AK115" i="77"/>
  <c r="AJ115" i="77"/>
  <c r="AI115" i="77"/>
  <c r="BL115" i="77" s="1"/>
  <c r="AH115" i="77"/>
  <c r="AG115" i="77"/>
  <c r="AF115" i="77"/>
  <c r="AE115" i="77"/>
  <c r="BK115" i="77" s="1"/>
  <c r="AD115" i="77"/>
  <c r="AC115" i="77"/>
  <c r="AB115" i="77"/>
  <c r="AA115" i="77"/>
  <c r="BJ115" i="77" s="1"/>
  <c r="Z115" i="77"/>
  <c r="Y115" i="77"/>
  <c r="X115" i="77"/>
  <c r="W115" i="77"/>
  <c r="BI115" i="77" s="1"/>
  <c r="V115" i="77"/>
  <c r="U115" i="77"/>
  <c r="T115" i="77"/>
  <c r="S115" i="77"/>
  <c r="BH115" i="77" s="1"/>
  <c r="AX114" i="77"/>
  <c r="AW114" i="77"/>
  <c r="AV114" i="77"/>
  <c r="AU114" i="77"/>
  <c r="BO114" i="77" s="1"/>
  <c r="AT114" i="77"/>
  <c r="AS114" i="77"/>
  <c r="AR114" i="77"/>
  <c r="AQ114" i="77"/>
  <c r="BN114" i="77" s="1"/>
  <c r="AP114" i="77"/>
  <c r="AO114" i="77"/>
  <c r="AN114" i="77"/>
  <c r="AM114" i="77"/>
  <c r="BM114" i="77" s="1"/>
  <c r="AL114" i="77"/>
  <c r="AK114" i="77"/>
  <c r="AJ114" i="77"/>
  <c r="AI114" i="77"/>
  <c r="BL114" i="77" s="1"/>
  <c r="AH114" i="77"/>
  <c r="AG114" i="77"/>
  <c r="AF114" i="77"/>
  <c r="AE114" i="77"/>
  <c r="BK114" i="77" s="1"/>
  <c r="AD114" i="77"/>
  <c r="AC114" i="77"/>
  <c r="AB114" i="77"/>
  <c r="AA114" i="77"/>
  <c r="BJ114" i="77" s="1"/>
  <c r="Z114" i="77"/>
  <c r="Y114" i="77"/>
  <c r="X114" i="77"/>
  <c r="W114" i="77"/>
  <c r="BI114" i="77" s="1"/>
  <c r="V114" i="77"/>
  <c r="U114" i="77"/>
  <c r="T114" i="77"/>
  <c r="S114" i="77"/>
  <c r="BH114" i="77" s="1"/>
  <c r="AX113" i="77"/>
  <c r="AW113" i="77"/>
  <c r="AV113" i="77"/>
  <c r="AU113" i="77"/>
  <c r="AT113" i="77"/>
  <c r="AS113" i="77"/>
  <c r="AR113" i="77"/>
  <c r="AQ113" i="77"/>
  <c r="AP113" i="77"/>
  <c r="AO113" i="77"/>
  <c r="AN113" i="77"/>
  <c r="AM113" i="77"/>
  <c r="AL113" i="77"/>
  <c r="AK113" i="77"/>
  <c r="AJ113" i="77"/>
  <c r="AI113" i="77"/>
  <c r="AH113" i="77"/>
  <c r="AG113" i="77"/>
  <c r="AF113" i="77"/>
  <c r="AE113" i="77"/>
  <c r="AD113" i="77"/>
  <c r="AC113" i="77"/>
  <c r="AB113" i="77"/>
  <c r="AA113" i="77"/>
  <c r="Z113" i="77"/>
  <c r="Y113" i="77"/>
  <c r="X113" i="77"/>
  <c r="W113" i="77"/>
  <c r="V113" i="77"/>
  <c r="U113" i="77"/>
  <c r="T113" i="77"/>
  <c r="S113" i="77"/>
  <c r="AX112" i="77"/>
  <c r="AW112" i="77"/>
  <c r="AV112" i="77"/>
  <c r="AU112" i="77"/>
  <c r="AT112" i="77"/>
  <c r="AS112" i="77"/>
  <c r="AR112" i="77"/>
  <c r="AQ112" i="77"/>
  <c r="AP112" i="77"/>
  <c r="AO112" i="77"/>
  <c r="AN112" i="77"/>
  <c r="AM112" i="77"/>
  <c r="AL112" i="77"/>
  <c r="AK112" i="77"/>
  <c r="AJ112" i="77"/>
  <c r="AI112" i="77"/>
  <c r="AH112" i="77"/>
  <c r="AG112" i="77"/>
  <c r="AF112" i="77"/>
  <c r="AE112" i="77"/>
  <c r="AD112" i="77"/>
  <c r="AC112" i="77"/>
  <c r="AB112" i="77"/>
  <c r="AA112" i="77"/>
  <c r="Z112" i="77"/>
  <c r="Y112" i="77"/>
  <c r="X112" i="77"/>
  <c r="W112" i="77"/>
  <c r="V112" i="77"/>
  <c r="U112" i="77"/>
  <c r="T112" i="77"/>
  <c r="S112" i="77"/>
  <c r="AX111" i="77"/>
  <c r="AW111" i="77"/>
  <c r="AV111" i="77"/>
  <c r="AU111" i="77"/>
  <c r="BO111" i="77" s="1"/>
  <c r="AT111" i="77"/>
  <c r="AS111" i="77"/>
  <c r="AR111" i="77"/>
  <c r="AQ111" i="77"/>
  <c r="BN111" i="77" s="1"/>
  <c r="AP111" i="77"/>
  <c r="AO111" i="77"/>
  <c r="AN111" i="77"/>
  <c r="AM111" i="77"/>
  <c r="BM111" i="77" s="1"/>
  <c r="AL111" i="77"/>
  <c r="AK111" i="77"/>
  <c r="AJ111" i="77"/>
  <c r="AI111" i="77"/>
  <c r="BL111" i="77" s="1"/>
  <c r="AH111" i="77"/>
  <c r="AG111" i="77"/>
  <c r="AF111" i="77"/>
  <c r="AE111" i="77"/>
  <c r="BK111" i="77" s="1"/>
  <c r="AD111" i="77"/>
  <c r="AC111" i="77"/>
  <c r="AB111" i="77"/>
  <c r="AA111" i="77"/>
  <c r="BJ111" i="77" s="1"/>
  <c r="Z111" i="77"/>
  <c r="Y111" i="77"/>
  <c r="X111" i="77"/>
  <c r="W111" i="77"/>
  <c r="BI111" i="77" s="1"/>
  <c r="V111" i="77"/>
  <c r="U111" i="77"/>
  <c r="T111" i="77"/>
  <c r="S111" i="77"/>
  <c r="BH111" i="77" s="1"/>
  <c r="AX110" i="77"/>
  <c r="AW110" i="77"/>
  <c r="AV110" i="77"/>
  <c r="AU110" i="77"/>
  <c r="BO110" i="77" s="1"/>
  <c r="AT110" i="77"/>
  <c r="AS110" i="77"/>
  <c r="AR110" i="77"/>
  <c r="AQ110" i="77"/>
  <c r="BN110" i="77" s="1"/>
  <c r="AP110" i="77"/>
  <c r="AO110" i="77"/>
  <c r="AN110" i="77"/>
  <c r="AM110" i="77"/>
  <c r="BM110" i="77" s="1"/>
  <c r="AL110" i="77"/>
  <c r="AK110" i="77"/>
  <c r="AJ110" i="77"/>
  <c r="AI110" i="77"/>
  <c r="BL110" i="77" s="1"/>
  <c r="AH110" i="77"/>
  <c r="AG110" i="77"/>
  <c r="AF110" i="77"/>
  <c r="AE110" i="77"/>
  <c r="BK110" i="77" s="1"/>
  <c r="AD110" i="77"/>
  <c r="AC110" i="77"/>
  <c r="AB110" i="77"/>
  <c r="AA110" i="77"/>
  <c r="BJ110" i="77" s="1"/>
  <c r="Z110" i="77"/>
  <c r="Y110" i="77"/>
  <c r="X110" i="77"/>
  <c r="W110" i="77"/>
  <c r="BI110" i="77" s="1"/>
  <c r="V110" i="77"/>
  <c r="U110" i="77"/>
  <c r="T110" i="77"/>
  <c r="S110" i="77"/>
  <c r="BH110" i="77" s="1"/>
  <c r="AX109" i="77"/>
  <c r="AW109" i="77"/>
  <c r="AV109" i="77"/>
  <c r="AU109" i="77"/>
  <c r="BO109" i="77" s="1"/>
  <c r="AT109" i="77"/>
  <c r="AS109" i="77"/>
  <c r="AR109" i="77"/>
  <c r="AQ109" i="77"/>
  <c r="BN109" i="77" s="1"/>
  <c r="AP109" i="77"/>
  <c r="AO109" i="77"/>
  <c r="AN109" i="77"/>
  <c r="AM109" i="77"/>
  <c r="BM109" i="77" s="1"/>
  <c r="AL109" i="77"/>
  <c r="AK109" i="77"/>
  <c r="AJ109" i="77"/>
  <c r="AI109" i="77"/>
  <c r="BL109" i="77" s="1"/>
  <c r="AH109" i="77"/>
  <c r="AG109" i="77"/>
  <c r="AF109" i="77"/>
  <c r="AE109" i="77"/>
  <c r="BK109" i="77" s="1"/>
  <c r="AD109" i="77"/>
  <c r="AC109" i="77"/>
  <c r="AB109" i="77"/>
  <c r="AA109" i="77"/>
  <c r="BJ109" i="77" s="1"/>
  <c r="Z109" i="77"/>
  <c r="Y109" i="77"/>
  <c r="X109" i="77"/>
  <c r="W109" i="77"/>
  <c r="BI109" i="77" s="1"/>
  <c r="V109" i="77"/>
  <c r="U109" i="77"/>
  <c r="T109" i="77"/>
  <c r="S109" i="77"/>
  <c r="BH109" i="77" s="1"/>
  <c r="AX108" i="77"/>
  <c r="AW108" i="77"/>
  <c r="AV108" i="77"/>
  <c r="AU108" i="77"/>
  <c r="BO108" i="77" s="1"/>
  <c r="AT108" i="77"/>
  <c r="AS108" i="77"/>
  <c r="AR108" i="77"/>
  <c r="AQ108" i="77"/>
  <c r="BN108" i="77" s="1"/>
  <c r="AP108" i="77"/>
  <c r="AO108" i="77"/>
  <c r="AN108" i="77"/>
  <c r="AM108" i="77"/>
  <c r="BM108" i="77" s="1"/>
  <c r="AL108" i="77"/>
  <c r="AK108" i="77"/>
  <c r="AJ108" i="77"/>
  <c r="AI108" i="77"/>
  <c r="BL108" i="77" s="1"/>
  <c r="AH108" i="77"/>
  <c r="AG108" i="77"/>
  <c r="AF108" i="77"/>
  <c r="AE108" i="77"/>
  <c r="BK108" i="77" s="1"/>
  <c r="AD108" i="77"/>
  <c r="AC108" i="77"/>
  <c r="AB108" i="77"/>
  <c r="AA108" i="77"/>
  <c r="BJ108" i="77" s="1"/>
  <c r="Z108" i="77"/>
  <c r="Y108" i="77"/>
  <c r="X108" i="77"/>
  <c r="W108" i="77"/>
  <c r="BI108" i="77" s="1"/>
  <c r="V108" i="77"/>
  <c r="U108" i="77"/>
  <c r="T108" i="77"/>
  <c r="S108" i="77"/>
  <c r="BH108" i="77" s="1"/>
  <c r="AX107" i="77"/>
  <c r="AW107" i="77"/>
  <c r="AV107" i="77"/>
  <c r="AU107" i="77"/>
  <c r="BO107" i="77" s="1"/>
  <c r="AT107" i="77"/>
  <c r="AS107" i="77"/>
  <c r="AR107" i="77"/>
  <c r="AQ107" i="77"/>
  <c r="BN107" i="77" s="1"/>
  <c r="AP107" i="77"/>
  <c r="AO107" i="77"/>
  <c r="AN107" i="77"/>
  <c r="AM107" i="77"/>
  <c r="BM107" i="77" s="1"/>
  <c r="AL107" i="77"/>
  <c r="AK107" i="77"/>
  <c r="AJ107" i="77"/>
  <c r="AI107" i="77"/>
  <c r="BL107" i="77" s="1"/>
  <c r="AH107" i="77"/>
  <c r="AG107" i="77"/>
  <c r="AF107" i="77"/>
  <c r="AE107" i="77"/>
  <c r="BK107" i="77" s="1"/>
  <c r="AD107" i="77"/>
  <c r="AC107" i="77"/>
  <c r="AB107" i="77"/>
  <c r="AA107" i="77"/>
  <c r="BJ107" i="77" s="1"/>
  <c r="Z107" i="77"/>
  <c r="Y107" i="77"/>
  <c r="X107" i="77"/>
  <c r="W107" i="77"/>
  <c r="BI107" i="77" s="1"/>
  <c r="V107" i="77"/>
  <c r="U107" i="77"/>
  <c r="T107" i="77"/>
  <c r="S107" i="77"/>
  <c r="BH107" i="77" s="1"/>
  <c r="AX106" i="77"/>
  <c r="AW106" i="77"/>
  <c r="AV106" i="77"/>
  <c r="AU106" i="77"/>
  <c r="BO106" i="77" s="1"/>
  <c r="AT106" i="77"/>
  <c r="AS106" i="77"/>
  <c r="AR106" i="77"/>
  <c r="AQ106" i="77"/>
  <c r="BN106" i="77" s="1"/>
  <c r="AP106" i="77"/>
  <c r="AO106" i="77"/>
  <c r="AN106" i="77"/>
  <c r="AM106" i="77"/>
  <c r="BM106" i="77" s="1"/>
  <c r="AL106" i="77"/>
  <c r="AK106" i="77"/>
  <c r="AJ106" i="77"/>
  <c r="AI106" i="77"/>
  <c r="BL106" i="77" s="1"/>
  <c r="AH106" i="77"/>
  <c r="AG106" i="77"/>
  <c r="AF106" i="77"/>
  <c r="AE106" i="77"/>
  <c r="BK106" i="77" s="1"/>
  <c r="AD106" i="77"/>
  <c r="AC106" i="77"/>
  <c r="AB106" i="77"/>
  <c r="AA106" i="77"/>
  <c r="BJ106" i="77" s="1"/>
  <c r="Z106" i="77"/>
  <c r="Y106" i="77"/>
  <c r="X106" i="77"/>
  <c r="W106" i="77"/>
  <c r="BI106" i="77" s="1"/>
  <c r="V106" i="77"/>
  <c r="U106" i="77"/>
  <c r="T106" i="77"/>
  <c r="S106" i="77"/>
  <c r="BH106" i="77" s="1"/>
  <c r="AX105" i="77"/>
  <c r="AW105" i="77"/>
  <c r="AV105" i="77"/>
  <c r="AU105" i="77"/>
  <c r="BO105" i="77" s="1"/>
  <c r="AT105" i="77"/>
  <c r="AS105" i="77"/>
  <c r="AR105" i="77"/>
  <c r="AQ105" i="77"/>
  <c r="BN105" i="77" s="1"/>
  <c r="AP105" i="77"/>
  <c r="AO105" i="77"/>
  <c r="AN105" i="77"/>
  <c r="AM105" i="77"/>
  <c r="BM105" i="77" s="1"/>
  <c r="AL105" i="77"/>
  <c r="AK105" i="77"/>
  <c r="AJ105" i="77"/>
  <c r="AI105" i="77"/>
  <c r="BL105" i="77" s="1"/>
  <c r="AH105" i="77"/>
  <c r="AG105" i="77"/>
  <c r="AF105" i="77"/>
  <c r="AE105" i="77"/>
  <c r="BK105" i="77" s="1"/>
  <c r="AD105" i="77"/>
  <c r="AC105" i="77"/>
  <c r="AB105" i="77"/>
  <c r="AA105" i="77"/>
  <c r="BJ105" i="77" s="1"/>
  <c r="Z105" i="77"/>
  <c r="Y105" i="77"/>
  <c r="X105" i="77"/>
  <c r="W105" i="77"/>
  <c r="BI105" i="77" s="1"/>
  <c r="V105" i="77"/>
  <c r="U105" i="77"/>
  <c r="T105" i="77"/>
  <c r="S105" i="77"/>
  <c r="BH105" i="77" s="1"/>
  <c r="AX104" i="77"/>
  <c r="AW104" i="77"/>
  <c r="AV104" i="77"/>
  <c r="AU104" i="77"/>
  <c r="BO104" i="77" s="1"/>
  <c r="AT104" i="77"/>
  <c r="AS104" i="77"/>
  <c r="AR104" i="77"/>
  <c r="AQ104" i="77"/>
  <c r="BN104" i="77" s="1"/>
  <c r="AP104" i="77"/>
  <c r="AO104" i="77"/>
  <c r="AN104" i="77"/>
  <c r="AM104" i="77"/>
  <c r="BM104" i="77" s="1"/>
  <c r="AL104" i="77"/>
  <c r="AK104" i="77"/>
  <c r="AJ104" i="77"/>
  <c r="AI104" i="77"/>
  <c r="BL104" i="77" s="1"/>
  <c r="AH104" i="77"/>
  <c r="AG104" i="77"/>
  <c r="AF104" i="77"/>
  <c r="AE104" i="77"/>
  <c r="BK104" i="77" s="1"/>
  <c r="AD104" i="77"/>
  <c r="AC104" i="77"/>
  <c r="AB104" i="77"/>
  <c r="AA104" i="77"/>
  <c r="BJ104" i="77" s="1"/>
  <c r="Z104" i="77"/>
  <c r="Y104" i="77"/>
  <c r="X104" i="77"/>
  <c r="W104" i="77"/>
  <c r="BI104" i="77" s="1"/>
  <c r="V104" i="77"/>
  <c r="U104" i="77"/>
  <c r="T104" i="77"/>
  <c r="S104" i="77"/>
  <c r="BH104" i="77" s="1"/>
  <c r="AX103" i="77"/>
  <c r="AW103" i="77"/>
  <c r="AV103" i="77"/>
  <c r="AU103" i="77"/>
  <c r="BO103" i="77" s="1"/>
  <c r="AT103" i="77"/>
  <c r="AS103" i="77"/>
  <c r="AR103" i="77"/>
  <c r="AQ103" i="77"/>
  <c r="BN103" i="77" s="1"/>
  <c r="AP103" i="77"/>
  <c r="AO103" i="77"/>
  <c r="AN103" i="77"/>
  <c r="AM103" i="77"/>
  <c r="BM103" i="77" s="1"/>
  <c r="AL103" i="77"/>
  <c r="AK103" i="77"/>
  <c r="AJ103" i="77"/>
  <c r="AI103" i="77"/>
  <c r="BL103" i="77" s="1"/>
  <c r="AH103" i="77"/>
  <c r="AG103" i="77"/>
  <c r="AF103" i="77"/>
  <c r="AE103" i="77"/>
  <c r="BK103" i="77" s="1"/>
  <c r="AD103" i="77"/>
  <c r="AC103" i="77"/>
  <c r="AB103" i="77"/>
  <c r="AA103" i="77"/>
  <c r="BJ103" i="77" s="1"/>
  <c r="Z103" i="77"/>
  <c r="Y103" i="77"/>
  <c r="X103" i="77"/>
  <c r="W103" i="77"/>
  <c r="BI103" i="77" s="1"/>
  <c r="V103" i="77"/>
  <c r="U103" i="77"/>
  <c r="T103" i="77"/>
  <c r="S103" i="77"/>
  <c r="BH103" i="77" s="1"/>
  <c r="AX102" i="77"/>
  <c r="AW102" i="77"/>
  <c r="AV102" i="77"/>
  <c r="AU102" i="77"/>
  <c r="BO102" i="77" s="1"/>
  <c r="AT102" i="77"/>
  <c r="AS102" i="77"/>
  <c r="AR102" i="77"/>
  <c r="AQ102" i="77"/>
  <c r="BN102" i="77" s="1"/>
  <c r="AP102" i="77"/>
  <c r="AO102" i="77"/>
  <c r="AN102" i="77"/>
  <c r="AM102" i="77"/>
  <c r="BM102" i="77" s="1"/>
  <c r="AL102" i="77"/>
  <c r="AK102" i="77"/>
  <c r="AJ102" i="77"/>
  <c r="AI102" i="77"/>
  <c r="BL102" i="77" s="1"/>
  <c r="AH102" i="77"/>
  <c r="AG102" i="77"/>
  <c r="AF102" i="77"/>
  <c r="AE102" i="77"/>
  <c r="BK102" i="77" s="1"/>
  <c r="AD102" i="77"/>
  <c r="AC102" i="77"/>
  <c r="AB102" i="77"/>
  <c r="AA102" i="77"/>
  <c r="BJ102" i="77" s="1"/>
  <c r="Z102" i="77"/>
  <c r="Y102" i="77"/>
  <c r="X102" i="77"/>
  <c r="W102" i="77"/>
  <c r="BI102" i="77" s="1"/>
  <c r="V102" i="77"/>
  <c r="U102" i="77"/>
  <c r="T102" i="77"/>
  <c r="S102" i="77"/>
  <c r="BH102" i="77" s="1"/>
  <c r="AX101" i="77"/>
  <c r="BK90" i="15"/>
  <c r="AW101" i="77"/>
  <c r="BJ90" i="15"/>
  <c r="AV101" i="77"/>
  <c r="AU101" i="77"/>
  <c r="BO101" i="77" s="1"/>
  <c r="AT101" i="77"/>
  <c r="BF90" i="15"/>
  <c r="AS101" i="77"/>
  <c r="BE90" i="15"/>
  <c r="AR101" i="77"/>
  <c r="AQ101" i="77"/>
  <c r="BN101" i="77" s="1"/>
  <c r="AP101" i="77"/>
  <c r="BA90" i="15"/>
  <c r="AO101" i="77"/>
  <c r="AZ90" i="15"/>
  <c r="AN101" i="77"/>
  <c r="AM101" i="77"/>
  <c r="BM101" i="77" s="1"/>
  <c r="AL101" i="77"/>
  <c r="AV90" i="15"/>
  <c r="AK101" i="77"/>
  <c r="AU90" i="15"/>
  <c r="AJ101" i="77"/>
  <c r="AI101" i="77"/>
  <c r="BL101" i="77" s="1"/>
  <c r="AH101" i="77"/>
  <c r="AQ90" i="15"/>
  <c r="AG101" i="77"/>
  <c r="AP90" i="15"/>
  <c r="AF101" i="77"/>
  <c r="AE101" i="77"/>
  <c r="BK101" i="77" s="1"/>
  <c r="AD101" i="77"/>
  <c r="AL90" i="15" s="1"/>
  <c r="AC101" i="77"/>
  <c r="AK90" i="15" s="1"/>
  <c r="AB101" i="77"/>
  <c r="AA101" i="77"/>
  <c r="Z101" i="77"/>
  <c r="AG90" i="15" s="1"/>
  <c r="Y101" i="77"/>
  <c r="AF90" i="15"/>
  <c r="X101" i="77"/>
  <c r="W101" i="77"/>
  <c r="BI101" i="77" s="1"/>
  <c r="V101" i="77"/>
  <c r="AB90" i="15"/>
  <c r="U101" i="77"/>
  <c r="AA90" i="15"/>
  <c r="T101" i="77"/>
  <c r="S101" i="77"/>
  <c r="AX100" i="77"/>
  <c r="AW100" i="77"/>
  <c r="AV100" i="77"/>
  <c r="AU100" i="77"/>
  <c r="AT100" i="77"/>
  <c r="AS100" i="77"/>
  <c r="AR100" i="77"/>
  <c r="AQ100" i="77"/>
  <c r="AP100" i="77"/>
  <c r="AO100" i="77"/>
  <c r="AZ87" i="15"/>
  <c r="AN100" i="77"/>
  <c r="AM100" i="77"/>
  <c r="BM100" i="77" s="1"/>
  <c r="AL100" i="77"/>
  <c r="AK100" i="77"/>
  <c r="AJ100" i="77"/>
  <c r="AI100" i="77"/>
  <c r="BL100" i="77" s="1"/>
  <c r="AH100" i="77"/>
  <c r="AG100" i="77"/>
  <c r="AF100" i="77"/>
  <c r="AE100" i="77"/>
  <c r="BK100" i="77" s="1"/>
  <c r="AD100" i="77"/>
  <c r="AC100" i="77"/>
  <c r="AB100" i="77"/>
  <c r="AA100" i="77"/>
  <c r="BJ100" i="77" s="1"/>
  <c r="Z100" i="77"/>
  <c r="Y100" i="77"/>
  <c r="X100" i="77"/>
  <c r="W100" i="77"/>
  <c r="BI100" i="77" s="1"/>
  <c r="V100" i="77"/>
  <c r="U100" i="77"/>
  <c r="T100" i="77"/>
  <c r="S100" i="77"/>
  <c r="BH100" i="77" s="1"/>
  <c r="AX99" i="77"/>
  <c r="AW99" i="77"/>
  <c r="AV99" i="77"/>
  <c r="AU99" i="77"/>
  <c r="BO99" i="77" s="1"/>
  <c r="AT99" i="77"/>
  <c r="AS99" i="77"/>
  <c r="AR99" i="77"/>
  <c r="AQ99" i="77"/>
  <c r="BN99" i="77" s="1"/>
  <c r="AP99" i="77"/>
  <c r="AO99" i="77"/>
  <c r="AN99" i="77"/>
  <c r="AM99" i="77"/>
  <c r="BM99" i="77" s="1"/>
  <c r="AL99" i="77"/>
  <c r="AK99" i="77"/>
  <c r="AJ99" i="77"/>
  <c r="AI99" i="77"/>
  <c r="BL99" i="77" s="1"/>
  <c r="AH99" i="77"/>
  <c r="AG99" i="77"/>
  <c r="AF99" i="77"/>
  <c r="AE99" i="77"/>
  <c r="BK99" i="77" s="1"/>
  <c r="AD99" i="77"/>
  <c r="AC99" i="77"/>
  <c r="AB99" i="77"/>
  <c r="AA99" i="77"/>
  <c r="BJ99" i="77" s="1"/>
  <c r="Z99" i="77"/>
  <c r="Y99" i="77"/>
  <c r="X99" i="77"/>
  <c r="W99" i="77"/>
  <c r="BI99" i="77" s="1"/>
  <c r="V99" i="77"/>
  <c r="U99" i="77"/>
  <c r="T99" i="77"/>
  <c r="S99" i="77"/>
  <c r="BH99" i="77" s="1"/>
  <c r="AX98" i="77"/>
  <c r="AW98" i="77"/>
  <c r="AV98" i="77"/>
  <c r="AU98" i="77"/>
  <c r="BO98" i="77" s="1"/>
  <c r="AT98" i="77"/>
  <c r="AS98" i="77"/>
  <c r="AR98" i="77"/>
  <c r="AQ98" i="77"/>
  <c r="BN98" i="77" s="1"/>
  <c r="AP98" i="77"/>
  <c r="AO98" i="77"/>
  <c r="AN98" i="77"/>
  <c r="AM98" i="77"/>
  <c r="BM98" i="77" s="1"/>
  <c r="AL98" i="77"/>
  <c r="AK98" i="77"/>
  <c r="AJ98" i="77"/>
  <c r="AI98" i="77"/>
  <c r="BL98" i="77" s="1"/>
  <c r="AH98" i="77"/>
  <c r="AG98" i="77"/>
  <c r="AF98" i="77"/>
  <c r="AE98" i="77"/>
  <c r="BK98" i="77" s="1"/>
  <c r="AD98" i="77"/>
  <c r="AC98" i="77"/>
  <c r="AB98" i="77"/>
  <c r="AA98" i="77"/>
  <c r="BJ98" i="77" s="1"/>
  <c r="Z98" i="77"/>
  <c r="Y98" i="77"/>
  <c r="X98" i="77"/>
  <c r="W98" i="77"/>
  <c r="BI98" i="77" s="1"/>
  <c r="V98" i="77"/>
  <c r="U98" i="77"/>
  <c r="T98" i="77"/>
  <c r="S98" i="77"/>
  <c r="BH98" i="77" s="1"/>
  <c r="AX97" i="77"/>
  <c r="AW97" i="77"/>
  <c r="AV97" i="77"/>
  <c r="AU97" i="77"/>
  <c r="BO97" i="77" s="1"/>
  <c r="AT97" i="77"/>
  <c r="AS97" i="77"/>
  <c r="AR97" i="77"/>
  <c r="AQ97" i="77"/>
  <c r="BN97" i="77" s="1"/>
  <c r="AP97" i="77"/>
  <c r="AO97" i="77"/>
  <c r="AZ84" i="15" s="1"/>
  <c r="AN97" i="77"/>
  <c r="AM97" i="77"/>
  <c r="AL97" i="77"/>
  <c r="AK97" i="77"/>
  <c r="AJ97" i="77"/>
  <c r="AI97" i="77"/>
  <c r="AH97" i="77"/>
  <c r="AG97" i="77"/>
  <c r="AF97" i="77"/>
  <c r="AE97" i="77"/>
  <c r="AD97" i="77"/>
  <c r="AC97" i="77"/>
  <c r="AB97" i="77"/>
  <c r="AA97" i="77"/>
  <c r="Z97" i="77"/>
  <c r="Y97" i="77"/>
  <c r="X97" i="77"/>
  <c r="W97" i="77"/>
  <c r="V97" i="77"/>
  <c r="U97" i="77"/>
  <c r="T97" i="77"/>
  <c r="S97" i="77"/>
  <c r="AX96" i="77"/>
  <c r="AW96" i="77"/>
  <c r="AV96" i="77"/>
  <c r="AU96" i="77"/>
  <c r="AT96" i="77"/>
  <c r="AS96" i="77"/>
  <c r="AR96" i="77"/>
  <c r="AQ96" i="77"/>
  <c r="AP96" i="77"/>
  <c r="AO96" i="77"/>
  <c r="AZ81" i="15"/>
  <c r="AN96" i="77"/>
  <c r="AM96" i="77"/>
  <c r="BM96" i="77" s="1"/>
  <c r="AL96" i="77"/>
  <c r="AK96" i="77"/>
  <c r="AJ96" i="77"/>
  <c r="AI96" i="77"/>
  <c r="AH96" i="77"/>
  <c r="AG96" i="77"/>
  <c r="AF96" i="77"/>
  <c r="AE96" i="77"/>
  <c r="AD96" i="77"/>
  <c r="AC96" i="77"/>
  <c r="AB96" i="77"/>
  <c r="AA96" i="77"/>
  <c r="Z96" i="77"/>
  <c r="Y96" i="77"/>
  <c r="X96" i="77"/>
  <c r="W96" i="77"/>
  <c r="V96" i="77"/>
  <c r="U96" i="77"/>
  <c r="T96" i="77"/>
  <c r="S96" i="77"/>
  <c r="AX95" i="77"/>
  <c r="AW95" i="77"/>
  <c r="AV95" i="77"/>
  <c r="AU95" i="77"/>
  <c r="AT95" i="77"/>
  <c r="AS95" i="77"/>
  <c r="AR95" i="77"/>
  <c r="AQ95" i="77"/>
  <c r="AP95" i="77"/>
  <c r="AO95" i="77"/>
  <c r="AN95" i="77"/>
  <c r="AM95" i="77"/>
  <c r="AL95" i="77"/>
  <c r="AK95" i="77"/>
  <c r="AJ95" i="77"/>
  <c r="AI95" i="77"/>
  <c r="AH95" i="77"/>
  <c r="AG95" i="77"/>
  <c r="AF95" i="77"/>
  <c r="AE95" i="77"/>
  <c r="AD95" i="77"/>
  <c r="AC95" i="77"/>
  <c r="AB95" i="77"/>
  <c r="AA95" i="77"/>
  <c r="Z95" i="77"/>
  <c r="Y95" i="77"/>
  <c r="X95" i="77"/>
  <c r="W95" i="77"/>
  <c r="V95" i="77"/>
  <c r="U95" i="77"/>
  <c r="T95" i="77"/>
  <c r="S95" i="77"/>
  <c r="AX94" i="77"/>
  <c r="AW94" i="77"/>
  <c r="AV94" i="77"/>
  <c r="AU94" i="77"/>
  <c r="AT94" i="77"/>
  <c r="AS94" i="77"/>
  <c r="AR94" i="77"/>
  <c r="AQ94" i="77"/>
  <c r="AP94" i="77"/>
  <c r="AO94" i="77"/>
  <c r="AN94" i="77"/>
  <c r="AM94" i="77"/>
  <c r="AL94" i="77"/>
  <c r="AK94" i="77"/>
  <c r="AJ94" i="77"/>
  <c r="AI94" i="77"/>
  <c r="AH94" i="77"/>
  <c r="AG94" i="77"/>
  <c r="AF94" i="77"/>
  <c r="AE94" i="77"/>
  <c r="AD94" i="77"/>
  <c r="AC94" i="77"/>
  <c r="AB94" i="77"/>
  <c r="AA94" i="77"/>
  <c r="Z94" i="77"/>
  <c r="Y94" i="77"/>
  <c r="X94" i="77"/>
  <c r="W94" i="77"/>
  <c r="V94" i="77"/>
  <c r="U94" i="77"/>
  <c r="T94" i="77"/>
  <c r="S94" i="77"/>
  <c r="AX93" i="77"/>
  <c r="AW93" i="77"/>
  <c r="AV93" i="77"/>
  <c r="AU93" i="77"/>
  <c r="AT93" i="77"/>
  <c r="AS93" i="77"/>
  <c r="AR93" i="77"/>
  <c r="AQ93" i="77"/>
  <c r="AP93" i="77"/>
  <c r="AO93" i="77"/>
  <c r="AN93" i="77"/>
  <c r="AM93" i="77"/>
  <c r="AL93" i="77"/>
  <c r="AK93" i="77"/>
  <c r="AJ93" i="77"/>
  <c r="AI93" i="77"/>
  <c r="AH93" i="77"/>
  <c r="AG93" i="77"/>
  <c r="AF93" i="77"/>
  <c r="AE93" i="77"/>
  <c r="AD93" i="77"/>
  <c r="AC93" i="77"/>
  <c r="AB93" i="77"/>
  <c r="AA93" i="77"/>
  <c r="Z93" i="77"/>
  <c r="Y93" i="77"/>
  <c r="X93" i="77"/>
  <c r="W93" i="77"/>
  <c r="V93" i="77"/>
  <c r="U93" i="77"/>
  <c r="T93" i="77"/>
  <c r="S93" i="77"/>
  <c r="AX92" i="77"/>
  <c r="AW92" i="77"/>
  <c r="AV92" i="77"/>
  <c r="AU92" i="77"/>
  <c r="AT92" i="77"/>
  <c r="AS92" i="77"/>
  <c r="AR92" i="77"/>
  <c r="AQ92" i="77"/>
  <c r="AP92" i="77"/>
  <c r="AO92" i="77"/>
  <c r="AN92" i="77"/>
  <c r="AM92" i="77"/>
  <c r="AL92" i="77"/>
  <c r="AK92" i="77"/>
  <c r="AJ92" i="77"/>
  <c r="AI92" i="77"/>
  <c r="AH92" i="77"/>
  <c r="AG92" i="77"/>
  <c r="AF92" i="77"/>
  <c r="AE92" i="77"/>
  <c r="AD92" i="77"/>
  <c r="AC92" i="77"/>
  <c r="AB92" i="77"/>
  <c r="AA92" i="77"/>
  <c r="Z92" i="77"/>
  <c r="Y92" i="77"/>
  <c r="X92" i="77"/>
  <c r="W92" i="77"/>
  <c r="V92" i="77"/>
  <c r="U92" i="77"/>
  <c r="T92" i="77"/>
  <c r="S92" i="77"/>
  <c r="AX91" i="77"/>
  <c r="AW91" i="77"/>
  <c r="AV91" i="77"/>
  <c r="AU91" i="77"/>
  <c r="AT91" i="77"/>
  <c r="AS91" i="77"/>
  <c r="AR91" i="77"/>
  <c r="AQ91" i="77"/>
  <c r="AP91" i="77"/>
  <c r="AO91" i="77"/>
  <c r="AN91" i="77"/>
  <c r="AM91" i="77"/>
  <c r="AL91" i="77"/>
  <c r="AK91" i="77"/>
  <c r="AJ91" i="77"/>
  <c r="AI91" i="77"/>
  <c r="AH91" i="77"/>
  <c r="AG91" i="77"/>
  <c r="AF91" i="77"/>
  <c r="AE91" i="77"/>
  <c r="AD91" i="77"/>
  <c r="AC91" i="77"/>
  <c r="AB91" i="77"/>
  <c r="AA91" i="77"/>
  <c r="Z91" i="77"/>
  <c r="Y91" i="77"/>
  <c r="X91" i="77"/>
  <c r="W91" i="77"/>
  <c r="V91" i="77"/>
  <c r="U91" i="77"/>
  <c r="T91" i="77"/>
  <c r="S91" i="77"/>
  <c r="AX90" i="77"/>
  <c r="AW90" i="77"/>
  <c r="AV90" i="77"/>
  <c r="AU90" i="77"/>
  <c r="AT90" i="77"/>
  <c r="AS90" i="77"/>
  <c r="AR90" i="77"/>
  <c r="AQ90" i="77"/>
  <c r="AP90" i="77"/>
  <c r="AO90" i="77"/>
  <c r="AN90" i="77"/>
  <c r="AM90" i="77"/>
  <c r="AL90" i="77"/>
  <c r="AK90" i="77"/>
  <c r="AJ90" i="77"/>
  <c r="AI90" i="77"/>
  <c r="AH90" i="77"/>
  <c r="AG90" i="77"/>
  <c r="AF90" i="77"/>
  <c r="AE90" i="77"/>
  <c r="AD90" i="77"/>
  <c r="AC90" i="77"/>
  <c r="AB90" i="77"/>
  <c r="AA90" i="77"/>
  <c r="Z90" i="77"/>
  <c r="Y90" i="77"/>
  <c r="X90" i="77"/>
  <c r="W90" i="77"/>
  <c r="V90" i="77"/>
  <c r="U90" i="77"/>
  <c r="T90" i="77"/>
  <c r="S90" i="77"/>
  <c r="AX89" i="77"/>
  <c r="AW89" i="77"/>
  <c r="AV89" i="77"/>
  <c r="AU89" i="77"/>
  <c r="AT89" i="77"/>
  <c r="AS89" i="77"/>
  <c r="AR89" i="77"/>
  <c r="AQ89" i="77"/>
  <c r="AP89" i="77"/>
  <c r="AO89" i="77"/>
  <c r="AN89" i="77"/>
  <c r="AM89" i="77"/>
  <c r="AL89" i="77"/>
  <c r="AK89" i="77"/>
  <c r="AJ89" i="77"/>
  <c r="AI89" i="77"/>
  <c r="AH89" i="77"/>
  <c r="AG89" i="77"/>
  <c r="AF89" i="77"/>
  <c r="AE89" i="77"/>
  <c r="AD89" i="77"/>
  <c r="AC89" i="77"/>
  <c r="AB89" i="77"/>
  <c r="AA89" i="77"/>
  <c r="Z89" i="77"/>
  <c r="Y89" i="77"/>
  <c r="X89" i="77"/>
  <c r="W89" i="77"/>
  <c r="V89" i="77"/>
  <c r="U89" i="77"/>
  <c r="T89" i="77"/>
  <c r="S89" i="77"/>
  <c r="AX88" i="77"/>
  <c r="AW88" i="77"/>
  <c r="AV88" i="77"/>
  <c r="AU88" i="77"/>
  <c r="AT88" i="77"/>
  <c r="AS88" i="77"/>
  <c r="AR88" i="77"/>
  <c r="AQ88" i="77"/>
  <c r="AP88" i="77"/>
  <c r="AO88" i="77"/>
  <c r="AN88" i="77"/>
  <c r="AM88" i="77"/>
  <c r="AL88" i="77"/>
  <c r="AK88" i="77"/>
  <c r="AJ88" i="77"/>
  <c r="AI88" i="77"/>
  <c r="AH88" i="77"/>
  <c r="AG88" i="77"/>
  <c r="AF88" i="77"/>
  <c r="AE88" i="77"/>
  <c r="AD88" i="77"/>
  <c r="AC88" i="77"/>
  <c r="AB88" i="77"/>
  <c r="AA88" i="77"/>
  <c r="Z88" i="77"/>
  <c r="Y88" i="77"/>
  <c r="X88" i="77"/>
  <c r="W88" i="77"/>
  <c r="V88" i="77"/>
  <c r="U88" i="77"/>
  <c r="T88" i="77"/>
  <c r="S88" i="77"/>
  <c r="AX87" i="77"/>
  <c r="AW87" i="77"/>
  <c r="AV87" i="77"/>
  <c r="AU87" i="77"/>
  <c r="AT87" i="77"/>
  <c r="AS87" i="77"/>
  <c r="AR87" i="77"/>
  <c r="AQ87" i="77"/>
  <c r="AP87" i="77"/>
  <c r="AO87" i="77"/>
  <c r="AN87" i="77"/>
  <c r="AM87" i="77"/>
  <c r="AL87" i="77"/>
  <c r="AK87" i="77"/>
  <c r="AJ87" i="77"/>
  <c r="AI87" i="77"/>
  <c r="AH87" i="77"/>
  <c r="AG87" i="77"/>
  <c r="AF87" i="77"/>
  <c r="AE87" i="77"/>
  <c r="AD87" i="77"/>
  <c r="AC87" i="77"/>
  <c r="AB87" i="77"/>
  <c r="AA87" i="77"/>
  <c r="Z87" i="77"/>
  <c r="Y87" i="77"/>
  <c r="X87" i="77"/>
  <c r="W87" i="77"/>
  <c r="V87" i="77"/>
  <c r="U87" i="77"/>
  <c r="T87" i="77"/>
  <c r="S87" i="77"/>
  <c r="AX86" i="77"/>
  <c r="AW86" i="77"/>
  <c r="AV86" i="77"/>
  <c r="AU86" i="77"/>
  <c r="AT86" i="77"/>
  <c r="AS86" i="77"/>
  <c r="AR86" i="77"/>
  <c r="AQ86" i="77"/>
  <c r="AP86" i="77"/>
  <c r="AO86" i="77"/>
  <c r="AN86" i="77"/>
  <c r="AM86" i="77"/>
  <c r="AL86" i="77"/>
  <c r="AK86" i="77"/>
  <c r="AJ86" i="77"/>
  <c r="AI86" i="77"/>
  <c r="AH86" i="77"/>
  <c r="AG86" i="77"/>
  <c r="AF86" i="77"/>
  <c r="AE86" i="77"/>
  <c r="AD86" i="77"/>
  <c r="AC86" i="77"/>
  <c r="AB86" i="77"/>
  <c r="AA86" i="77"/>
  <c r="Z86" i="77"/>
  <c r="Y86" i="77"/>
  <c r="X86" i="77"/>
  <c r="W86" i="77"/>
  <c r="V86" i="77"/>
  <c r="U86" i="77"/>
  <c r="T86" i="77"/>
  <c r="S86" i="77"/>
  <c r="AX85" i="77"/>
  <c r="AW85" i="77"/>
  <c r="AV85" i="77"/>
  <c r="AU85" i="77"/>
  <c r="AT85" i="77"/>
  <c r="AS85" i="77"/>
  <c r="AR85" i="77"/>
  <c r="AQ85" i="77"/>
  <c r="AP85" i="77"/>
  <c r="AO85" i="77"/>
  <c r="AN85" i="77"/>
  <c r="AM85" i="77"/>
  <c r="AL85" i="77"/>
  <c r="AK85" i="77"/>
  <c r="AJ85" i="77"/>
  <c r="AI85" i="77"/>
  <c r="AH85" i="77"/>
  <c r="AG85" i="77"/>
  <c r="AF85" i="77"/>
  <c r="AE85" i="77"/>
  <c r="AD85" i="77"/>
  <c r="AC85" i="77"/>
  <c r="AB85" i="77"/>
  <c r="AA85" i="77"/>
  <c r="Z85" i="77"/>
  <c r="Y85" i="77"/>
  <c r="X85" i="77"/>
  <c r="W85" i="77"/>
  <c r="V85" i="77"/>
  <c r="U85" i="77"/>
  <c r="T85" i="77"/>
  <c r="S85" i="77"/>
  <c r="AX84" i="77"/>
  <c r="AW84" i="77"/>
  <c r="AV84" i="77"/>
  <c r="AU84" i="77"/>
  <c r="AT84" i="77"/>
  <c r="AS84" i="77"/>
  <c r="AR84" i="77"/>
  <c r="AQ84" i="77"/>
  <c r="AP84" i="77"/>
  <c r="AO84" i="77"/>
  <c r="AN84" i="77"/>
  <c r="AM84" i="77"/>
  <c r="AL84" i="77"/>
  <c r="AK84" i="77"/>
  <c r="AJ84" i="77"/>
  <c r="AI84" i="77"/>
  <c r="AH84" i="77"/>
  <c r="AG84" i="77"/>
  <c r="AF84" i="77"/>
  <c r="AE84" i="77"/>
  <c r="AD84" i="77"/>
  <c r="AC84" i="77"/>
  <c r="AB84" i="77"/>
  <c r="AA84" i="77"/>
  <c r="Z84" i="77"/>
  <c r="Y84" i="77"/>
  <c r="X84" i="77"/>
  <c r="W84" i="77"/>
  <c r="V84" i="77"/>
  <c r="U84" i="77"/>
  <c r="T84" i="77"/>
  <c r="S84" i="77"/>
  <c r="AX83" i="77"/>
  <c r="AW83" i="77"/>
  <c r="AV83" i="77"/>
  <c r="AU83" i="77"/>
  <c r="AT83" i="77"/>
  <c r="AS83" i="77"/>
  <c r="AR83" i="77"/>
  <c r="AQ83" i="77"/>
  <c r="AP83" i="77"/>
  <c r="AO83" i="77"/>
  <c r="AZ89" i="15" s="1"/>
  <c r="AN83" i="77"/>
  <c r="AM83" i="77"/>
  <c r="AL83" i="77"/>
  <c r="AK83" i="77"/>
  <c r="AJ83" i="77"/>
  <c r="AI83" i="77"/>
  <c r="AH83" i="77"/>
  <c r="AG83" i="77"/>
  <c r="AF83" i="77"/>
  <c r="AE83" i="77"/>
  <c r="AD83" i="77"/>
  <c r="AC83" i="77"/>
  <c r="AB83" i="77"/>
  <c r="AA83" i="77"/>
  <c r="Z83" i="77"/>
  <c r="Y83" i="77"/>
  <c r="X83" i="77"/>
  <c r="W83" i="77"/>
  <c r="V83" i="77"/>
  <c r="U83" i="77"/>
  <c r="T83" i="77"/>
  <c r="S83" i="77"/>
  <c r="AX82" i="77"/>
  <c r="AW82" i="77"/>
  <c r="AV82" i="77"/>
  <c r="AU82" i="77"/>
  <c r="AT82" i="77"/>
  <c r="AS82" i="77"/>
  <c r="AR82" i="77"/>
  <c r="AQ82" i="77"/>
  <c r="AP82" i="77"/>
  <c r="AO82" i="77"/>
  <c r="AZ86" i="15"/>
  <c r="AN82" i="77"/>
  <c r="AM82" i="77"/>
  <c r="BM82" i="77" s="1"/>
  <c r="AL82" i="77"/>
  <c r="AK82" i="77"/>
  <c r="AJ82" i="77"/>
  <c r="AI82" i="77"/>
  <c r="BL82" i="77" s="1"/>
  <c r="AH82" i="77"/>
  <c r="AG82" i="77"/>
  <c r="AF82" i="77"/>
  <c r="AE82" i="77"/>
  <c r="BK82" i="77" s="1"/>
  <c r="AD82" i="77"/>
  <c r="AC82" i="77"/>
  <c r="AB82" i="77"/>
  <c r="AA82" i="77"/>
  <c r="BJ82" i="77" s="1"/>
  <c r="Z82" i="77"/>
  <c r="Y82" i="77"/>
  <c r="X82" i="77"/>
  <c r="W82" i="77"/>
  <c r="BI82" i="77" s="1"/>
  <c r="V82" i="77"/>
  <c r="U82" i="77"/>
  <c r="T82" i="77"/>
  <c r="S82" i="77"/>
  <c r="BH82" i="77" s="1"/>
  <c r="AX81" i="77"/>
  <c r="AW81" i="77"/>
  <c r="AV81" i="77"/>
  <c r="AU81" i="77"/>
  <c r="BO81" i="77" s="1"/>
  <c r="AT81" i="77"/>
  <c r="AS81" i="77"/>
  <c r="AR81" i="77"/>
  <c r="AQ81" i="77"/>
  <c r="BN81" i="77" s="1"/>
  <c r="AP81" i="77"/>
  <c r="AO81" i="77"/>
  <c r="AN81" i="77"/>
  <c r="AM81" i="77"/>
  <c r="BM81" i="77" s="1"/>
  <c r="AL81" i="77"/>
  <c r="AK81" i="77"/>
  <c r="AJ81" i="77"/>
  <c r="AI81" i="77"/>
  <c r="BL81" i="77" s="1"/>
  <c r="AH81" i="77"/>
  <c r="AG81" i="77"/>
  <c r="AF81" i="77"/>
  <c r="AE81" i="77"/>
  <c r="BK81" i="77" s="1"/>
  <c r="AD81" i="77"/>
  <c r="AC81" i="77"/>
  <c r="AB81" i="77"/>
  <c r="AA81" i="77"/>
  <c r="BJ81" i="77" s="1"/>
  <c r="Z81" i="77"/>
  <c r="Y81" i="77"/>
  <c r="X81" i="77"/>
  <c r="W81" i="77"/>
  <c r="BI81" i="77" s="1"/>
  <c r="V81" i="77"/>
  <c r="U81" i="77"/>
  <c r="T81" i="77"/>
  <c r="S81" i="77"/>
  <c r="BH81" i="77" s="1"/>
  <c r="AX80" i="77"/>
  <c r="AW80" i="77"/>
  <c r="AV80" i="77"/>
  <c r="AU80" i="77"/>
  <c r="BO80" i="77" s="1"/>
  <c r="AT80" i="77"/>
  <c r="AS80" i="77"/>
  <c r="AR80" i="77"/>
  <c r="AQ80" i="77"/>
  <c r="BN80" i="77" s="1"/>
  <c r="AP80" i="77"/>
  <c r="AO80" i="77"/>
  <c r="AN80" i="77"/>
  <c r="AM80" i="77"/>
  <c r="BM80" i="77" s="1"/>
  <c r="AL80" i="77"/>
  <c r="AK80" i="77"/>
  <c r="AJ80" i="77"/>
  <c r="AI80" i="77"/>
  <c r="BL80" i="77" s="1"/>
  <c r="AH80" i="77"/>
  <c r="AG80" i="77"/>
  <c r="AF80" i="77"/>
  <c r="AE80" i="77"/>
  <c r="BK80" i="77" s="1"/>
  <c r="AD80" i="77"/>
  <c r="AC80" i="77"/>
  <c r="AB80" i="77"/>
  <c r="AA80" i="77"/>
  <c r="BJ80" i="77" s="1"/>
  <c r="Z80" i="77"/>
  <c r="Y80" i="77"/>
  <c r="X80" i="77"/>
  <c r="W80" i="77"/>
  <c r="BI80" i="77" s="1"/>
  <c r="V80" i="77"/>
  <c r="U80" i="77"/>
  <c r="T80" i="77"/>
  <c r="S80" i="77"/>
  <c r="BH80" i="77" s="1"/>
  <c r="AX79" i="77"/>
  <c r="AW79" i="77"/>
  <c r="AV79" i="77"/>
  <c r="AU79" i="77"/>
  <c r="BO79" i="77" s="1"/>
  <c r="AT79" i="77"/>
  <c r="AS79" i="77"/>
  <c r="AR79" i="77"/>
  <c r="AQ79" i="77"/>
  <c r="BN79" i="77" s="1"/>
  <c r="AP79" i="77"/>
  <c r="AO79" i="77"/>
  <c r="AZ83" i="15" s="1"/>
  <c r="AN79" i="77"/>
  <c r="AM79" i="77"/>
  <c r="AL79" i="77"/>
  <c r="AK79" i="77"/>
  <c r="AJ79" i="77"/>
  <c r="AI79" i="77"/>
  <c r="AH79" i="77"/>
  <c r="AG79" i="77"/>
  <c r="AF79" i="77"/>
  <c r="AE79" i="77"/>
  <c r="AD79" i="77"/>
  <c r="AC79" i="77"/>
  <c r="AB79" i="77"/>
  <c r="AA79" i="77"/>
  <c r="Z79" i="77"/>
  <c r="Y79" i="77"/>
  <c r="X79" i="77"/>
  <c r="W79" i="77"/>
  <c r="V79" i="77"/>
  <c r="U79" i="77"/>
  <c r="T79" i="77"/>
  <c r="S79" i="77"/>
  <c r="AX78" i="77"/>
  <c r="AW78" i="77"/>
  <c r="AV78" i="77"/>
  <c r="AU78" i="77"/>
  <c r="AT78" i="77"/>
  <c r="AS78" i="77"/>
  <c r="AR78" i="77"/>
  <c r="AQ78" i="77"/>
  <c r="AP78" i="77"/>
  <c r="AO78" i="77"/>
  <c r="AZ80" i="15"/>
  <c r="AN78" i="77"/>
  <c r="AM78" i="77"/>
  <c r="BM78" i="77" s="1"/>
  <c r="AL78" i="77"/>
  <c r="AK78" i="77"/>
  <c r="AJ78" i="77"/>
  <c r="AI78" i="77"/>
  <c r="AH78" i="77"/>
  <c r="AG78" i="77"/>
  <c r="AF78" i="77"/>
  <c r="AE78" i="77"/>
  <c r="AD78" i="77"/>
  <c r="AC78" i="77"/>
  <c r="AB78" i="77"/>
  <c r="AA78" i="77"/>
  <c r="Z78" i="77"/>
  <c r="Y78" i="77"/>
  <c r="X78" i="77"/>
  <c r="W78" i="77"/>
  <c r="V78" i="77"/>
  <c r="U78" i="77"/>
  <c r="T78" i="77"/>
  <c r="S78" i="77"/>
  <c r="AX77" i="77"/>
  <c r="AW77" i="77"/>
  <c r="AV77" i="77"/>
  <c r="AU77" i="77"/>
  <c r="AT77" i="77"/>
  <c r="AS77" i="77"/>
  <c r="AR77" i="77"/>
  <c r="AQ77" i="77"/>
  <c r="AP77" i="77"/>
  <c r="AO77" i="77"/>
  <c r="AN77" i="77"/>
  <c r="AM77" i="77"/>
  <c r="AL77" i="77"/>
  <c r="AK77" i="77"/>
  <c r="AJ77" i="77"/>
  <c r="AI77" i="77"/>
  <c r="AH77" i="77"/>
  <c r="AG77" i="77"/>
  <c r="AF77" i="77"/>
  <c r="AE77" i="77"/>
  <c r="AD77" i="77"/>
  <c r="AC77" i="77"/>
  <c r="AB77" i="77"/>
  <c r="AA77" i="77"/>
  <c r="Z77" i="77"/>
  <c r="Y77" i="77"/>
  <c r="X77" i="77"/>
  <c r="W77" i="77"/>
  <c r="V77" i="77"/>
  <c r="U77" i="77"/>
  <c r="T77" i="77"/>
  <c r="S77" i="77"/>
  <c r="AX76" i="77"/>
  <c r="AW76" i="77"/>
  <c r="AV76" i="77"/>
  <c r="AU76" i="77"/>
  <c r="AT76" i="77"/>
  <c r="AS76" i="77"/>
  <c r="AR76" i="77"/>
  <c r="AQ76" i="77"/>
  <c r="AP76" i="77"/>
  <c r="AO76" i="77"/>
  <c r="AN76" i="77"/>
  <c r="AM76" i="77"/>
  <c r="AL76" i="77"/>
  <c r="AK76" i="77"/>
  <c r="AJ76" i="77"/>
  <c r="AI76" i="77"/>
  <c r="AH76" i="77"/>
  <c r="AG76" i="77"/>
  <c r="AF76" i="77"/>
  <c r="AE76" i="77"/>
  <c r="AD76" i="77"/>
  <c r="AC76" i="77"/>
  <c r="AB76" i="77"/>
  <c r="AA76" i="77"/>
  <c r="Z76" i="77"/>
  <c r="Y76" i="77"/>
  <c r="X76" i="77"/>
  <c r="W76" i="77"/>
  <c r="V76" i="77"/>
  <c r="U76" i="77"/>
  <c r="T76" i="77"/>
  <c r="S76" i="77"/>
  <c r="AX75" i="77"/>
  <c r="AW75" i="77"/>
  <c r="AV75" i="77"/>
  <c r="AU75" i="77"/>
  <c r="AT75" i="77"/>
  <c r="AS75" i="77"/>
  <c r="AR75" i="77"/>
  <c r="AQ75" i="77"/>
  <c r="AP75" i="77"/>
  <c r="AO75" i="77"/>
  <c r="AN75" i="77"/>
  <c r="AM75" i="77"/>
  <c r="AL75" i="77"/>
  <c r="AK75" i="77"/>
  <c r="AJ75" i="77"/>
  <c r="AI75" i="77"/>
  <c r="AH75" i="77"/>
  <c r="AG75" i="77"/>
  <c r="AF75" i="77"/>
  <c r="AE75" i="77"/>
  <c r="AD75" i="77"/>
  <c r="AC75" i="77"/>
  <c r="AB75" i="77"/>
  <c r="AA75" i="77"/>
  <c r="Z75" i="77"/>
  <c r="Y75" i="77"/>
  <c r="X75" i="77"/>
  <c r="W75" i="77"/>
  <c r="V75" i="77"/>
  <c r="U75" i="77"/>
  <c r="T75" i="77"/>
  <c r="S75" i="77"/>
  <c r="AX74" i="77"/>
  <c r="AW74" i="77"/>
  <c r="AV74" i="77"/>
  <c r="AU74" i="77"/>
  <c r="AT74" i="77"/>
  <c r="AS74" i="77"/>
  <c r="AR74" i="77"/>
  <c r="AQ74" i="77"/>
  <c r="AP74" i="77"/>
  <c r="AO74" i="77"/>
  <c r="AN74" i="77"/>
  <c r="AM74" i="77"/>
  <c r="AL74" i="77"/>
  <c r="AK74" i="77"/>
  <c r="AJ74" i="77"/>
  <c r="AI74" i="77"/>
  <c r="AH74" i="77"/>
  <c r="AG74" i="77"/>
  <c r="AF74" i="77"/>
  <c r="AE74" i="77"/>
  <c r="AD74" i="77"/>
  <c r="AC74" i="77"/>
  <c r="AB74" i="77"/>
  <c r="AA74" i="77"/>
  <c r="Z74" i="77"/>
  <c r="Y74" i="77"/>
  <c r="X74" i="77"/>
  <c r="W74" i="77"/>
  <c r="V74" i="77"/>
  <c r="U74" i="77"/>
  <c r="T74" i="77"/>
  <c r="S74" i="77"/>
  <c r="AX73" i="77"/>
  <c r="BK101" i="15"/>
  <c r="AW73" i="77"/>
  <c r="BJ101" i="15"/>
  <c r="AV73" i="77"/>
  <c r="AU73" i="77"/>
  <c r="BO73" i="77" s="1"/>
  <c r="AT73" i="77"/>
  <c r="BF101" i="15"/>
  <c r="BF105" i="15" s="1"/>
  <c r="AS73" i="77"/>
  <c r="BE101" i="15" s="1"/>
  <c r="AR73" i="77"/>
  <c r="AQ73" i="77"/>
  <c r="AP73" i="77"/>
  <c r="BA101" i="15" s="1"/>
  <c r="AO73" i="77"/>
  <c r="AZ101" i="15" s="1"/>
  <c r="AN73" i="77"/>
  <c r="AM73" i="77"/>
  <c r="AL73" i="77"/>
  <c r="AV101" i="15" s="1"/>
  <c r="AV105" i="15" s="1"/>
  <c r="AK73" i="77"/>
  <c r="AU101" i="15"/>
  <c r="AJ73" i="77"/>
  <c r="AI73" i="77"/>
  <c r="BL73" i="77" s="1"/>
  <c r="AH73" i="77"/>
  <c r="AQ101" i="15"/>
  <c r="AG73" i="77"/>
  <c r="AP101" i="15"/>
  <c r="AF73" i="77"/>
  <c r="AE73" i="77"/>
  <c r="BK73" i="77" s="1"/>
  <c r="AD73" i="77"/>
  <c r="AL101" i="15"/>
  <c r="AL105" i="15" s="1"/>
  <c r="AC73" i="77"/>
  <c r="AK101" i="15" s="1"/>
  <c r="AB73" i="77"/>
  <c r="AA73" i="77"/>
  <c r="Z73" i="77"/>
  <c r="AG101" i="15" s="1"/>
  <c r="Y73" i="77"/>
  <c r="AF101" i="15" s="1"/>
  <c r="AF105" i="15" s="1"/>
  <c r="X73" i="77"/>
  <c r="W73" i="77"/>
  <c r="BI73" i="77" s="1"/>
  <c r="V73" i="77"/>
  <c r="AB101" i="15" s="1"/>
  <c r="AB105" i="15" s="1"/>
  <c r="U73" i="77"/>
  <c r="AA101" i="15"/>
  <c r="T73" i="77"/>
  <c r="S73" i="77"/>
  <c r="BH73" i="77" s="1"/>
  <c r="AX72" i="77"/>
  <c r="AW72" i="77"/>
  <c r="AV72" i="77"/>
  <c r="AU72" i="77"/>
  <c r="BO72" i="77" s="1"/>
  <c r="AT72" i="77"/>
  <c r="AS72" i="77"/>
  <c r="AR72" i="77"/>
  <c r="AQ72" i="77"/>
  <c r="BN72" i="77" s="1"/>
  <c r="AP72" i="77"/>
  <c r="AO72" i="77"/>
  <c r="AN72" i="77"/>
  <c r="AM72" i="77"/>
  <c r="BM72" i="77" s="1"/>
  <c r="AL72" i="77"/>
  <c r="AK72" i="77"/>
  <c r="AJ72" i="77"/>
  <c r="AI72" i="77"/>
  <c r="BL72" i="77" s="1"/>
  <c r="AH72" i="77"/>
  <c r="AG72" i="77"/>
  <c r="AF72" i="77"/>
  <c r="AE72" i="77"/>
  <c r="BK72" i="77" s="1"/>
  <c r="AD72" i="77"/>
  <c r="AC72" i="77"/>
  <c r="AB72" i="77"/>
  <c r="AA72" i="77"/>
  <c r="BJ72" i="77" s="1"/>
  <c r="Z72" i="77"/>
  <c r="Y72" i="77"/>
  <c r="X72" i="77"/>
  <c r="W72" i="77"/>
  <c r="BI72" i="77" s="1"/>
  <c r="V72" i="77"/>
  <c r="U72" i="77"/>
  <c r="T72" i="77"/>
  <c r="S72" i="77"/>
  <c r="BH72" i="77" s="1"/>
  <c r="AX71" i="77"/>
  <c r="AW71" i="77"/>
  <c r="AV71" i="77"/>
  <c r="AU71" i="77"/>
  <c r="AT71" i="77"/>
  <c r="AS71" i="77"/>
  <c r="AR71" i="77"/>
  <c r="AQ71" i="77"/>
  <c r="AP71" i="77"/>
  <c r="AO71" i="77"/>
  <c r="AN71" i="77"/>
  <c r="AM71" i="77"/>
  <c r="AL71" i="77"/>
  <c r="AK71" i="77"/>
  <c r="AJ71" i="77"/>
  <c r="AI71" i="77"/>
  <c r="AH71" i="77"/>
  <c r="AG71" i="77"/>
  <c r="AF71" i="77"/>
  <c r="AE71" i="77"/>
  <c r="AD71" i="77"/>
  <c r="AC71" i="77"/>
  <c r="AB71" i="77"/>
  <c r="AA71" i="77"/>
  <c r="Z71" i="77"/>
  <c r="Y71" i="77"/>
  <c r="X71" i="77"/>
  <c r="W71" i="77"/>
  <c r="V71" i="77"/>
  <c r="U71" i="77"/>
  <c r="T71" i="77"/>
  <c r="S71" i="77"/>
  <c r="AX70" i="77"/>
  <c r="AW70" i="77"/>
  <c r="AV70" i="77"/>
  <c r="AU70" i="77"/>
  <c r="AT70" i="77"/>
  <c r="AS70" i="77"/>
  <c r="AR70" i="77"/>
  <c r="AQ70" i="77"/>
  <c r="AP70" i="77"/>
  <c r="AO70" i="77"/>
  <c r="AN70" i="77"/>
  <c r="AM70" i="77"/>
  <c r="AL70" i="77"/>
  <c r="AK70" i="77"/>
  <c r="AJ70" i="77"/>
  <c r="AI70" i="77"/>
  <c r="AH70" i="77"/>
  <c r="AG70" i="77"/>
  <c r="AF70" i="77"/>
  <c r="AE70" i="77"/>
  <c r="AD70" i="77"/>
  <c r="AC70" i="77"/>
  <c r="AB70" i="77"/>
  <c r="AA70" i="77"/>
  <c r="Z70" i="77"/>
  <c r="Y70" i="77"/>
  <c r="X70" i="77"/>
  <c r="W70" i="77"/>
  <c r="V70" i="77"/>
  <c r="U70" i="77"/>
  <c r="T70" i="77"/>
  <c r="S70" i="77"/>
  <c r="AX69" i="77"/>
  <c r="AW69" i="77"/>
  <c r="AV69" i="77"/>
  <c r="AU69" i="77"/>
  <c r="AT69" i="77"/>
  <c r="AS69" i="77"/>
  <c r="AR69" i="77"/>
  <c r="AQ69" i="77"/>
  <c r="AP69" i="77"/>
  <c r="AO69" i="77"/>
  <c r="AN69" i="77"/>
  <c r="AM69" i="77"/>
  <c r="AL69" i="77"/>
  <c r="AK69" i="77"/>
  <c r="AJ69" i="77"/>
  <c r="AI69" i="77"/>
  <c r="AH69" i="77"/>
  <c r="AG69" i="77"/>
  <c r="AF69" i="77"/>
  <c r="AE69" i="77"/>
  <c r="AD69" i="77"/>
  <c r="AC69" i="77"/>
  <c r="AB69" i="77"/>
  <c r="AA69" i="77"/>
  <c r="Z69" i="77"/>
  <c r="Y69" i="77"/>
  <c r="X69" i="77"/>
  <c r="W69" i="77"/>
  <c r="V69" i="77"/>
  <c r="U69" i="77"/>
  <c r="T69" i="77"/>
  <c r="S69" i="77"/>
  <c r="AX68" i="77"/>
  <c r="AW68" i="77"/>
  <c r="AV68" i="77"/>
  <c r="AU68" i="77"/>
  <c r="BO68" i="77" s="1"/>
  <c r="AT68" i="77"/>
  <c r="AS68" i="77"/>
  <c r="AR68" i="77"/>
  <c r="AQ68" i="77"/>
  <c r="BN68" i="77" s="1"/>
  <c r="AP68" i="77"/>
  <c r="AO68" i="77"/>
  <c r="AN68" i="77"/>
  <c r="AM68" i="77"/>
  <c r="BM68" i="77" s="1"/>
  <c r="AL68" i="77"/>
  <c r="AK68" i="77"/>
  <c r="AJ68" i="77"/>
  <c r="AI68" i="77"/>
  <c r="BL68" i="77" s="1"/>
  <c r="AH68" i="77"/>
  <c r="AG68" i="77"/>
  <c r="AF68" i="77"/>
  <c r="AE68" i="77"/>
  <c r="BK68" i="77" s="1"/>
  <c r="AD68" i="77"/>
  <c r="AC68" i="77"/>
  <c r="AB68" i="77"/>
  <c r="AA68" i="77"/>
  <c r="BJ68" i="77" s="1"/>
  <c r="Z68" i="77"/>
  <c r="Y68" i="77"/>
  <c r="X68" i="77"/>
  <c r="W68" i="77"/>
  <c r="BI68" i="77" s="1"/>
  <c r="V68" i="77"/>
  <c r="U68" i="77"/>
  <c r="T68" i="77"/>
  <c r="S68" i="77"/>
  <c r="BH68" i="77" s="1"/>
  <c r="AX67" i="77"/>
  <c r="AW67" i="77"/>
  <c r="AV67" i="77"/>
  <c r="AU67" i="77"/>
  <c r="BO67" i="77" s="1"/>
  <c r="AT67" i="77"/>
  <c r="AS67" i="77"/>
  <c r="AR67" i="77"/>
  <c r="AQ67" i="77"/>
  <c r="BN67" i="77" s="1"/>
  <c r="AP67" i="77"/>
  <c r="AO67" i="77"/>
  <c r="AN67" i="77"/>
  <c r="AM67" i="77"/>
  <c r="BM67" i="77" s="1"/>
  <c r="AL67" i="77"/>
  <c r="AK67" i="77"/>
  <c r="AJ67" i="77"/>
  <c r="AI67" i="77"/>
  <c r="BL67" i="77" s="1"/>
  <c r="AH67" i="77"/>
  <c r="AG67" i="77"/>
  <c r="AF67" i="77"/>
  <c r="AE67" i="77"/>
  <c r="BK67" i="77" s="1"/>
  <c r="AD67" i="77"/>
  <c r="AC67" i="77"/>
  <c r="AB67" i="77"/>
  <c r="AA67" i="77"/>
  <c r="BJ67" i="77" s="1"/>
  <c r="Z67" i="77"/>
  <c r="Y67" i="77"/>
  <c r="X67" i="77"/>
  <c r="W67" i="77"/>
  <c r="BI67" i="77" s="1"/>
  <c r="V67" i="77"/>
  <c r="U67" i="77"/>
  <c r="T67" i="77"/>
  <c r="S67" i="77"/>
  <c r="BH67" i="77" s="1"/>
  <c r="AX66" i="77"/>
  <c r="AW66" i="77"/>
  <c r="AV66" i="77"/>
  <c r="AU66" i="77"/>
  <c r="BO66" i="77" s="1"/>
  <c r="AT66" i="77"/>
  <c r="AS66" i="77"/>
  <c r="AR66" i="77"/>
  <c r="AQ66" i="77"/>
  <c r="BN66" i="77" s="1"/>
  <c r="AP66" i="77"/>
  <c r="AO66" i="77"/>
  <c r="AN66" i="77"/>
  <c r="AM66" i="77"/>
  <c r="BM66" i="77" s="1"/>
  <c r="AL66" i="77"/>
  <c r="AK66" i="77"/>
  <c r="AJ66" i="77"/>
  <c r="AI66" i="77"/>
  <c r="BL66" i="77" s="1"/>
  <c r="AH66" i="77"/>
  <c r="AG66" i="77"/>
  <c r="AF66" i="77"/>
  <c r="AE66" i="77"/>
  <c r="BK66" i="77" s="1"/>
  <c r="AD66" i="77"/>
  <c r="AC66" i="77"/>
  <c r="AB66" i="77"/>
  <c r="AA66" i="77"/>
  <c r="BJ66" i="77" s="1"/>
  <c r="Z66" i="77"/>
  <c r="Y66" i="77"/>
  <c r="X66" i="77"/>
  <c r="W66" i="77"/>
  <c r="BI66" i="77" s="1"/>
  <c r="V66" i="77"/>
  <c r="U66" i="77"/>
  <c r="T66" i="77"/>
  <c r="S66" i="77"/>
  <c r="BH66" i="77" s="1"/>
  <c r="AX65" i="77"/>
  <c r="AW65" i="77"/>
  <c r="AV65" i="77"/>
  <c r="AU65" i="77"/>
  <c r="BO65" i="77" s="1"/>
  <c r="AT65" i="77"/>
  <c r="AS65" i="77"/>
  <c r="AR65" i="77"/>
  <c r="AQ65" i="77"/>
  <c r="BN65" i="77" s="1"/>
  <c r="AP65" i="77"/>
  <c r="AO65" i="77"/>
  <c r="AN65" i="77"/>
  <c r="AM65" i="77"/>
  <c r="BM65" i="77" s="1"/>
  <c r="AL65" i="77"/>
  <c r="AK65" i="77"/>
  <c r="AJ65" i="77"/>
  <c r="AI65" i="77"/>
  <c r="BL65" i="77" s="1"/>
  <c r="AH65" i="77"/>
  <c r="AG65" i="77"/>
  <c r="AF65" i="77"/>
  <c r="AE65" i="77"/>
  <c r="BK65" i="77" s="1"/>
  <c r="AD65" i="77"/>
  <c r="AC65" i="77"/>
  <c r="AB65" i="77"/>
  <c r="AA65" i="77"/>
  <c r="BJ65" i="77" s="1"/>
  <c r="Z65" i="77"/>
  <c r="Y65" i="77"/>
  <c r="X65" i="77"/>
  <c r="W65" i="77"/>
  <c r="BI65" i="77" s="1"/>
  <c r="V65" i="77"/>
  <c r="U65" i="77"/>
  <c r="T65" i="77"/>
  <c r="S65" i="77"/>
  <c r="BH65" i="77" s="1"/>
  <c r="AX64" i="77"/>
  <c r="AW64" i="77"/>
  <c r="AV64" i="77"/>
  <c r="AU64" i="77"/>
  <c r="BO64" i="77" s="1"/>
  <c r="AT64" i="77"/>
  <c r="AS64" i="77"/>
  <c r="AR64" i="77"/>
  <c r="AQ64" i="77"/>
  <c r="BN64" i="77" s="1"/>
  <c r="AP64" i="77"/>
  <c r="AO64" i="77"/>
  <c r="AN64" i="77"/>
  <c r="AM64" i="77"/>
  <c r="BM64" i="77" s="1"/>
  <c r="AL64" i="77"/>
  <c r="AK64" i="77"/>
  <c r="AJ64" i="77"/>
  <c r="AI64" i="77"/>
  <c r="BL64" i="77" s="1"/>
  <c r="AH64" i="77"/>
  <c r="AG64" i="77"/>
  <c r="AF64" i="77"/>
  <c r="AE64" i="77"/>
  <c r="BK64" i="77" s="1"/>
  <c r="AD64" i="77"/>
  <c r="AC64" i="77"/>
  <c r="AB64" i="77"/>
  <c r="AA64" i="77"/>
  <c r="BJ64" i="77" s="1"/>
  <c r="Z64" i="77"/>
  <c r="Y64" i="77"/>
  <c r="X64" i="77"/>
  <c r="W64" i="77"/>
  <c r="BI64" i="77" s="1"/>
  <c r="V64" i="77"/>
  <c r="U64" i="77"/>
  <c r="T64" i="77"/>
  <c r="S64" i="77"/>
  <c r="BH64" i="77" s="1"/>
  <c r="AX63" i="77"/>
  <c r="AW63" i="77"/>
  <c r="AV63" i="77"/>
  <c r="AU63" i="77"/>
  <c r="BO63" i="77" s="1"/>
  <c r="AT63" i="77"/>
  <c r="AS63" i="77"/>
  <c r="AR63" i="77"/>
  <c r="AQ63" i="77"/>
  <c r="BN63" i="77" s="1"/>
  <c r="AP63" i="77"/>
  <c r="AO63" i="77"/>
  <c r="AN63" i="77"/>
  <c r="AM63" i="77"/>
  <c r="BM63" i="77" s="1"/>
  <c r="AL63" i="77"/>
  <c r="AK63" i="77"/>
  <c r="AJ63" i="77"/>
  <c r="AI63" i="77"/>
  <c r="BL63" i="77" s="1"/>
  <c r="AH63" i="77"/>
  <c r="AG63" i="77"/>
  <c r="AF63" i="77"/>
  <c r="AE63" i="77"/>
  <c r="BK63" i="77" s="1"/>
  <c r="AD63" i="77"/>
  <c r="AC63" i="77"/>
  <c r="AB63" i="77"/>
  <c r="AA63" i="77"/>
  <c r="BJ63" i="77" s="1"/>
  <c r="Z63" i="77"/>
  <c r="Y63" i="77"/>
  <c r="X63" i="77"/>
  <c r="W63" i="77"/>
  <c r="BI63" i="77" s="1"/>
  <c r="V63" i="77"/>
  <c r="U63" i="77"/>
  <c r="T63" i="77"/>
  <c r="S63" i="77"/>
  <c r="BH63" i="77" s="1"/>
  <c r="AX62" i="77"/>
  <c r="AW62" i="77"/>
  <c r="AV62" i="77"/>
  <c r="AU62" i="77"/>
  <c r="BO62" i="77" s="1"/>
  <c r="AT62" i="77"/>
  <c r="AS62" i="77"/>
  <c r="AR62" i="77"/>
  <c r="AQ62" i="77"/>
  <c r="BN62" i="77" s="1"/>
  <c r="AP62" i="77"/>
  <c r="AO62" i="77"/>
  <c r="AN62" i="77"/>
  <c r="AM62" i="77"/>
  <c r="BM62" i="77" s="1"/>
  <c r="AL62" i="77"/>
  <c r="AK62" i="77"/>
  <c r="AJ62" i="77"/>
  <c r="AI62" i="77"/>
  <c r="BL62" i="77" s="1"/>
  <c r="AH62" i="77"/>
  <c r="AG62" i="77"/>
  <c r="AF62" i="77"/>
  <c r="AE62" i="77"/>
  <c r="BK62" i="77" s="1"/>
  <c r="AD62" i="77"/>
  <c r="AC62" i="77"/>
  <c r="AB62" i="77"/>
  <c r="AA62" i="77"/>
  <c r="BJ62" i="77" s="1"/>
  <c r="Z62" i="77"/>
  <c r="Y62" i="77"/>
  <c r="X62" i="77"/>
  <c r="W62" i="77"/>
  <c r="BI62" i="77" s="1"/>
  <c r="V62" i="77"/>
  <c r="U62" i="77"/>
  <c r="T62" i="77"/>
  <c r="S62" i="77"/>
  <c r="BH62" i="77" s="1"/>
  <c r="AX61" i="77"/>
  <c r="AW61" i="77"/>
  <c r="AV61" i="77"/>
  <c r="AU61" i="77"/>
  <c r="BO61" i="77" s="1"/>
  <c r="AT61" i="77"/>
  <c r="AS61" i="77"/>
  <c r="AR61" i="77"/>
  <c r="AQ61" i="77"/>
  <c r="BN61" i="77" s="1"/>
  <c r="AP61" i="77"/>
  <c r="AO61" i="77"/>
  <c r="AN61" i="77"/>
  <c r="AM61" i="77"/>
  <c r="BM61" i="77" s="1"/>
  <c r="AL61" i="77"/>
  <c r="AK61" i="77"/>
  <c r="AJ61" i="77"/>
  <c r="AI61" i="77"/>
  <c r="BL61" i="77" s="1"/>
  <c r="AH61" i="77"/>
  <c r="AG61" i="77"/>
  <c r="AF61" i="77"/>
  <c r="AE61" i="77"/>
  <c r="BK61" i="77" s="1"/>
  <c r="AD61" i="77"/>
  <c r="AC61" i="77"/>
  <c r="AB61" i="77"/>
  <c r="AA61" i="77"/>
  <c r="BJ61" i="77" s="1"/>
  <c r="Z61" i="77"/>
  <c r="Y61" i="77"/>
  <c r="X61" i="77"/>
  <c r="W61" i="77"/>
  <c r="BI61" i="77" s="1"/>
  <c r="V61" i="77"/>
  <c r="U61" i="77"/>
  <c r="T61" i="77"/>
  <c r="S61" i="77"/>
  <c r="BH61" i="77" s="1"/>
  <c r="AX60" i="77"/>
  <c r="AW60" i="77"/>
  <c r="AV60" i="77"/>
  <c r="AU60" i="77"/>
  <c r="BO60" i="77" s="1"/>
  <c r="AT60" i="77"/>
  <c r="AS60" i="77"/>
  <c r="AR60" i="77"/>
  <c r="AQ60" i="77"/>
  <c r="BN60" i="77" s="1"/>
  <c r="AP60" i="77"/>
  <c r="AO60" i="77"/>
  <c r="AN60" i="77"/>
  <c r="AM60" i="77"/>
  <c r="BM60" i="77" s="1"/>
  <c r="AL60" i="77"/>
  <c r="AK60" i="77"/>
  <c r="AJ60" i="77"/>
  <c r="AI60" i="77"/>
  <c r="BL60" i="77" s="1"/>
  <c r="AH60" i="77"/>
  <c r="AG60" i="77"/>
  <c r="AF60" i="77"/>
  <c r="AE60" i="77"/>
  <c r="BK60" i="77" s="1"/>
  <c r="AD60" i="77"/>
  <c r="AC60" i="77"/>
  <c r="AB60" i="77"/>
  <c r="AA60" i="77"/>
  <c r="BJ60" i="77" s="1"/>
  <c r="Z60" i="77"/>
  <c r="Y60" i="77"/>
  <c r="X60" i="77"/>
  <c r="W60" i="77"/>
  <c r="BI60" i="77" s="1"/>
  <c r="V60" i="77"/>
  <c r="U60" i="77"/>
  <c r="T60" i="77"/>
  <c r="S60" i="77"/>
  <c r="BH60" i="77" s="1"/>
  <c r="AX59" i="77"/>
  <c r="AW59" i="77"/>
  <c r="AV59" i="77"/>
  <c r="AU59" i="77"/>
  <c r="BO59" i="77" s="1"/>
  <c r="AT59" i="77"/>
  <c r="AS59" i="77"/>
  <c r="AR59" i="77"/>
  <c r="AQ59" i="77"/>
  <c r="BN59" i="77" s="1"/>
  <c r="AP59" i="77"/>
  <c r="AO59" i="77"/>
  <c r="AN59" i="77"/>
  <c r="AM59" i="77"/>
  <c r="BM59" i="77" s="1"/>
  <c r="AL59" i="77"/>
  <c r="AK59" i="77"/>
  <c r="AJ59" i="77"/>
  <c r="AI59" i="77"/>
  <c r="BL59" i="77" s="1"/>
  <c r="AH59" i="77"/>
  <c r="AG59" i="77"/>
  <c r="AF59" i="77"/>
  <c r="AE59" i="77"/>
  <c r="BK59" i="77" s="1"/>
  <c r="AD59" i="77"/>
  <c r="AC59" i="77"/>
  <c r="AB59" i="77"/>
  <c r="AA59" i="77"/>
  <c r="BJ59" i="77" s="1"/>
  <c r="Z59" i="77"/>
  <c r="Y59" i="77"/>
  <c r="X59" i="77"/>
  <c r="W59" i="77"/>
  <c r="BI59" i="77" s="1"/>
  <c r="V59" i="77"/>
  <c r="U59" i="77"/>
  <c r="T59" i="77"/>
  <c r="S59" i="77"/>
  <c r="BH59" i="77" s="1"/>
  <c r="AX58" i="77"/>
  <c r="AW58" i="77"/>
  <c r="AV58" i="77"/>
  <c r="AU58" i="77"/>
  <c r="BO58" i="77" s="1"/>
  <c r="AT58" i="77"/>
  <c r="AS58" i="77"/>
  <c r="AR58" i="77"/>
  <c r="AQ58" i="77"/>
  <c r="BN58" i="77" s="1"/>
  <c r="AP58" i="77"/>
  <c r="AO58" i="77"/>
  <c r="AN58" i="77"/>
  <c r="AM58" i="77"/>
  <c r="BM58" i="77" s="1"/>
  <c r="AL58" i="77"/>
  <c r="AK58" i="77"/>
  <c r="AJ58" i="77"/>
  <c r="AI58" i="77"/>
  <c r="BL58" i="77" s="1"/>
  <c r="AH58" i="77"/>
  <c r="AG58" i="77"/>
  <c r="AF58" i="77"/>
  <c r="AE58" i="77"/>
  <c r="BK58" i="77" s="1"/>
  <c r="AD58" i="77"/>
  <c r="AC58" i="77"/>
  <c r="AB58" i="77"/>
  <c r="AA58" i="77"/>
  <c r="BJ58" i="77" s="1"/>
  <c r="Z58" i="77"/>
  <c r="Y58" i="77"/>
  <c r="X58" i="77"/>
  <c r="W58" i="77"/>
  <c r="BI58" i="77" s="1"/>
  <c r="V58" i="77"/>
  <c r="U58" i="77"/>
  <c r="T58" i="77"/>
  <c r="S58" i="77"/>
  <c r="BH58" i="77" s="1"/>
  <c r="AX57" i="77"/>
  <c r="AW57" i="77"/>
  <c r="BJ55" i="15" s="1"/>
  <c r="AV57" i="77"/>
  <c r="AU57" i="77"/>
  <c r="AT57" i="77"/>
  <c r="BF55" i="15" s="1"/>
  <c r="AS57" i="77"/>
  <c r="BE55" i="15" s="1"/>
  <c r="AR57" i="77"/>
  <c r="AQ57" i="77"/>
  <c r="AP57" i="77"/>
  <c r="BA55" i="15" s="1"/>
  <c r="AO57" i="77"/>
  <c r="AZ55" i="15" s="1"/>
  <c r="AN57" i="77"/>
  <c r="AM57" i="77"/>
  <c r="AL57" i="77"/>
  <c r="AV55" i="15" s="1"/>
  <c r="AK57" i="77"/>
  <c r="AU55" i="15" s="1"/>
  <c r="AJ57" i="77"/>
  <c r="AI57" i="77"/>
  <c r="AH57" i="77"/>
  <c r="AQ55" i="15" s="1"/>
  <c r="AG57" i="77"/>
  <c r="AP55" i="15" s="1"/>
  <c r="AF57" i="77"/>
  <c r="AE57" i="77"/>
  <c r="AD57" i="77"/>
  <c r="AL55" i="15" s="1"/>
  <c r="AC57" i="77"/>
  <c r="AK55" i="15" s="1"/>
  <c r="AB57" i="77"/>
  <c r="AA57" i="77"/>
  <c r="Z57" i="77"/>
  <c r="AG55" i="15" s="1"/>
  <c r="Y57" i="77"/>
  <c r="AF55" i="15" s="1"/>
  <c r="X57" i="77"/>
  <c r="W57" i="77"/>
  <c r="V57" i="77"/>
  <c r="AB55" i="15" s="1"/>
  <c r="U57" i="77"/>
  <c r="AA55" i="15" s="1"/>
  <c r="T57" i="77"/>
  <c r="S57" i="77"/>
  <c r="W55" i="15"/>
  <c r="AX56" i="77"/>
  <c r="AW56" i="77"/>
  <c r="AV56" i="77"/>
  <c r="AU56" i="77"/>
  <c r="BO56" i="77" s="1"/>
  <c r="AT56" i="77"/>
  <c r="AS56" i="77"/>
  <c r="AR56" i="77"/>
  <c r="AQ56" i="77"/>
  <c r="BN56" i="77" s="1"/>
  <c r="AP56" i="77"/>
  <c r="AO56" i="77"/>
  <c r="AN56" i="77"/>
  <c r="AM56" i="77"/>
  <c r="BM56" i="77" s="1"/>
  <c r="AL56" i="77"/>
  <c r="AK56" i="77"/>
  <c r="AJ56" i="77"/>
  <c r="AI56" i="77"/>
  <c r="BL56" i="77" s="1"/>
  <c r="AH56" i="77"/>
  <c r="AG56" i="77"/>
  <c r="AF56" i="77"/>
  <c r="AE56" i="77"/>
  <c r="BK56" i="77" s="1"/>
  <c r="AD56" i="77"/>
  <c r="AC56" i="77"/>
  <c r="AB56" i="77"/>
  <c r="AA56" i="77"/>
  <c r="BJ56" i="77" s="1"/>
  <c r="Z56" i="77"/>
  <c r="Y56" i="77"/>
  <c r="X56" i="77"/>
  <c r="W56" i="77"/>
  <c r="BI56" i="77" s="1"/>
  <c r="V56" i="77"/>
  <c r="U56" i="77"/>
  <c r="T56" i="77"/>
  <c r="S56" i="77"/>
  <c r="BH56" i="77" s="1"/>
  <c r="AX55" i="77"/>
  <c r="AW55" i="77"/>
  <c r="AV55" i="77"/>
  <c r="AU55" i="77"/>
  <c r="BO55" i="77" s="1"/>
  <c r="AT55" i="77"/>
  <c r="AS55" i="77"/>
  <c r="AR55" i="77"/>
  <c r="AQ55" i="77"/>
  <c r="BN55" i="77" s="1"/>
  <c r="AP55" i="77"/>
  <c r="AO55" i="77"/>
  <c r="AZ56" i="15" s="1"/>
  <c r="AN55" i="77"/>
  <c r="AM55" i="77"/>
  <c r="AL55" i="77"/>
  <c r="AK55" i="77"/>
  <c r="AJ55" i="77"/>
  <c r="AI55" i="77"/>
  <c r="AH55" i="77"/>
  <c r="AG55" i="77"/>
  <c r="AF55" i="77"/>
  <c r="AE55" i="77"/>
  <c r="AD55" i="77"/>
  <c r="AC55" i="77"/>
  <c r="AB55" i="77"/>
  <c r="AA55" i="77"/>
  <c r="Z55" i="77"/>
  <c r="Y55" i="77"/>
  <c r="X55" i="77"/>
  <c r="W55" i="77"/>
  <c r="V55" i="77"/>
  <c r="U55" i="77"/>
  <c r="T55" i="77"/>
  <c r="S55" i="77"/>
  <c r="W56" i="15"/>
  <c r="AX54" i="77"/>
  <c r="AW54" i="77"/>
  <c r="AV54" i="77"/>
  <c r="AU54" i="77"/>
  <c r="AT54" i="77"/>
  <c r="AS54" i="77"/>
  <c r="AR54" i="77"/>
  <c r="AQ54" i="77"/>
  <c r="AP54" i="77"/>
  <c r="AO54" i="77"/>
  <c r="AZ54" i="15"/>
  <c r="AN54" i="77"/>
  <c r="AM54" i="77"/>
  <c r="BM54" i="77" s="1"/>
  <c r="AL54" i="77"/>
  <c r="AK54" i="77"/>
  <c r="AJ54" i="77"/>
  <c r="AI54" i="77"/>
  <c r="BL54" i="77" s="1"/>
  <c r="AH54" i="77"/>
  <c r="AG54" i="77"/>
  <c r="AF54" i="77"/>
  <c r="AE54" i="77"/>
  <c r="BK54" i="77" s="1"/>
  <c r="AD54" i="77"/>
  <c r="AC54" i="77"/>
  <c r="AB54" i="77"/>
  <c r="AA54" i="77"/>
  <c r="BJ54" i="77" s="1"/>
  <c r="Z54" i="77"/>
  <c r="Y54" i="77"/>
  <c r="X54" i="77"/>
  <c r="W54" i="77"/>
  <c r="BI54" i="77" s="1"/>
  <c r="V54" i="77"/>
  <c r="U54" i="77"/>
  <c r="T54" i="77"/>
  <c r="S54" i="77"/>
  <c r="BH54" i="77" s="1"/>
  <c r="AX53" i="77"/>
  <c r="AW53" i="77"/>
  <c r="BJ53" i="15" s="1"/>
  <c r="AV53" i="77"/>
  <c r="AU53" i="77"/>
  <c r="AT53" i="77"/>
  <c r="BF53" i="15" s="1"/>
  <c r="AS53" i="77"/>
  <c r="BE53" i="15" s="1"/>
  <c r="AR53" i="77"/>
  <c r="AQ53" i="77"/>
  <c r="AP53" i="77"/>
  <c r="BA53" i="15" s="1"/>
  <c r="AO53" i="77"/>
  <c r="AZ53" i="15" s="1"/>
  <c r="AN53" i="77"/>
  <c r="AM53" i="77"/>
  <c r="AL53" i="77"/>
  <c r="AV53" i="15" s="1"/>
  <c r="AK53" i="77"/>
  <c r="AU53" i="15" s="1"/>
  <c r="AJ53" i="77"/>
  <c r="AI53" i="77"/>
  <c r="AH53" i="77"/>
  <c r="AQ53" i="15"/>
  <c r="AG53" i="77"/>
  <c r="AP53" i="15"/>
  <c r="AF53" i="77"/>
  <c r="AE53" i="77"/>
  <c r="BK53" i="77" s="1"/>
  <c r="AD53" i="77"/>
  <c r="AL53" i="15"/>
  <c r="AC53" i="77"/>
  <c r="AK53" i="15"/>
  <c r="AB53" i="77"/>
  <c r="AA53" i="77"/>
  <c r="BJ53" i="77" s="1"/>
  <c r="Z53" i="77"/>
  <c r="AG53" i="15"/>
  <c r="Y53" i="77"/>
  <c r="AF53" i="15"/>
  <c r="X53" i="77"/>
  <c r="W53" i="77"/>
  <c r="BI53" i="77" s="1"/>
  <c r="V53" i="77"/>
  <c r="AB53" i="15"/>
  <c r="U53" i="77"/>
  <c r="AA53" i="15"/>
  <c r="T53" i="77"/>
  <c r="S53" i="77"/>
  <c r="AX52" i="77"/>
  <c r="AW52" i="77"/>
  <c r="AV52" i="77"/>
  <c r="AU52" i="77"/>
  <c r="AT52" i="77"/>
  <c r="AS52" i="77"/>
  <c r="AR52" i="77"/>
  <c r="AQ52" i="77"/>
  <c r="AP52" i="77"/>
  <c r="AO52" i="77"/>
  <c r="AN52" i="77"/>
  <c r="AM52" i="77"/>
  <c r="AL52" i="77"/>
  <c r="AK52" i="77"/>
  <c r="AJ52" i="77"/>
  <c r="AI52" i="77"/>
  <c r="AH52" i="77"/>
  <c r="AG52" i="77"/>
  <c r="AF52" i="77"/>
  <c r="AE52" i="77"/>
  <c r="AD52" i="77"/>
  <c r="AC52" i="77"/>
  <c r="AB52" i="77"/>
  <c r="AA52" i="77"/>
  <c r="Z52" i="77"/>
  <c r="Y52" i="77"/>
  <c r="X52" i="77"/>
  <c r="W52" i="77"/>
  <c r="V52" i="77"/>
  <c r="U52" i="77"/>
  <c r="T52" i="77"/>
  <c r="S52" i="77"/>
  <c r="AX51" i="77"/>
  <c r="AX50" i="77"/>
  <c r="AW50" i="77"/>
  <c r="AV50" i="77"/>
  <c r="AU50" i="77"/>
  <c r="AT50" i="77"/>
  <c r="AS50" i="77"/>
  <c r="AR50" i="77"/>
  <c r="AQ50" i="77"/>
  <c r="AP50" i="77"/>
  <c r="AO50" i="77"/>
  <c r="AN50" i="77"/>
  <c r="AM50" i="77"/>
  <c r="AL50" i="77"/>
  <c r="AK50" i="77"/>
  <c r="AJ50" i="77"/>
  <c r="AI50" i="77"/>
  <c r="AH50" i="77"/>
  <c r="AG50" i="77"/>
  <c r="AF50" i="77"/>
  <c r="AE50" i="77"/>
  <c r="AD50" i="77"/>
  <c r="AC50" i="77"/>
  <c r="AB50" i="77"/>
  <c r="AA50" i="77"/>
  <c r="Z50" i="77"/>
  <c r="Y50" i="77"/>
  <c r="X50" i="77"/>
  <c r="W50" i="77"/>
  <c r="V50" i="77"/>
  <c r="U50" i="77"/>
  <c r="T50" i="77"/>
  <c r="S50" i="77"/>
  <c r="AX49" i="77"/>
  <c r="AW49" i="77"/>
  <c r="AV49" i="77"/>
  <c r="AU49" i="77"/>
  <c r="BO49" i="77" s="1"/>
  <c r="AT49" i="77"/>
  <c r="AS49" i="77"/>
  <c r="AR49" i="77"/>
  <c r="AQ49" i="77"/>
  <c r="BN49" i="77" s="1"/>
  <c r="AP49" i="77"/>
  <c r="AO49" i="77"/>
  <c r="AN49" i="77"/>
  <c r="AM49" i="77"/>
  <c r="BM49" i="77" s="1"/>
  <c r="AL49" i="77"/>
  <c r="AK49" i="77"/>
  <c r="AJ49" i="77"/>
  <c r="AI49" i="77"/>
  <c r="BL49" i="77" s="1"/>
  <c r="AH49" i="77"/>
  <c r="AG49" i="77"/>
  <c r="AF49" i="77"/>
  <c r="AE49" i="77"/>
  <c r="BK49" i="77" s="1"/>
  <c r="AD49" i="77"/>
  <c r="AC49" i="77"/>
  <c r="AB49" i="77"/>
  <c r="AA49" i="77"/>
  <c r="BJ49" i="77" s="1"/>
  <c r="Z49" i="77"/>
  <c r="Y49" i="77"/>
  <c r="X49" i="77"/>
  <c r="W49" i="77"/>
  <c r="BI49" i="77" s="1"/>
  <c r="V49" i="77"/>
  <c r="U49" i="77"/>
  <c r="T49" i="77"/>
  <c r="S49" i="77"/>
  <c r="BH49" i="77" s="1"/>
  <c r="AX48" i="77"/>
  <c r="AW48" i="77"/>
  <c r="AV48" i="77"/>
  <c r="AU48" i="77"/>
  <c r="BO48" i="77" s="1"/>
  <c r="AT48" i="77"/>
  <c r="AS48" i="77"/>
  <c r="AR48" i="77"/>
  <c r="AQ48" i="77"/>
  <c r="BN48" i="77" s="1"/>
  <c r="AP48" i="77"/>
  <c r="AO48" i="77"/>
  <c r="AN48" i="77"/>
  <c r="AM48" i="77"/>
  <c r="BM48" i="77" s="1"/>
  <c r="AL48" i="77"/>
  <c r="AK48" i="77"/>
  <c r="AJ48" i="77"/>
  <c r="AI48" i="77"/>
  <c r="BL48" i="77" s="1"/>
  <c r="AH48" i="77"/>
  <c r="AG48" i="77"/>
  <c r="AF48" i="77"/>
  <c r="AE48" i="77"/>
  <c r="BK48" i="77" s="1"/>
  <c r="AD48" i="77"/>
  <c r="AC48" i="77"/>
  <c r="AB48" i="77"/>
  <c r="AA48" i="77"/>
  <c r="BJ48" i="77" s="1"/>
  <c r="Z48" i="77"/>
  <c r="Y48" i="77"/>
  <c r="X48" i="77"/>
  <c r="W48" i="77"/>
  <c r="BI48" i="77" s="1"/>
  <c r="V48" i="77"/>
  <c r="U48" i="77"/>
  <c r="T48" i="77"/>
  <c r="S48" i="77"/>
  <c r="BH48" i="77" s="1"/>
  <c r="AX47" i="77"/>
  <c r="AW47" i="77"/>
  <c r="AV47" i="77"/>
  <c r="AU47" i="77"/>
  <c r="BO47" i="77" s="1"/>
  <c r="AT47" i="77"/>
  <c r="AS47" i="77"/>
  <c r="AR47" i="77"/>
  <c r="AQ47" i="77"/>
  <c r="BN47" i="77" s="1"/>
  <c r="AP47" i="77"/>
  <c r="AO47" i="77"/>
  <c r="AN47" i="77"/>
  <c r="AM47" i="77"/>
  <c r="BM47" i="77" s="1"/>
  <c r="AL47" i="77"/>
  <c r="AK47" i="77"/>
  <c r="AJ47" i="77"/>
  <c r="AI47" i="77"/>
  <c r="BL47" i="77" s="1"/>
  <c r="AH47" i="77"/>
  <c r="AG47" i="77"/>
  <c r="AF47" i="77"/>
  <c r="AE47" i="77"/>
  <c r="BK47" i="77" s="1"/>
  <c r="AD47" i="77"/>
  <c r="AC47" i="77"/>
  <c r="AB47" i="77"/>
  <c r="AA47" i="77"/>
  <c r="BJ47" i="77" s="1"/>
  <c r="Z47" i="77"/>
  <c r="Y47" i="77"/>
  <c r="X47" i="77"/>
  <c r="W47" i="77"/>
  <c r="BI47" i="77" s="1"/>
  <c r="V47" i="77"/>
  <c r="U47" i="77"/>
  <c r="T47" i="77"/>
  <c r="S47" i="77"/>
  <c r="BH47" i="77" s="1"/>
  <c r="AX46" i="77"/>
  <c r="AW46" i="77"/>
  <c r="AV46" i="77"/>
  <c r="AU46" i="77"/>
  <c r="BO46" i="77" s="1"/>
  <c r="AT46" i="77"/>
  <c r="AS46" i="77"/>
  <c r="AR46" i="77"/>
  <c r="AQ46" i="77"/>
  <c r="BN46" i="77" s="1"/>
  <c r="AP46" i="77"/>
  <c r="AO46" i="77"/>
  <c r="AN46" i="77"/>
  <c r="AM46" i="77"/>
  <c r="BM46" i="77" s="1"/>
  <c r="AL46" i="77"/>
  <c r="AK46" i="77"/>
  <c r="AJ46" i="77"/>
  <c r="AI46" i="77"/>
  <c r="BL46" i="77" s="1"/>
  <c r="AH46" i="77"/>
  <c r="AG46" i="77"/>
  <c r="AF46" i="77"/>
  <c r="AE46" i="77"/>
  <c r="BK46" i="77" s="1"/>
  <c r="AD46" i="77"/>
  <c r="AC46" i="77"/>
  <c r="AB46" i="77"/>
  <c r="AA46" i="77"/>
  <c r="BJ46" i="77" s="1"/>
  <c r="Z46" i="77"/>
  <c r="Y46" i="77"/>
  <c r="X46" i="77"/>
  <c r="W46" i="77"/>
  <c r="BI46" i="77" s="1"/>
  <c r="V46" i="77"/>
  <c r="U46" i="77"/>
  <c r="T46" i="77"/>
  <c r="S46" i="77"/>
  <c r="BH46" i="77" s="1"/>
  <c r="AX45" i="77"/>
  <c r="AW45" i="77"/>
  <c r="AV45" i="77"/>
  <c r="AU45" i="77"/>
  <c r="BO45" i="77" s="1"/>
  <c r="AT45" i="77"/>
  <c r="AS45" i="77"/>
  <c r="AR45" i="77"/>
  <c r="AQ45" i="77"/>
  <c r="BN45" i="77" s="1"/>
  <c r="AP45" i="77"/>
  <c r="AO45" i="77"/>
  <c r="AN45" i="77"/>
  <c r="AM45" i="77"/>
  <c r="BM45" i="77" s="1"/>
  <c r="AL45" i="77"/>
  <c r="AK45" i="77"/>
  <c r="AJ45" i="77"/>
  <c r="AI45" i="77"/>
  <c r="BL45" i="77" s="1"/>
  <c r="AH45" i="77"/>
  <c r="AG45" i="77"/>
  <c r="AF45" i="77"/>
  <c r="AE45" i="77"/>
  <c r="BK45" i="77" s="1"/>
  <c r="AD45" i="77"/>
  <c r="AC45" i="77"/>
  <c r="AB45" i="77"/>
  <c r="AA45" i="77"/>
  <c r="BJ45" i="77" s="1"/>
  <c r="Z45" i="77"/>
  <c r="Y45" i="77"/>
  <c r="X45" i="77"/>
  <c r="W45" i="77"/>
  <c r="BI45" i="77" s="1"/>
  <c r="V45" i="77"/>
  <c r="U45" i="77"/>
  <c r="T45" i="77"/>
  <c r="S45" i="77"/>
  <c r="BH45" i="77" s="1"/>
  <c r="AX44" i="77"/>
  <c r="AW44" i="77"/>
  <c r="AV44" i="77"/>
  <c r="AU44" i="77"/>
  <c r="BO44" i="77" s="1"/>
  <c r="AT44" i="77"/>
  <c r="AS44" i="77"/>
  <c r="AR44" i="77"/>
  <c r="AQ44" i="77"/>
  <c r="BN44" i="77" s="1"/>
  <c r="AP44" i="77"/>
  <c r="AO44" i="77"/>
  <c r="AN44" i="77"/>
  <c r="AM44" i="77"/>
  <c r="BM44" i="77" s="1"/>
  <c r="AL44" i="77"/>
  <c r="AK44" i="77"/>
  <c r="AJ44" i="77"/>
  <c r="AI44" i="77"/>
  <c r="BL44" i="77" s="1"/>
  <c r="AH44" i="77"/>
  <c r="AG44" i="77"/>
  <c r="AF44" i="77"/>
  <c r="AE44" i="77"/>
  <c r="BK44" i="77" s="1"/>
  <c r="AD44" i="77"/>
  <c r="AC44" i="77"/>
  <c r="AB44" i="77"/>
  <c r="AA44" i="77"/>
  <c r="BJ44" i="77" s="1"/>
  <c r="Z44" i="77"/>
  <c r="Y44" i="77"/>
  <c r="X44" i="77"/>
  <c r="W44" i="77"/>
  <c r="BI44" i="77" s="1"/>
  <c r="V44" i="77"/>
  <c r="U44" i="77"/>
  <c r="T44" i="77"/>
  <c r="S44" i="77"/>
  <c r="BH44" i="77" s="1"/>
  <c r="AX43" i="77"/>
  <c r="AW43" i="77"/>
  <c r="AV43" i="77"/>
  <c r="AU43" i="77"/>
  <c r="BO43" i="77" s="1"/>
  <c r="AT43" i="77"/>
  <c r="AS43" i="77"/>
  <c r="AR43" i="77"/>
  <c r="AQ43" i="77"/>
  <c r="BN43" i="77" s="1"/>
  <c r="AP43" i="77"/>
  <c r="AO43" i="77"/>
  <c r="AN43" i="77"/>
  <c r="AM43" i="77"/>
  <c r="BM43" i="77" s="1"/>
  <c r="AL43" i="77"/>
  <c r="AK43" i="77"/>
  <c r="AJ43" i="77"/>
  <c r="AI43" i="77"/>
  <c r="BL43" i="77" s="1"/>
  <c r="AH43" i="77"/>
  <c r="AG43" i="77"/>
  <c r="AF43" i="77"/>
  <c r="AE43" i="77"/>
  <c r="BK43" i="77" s="1"/>
  <c r="AD43" i="77"/>
  <c r="AC43" i="77"/>
  <c r="AB43" i="77"/>
  <c r="AA43" i="77"/>
  <c r="BJ43" i="77" s="1"/>
  <c r="Z43" i="77"/>
  <c r="Y43" i="77"/>
  <c r="X43" i="77"/>
  <c r="W43" i="77"/>
  <c r="BI43" i="77" s="1"/>
  <c r="V43" i="77"/>
  <c r="U43" i="77"/>
  <c r="T43" i="77"/>
  <c r="S43" i="77"/>
  <c r="BH43" i="77" s="1"/>
  <c r="AX42" i="77"/>
  <c r="AW42" i="77"/>
  <c r="AV42" i="77"/>
  <c r="AU42" i="77"/>
  <c r="BO42" i="77" s="1"/>
  <c r="AT42" i="77"/>
  <c r="AS42" i="77"/>
  <c r="AR42" i="77"/>
  <c r="AQ42" i="77"/>
  <c r="BN42" i="77" s="1"/>
  <c r="AP42" i="77"/>
  <c r="AO42" i="77"/>
  <c r="AN42" i="77"/>
  <c r="AM42" i="77"/>
  <c r="BM42" i="77" s="1"/>
  <c r="AL42" i="77"/>
  <c r="AK42" i="77"/>
  <c r="AJ42" i="77"/>
  <c r="AI42" i="77"/>
  <c r="BL42" i="77" s="1"/>
  <c r="AH42" i="77"/>
  <c r="AG42" i="77"/>
  <c r="AF42" i="77"/>
  <c r="AE42" i="77"/>
  <c r="BK42" i="77" s="1"/>
  <c r="AD42" i="77"/>
  <c r="AC42" i="77"/>
  <c r="AB42" i="77"/>
  <c r="AA42" i="77"/>
  <c r="BJ42" i="77" s="1"/>
  <c r="Z42" i="77"/>
  <c r="Y42" i="77"/>
  <c r="X42" i="77"/>
  <c r="W42" i="77"/>
  <c r="BI42" i="77" s="1"/>
  <c r="V42" i="77"/>
  <c r="U42" i="77"/>
  <c r="T42" i="77"/>
  <c r="S42" i="77"/>
  <c r="BH42" i="77" s="1"/>
  <c r="AX41" i="77"/>
  <c r="AW41" i="77"/>
  <c r="AV41" i="77"/>
  <c r="AU41" i="77"/>
  <c r="BO41" i="77" s="1"/>
  <c r="AT41" i="77"/>
  <c r="AS41" i="77"/>
  <c r="AR41" i="77"/>
  <c r="AQ41" i="77"/>
  <c r="BN41" i="77" s="1"/>
  <c r="AP41" i="77"/>
  <c r="AO41" i="77"/>
  <c r="AN41" i="77"/>
  <c r="AM41" i="77"/>
  <c r="BM41" i="77" s="1"/>
  <c r="AL41" i="77"/>
  <c r="AK41" i="77"/>
  <c r="AJ41" i="77"/>
  <c r="AI41" i="77"/>
  <c r="BL41" i="77" s="1"/>
  <c r="AH41" i="77"/>
  <c r="AG41" i="77"/>
  <c r="AF41" i="77"/>
  <c r="AE41" i="77"/>
  <c r="BK41" i="77" s="1"/>
  <c r="AD41" i="77"/>
  <c r="AC41" i="77"/>
  <c r="AB41" i="77"/>
  <c r="AA41" i="77"/>
  <c r="BJ41" i="77" s="1"/>
  <c r="Z41" i="77"/>
  <c r="Y41" i="77"/>
  <c r="X41" i="77"/>
  <c r="W41" i="77"/>
  <c r="BI41" i="77" s="1"/>
  <c r="V41" i="77"/>
  <c r="U41" i="77"/>
  <c r="T41" i="77"/>
  <c r="S41" i="77"/>
  <c r="BH41" i="77" s="1"/>
  <c r="AX40" i="77"/>
  <c r="AW40" i="77"/>
  <c r="AV40" i="77"/>
  <c r="AU40" i="77"/>
  <c r="BO40" i="77" s="1"/>
  <c r="AT40" i="77"/>
  <c r="AS40" i="77"/>
  <c r="AR40" i="77"/>
  <c r="AQ40" i="77"/>
  <c r="BN40" i="77" s="1"/>
  <c r="AP40" i="77"/>
  <c r="AO40" i="77"/>
  <c r="AN40" i="77"/>
  <c r="AM40" i="77"/>
  <c r="BM40" i="77" s="1"/>
  <c r="AL40" i="77"/>
  <c r="AK40" i="77"/>
  <c r="AJ40" i="77"/>
  <c r="AI40" i="77"/>
  <c r="BL40" i="77" s="1"/>
  <c r="AH40" i="77"/>
  <c r="AG40" i="77"/>
  <c r="AF40" i="77"/>
  <c r="AE40" i="77"/>
  <c r="BK40" i="77" s="1"/>
  <c r="AD40" i="77"/>
  <c r="AC40" i="77"/>
  <c r="AB40" i="77"/>
  <c r="AA40" i="77"/>
  <c r="BJ40" i="77" s="1"/>
  <c r="Z40" i="77"/>
  <c r="Y40" i="77"/>
  <c r="X40" i="77"/>
  <c r="W40" i="77"/>
  <c r="BI40" i="77" s="1"/>
  <c r="V40" i="77"/>
  <c r="U40" i="77"/>
  <c r="T40" i="77"/>
  <c r="S40" i="77"/>
  <c r="BH40" i="77" s="1"/>
  <c r="AX39" i="77"/>
  <c r="AW39" i="77"/>
  <c r="AV39" i="77"/>
  <c r="AU39" i="77"/>
  <c r="BO39" i="77" s="1"/>
  <c r="AT39" i="77"/>
  <c r="AS39" i="77"/>
  <c r="AR39" i="77"/>
  <c r="AQ39" i="77"/>
  <c r="BN39" i="77" s="1"/>
  <c r="AP39" i="77"/>
  <c r="AO39" i="77"/>
  <c r="AN39" i="77"/>
  <c r="AM39" i="77"/>
  <c r="BM39" i="77" s="1"/>
  <c r="AL39" i="77"/>
  <c r="AK39" i="77"/>
  <c r="AJ39" i="77"/>
  <c r="AI39" i="77"/>
  <c r="BL39" i="77" s="1"/>
  <c r="AH39" i="77"/>
  <c r="AG39" i="77"/>
  <c r="AF39" i="77"/>
  <c r="AE39" i="77"/>
  <c r="BK39" i="77" s="1"/>
  <c r="AD39" i="77"/>
  <c r="AC39" i="77"/>
  <c r="AB39" i="77"/>
  <c r="AA39" i="77"/>
  <c r="BJ39" i="77" s="1"/>
  <c r="Z39" i="77"/>
  <c r="Y39" i="77"/>
  <c r="X39" i="77"/>
  <c r="W39" i="77"/>
  <c r="BI39" i="77" s="1"/>
  <c r="V39" i="77"/>
  <c r="U39" i="77"/>
  <c r="T39" i="77"/>
  <c r="S39" i="77"/>
  <c r="BH39" i="77" s="1"/>
  <c r="AX38" i="77"/>
  <c r="AW38" i="77"/>
  <c r="AV38" i="77"/>
  <c r="AU38" i="77"/>
  <c r="BO38" i="77" s="1"/>
  <c r="AT38" i="77"/>
  <c r="AS38" i="77"/>
  <c r="AR38" i="77"/>
  <c r="AQ38" i="77"/>
  <c r="BN38" i="77" s="1"/>
  <c r="AP38" i="77"/>
  <c r="AO38" i="77"/>
  <c r="AN38" i="77"/>
  <c r="AM38" i="77"/>
  <c r="BM38" i="77" s="1"/>
  <c r="AL38" i="77"/>
  <c r="AK38" i="77"/>
  <c r="AJ38" i="77"/>
  <c r="AI38" i="77"/>
  <c r="BL38" i="77" s="1"/>
  <c r="AH38" i="77"/>
  <c r="AG38" i="77"/>
  <c r="AF38" i="77"/>
  <c r="AE38" i="77"/>
  <c r="BK38" i="77" s="1"/>
  <c r="AD38" i="77"/>
  <c r="AC38" i="77"/>
  <c r="AB38" i="77"/>
  <c r="AA38" i="77"/>
  <c r="BJ38" i="77" s="1"/>
  <c r="Z38" i="77"/>
  <c r="Y38" i="77"/>
  <c r="X38" i="77"/>
  <c r="W38" i="77"/>
  <c r="BI38" i="77" s="1"/>
  <c r="V38" i="77"/>
  <c r="U38" i="77"/>
  <c r="T38" i="77"/>
  <c r="S38" i="77"/>
  <c r="BH38" i="77" s="1"/>
  <c r="AX37" i="77"/>
  <c r="AW37" i="77"/>
  <c r="AV37" i="77"/>
  <c r="AU37" i="77"/>
  <c r="BO37" i="77" s="1"/>
  <c r="AT37" i="77"/>
  <c r="AS37" i="77"/>
  <c r="AR37" i="77"/>
  <c r="AQ37" i="77"/>
  <c r="BN37" i="77" s="1"/>
  <c r="AP37" i="77"/>
  <c r="AO37" i="77"/>
  <c r="AN37" i="77"/>
  <c r="AM37" i="77"/>
  <c r="BM37" i="77" s="1"/>
  <c r="AL37" i="77"/>
  <c r="AK37" i="77"/>
  <c r="AJ37" i="77"/>
  <c r="AI37" i="77"/>
  <c r="BL37" i="77" s="1"/>
  <c r="AH37" i="77"/>
  <c r="AG37" i="77"/>
  <c r="AF37" i="77"/>
  <c r="AE37" i="77"/>
  <c r="BK37" i="77" s="1"/>
  <c r="AD37" i="77"/>
  <c r="AC37" i="77"/>
  <c r="AB37" i="77"/>
  <c r="AA37" i="77"/>
  <c r="BJ37" i="77" s="1"/>
  <c r="Z37" i="77"/>
  <c r="Y37" i="77"/>
  <c r="X37" i="77"/>
  <c r="W37" i="77"/>
  <c r="BI37" i="77" s="1"/>
  <c r="V37" i="77"/>
  <c r="U37" i="77"/>
  <c r="T37" i="77"/>
  <c r="S37" i="77"/>
  <c r="BH37" i="77" s="1"/>
  <c r="AX36" i="77"/>
  <c r="AW36" i="77"/>
  <c r="AV36" i="77"/>
  <c r="AU36" i="77"/>
  <c r="BO36" i="77" s="1"/>
  <c r="AT36" i="77"/>
  <c r="AS36" i="77"/>
  <c r="AR36" i="77"/>
  <c r="AQ36" i="77"/>
  <c r="BN36" i="77" s="1"/>
  <c r="AP36" i="77"/>
  <c r="AO36" i="77"/>
  <c r="AN36" i="77"/>
  <c r="AM36" i="77"/>
  <c r="BM36" i="77" s="1"/>
  <c r="AL36" i="77"/>
  <c r="AK36" i="77"/>
  <c r="AJ36" i="77"/>
  <c r="AI36" i="77"/>
  <c r="BL36" i="77" s="1"/>
  <c r="AH36" i="77"/>
  <c r="AG36" i="77"/>
  <c r="AF36" i="77"/>
  <c r="AE36" i="77"/>
  <c r="BK36" i="77" s="1"/>
  <c r="AD36" i="77"/>
  <c r="AC36" i="77"/>
  <c r="AB36" i="77"/>
  <c r="AA36" i="77"/>
  <c r="BJ36" i="77" s="1"/>
  <c r="Z36" i="77"/>
  <c r="Y36" i="77"/>
  <c r="X36" i="77"/>
  <c r="W36" i="77"/>
  <c r="BI36" i="77" s="1"/>
  <c r="V36" i="77"/>
  <c r="U36" i="77"/>
  <c r="T36" i="77"/>
  <c r="S36" i="77"/>
  <c r="BH36" i="77" s="1"/>
  <c r="AX35" i="77"/>
  <c r="AW35" i="77"/>
  <c r="AV35" i="77"/>
  <c r="AU35" i="77"/>
  <c r="BO35" i="77" s="1"/>
  <c r="AT35" i="77"/>
  <c r="AS35" i="77"/>
  <c r="AR35" i="77"/>
  <c r="AQ35" i="77"/>
  <c r="BN35" i="77" s="1"/>
  <c r="AP35" i="77"/>
  <c r="AO35" i="77"/>
  <c r="AN35" i="77"/>
  <c r="AM35" i="77"/>
  <c r="BM35" i="77" s="1"/>
  <c r="AL35" i="77"/>
  <c r="AK35" i="77"/>
  <c r="AJ35" i="77"/>
  <c r="AI35" i="77"/>
  <c r="BL35" i="77" s="1"/>
  <c r="AH35" i="77"/>
  <c r="AG35" i="77"/>
  <c r="AF35" i="77"/>
  <c r="AE35" i="77"/>
  <c r="BK35" i="77" s="1"/>
  <c r="AD35" i="77"/>
  <c r="AC35" i="77"/>
  <c r="AB35" i="77"/>
  <c r="AA35" i="77"/>
  <c r="BJ35" i="77" s="1"/>
  <c r="Z35" i="77"/>
  <c r="Y35" i="77"/>
  <c r="X35" i="77"/>
  <c r="W35" i="77"/>
  <c r="BI35" i="77" s="1"/>
  <c r="V35" i="77"/>
  <c r="U35" i="77"/>
  <c r="T35" i="77"/>
  <c r="S35" i="77"/>
  <c r="BH35" i="77" s="1"/>
  <c r="AX34" i="77"/>
  <c r="AW34" i="77"/>
  <c r="AV34" i="77"/>
  <c r="AU34" i="77"/>
  <c r="BO34" i="77" s="1"/>
  <c r="AT34" i="77"/>
  <c r="AS34" i="77"/>
  <c r="AR34" i="77"/>
  <c r="AQ34" i="77"/>
  <c r="BN34" i="77" s="1"/>
  <c r="AP34" i="77"/>
  <c r="AO34" i="77"/>
  <c r="AN34" i="77"/>
  <c r="AM34" i="77"/>
  <c r="BM34" i="77" s="1"/>
  <c r="AL34" i="77"/>
  <c r="AK34" i="77"/>
  <c r="AJ34" i="77"/>
  <c r="AI34" i="77"/>
  <c r="BL34" i="77" s="1"/>
  <c r="AH34" i="77"/>
  <c r="AG34" i="77"/>
  <c r="AF34" i="77"/>
  <c r="AE34" i="77"/>
  <c r="BK34" i="77" s="1"/>
  <c r="AD34" i="77"/>
  <c r="AC34" i="77"/>
  <c r="AB34" i="77"/>
  <c r="AA34" i="77"/>
  <c r="BJ34" i="77" s="1"/>
  <c r="Z34" i="77"/>
  <c r="Y34" i="77"/>
  <c r="X34" i="77"/>
  <c r="W34" i="77"/>
  <c r="BI34" i="77" s="1"/>
  <c r="V34" i="77"/>
  <c r="U34" i="77"/>
  <c r="T34" i="77"/>
  <c r="S34" i="77"/>
  <c r="BH34" i="77" s="1"/>
  <c r="AX33" i="77"/>
  <c r="AW33" i="77"/>
  <c r="AV33" i="77"/>
  <c r="AU33" i="77"/>
  <c r="AT33" i="77"/>
  <c r="AS33" i="77"/>
  <c r="AR33" i="77"/>
  <c r="AQ33" i="77"/>
  <c r="AP33" i="77"/>
  <c r="AO33" i="77"/>
  <c r="AN33" i="77"/>
  <c r="AM33" i="77"/>
  <c r="AL33" i="77"/>
  <c r="AK33" i="77"/>
  <c r="AJ33" i="77"/>
  <c r="AI33" i="77"/>
  <c r="AH33" i="77"/>
  <c r="AG33" i="77"/>
  <c r="AF33" i="77"/>
  <c r="AE33" i="77"/>
  <c r="AD33" i="77"/>
  <c r="AC33" i="77"/>
  <c r="AB33" i="77"/>
  <c r="AA33" i="77"/>
  <c r="Z33" i="77"/>
  <c r="Y33" i="77"/>
  <c r="X33" i="77"/>
  <c r="W33" i="77"/>
  <c r="V33" i="77"/>
  <c r="U33" i="77"/>
  <c r="T33" i="77"/>
  <c r="S33" i="77"/>
  <c r="AX32" i="77"/>
  <c r="AW32" i="77"/>
  <c r="AV32" i="77"/>
  <c r="AU32" i="77"/>
  <c r="AT32" i="77"/>
  <c r="AS32" i="77"/>
  <c r="AR32" i="77"/>
  <c r="AQ32" i="77"/>
  <c r="AP32" i="77"/>
  <c r="AO32" i="77"/>
  <c r="AN32" i="77"/>
  <c r="AM32" i="77"/>
  <c r="AL32" i="77"/>
  <c r="AK32" i="77"/>
  <c r="AJ32" i="77"/>
  <c r="AI32" i="77"/>
  <c r="AH32" i="77"/>
  <c r="AG32" i="77"/>
  <c r="AF32" i="77"/>
  <c r="AE32" i="77"/>
  <c r="AD32" i="77"/>
  <c r="AC32" i="77"/>
  <c r="AB32" i="77"/>
  <c r="AA32" i="77"/>
  <c r="Z32" i="77"/>
  <c r="Y32" i="77"/>
  <c r="X32" i="77"/>
  <c r="W32" i="77"/>
  <c r="V32" i="77"/>
  <c r="U32" i="77"/>
  <c r="T32" i="77"/>
  <c r="S32" i="77"/>
  <c r="AX31" i="77"/>
  <c r="AW31" i="77"/>
  <c r="AV31" i="77"/>
  <c r="AU31" i="77"/>
  <c r="BO31" i="77" s="1"/>
  <c r="AT31" i="77"/>
  <c r="AS31" i="77"/>
  <c r="AR31" i="77"/>
  <c r="AQ31" i="77"/>
  <c r="BN31" i="77" s="1"/>
  <c r="AP31" i="77"/>
  <c r="AO31" i="77"/>
  <c r="AN31" i="77"/>
  <c r="AM31" i="77"/>
  <c r="BM31" i="77" s="1"/>
  <c r="AL31" i="77"/>
  <c r="AK31" i="77"/>
  <c r="AJ31" i="77"/>
  <c r="AI31" i="77"/>
  <c r="BL31" i="77" s="1"/>
  <c r="AH31" i="77"/>
  <c r="AG31" i="77"/>
  <c r="AF31" i="77"/>
  <c r="AE31" i="77"/>
  <c r="BK31" i="77" s="1"/>
  <c r="AD31" i="77"/>
  <c r="AC31" i="77"/>
  <c r="AB31" i="77"/>
  <c r="AA31" i="77"/>
  <c r="BJ31" i="77" s="1"/>
  <c r="Z31" i="77"/>
  <c r="Y31" i="77"/>
  <c r="X31" i="77"/>
  <c r="W31" i="77"/>
  <c r="BI31" i="77" s="1"/>
  <c r="V31" i="77"/>
  <c r="U31" i="77"/>
  <c r="T31" i="77"/>
  <c r="S31" i="77"/>
  <c r="BH31" i="77" s="1"/>
  <c r="AX30" i="77"/>
  <c r="AW30" i="77"/>
  <c r="AV30" i="77"/>
  <c r="AU30" i="77"/>
  <c r="BO30" i="77" s="1"/>
  <c r="AT30" i="77"/>
  <c r="AS30" i="77"/>
  <c r="AR30" i="77"/>
  <c r="AQ30" i="77"/>
  <c r="BN30" i="77" s="1"/>
  <c r="AP30" i="77"/>
  <c r="AO30" i="77"/>
  <c r="AN30" i="77"/>
  <c r="AM30" i="77"/>
  <c r="BM30" i="77" s="1"/>
  <c r="AL30" i="77"/>
  <c r="AK30" i="77"/>
  <c r="AJ30" i="77"/>
  <c r="AI30" i="77"/>
  <c r="BL30" i="77" s="1"/>
  <c r="AH30" i="77"/>
  <c r="AG30" i="77"/>
  <c r="AF30" i="77"/>
  <c r="AE30" i="77"/>
  <c r="BK30" i="77" s="1"/>
  <c r="AD30" i="77"/>
  <c r="AC30" i="77"/>
  <c r="AB30" i="77"/>
  <c r="AA30" i="77"/>
  <c r="BJ30" i="77" s="1"/>
  <c r="Z30" i="77"/>
  <c r="Y30" i="77"/>
  <c r="X30" i="77"/>
  <c r="W30" i="77"/>
  <c r="BI30" i="77" s="1"/>
  <c r="V30" i="77"/>
  <c r="U30" i="77"/>
  <c r="T30" i="77"/>
  <c r="S30" i="77"/>
  <c r="BH30" i="77" s="1"/>
  <c r="AX29" i="77"/>
  <c r="AW29" i="77"/>
  <c r="AV29" i="77"/>
  <c r="AU29" i="77"/>
  <c r="BO29" i="77" s="1"/>
  <c r="AT29" i="77"/>
  <c r="AS29" i="77"/>
  <c r="AR29" i="77"/>
  <c r="AQ29" i="77"/>
  <c r="BN29" i="77" s="1"/>
  <c r="AP29" i="77"/>
  <c r="AO29" i="77"/>
  <c r="AN29" i="77"/>
  <c r="AM29" i="77"/>
  <c r="BM29" i="77" s="1"/>
  <c r="AL29" i="77"/>
  <c r="AK29" i="77"/>
  <c r="AJ29" i="77"/>
  <c r="AI29" i="77"/>
  <c r="BL29" i="77" s="1"/>
  <c r="AH29" i="77"/>
  <c r="AG29" i="77"/>
  <c r="AF29" i="77"/>
  <c r="AE29" i="77"/>
  <c r="BK29" i="77" s="1"/>
  <c r="AD29" i="77"/>
  <c r="AC29" i="77"/>
  <c r="AB29" i="77"/>
  <c r="AA29" i="77"/>
  <c r="BJ29" i="77" s="1"/>
  <c r="Z29" i="77"/>
  <c r="Y29" i="77"/>
  <c r="X29" i="77"/>
  <c r="W29" i="77"/>
  <c r="BI29" i="77" s="1"/>
  <c r="V29" i="77"/>
  <c r="U29" i="77"/>
  <c r="T29" i="77"/>
  <c r="S29" i="77"/>
  <c r="BH29" i="77" s="1"/>
  <c r="AX28" i="77"/>
  <c r="AW28" i="77"/>
  <c r="AV28" i="77"/>
  <c r="AU28" i="77"/>
  <c r="BO28" i="77" s="1"/>
  <c r="AT28" i="77"/>
  <c r="AS28" i="77"/>
  <c r="AR28" i="77"/>
  <c r="AQ28" i="77"/>
  <c r="BN28" i="77" s="1"/>
  <c r="AP28" i="77"/>
  <c r="AO28" i="77"/>
  <c r="AN28" i="77"/>
  <c r="AM28" i="77"/>
  <c r="BM28" i="77" s="1"/>
  <c r="AL28" i="77"/>
  <c r="AK28" i="77"/>
  <c r="AJ28" i="77"/>
  <c r="AI28" i="77"/>
  <c r="BL28" i="77" s="1"/>
  <c r="AH28" i="77"/>
  <c r="AG28" i="77"/>
  <c r="AF28" i="77"/>
  <c r="AE28" i="77"/>
  <c r="BK28" i="77" s="1"/>
  <c r="AD28" i="77"/>
  <c r="AC28" i="77"/>
  <c r="AB28" i="77"/>
  <c r="AA28" i="77"/>
  <c r="BJ28" i="77" s="1"/>
  <c r="Z28" i="77"/>
  <c r="Y28" i="77"/>
  <c r="X28" i="77"/>
  <c r="W28" i="77"/>
  <c r="BI28" i="77" s="1"/>
  <c r="V28" i="77"/>
  <c r="U28" i="77"/>
  <c r="T28" i="77"/>
  <c r="S28" i="77"/>
  <c r="BH28" i="77" s="1"/>
  <c r="AX27" i="77"/>
  <c r="AW27" i="77"/>
  <c r="AV27" i="77"/>
  <c r="AU27" i="77"/>
  <c r="BO27" i="77" s="1"/>
  <c r="AT27" i="77"/>
  <c r="AS27" i="77"/>
  <c r="AR27" i="77"/>
  <c r="AQ27" i="77"/>
  <c r="BN27" i="77" s="1"/>
  <c r="AP27" i="77"/>
  <c r="AO27" i="77"/>
  <c r="AN27" i="77"/>
  <c r="AM27" i="77"/>
  <c r="BM27" i="77" s="1"/>
  <c r="AL27" i="77"/>
  <c r="AK27" i="77"/>
  <c r="AJ27" i="77"/>
  <c r="AI27" i="77"/>
  <c r="BL27" i="77" s="1"/>
  <c r="AH27" i="77"/>
  <c r="AG27" i="77"/>
  <c r="AF27" i="77"/>
  <c r="AE27" i="77"/>
  <c r="BK27" i="77" s="1"/>
  <c r="AD27" i="77"/>
  <c r="AC27" i="77"/>
  <c r="AB27" i="77"/>
  <c r="AA27" i="77"/>
  <c r="BJ27" i="77" s="1"/>
  <c r="Z27" i="77"/>
  <c r="Y27" i="77"/>
  <c r="X27" i="77"/>
  <c r="W27" i="77"/>
  <c r="BI27" i="77" s="1"/>
  <c r="V27" i="77"/>
  <c r="U27" i="77"/>
  <c r="T27" i="77"/>
  <c r="S27" i="77"/>
  <c r="BH27" i="77" s="1"/>
  <c r="AX26" i="77"/>
  <c r="AW26" i="77"/>
  <c r="AV26" i="77"/>
  <c r="AU26" i="77"/>
  <c r="BO26" i="77" s="1"/>
  <c r="AT26" i="77"/>
  <c r="AS26" i="77"/>
  <c r="AR26" i="77"/>
  <c r="AQ26" i="77"/>
  <c r="BN26" i="77" s="1"/>
  <c r="AP26" i="77"/>
  <c r="AO26" i="77"/>
  <c r="AN26" i="77"/>
  <c r="AM26" i="77"/>
  <c r="BM26" i="77" s="1"/>
  <c r="AL26" i="77"/>
  <c r="AK26" i="77"/>
  <c r="AJ26" i="77"/>
  <c r="AI26" i="77"/>
  <c r="BL26" i="77" s="1"/>
  <c r="AH26" i="77"/>
  <c r="AG26" i="77"/>
  <c r="AF26" i="77"/>
  <c r="AE26" i="77"/>
  <c r="BK26" i="77" s="1"/>
  <c r="AD26" i="77"/>
  <c r="AC26" i="77"/>
  <c r="AB26" i="77"/>
  <c r="AA26" i="77"/>
  <c r="BJ26" i="77" s="1"/>
  <c r="Z26" i="77"/>
  <c r="Y26" i="77"/>
  <c r="X26" i="77"/>
  <c r="W26" i="77"/>
  <c r="BI26" i="77" s="1"/>
  <c r="V26" i="77"/>
  <c r="U26" i="77"/>
  <c r="T26" i="77"/>
  <c r="S26" i="77"/>
  <c r="BH26" i="77" s="1"/>
  <c r="AX25" i="77"/>
  <c r="AW25" i="77"/>
  <c r="AV25" i="77"/>
  <c r="AU25" i="77"/>
  <c r="BO25" i="77" s="1"/>
  <c r="AT25" i="77"/>
  <c r="AS25" i="77"/>
  <c r="AR25" i="77"/>
  <c r="AQ25" i="77"/>
  <c r="BN25" i="77" s="1"/>
  <c r="AP25" i="77"/>
  <c r="AO25" i="77"/>
  <c r="AN25" i="77"/>
  <c r="AM25" i="77"/>
  <c r="BM25" i="77" s="1"/>
  <c r="AL25" i="77"/>
  <c r="AK25" i="77"/>
  <c r="AJ25" i="77"/>
  <c r="AI25" i="77"/>
  <c r="BL25" i="77" s="1"/>
  <c r="AH25" i="77"/>
  <c r="AG25" i="77"/>
  <c r="AF25" i="77"/>
  <c r="AE25" i="77"/>
  <c r="BK25" i="77" s="1"/>
  <c r="AD25" i="77"/>
  <c r="AC25" i="77"/>
  <c r="AB25" i="77"/>
  <c r="AA25" i="77"/>
  <c r="BJ25" i="77" s="1"/>
  <c r="Z25" i="77"/>
  <c r="Y25" i="77"/>
  <c r="X25" i="77"/>
  <c r="W25" i="77"/>
  <c r="BI25" i="77" s="1"/>
  <c r="V25" i="77"/>
  <c r="U25" i="77"/>
  <c r="T25" i="77"/>
  <c r="S25" i="77"/>
  <c r="BH25" i="77" s="1"/>
  <c r="AX24" i="77"/>
  <c r="AW24" i="77"/>
  <c r="AV24" i="77"/>
  <c r="AU24" i="77"/>
  <c r="BO24" i="77" s="1"/>
  <c r="AT24" i="77"/>
  <c r="AS24" i="77"/>
  <c r="AR24" i="77"/>
  <c r="AQ24" i="77"/>
  <c r="BN24" i="77" s="1"/>
  <c r="AP24" i="77"/>
  <c r="AO24" i="77"/>
  <c r="AN24" i="77"/>
  <c r="AM24" i="77"/>
  <c r="BM24" i="77" s="1"/>
  <c r="AL24" i="77"/>
  <c r="AK24" i="77"/>
  <c r="AJ24" i="77"/>
  <c r="AI24" i="77"/>
  <c r="BL24" i="77" s="1"/>
  <c r="AH24" i="77"/>
  <c r="AG24" i="77"/>
  <c r="AF24" i="77"/>
  <c r="AE24" i="77"/>
  <c r="BK24" i="77" s="1"/>
  <c r="AD24" i="77"/>
  <c r="AC24" i="77"/>
  <c r="AB24" i="77"/>
  <c r="AA24" i="77"/>
  <c r="BJ24" i="77" s="1"/>
  <c r="Z24" i="77"/>
  <c r="Y24" i="77"/>
  <c r="X24" i="77"/>
  <c r="W24" i="77"/>
  <c r="BI24" i="77" s="1"/>
  <c r="V24" i="77"/>
  <c r="U24" i="77"/>
  <c r="T24" i="77"/>
  <c r="S24" i="77"/>
  <c r="BH24" i="77" s="1"/>
  <c r="AX23" i="77"/>
  <c r="AW23" i="77"/>
  <c r="AV23" i="77"/>
  <c r="AU23" i="77"/>
  <c r="BO23" i="77" s="1"/>
  <c r="AT23" i="77"/>
  <c r="AS23" i="77"/>
  <c r="AR23" i="77"/>
  <c r="AQ23" i="77"/>
  <c r="BN23" i="77" s="1"/>
  <c r="AP23" i="77"/>
  <c r="AO23" i="77"/>
  <c r="AN23" i="77"/>
  <c r="AM23" i="77"/>
  <c r="BM23" i="77" s="1"/>
  <c r="AL23" i="77"/>
  <c r="AK23" i="77"/>
  <c r="AJ23" i="77"/>
  <c r="AI23" i="77"/>
  <c r="BL23" i="77" s="1"/>
  <c r="AH23" i="77"/>
  <c r="AG23" i="77"/>
  <c r="AF23" i="77"/>
  <c r="AE23" i="77"/>
  <c r="BK23" i="77" s="1"/>
  <c r="AD23" i="77"/>
  <c r="AC23" i="77"/>
  <c r="AB23" i="77"/>
  <c r="AA23" i="77"/>
  <c r="BJ23" i="77" s="1"/>
  <c r="Z23" i="77"/>
  <c r="Y23" i="77"/>
  <c r="X23" i="77"/>
  <c r="W23" i="77"/>
  <c r="BI23" i="77" s="1"/>
  <c r="V23" i="77"/>
  <c r="U23" i="77"/>
  <c r="T23" i="77"/>
  <c r="S23" i="77"/>
  <c r="BH23" i="77" s="1"/>
  <c r="AX22" i="77"/>
  <c r="AW22" i="77"/>
  <c r="AV22" i="77"/>
  <c r="AU22" i="77"/>
  <c r="BO22" i="77" s="1"/>
  <c r="AT22" i="77"/>
  <c r="AS22" i="77"/>
  <c r="AR22" i="77"/>
  <c r="AQ22" i="77"/>
  <c r="BN22" i="77" s="1"/>
  <c r="AP22" i="77"/>
  <c r="AO22" i="77"/>
  <c r="AN22" i="77"/>
  <c r="AM22" i="77"/>
  <c r="BM22" i="77" s="1"/>
  <c r="AL22" i="77"/>
  <c r="AK22" i="77"/>
  <c r="AJ22" i="77"/>
  <c r="AI22" i="77"/>
  <c r="BL22" i="77" s="1"/>
  <c r="AH22" i="77"/>
  <c r="AG22" i="77"/>
  <c r="AF22" i="77"/>
  <c r="AE22" i="77"/>
  <c r="BK22" i="77" s="1"/>
  <c r="AD22" i="77"/>
  <c r="AC22" i="77"/>
  <c r="AB22" i="77"/>
  <c r="AA22" i="77"/>
  <c r="BJ22" i="77" s="1"/>
  <c r="Z22" i="77"/>
  <c r="Y22" i="77"/>
  <c r="X22" i="77"/>
  <c r="W22" i="77"/>
  <c r="BI22" i="77" s="1"/>
  <c r="V22" i="77"/>
  <c r="U22" i="77"/>
  <c r="T22" i="77"/>
  <c r="S22" i="77"/>
  <c r="BH22" i="77" s="1"/>
  <c r="AX21" i="77"/>
  <c r="AW21" i="77"/>
  <c r="AV21" i="77"/>
  <c r="AU21" i="77"/>
  <c r="BO21" i="77" s="1"/>
  <c r="AT21" i="77"/>
  <c r="AS21" i="77"/>
  <c r="AR21" i="77"/>
  <c r="AQ21" i="77"/>
  <c r="BN21" i="77" s="1"/>
  <c r="AP21" i="77"/>
  <c r="AO21" i="77"/>
  <c r="AN21" i="77"/>
  <c r="AM21" i="77"/>
  <c r="BM21" i="77" s="1"/>
  <c r="AL21" i="77"/>
  <c r="AK21" i="77"/>
  <c r="AJ21" i="77"/>
  <c r="AI21" i="77"/>
  <c r="BL21" i="77" s="1"/>
  <c r="AH21" i="77"/>
  <c r="AG21" i="77"/>
  <c r="AF21" i="77"/>
  <c r="AE21" i="77"/>
  <c r="BK21" i="77" s="1"/>
  <c r="AD21" i="77"/>
  <c r="AC21" i="77"/>
  <c r="AB21" i="77"/>
  <c r="AA21" i="77"/>
  <c r="BJ21" i="77" s="1"/>
  <c r="Z21" i="77"/>
  <c r="Y21" i="77"/>
  <c r="X21" i="77"/>
  <c r="W21" i="77"/>
  <c r="BI21" i="77" s="1"/>
  <c r="V21" i="77"/>
  <c r="U21" i="77"/>
  <c r="T21" i="77"/>
  <c r="S21" i="77"/>
  <c r="BH21" i="77" s="1"/>
  <c r="AX20" i="77"/>
  <c r="AW20" i="77"/>
  <c r="AV20" i="77"/>
  <c r="AU20" i="77"/>
  <c r="BO20" i="77" s="1"/>
  <c r="AT20" i="77"/>
  <c r="AS20" i="77"/>
  <c r="AR20" i="77"/>
  <c r="AQ20" i="77"/>
  <c r="BN20" i="77" s="1"/>
  <c r="AP20" i="77"/>
  <c r="AO20" i="77"/>
  <c r="AN20" i="77"/>
  <c r="AM20" i="77"/>
  <c r="BM20" i="77" s="1"/>
  <c r="AL20" i="77"/>
  <c r="AK20" i="77"/>
  <c r="AJ20" i="77"/>
  <c r="AI20" i="77"/>
  <c r="BL20" i="77" s="1"/>
  <c r="AH20" i="77"/>
  <c r="AG20" i="77"/>
  <c r="AF20" i="77"/>
  <c r="AE20" i="77"/>
  <c r="BK20" i="77" s="1"/>
  <c r="AD20" i="77"/>
  <c r="AC20" i="77"/>
  <c r="AB20" i="77"/>
  <c r="AA20" i="77"/>
  <c r="BJ20" i="77" s="1"/>
  <c r="Z20" i="77"/>
  <c r="Y20" i="77"/>
  <c r="X20" i="77"/>
  <c r="W20" i="77"/>
  <c r="BI20" i="77" s="1"/>
  <c r="V20" i="77"/>
  <c r="U20" i="77"/>
  <c r="T20" i="77"/>
  <c r="S20" i="77"/>
  <c r="BH20" i="77" s="1"/>
  <c r="AX19" i="77"/>
  <c r="AW19" i="77"/>
  <c r="AV19" i="77"/>
  <c r="AU19" i="77"/>
  <c r="BO19" i="77" s="1"/>
  <c r="AT19" i="77"/>
  <c r="AS19" i="77"/>
  <c r="AR19" i="77"/>
  <c r="AQ19" i="77"/>
  <c r="BN19" i="77" s="1"/>
  <c r="AP19" i="77"/>
  <c r="AO19" i="77"/>
  <c r="AN19" i="77"/>
  <c r="AM19" i="77"/>
  <c r="BM19" i="77" s="1"/>
  <c r="AL19" i="77"/>
  <c r="AK19" i="77"/>
  <c r="AJ19" i="77"/>
  <c r="AI19" i="77"/>
  <c r="BL19" i="77" s="1"/>
  <c r="AH19" i="77"/>
  <c r="AG19" i="77"/>
  <c r="AF19" i="77"/>
  <c r="AE19" i="77"/>
  <c r="BK19" i="77" s="1"/>
  <c r="AD19" i="77"/>
  <c r="AC19" i="77"/>
  <c r="AB19" i="77"/>
  <c r="AA19" i="77"/>
  <c r="BJ19" i="77" s="1"/>
  <c r="Z19" i="77"/>
  <c r="Y19" i="77"/>
  <c r="X19" i="77"/>
  <c r="W19" i="77"/>
  <c r="BI19" i="77" s="1"/>
  <c r="V19" i="77"/>
  <c r="U19" i="77"/>
  <c r="T19" i="77"/>
  <c r="S19" i="77"/>
  <c r="BH19" i="77" s="1"/>
  <c r="AX18" i="77"/>
  <c r="AW18" i="77"/>
  <c r="AV18" i="77"/>
  <c r="AU18" i="77"/>
  <c r="BO18" i="77" s="1"/>
  <c r="AT18" i="77"/>
  <c r="AS18" i="77"/>
  <c r="AR18" i="77"/>
  <c r="AQ18" i="77"/>
  <c r="BN18" i="77" s="1"/>
  <c r="AP18" i="77"/>
  <c r="AO18" i="77"/>
  <c r="AN18" i="77"/>
  <c r="AM18" i="77"/>
  <c r="BM18" i="77" s="1"/>
  <c r="AL18" i="77"/>
  <c r="AK18" i="77"/>
  <c r="AJ18" i="77"/>
  <c r="AI18" i="77"/>
  <c r="BL18" i="77" s="1"/>
  <c r="AH18" i="77"/>
  <c r="AG18" i="77"/>
  <c r="AF18" i="77"/>
  <c r="AE18" i="77"/>
  <c r="BK18" i="77" s="1"/>
  <c r="AD18" i="77"/>
  <c r="AC18" i="77"/>
  <c r="AB18" i="77"/>
  <c r="AA18" i="77"/>
  <c r="BJ18" i="77" s="1"/>
  <c r="Z18" i="77"/>
  <c r="Y18" i="77"/>
  <c r="X18" i="77"/>
  <c r="W18" i="77"/>
  <c r="BI18" i="77" s="1"/>
  <c r="V18" i="77"/>
  <c r="U18" i="77"/>
  <c r="T18" i="77"/>
  <c r="S18" i="77"/>
  <c r="BH18" i="77" s="1"/>
  <c r="AX17" i="77"/>
  <c r="AW17" i="77"/>
  <c r="AV17" i="77"/>
  <c r="AU17" i="77"/>
  <c r="BO17" i="77" s="1"/>
  <c r="AT17" i="77"/>
  <c r="AS17" i="77"/>
  <c r="AR17" i="77"/>
  <c r="AQ17" i="77"/>
  <c r="BN17" i="77" s="1"/>
  <c r="AP17" i="77"/>
  <c r="AO17" i="77"/>
  <c r="AN17" i="77"/>
  <c r="AM17" i="77"/>
  <c r="BM17" i="77" s="1"/>
  <c r="AL17" i="77"/>
  <c r="AK17" i="77"/>
  <c r="AJ17" i="77"/>
  <c r="AI17" i="77"/>
  <c r="BL17" i="77" s="1"/>
  <c r="AH17" i="77"/>
  <c r="AG17" i="77"/>
  <c r="AF17" i="77"/>
  <c r="AE17" i="77"/>
  <c r="BK17" i="77" s="1"/>
  <c r="AD17" i="77"/>
  <c r="AC17" i="77"/>
  <c r="AB17" i="77"/>
  <c r="AA17" i="77"/>
  <c r="BJ17" i="77" s="1"/>
  <c r="Z17" i="77"/>
  <c r="Y17" i="77"/>
  <c r="X17" i="77"/>
  <c r="W17" i="77"/>
  <c r="BI17" i="77" s="1"/>
  <c r="V17" i="77"/>
  <c r="U17" i="77"/>
  <c r="T17" i="77"/>
  <c r="S17" i="77"/>
  <c r="BH17" i="77" s="1"/>
  <c r="AX16" i="77"/>
  <c r="AW16" i="77"/>
  <c r="AV16" i="77"/>
  <c r="AU16" i="77"/>
  <c r="BO16" i="77" s="1"/>
  <c r="AT16" i="77"/>
  <c r="AS16" i="77"/>
  <c r="AR16" i="77"/>
  <c r="AQ16" i="77"/>
  <c r="BN16" i="77" s="1"/>
  <c r="AP16" i="77"/>
  <c r="AO16" i="77"/>
  <c r="AN16" i="77"/>
  <c r="AM16" i="77"/>
  <c r="BM16" i="77" s="1"/>
  <c r="AL16" i="77"/>
  <c r="AK16" i="77"/>
  <c r="AJ16" i="77"/>
  <c r="AI16" i="77"/>
  <c r="BL16" i="77" s="1"/>
  <c r="AH16" i="77"/>
  <c r="AG16" i="77"/>
  <c r="AF16" i="77"/>
  <c r="AE16" i="77"/>
  <c r="BK16" i="77" s="1"/>
  <c r="AD16" i="77"/>
  <c r="AC16" i="77"/>
  <c r="AB16" i="77"/>
  <c r="AA16" i="77"/>
  <c r="BJ16" i="77" s="1"/>
  <c r="Z16" i="77"/>
  <c r="Y16" i="77"/>
  <c r="X16" i="77"/>
  <c r="W16" i="77"/>
  <c r="BI16" i="77" s="1"/>
  <c r="V16" i="77"/>
  <c r="U16" i="77"/>
  <c r="T16" i="77"/>
  <c r="S16" i="77"/>
  <c r="BH16" i="77" s="1"/>
  <c r="AX15" i="77"/>
  <c r="AW15" i="77"/>
  <c r="AV15" i="77"/>
  <c r="AU15" i="77"/>
  <c r="AT15" i="77"/>
  <c r="AS15" i="77"/>
  <c r="AR15" i="77"/>
  <c r="AQ15" i="77"/>
  <c r="AP15" i="77"/>
  <c r="AO15" i="77"/>
  <c r="AN15" i="77"/>
  <c r="AM15" i="77"/>
  <c r="AL15" i="77"/>
  <c r="AK15" i="77"/>
  <c r="AJ15" i="77"/>
  <c r="AI15" i="77"/>
  <c r="AH15" i="77"/>
  <c r="AG15" i="77"/>
  <c r="AF15" i="77"/>
  <c r="AE15" i="77"/>
  <c r="AD15" i="77"/>
  <c r="AC15" i="77"/>
  <c r="AB15" i="77"/>
  <c r="AA15" i="77"/>
  <c r="Z15" i="77"/>
  <c r="Y15" i="77"/>
  <c r="X15" i="77"/>
  <c r="W15" i="77"/>
  <c r="V15" i="77"/>
  <c r="U15" i="77"/>
  <c r="T15" i="77"/>
  <c r="S15" i="77"/>
  <c r="AX14" i="77"/>
  <c r="AW14" i="77"/>
  <c r="AV14" i="77"/>
  <c r="AU14" i="77"/>
  <c r="AT14" i="77"/>
  <c r="AS14" i="77"/>
  <c r="AR14" i="77"/>
  <c r="AQ14" i="77"/>
  <c r="AP14" i="77"/>
  <c r="AO14" i="77"/>
  <c r="AN14" i="77"/>
  <c r="AM14" i="77"/>
  <c r="AL14" i="77"/>
  <c r="AK14" i="77"/>
  <c r="AJ14" i="77"/>
  <c r="AI14" i="77"/>
  <c r="AH14" i="77"/>
  <c r="AG14" i="77"/>
  <c r="AF14" i="77"/>
  <c r="AE14" i="77"/>
  <c r="AD14" i="77"/>
  <c r="AC14" i="77"/>
  <c r="AB14" i="77"/>
  <c r="AA14" i="77"/>
  <c r="Z14" i="77"/>
  <c r="Y14" i="77"/>
  <c r="X14" i="77"/>
  <c r="W14" i="77"/>
  <c r="V14" i="77"/>
  <c r="U14" i="77"/>
  <c r="T14" i="77"/>
  <c r="S14" i="77"/>
  <c r="AX13" i="77"/>
  <c r="AW13" i="77"/>
  <c r="AV13" i="77"/>
  <c r="AU13" i="77"/>
  <c r="AT13" i="77"/>
  <c r="AS13" i="77"/>
  <c r="AR13" i="77"/>
  <c r="AQ13" i="77"/>
  <c r="AP13" i="77"/>
  <c r="AO13" i="77"/>
  <c r="AN13" i="77"/>
  <c r="AM13" i="77"/>
  <c r="AL13" i="77"/>
  <c r="AK13" i="77"/>
  <c r="AJ13" i="77"/>
  <c r="AI13" i="77"/>
  <c r="AH13" i="77"/>
  <c r="AG13" i="77"/>
  <c r="AF13" i="77"/>
  <c r="AE13" i="77"/>
  <c r="AD13" i="77"/>
  <c r="AC13" i="77"/>
  <c r="AB13" i="77"/>
  <c r="AA13" i="77"/>
  <c r="Z13" i="77"/>
  <c r="Y13" i="77"/>
  <c r="X13" i="77"/>
  <c r="W13" i="77"/>
  <c r="V13" i="77"/>
  <c r="U13" i="77"/>
  <c r="T13" i="77"/>
  <c r="S13" i="77"/>
  <c r="AX12" i="77"/>
  <c r="AW12" i="77"/>
  <c r="AV12" i="77"/>
  <c r="AU12" i="77"/>
  <c r="BO12" i="77" s="1"/>
  <c r="AT12" i="77"/>
  <c r="AS12" i="77"/>
  <c r="AR12" i="77"/>
  <c r="AQ12" i="77"/>
  <c r="BN12" i="77" s="1"/>
  <c r="AP12" i="77"/>
  <c r="AO12" i="77"/>
  <c r="AN12" i="77"/>
  <c r="AM12" i="77"/>
  <c r="BM12" i="77" s="1"/>
  <c r="AL12" i="77"/>
  <c r="AK12" i="77"/>
  <c r="AJ12" i="77"/>
  <c r="AI12" i="77"/>
  <c r="BL12" i="77" s="1"/>
  <c r="AH12" i="77"/>
  <c r="AG12" i="77"/>
  <c r="AF12" i="77"/>
  <c r="AE12" i="77"/>
  <c r="BK12" i="77" s="1"/>
  <c r="AD12" i="77"/>
  <c r="AC12" i="77"/>
  <c r="AB12" i="77"/>
  <c r="AA12" i="77"/>
  <c r="BJ12" i="77" s="1"/>
  <c r="Z12" i="77"/>
  <c r="Y12" i="77"/>
  <c r="X12" i="77"/>
  <c r="W12" i="77"/>
  <c r="BI12" i="77" s="1"/>
  <c r="V12" i="77"/>
  <c r="U12" i="77"/>
  <c r="T12" i="77"/>
  <c r="S12" i="77"/>
  <c r="BH12" i="77" s="1"/>
  <c r="AX11" i="77"/>
  <c r="BK104" i="15"/>
  <c r="AW11" i="77"/>
  <c r="BJ104" i="15"/>
  <c r="AV11" i="77"/>
  <c r="AU11" i="77"/>
  <c r="BO11" i="77" s="1"/>
  <c r="AT11" i="77"/>
  <c r="BF104" i="15"/>
  <c r="AS11" i="77"/>
  <c r="BE104" i="15"/>
  <c r="AR11" i="77"/>
  <c r="AQ11" i="77"/>
  <c r="BN11" i="77" s="1"/>
  <c r="AP11" i="77"/>
  <c r="BA104" i="15" s="1"/>
  <c r="AO11" i="77"/>
  <c r="AZ104" i="15" s="1"/>
  <c r="AN11" i="77"/>
  <c r="AM11" i="77"/>
  <c r="AL11" i="77"/>
  <c r="AV104" i="15" s="1"/>
  <c r="AK11" i="77"/>
  <c r="AU104" i="15" s="1"/>
  <c r="AJ11" i="77"/>
  <c r="AI11" i="77"/>
  <c r="AS104" i="15"/>
  <c r="AH11" i="77"/>
  <c r="AQ104" i="15"/>
  <c r="AG11" i="77"/>
  <c r="AP104" i="15"/>
  <c r="AF11" i="77"/>
  <c r="AE11" i="77"/>
  <c r="BK11" i="77" s="1"/>
  <c r="AD11" i="77"/>
  <c r="AL104" i="15"/>
  <c r="AC11" i="77"/>
  <c r="AK104" i="15"/>
  <c r="AB11" i="77"/>
  <c r="AA11" i="77"/>
  <c r="BJ11" i="77" s="1"/>
  <c r="Z11" i="77"/>
  <c r="AG104" i="15"/>
  <c r="Y11" i="77"/>
  <c r="AF104" i="15"/>
  <c r="X11" i="77"/>
  <c r="W11" i="77"/>
  <c r="BI11" i="77" s="1"/>
  <c r="V11" i="77"/>
  <c r="AB104" i="15"/>
  <c r="U11" i="77"/>
  <c r="AA104" i="15"/>
  <c r="T11" i="77"/>
  <c r="S11" i="77"/>
  <c r="BH11" i="77" s="1"/>
  <c r="AX10" i="77"/>
  <c r="AW10" i="77"/>
  <c r="AV10" i="77"/>
  <c r="AU10" i="77"/>
  <c r="AT10" i="77"/>
  <c r="AS10" i="77"/>
  <c r="AR10" i="77"/>
  <c r="AQ10" i="77"/>
  <c r="AP10" i="77"/>
  <c r="AO10" i="77"/>
  <c r="AN10" i="77"/>
  <c r="AM10" i="77"/>
  <c r="AL10" i="77"/>
  <c r="AK10" i="77"/>
  <c r="AJ10" i="77"/>
  <c r="AI10" i="77"/>
  <c r="AH10" i="77"/>
  <c r="AG10" i="77"/>
  <c r="AF10" i="77"/>
  <c r="AE10" i="77"/>
  <c r="AD10" i="77"/>
  <c r="AC10" i="77"/>
  <c r="AB10" i="77"/>
  <c r="AA10" i="77"/>
  <c r="Z10" i="77"/>
  <c r="Y10" i="77"/>
  <c r="X10" i="77"/>
  <c r="W10" i="77"/>
  <c r="V10" i="77"/>
  <c r="U10" i="77"/>
  <c r="T10" i="77"/>
  <c r="S10" i="77"/>
  <c r="AX9" i="77"/>
  <c r="BK100" i="15" s="1"/>
  <c r="AW9" i="77"/>
  <c r="BJ100" i="15" s="1"/>
  <c r="AV9" i="77"/>
  <c r="AU9" i="77"/>
  <c r="AT9" i="77"/>
  <c r="BF100" i="15" s="1"/>
  <c r="AS9" i="77"/>
  <c r="BE100" i="15" s="1"/>
  <c r="AR9" i="77"/>
  <c r="AQ9" i="77"/>
  <c r="BN9" i="77" s="1"/>
  <c r="AP9" i="77"/>
  <c r="BA100" i="15" s="1"/>
  <c r="AO9" i="77"/>
  <c r="AZ100" i="15" s="1"/>
  <c r="AN9" i="77"/>
  <c r="AM9" i="77"/>
  <c r="AL9" i="77"/>
  <c r="AV100" i="15" s="1"/>
  <c r="AK9" i="77"/>
  <c r="AU100" i="15" s="1"/>
  <c r="AJ9" i="77"/>
  <c r="AI9" i="77"/>
  <c r="AH9" i="77"/>
  <c r="AQ100" i="15" s="1"/>
  <c r="AG9" i="77"/>
  <c r="AP100" i="15" s="1"/>
  <c r="AP102" i="15" s="1"/>
  <c r="AF9" i="77"/>
  <c r="AE9" i="77"/>
  <c r="BK9" i="77" s="1"/>
  <c r="AD9" i="77"/>
  <c r="AL100" i="15"/>
  <c r="AL102" i="15" s="1"/>
  <c r="AC9" i="77"/>
  <c r="AK100" i="15" s="1"/>
  <c r="AB9" i="77"/>
  <c r="AA9" i="77"/>
  <c r="Z9" i="77"/>
  <c r="AG100" i="15" s="1"/>
  <c r="Y9" i="77"/>
  <c r="AF100" i="15" s="1"/>
  <c r="X9" i="77"/>
  <c r="W9" i="77"/>
  <c r="V9" i="77"/>
  <c r="AB100" i="15" s="1"/>
  <c r="U9" i="77"/>
  <c r="AA100" i="15" s="1"/>
  <c r="T9" i="77"/>
  <c r="S9" i="77"/>
  <c r="AX8" i="77"/>
  <c r="BK46" i="15" s="1"/>
  <c r="AW8" i="77"/>
  <c r="BJ46" i="15" s="1"/>
  <c r="AV8" i="77"/>
  <c r="AU8" i="77"/>
  <c r="AT8" i="77"/>
  <c r="BF46" i="15" s="1"/>
  <c r="BF47" i="15" s="1"/>
  <c r="AS8" i="77"/>
  <c r="BE46" i="15"/>
  <c r="AR8" i="77"/>
  <c r="AQ8" i="77"/>
  <c r="BN8" i="77" s="1"/>
  <c r="AP8" i="77"/>
  <c r="AO8" i="77"/>
  <c r="AN8" i="77"/>
  <c r="AM8" i="77"/>
  <c r="BM8" i="77" s="1"/>
  <c r="AL8" i="77"/>
  <c r="AK8" i="77"/>
  <c r="AJ8" i="77"/>
  <c r="AI8" i="77"/>
  <c r="BL8" i="77" s="1"/>
  <c r="AH8" i="77"/>
  <c r="AG8" i="77"/>
  <c r="AF8" i="77"/>
  <c r="AE8" i="77"/>
  <c r="BK8" i="77" s="1"/>
  <c r="AD8" i="77"/>
  <c r="AC8" i="77"/>
  <c r="AB8" i="77"/>
  <c r="AA8" i="77"/>
  <c r="BJ8" i="77" s="1"/>
  <c r="Z8" i="77"/>
  <c r="Y8" i="77"/>
  <c r="X8" i="77"/>
  <c r="W8" i="77"/>
  <c r="BI8" i="77" s="1"/>
  <c r="V8" i="77"/>
  <c r="U8" i="77"/>
  <c r="T8" i="77"/>
  <c r="S8" i="77"/>
  <c r="BH8" i="77" s="1"/>
  <c r="AX7" i="77"/>
  <c r="AW7" i="77"/>
  <c r="AV7" i="77"/>
  <c r="AU7" i="77"/>
  <c r="AT7" i="77"/>
  <c r="AS7" i="77"/>
  <c r="AR7" i="77"/>
  <c r="AQ7" i="77"/>
  <c r="AP7" i="77"/>
  <c r="AO7" i="77"/>
  <c r="AN7" i="77"/>
  <c r="AM7" i="77"/>
  <c r="AL7" i="77"/>
  <c r="AK7" i="77"/>
  <c r="AJ7" i="77"/>
  <c r="AI7" i="77"/>
  <c r="AH7" i="77"/>
  <c r="AG7" i="77"/>
  <c r="AF7" i="77"/>
  <c r="AE7" i="77"/>
  <c r="AD7" i="77"/>
  <c r="AC7" i="77"/>
  <c r="AB7" i="77"/>
  <c r="AA7" i="77"/>
  <c r="Z7" i="77"/>
  <c r="Y7" i="77"/>
  <c r="X7" i="77"/>
  <c r="W7" i="77"/>
  <c r="V7" i="77"/>
  <c r="U7" i="77"/>
  <c r="T7" i="77"/>
  <c r="S7" i="77"/>
  <c r="AX6" i="77"/>
  <c r="AW6" i="77"/>
  <c r="AV6" i="77"/>
  <c r="AU6" i="77"/>
  <c r="AT6" i="77"/>
  <c r="AS6" i="77"/>
  <c r="AR6" i="77"/>
  <c r="AQ6" i="77"/>
  <c r="AP6" i="77"/>
  <c r="AO6" i="77"/>
  <c r="AN6" i="77"/>
  <c r="AM6" i="77"/>
  <c r="AL6" i="77"/>
  <c r="AK6" i="77"/>
  <c r="AJ6" i="77"/>
  <c r="AI6" i="77"/>
  <c r="AH6" i="77"/>
  <c r="AG6" i="77"/>
  <c r="AF6" i="77"/>
  <c r="AE6" i="77"/>
  <c r="AD6" i="77"/>
  <c r="AC6" i="77"/>
  <c r="AB6" i="77"/>
  <c r="AA6" i="77"/>
  <c r="Z6" i="77"/>
  <c r="Y6" i="77"/>
  <c r="X6" i="77"/>
  <c r="W6" i="77"/>
  <c r="V6" i="77"/>
  <c r="U6" i="77"/>
  <c r="T6" i="77"/>
  <c r="S6" i="77"/>
  <c r="CO198" i="15"/>
  <c r="CJ211" i="15" s="1"/>
  <c r="CO183" i="15"/>
  <c r="CO185" i="15" s="1"/>
  <c r="CO188" i="15" s="1"/>
  <c r="CX206" i="15"/>
  <c r="CW205" i="15"/>
  <c r="CV205" i="15"/>
  <c r="CW204" i="15"/>
  <c r="CW206" i="15" s="1"/>
  <c r="CV204" i="15"/>
  <c r="CW203" i="15"/>
  <c r="CV203" i="15"/>
  <c r="DE201" i="15"/>
  <c r="DD201" i="15"/>
  <c r="CO201" i="15"/>
  <c r="CK211" i="15"/>
  <c r="DE200" i="15"/>
  <c r="DD200" i="15"/>
  <c r="DE199" i="15"/>
  <c r="DE202" i="15"/>
  <c r="DD199" i="15"/>
  <c r="DD202" i="15"/>
  <c r="DF202" i="15" s="1"/>
  <c r="CO203" i="15" s="1"/>
  <c r="CE207" i="15" s="1"/>
  <c r="CO199" i="15"/>
  <c r="BP281" i="77"/>
  <c r="BO281" i="77"/>
  <c r="BN281" i="77"/>
  <c r="BM281" i="77"/>
  <c r="BL281" i="77"/>
  <c r="BK281" i="77"/>
  <c r="BJ281" i="77"/>
  <c r="BI281" i="77"/>
  <c r="BH281" i="77"/>
  <c r="BP280" i="77"/>
  <c r="BO280" i="77"/>
  <c r="BN280" i="77"/>
  <c r="BM280" i="77"/>
  <c r="BL280" i="77"/>
  <c r="BK280" i="77"/>
  <c r="BJ280" i="77"/>
  <c r="BI280" i="77"/>
  <c r="BH280" i="77"/>
  <c r="BP279" i="77"/>
  <c r="BO279" i="77"/>
  <c r="BN279" i="77"/>
  <c r="BM279" i="77"/>
  <c r="BL279" i="77"/>
  <c r="BK279" i="77"/>
  <c r="BJ279" i="77"/>
  <c r="BI279" i="77"/>
  <c r="BH279" i="77"/>
  <c r="BP278" i="77"/>
  <c r="BO278" i="77"/>
  <c r="BN278" i="77"/>
  <c r="BM278" i="77"/>
  <c r="BL278" i="77"/>
  <c r="BK278" i="77"/>
  <c r="BJ278" i="77"/>
  <c r="BI278" i="77"/>
  <c r="BH278" i="77"/>
  <c r="BP277" i="77"/>
  <c r="BO277" i="77"/>
  <c r="BN277" i="77"/>
  <c r="BM277" i="77"/>
  <c r="BL277" i="77"/>
  <c r="BK277" i="77"/>
  <c r="BJ277" i="77"/>
  <c r="BI277" i="77"/>
  <c r="BH277" i="77"/>
  <c r="BP276" i="77"/>
  <c r="BO276" i="77"/>
  <c r="BN276" i="77"/>
  <c r="BM276" i="77"/>
  <c r="BL276" i="77"/>
  <c r="BK276" i="77"/>
  <c r="BJ276" i="77"/>
  <c r="BI276" i="77"/>
  <c r="BH276" i="77"/>
  <c r="BP275" i="77"/>
  <c r="BO275" i="77"/>
  <c r="BN275" i="77"/>
  <c r="BM275" i="77"/>
  <c r="BL275" i="77"/>
  <c r="BK275" i="77"/>
  <c r="BJ275" i="77"/>
  <c r="BI275" i="77"/>
  <c r="BH275" i="77"/>
  <c r="BP271" i="77"/>
  <c r="BO271" i="77"/>
  <c r="BN271" i="77"/>
  <c r="BM271" i="77"/>
  <c r="BL271" i="77"/>
  <c r="BK271" i="77"/>
  <c r="BJ271" i="77"/>
  <c r="BI271" i="77"/>
  <c r="BH271" i="77"/>
  <c r="BG271" i="77"/>
  <c r="BP270" i="77"/>
  <c r="BO270" i="77"/>
  <c r="BN270" i="77"/>
  <c r="BM270" i="77"/>
  <c r="BL270" i="77"/>
  <c r="BK270" i="77"/>
  <c r="BJ270" i="77"/>
  <c r="BI270" i="77"/>
  <c r="BH270" i="77"/>
  <c r="BG270" i="77"/>
  <c r="BP269" i="77"/>
  <c r="BO269" i="77"/>
  <c r="BN269" i="77"/>
  <c r="BM269" i="77"/>
  <c r="BL269" i="77"/>
  <c r="BK269" i="77"/>
  <c r="BJ269" i="77"/>
  <c r="BI269" i="77"/>
  <c r="BH269" i="77"/>
  <c r="BG269" i="77"/>
  <c r="BP268" i="77"/>
  <c r="BO268" i="77"/>
  <c r="BN268" i="77"/>
  <c r="BM268" i="77"/>
  <c r="BL268" i="77"/>
  <c r="BK268" i="77"/>
  <c r="BJ268" i="77"/>
  <c r="BI268" i="77"/>
  <c r="BH268" i="77"/>
  <c r="BG268" i="77"/>
  <c r="BP267" i="77"/>
  <c r="BO267" i="77"/>
  <c r="BN267" i="77"/>
  <c r="BM267" i="77"/>
  <c r="BL267" i="77"/>
  <c r="BK267" i="77"/>
  <c r="BJ267" i="77"/>
  <c r="BI267" i="77"/>
  <c r="BH267" i="77"/>
  <c r="BG267" i="77"/>
  <c r="BP266" i="77"/>
  <c r="BO266" i="77"/>
  <c r="BN266" i="77"/>
  <c r="BM266" i="77"/>
  <c r="BL266" i="77"/>
  <c r="BK266" i="77"/>
  <c r="BJ266" i="77"/>
  <c r="BI266" i="77"/>
  <c r="BH266" i="77"/>
  <c r="BG266" i="77"/>
  <c r="BP265" i="77"/>
  <c r="BO265" i="77"/>
  <c r="BN265" i="77"/>
  <c r="BM265" i="77"/>
  <c r="BL265" i="77"/>
  <c r="BK265" i="77"/>
  <c r="BJ265" i="77"/>
  <c r="BI265" i="77"/>
  <c r="BH265" i="77"/>
  <c r="BG265" i="77"/>
  <c r="BP264" i="77"/>
  <c r="BO264" i="77"/>
  <c r="BN264" i="77"/>
  <c r="BM264" i="77"/>
  <c r="BL264" i="77"/>
  <c r="BK264" i="77"/>
  <c r="BJ264" i="77"/>
  <c r="BI264" i="77"/>
  <c r="BH264" i="77"/>
  <c r="BG264" i="77"/>
  <c r="BP263" i="77"/>
  <c r="BO263" i="77"/>
  <c r="BN263" i="77"/>
  <c r="BM263" i="77"/>
  <c r="BL263" i="77"/>
  <c r="BK263" i="77"/>
  <c r="BJ263" i="77"/>
  <c r="BI263" i="77"/>
  <c r="BH263" i="77"/>
  <c r="BG263" i="77"/>
  <c r="BP262" i="77"/>
  <c r="BO262" i="77"/>
  <c r="BN262" i="77"/>
  <c r="BM262" i="77"/>
  <c r="BL262" i="77"/>
  <c r="BK262" i="77"/>
  <c r="BJ262" i="77"/>
  <c r="BI262" i="77"/>
  <c r="BH262" i="77"/>
  <c r="BG262" i="77"/>
  <c r="BP261" i="77"/>
  <c r="BO261" i="77"/>
  <c r="BN261" i="77"/>
  <c r="BM261" i="77"/>
  <c r="BL261" i="77"/>
  <c r="BK261" i="77"/>
  <c r="BJ261" i="77"/>
  <c r="BI261" i="77"/>
  <c r="BH261" i="77"/>
  <c r="BG261" i="77"/>
  <c r="BP260" i="77"/>
  <c r="BO260" i="77"/>
  <c r="BN260" i="77"/>
  <c r="BM260" i="77"/>
  <c r="BL260" i="77"/>
  <c r="BK260" i="77"/>
  <c r="BJ260" i="77"/>
  <c r="BI260" i="77"/>
  <c r="BH260" i="77"/>
  <c r="BG260" i="77"/>
  <c r="BP259" i="77"/>
  <c r="BO259" i="77"/>
  <c r="BN259" i="77"/>
  <c r="BM259" i="77"/>
  <c r="BL259" i="77"/>
  <c r="BK259" i="77"/>
  <c r="BJ259" i="77"/>
  <c r="BI259" i="77"/>
  <c r="BH259" i="77"/>
  <c r="BG259" i="77"/>
  <c r="BP258" i="77"/>
  <c r="BO258" i="77"/>
  <c r="BN258" i="77"/>
  <c r="BM258" i="77"/>
  <c r="BL258" i="77"/>
  <c r="BK258" i="77"/>
  <c r="BJ258" i="77"/>
  <c r="BI258" i="77"/>
  <c r="BH258" i="77"/>
  <c r="BG258" i="77"/>
  <c r="BP257" i="77"/>
  <c r="BO257" i="77"/>
  <c r="BN257" i="77"/>
  <c r="BM257" i="77"/>
  <c r="BL257" i="77"/>
  <c r="BK257" i="77"/>
  <c r="BJ257" i="77"/>
  <c r="BI257" i="77"/>
  <c r="BH257" i="77"/>
  <c r="BG257" i="77"/>
  <c r="BP254" i="77"/>
  <c r="BO254" i="77"/>
  <c r="BN254" i="77"/>
  <c r="BM254" i="77"/>
  <c r="BL254" i="77"/>
  <c r="BK254" i="77"/>
  <c r="BJ254" i="77"/>
  <c r="BI254" i="77"/>
  <c r="BH254" i="77"/>
  <c r="BG254" i="77"/>
  <c r="BF254" i="77"/>
  <c r="BE254" i="77"/>
  <c r="BP253" i="77"/>
  <c r="BO253" i="77"/>
  <c r="BN253" i="77"/>
  <c r="BM253" i="77"/>
  <c r="BL253" i="77"/>
  <c r="BK253" i="77"/>
  <c r="BJ253" i="77"/>
  <c r="BI253" i="77"/>
  <c r="BH253" i="77"/>
  <c r="BG253" i="77"/>
  <c r="BF253" i="77"/>
  <c r="BE253" i="77"/>
  <c r="BP252" i="77"/>
  <c r="BO252" i="77"/>
  <c r="BN252" i="77"/>
  <c r="BM252" i="77"/>
  <c r="BL252" i="77"/>
  <c r="BK252" i="77"/>
  <c r="BJ252" i="77"/>
  <c r="BI252" i="77"/>
  <c r="BH252" i="77"/>
  <c r="BG252" i="77"/>
  <c r="BF252" i="77"/>
  <c r="BE252" i="77"/>
  <c r="BP251" i="77"/>
  <c r="BO251" i="77"/>
  <c r="BN251" i="77"/>
  <c r="BM251" i="77"/>
  <c r="BL251" i="77"/>
  <c r="BK251" i="77"/>
  <c r="BJ251" i="77"/>
  <c r="BI251" i="77"/>
  <c r="BH251" i="77"/>
  <c r="BG251" i="77"/>
  <c r="BF251" i="77"/>
  <c r="BE251" i="77"/>
  <c r="BP250" i="77"/>
  <c r="BO250" i="77"/>
  <c r="BN250" i="77"/>
  <c r="BM250" i="77"/>
  <c r="BL250" i="77"/>
  <c r="BK250" i="77"/>
  <c r="BJ250" i="77"/>
  <c r="BI250" i="77"/>
  <c r="BH250" i="77"/>
  <c r="BG250" i="77"/>
  <c r="BF250" i="77"/>
  <c r="BE250" i="77"/>
  <c r="BP249" i="77"/>
  <c r="BO249" i="77"/>
  <c r="BN249" i="77"/>
  <c r="BM249" i="77"/>
  <c r="BL249" i="77"/>
  <c r="BK249" i="77"/>
  <c r="BJ249" i="77"/>
  <c r="BI249" i="77"/>
  <c r="BH249" i="77"/>
  <c r="BG249" i="77"/>
  <c r="BF249" i="77"/>
  <c r="BE249" i="77"/>
  <c r="BP248" i="77"/>
  <c r="BO248" i="77"/>
  <c r="BN248" i="77"/>
  <c r="BM248" i="77"/>
  <c r="BL248" i="77"/>
  <c r="BK248" i="77"/>
  <c r="BJ248" i="77"/>
  <c r="BI248" i="77"/>
  <c r="BH248" i="77"/>
  <c r="BG248" i="77"/>
  <c r="BF248" i="77"/>
  <c r="BE248" i="77"/>
  <c r="BP247" i="77"/>
  <c r="BZ91" i="77" s="1"/>
  <c r="BO247" i="77"/>
  <c r="BN247" i="77"/>
  <c r="BM247" i="77"/>
  <c r="BL247" i="77"/>
  <c r="BK247" i="77"/>
  <c r="BJ247" i="77"/>
  <c r="BI247" i="77"/>
  <c r="BH247" i="77"/>
  <c r="BG247" i="77"/>
  <c r="BF247" i="77"/>
  <c r="BE247" i="77"/>
  <c r="BP246" i="77"/>
  <c r="BZ90" i="77" s="1"/>
  <c r="BO246" i="77"/>
  <c r="BN246" i="77"/>
  <c r="BM246" i="77"/>
  <c r="BL246" i="77"/>
  <c r="BK246" i="77"/>
  <c r="BJ246" i="77"/>
  <c r="BI246" i="77"/>
  <c r="BH246" i="77"/>
  <c r="BG246" i="77"/>
  <c r="BF246" i="77"/>
  <c r="BE246" i="77"/>
  <c r="BP245" i="77"/>
  <c r="BZ89" i="77" s="1"/>
  <c r="BO245" i="77"/>
  <c r="BN245" i="77"/>
  <c r="BM245" i="77"/>
  <c r="BL245" i="77"/>
  <c r="BK245" i="77"/>
  <c r="BJ245" i="77"/>
  <c r="BI245" i="77"/>
  <c r="BH245" i="77"/>
  <c r="BG245" i="77"/>
  <c r="BF245" i="77"/>
  <c r="BE245" i="77"/>
  <c r="BP244" i="77"/>
  <c r="BZ88" i="77" s="1"/>
  <c r="BX88" i="77" s="1"/>
  <c r="BO244" i="77"/>
  <c r="BN244" i="77"/>
  <c r="BM244" i="77"/>
  <c r="BL244" i="77"/>
  <c r="BK244" i="77"/>
  <c r="BJ244" i="77"/>
  <c r="BI244" i="77"/>
  <c r="BH244" i="77"/>
  <c r="BG244" i="77"/>
  <c r="BF244" i="77"/>
  <c r="BE244" i="77"/>
  <c r="BP243" i="77"/>
  <c r="BZ87" i="77" s="1"/>
  <c r="BO243" i="77"/>
  <c r="BN243" i="77"/>
  <c r="BM243" i="77"/>
  <c r="BL243" i="77"/>
  <c r="BK243" i="77"/>
  <c r="BJ243" i="77"/>
  <c r="BI243" i="77"/>
  <c r="BH243" i="77"/>
  <c r="BG243" i="77"/>
  <c r="BF243" i="77"/>
  <c r="BE243" i="77"/>
  <c r="BP242" i="77"/>
  <c r="BO242" i="77"/>
  <c r="BN242" i="77"/>
  <c r="BM242" i="77"/>
  <c r="BL242" i="77"/>
  <c r="BK242" i="77"/>
  <c r="BJ242" i="77"/>
  <c r="BI242" i="77"/>
  <c r="BH242" i="77"/>
  <c r="BG242" i="77"/>
  <c r="BF242" i="77"/>
  <c r="BE242" i="77"/>
  <c r="BP241" i="77"/>
  <c r="BO241" i="77"/>
  <c r="BN241" i="77"/>
  <c r="BM241" i="77"/>
  <c r="BL241" i="77"/>
  <c r="BK241" i="77"/>
  <c r="BJ241" i="77"/>
  <c r="BI241" i="77"/>
  <c r="BH241" i="77"/>
  <c r="BG241" i="77"/>
  <c r="BF241" i="77"/>
  <c r="BE241" i="77"/>
  <c r="BP240" i="77"/>
  <c r="BO240" i="77"/>
  <c r="BN240" i="77"/>
  <c r="BM240" i="77"/>
  <c r="BL240" i="77"/>
  <c r="BK240" i="77"/>
  <c r="BJ240" i="77"/>
  <c r="BI240" i="77"/>
  <c r="BH240" i="77"/>
  <c r="BG240" i="77"/>
  <c r="BF240" i="77"/>
  <c r="BE240" i="77"/>
  <c r="BP239" i="77"/>
  <c r="BO239" i="77"/>
  <c r="BN239" i="77"/>
  <c r="BM239" i="77"/>
  <c r="BL239" i="77"/>
  <c r="BK239" i="77"/>
  <c r="BJ239" i="77"/>
  <c r="BI239" i="77"/>
  <c r="BH239" i="77"/>
  <c r="BG239" i="77"/>
  <c r="BF239" i="77"/>
  <c r="BE239" i="77"/>
  <c r="BP236" i="77"/>
  <c r="BO236" i="77"/>
  <c r="BN236" i="77"/>
  <c r="BM236" i="77"/>
  <c r="BL236" i="77"/>
  <c r="BK236" i="77"/>
  <c r="BJ236" i="77"/>
  <c r="BI236" i="77"/>
  <c r="BH236" i="77"/>
  <c r="BG236" i="77"/>
  <c r="BF236" i="77"/>
  <c r="BE236" i="77"/>
  <c r="BP235" i="77"/>
  <c r="BO235" i="77"/>
  <c r="BN235" i="77"/>
  <c r="BM235" i="77"/>
  <c r="BL235" i="77"/>
  <c r="BK235" i="77"/>
  <c r="BJ235" i="77"/>
  <c r="BI235" i="77"/>
  <c r="BH235" i="77"/>
  <c r="BG235" i="77"/>
  <c r="BF235" i="77"/>
  <c r="BE235" i="77"/>
  <c r="BP234" i="77"/>
  <c r="BO234" i="77"/>
  <c r="BN234" i="77"/>
  <c r="BM234" i="77"/>
  <c r="BL234" i="77"/>
  <c r="BK234" i="77"/>
  <c r="BJ234" i="77"/>
  <c r="BI234" i="77"/>
  <c r="BH234" i="77"/>
  <c r="BG234" i="77"/>
  <c r="BF234" i="77"/>
  <c r="BE234" i="77"/>
  <c r="BP233" i="77"/>
  <c r="BO233" i="77"/>
  <c r="BN233" i="77"/>
  <c r="BM233" i="77"/>
  <c r="BL233" i="77"/>
  <c r="BK233" i="77"/>
  <c r="BJ233" i="77"/>
  <c r="BI233" i="77"/>
  <c r="BH233" i="77"/>
  <c r="BG233" i="77"/>
  <c r="BF233" i="77"/>
  <c r="BE233" i="77"/>
  <c r="BP232" i="77"/>
  <c r="BO232" i="77"/>
  <c r="BN232" i="77"/>
  <c r="BM232" i="77"/>
  <c r="BL232" i="77"/>
  <c r="BK232" i="77"/>
  <c r="BJ232" i="77"/>
  <c r="BI232" i="77"/>
  <c r="BH232" i="77"/>
  <c r="BG232" i="77"/>
  <c r="BF232" i="77"/>
  <c r="BE232" i="77"/>
  <c r="BP231" i="77"/>
  <c r="BO231" i="77"/>
  <c r="BN231" i="77"/>
  <c r="BM231" i="77"/>
  <c r="BL231" i="77"/>
  <c r="BK231" i="77"/>
  <c r="BJ231" i="77"/>
  <c r="BI231" i="77"/>
  <c r="BH231" i="77"/>
  <c r="BG231" i="77"/>
  <c r="BF231" i="77"/>
  <c r="BE231" i="77"/>
  <c r="BP230" i="77"/>
  <c r="BX16" i="77" s="1"/>
  <c r="BO230" i="77"/>
  <c r="BN230" i="77"/>
  <c r="BM230" i="77"/>
  <c r="BL230" i="77"/>
  <c r="BK230" i="77"/>
  <c r="BJ230" i="77"/>
  <c r="BI230" i="77"/>
  <c r="BH230" i="77"/>
  <c r="BG230" i="77"/>
  <c r="BF230" i="77"/>
  <c r="BE230" i="77"/>
  <c r="BP229" i="77"/>
  <c r="BX47" i="77" s="1"/>
  <c r="BO229" i="77"/>
  <c r="BN229" i="77"/>
  <c r="BM229" i="77"/>
  <c r="BL229" i="77"/>
  <c r="BK229" i="77"/>
  <c r="BJ229" i="77"/>
  <c r="BI229" i="77"/>
  <c r="BH229" i="77"/>
  <c r="BG229" i="77"/>
  <c r="BF229" i="77"/>
  <c r="BE229" i="77"/>
  <c r="BP228" i="77"/>
  <c r="BX46" i="77" s="1"/>
  <c r="BO228" i="77"/>
  <c r="BN228" i="77"/>
  <c r="BM228" i="77"/>
  <c r="BL228" i="77"/>
  <c r="BK228" i="77"/>
  <c r="BJ228" i="77"/>
  <c r="BI228" i="77"/>
  <c r="BH228" i="77"/>
  <c r="BG228" i="77"/>
  <c r="BF228" i="77"/>
  <c r="BE228" i="77"/>
  <c r="BP227" i="77"/>
  <c r="BX45" i="77" s="1"/>
  <c r="BO227" i="77"/>
  <c r="BN227" i="77"/>
  <c r="BM227" i="77"/>
  <c r="BL227" i="77"/>
  <c r="BK227" i="77"/>
  <c r="BJ227" i="77"/>
  <c r="BI227" i="77"/>
  <c r="BH227" i="77"/>
  <c r="BG227" i="77"/>
  <c r="BF227" i="77"/>
  <c r="BE227" i="77"/>
  <c r="BP226" i="77"/>
  <c r="BX44" i="77" s="1"/>
  <c r="BO226" i="77"/>
  <c r="BN226" i="77"/>
  <c r="BM226" i="77"/>
  <c r="BL226" i="77"/>
  <c r="BK226" i="77"/>
  <c r="BJ226" i="77"/>
  <c r="BI226" i="77"/>
  <c r="BH226" i="77"/>
  <c r="BG226" i="77"/>
  <c r="BF226" i="77"/>
  <c r="BE226" i="77"/>
  <c r="BP225" i="77"/>
  <c r="BX43" i="77" s="1"/>
  <c r="BO225" i="77"/>
  <c r="BN225" i="77"/>
  <c r="BM225" i="77"/>
  <c r="BL225" i="77"/>
  <c r="BK225" i="77"/>
  <c r="BJ225" i="77"/>
  <c r="BI225" i="77"/>
  <c r="BH225" i="77"/>
  <c r="BG225" i="77"/>
  <c r="BF225" i="77"/>
  <c r="BE225" i="77"/>
  <c r="BP224" i="77"/>
  <c r="BO224" i="77"/>
  <c r="BN224" i="77"/>
  <c r="BM224" i="77"/>
  <c r="BL224" i="77"/>
  <c r="BK224" i="77"/>
  <c r="BJ224" i="77"/>
  <c r="BI224" i="77"/>
  <c r="BH224" i="77"/>
  <c r="BG224" i="77"/>
  <c r="BF224" i="77"/>
  <c r="BE224" i="77"/>
  <c r="BP223" i="77"/>
  <c r="BO223" i="77"/>
  <c r="BN223" i="77"/>
  <c r="BM223" i="77"/>
  <c r="BL223" i="77"/>
  <c r="BK223" i="77"/>
  <c r="BJ223" i="77"/>
  <c r="BI223" i="77"/>
  <c r="BH223" i="77"/>
  <c r="BG223" i="77"/>
  <c r="BF223" i="77"/>
  <c r="BE223" i="77"/>
  <c r="BP222" i="77"/>
  <c r="BO222" i="77"/>
  <c r="BN222" i="77"/>
  <c r="BM222" i="77"/>
  <c r="BL222" i="77"/>
  <c r="BK222" i="77"/>
  <c r="BJ222" i="77"/>
  <c r="BI222" i="77"/>
  <c r="BH222" i="77"/>
  <c r="BG222" i="77"/>
  <c r="BF222" i="77"/>
  <c r="BE222" i="77"/>
  <c r="BP221" i="77"/>
  <c r="BO221" i="77"/>
  <c r="BN221" i="77"/>
  <c r="BM221" i="77"/>
  <c r="BL221" i="77"/>
  <c r="BK221" i="77"/>
  <c r="BJ221" i="77"/>
  <c r="BI221" i="77"/>
  <c r="BH221" i="77"/>
  <c r="BG221" i="77"/>
  <c r="BF221" i="77"/>
  <c r="BE221" i="77"/>
  <c r="BP217" i="77"/>
  <c r="BO217" i="77"/>
  <c r="BN217" i="77"/>
  <c r="BM217" i="77"/>
  <c r="BL217" i="77"/>
  <c r="BK217" i="77"/>
  <c r="BJ217" i="77"/>
  <c r="BI217" i="77"/>
  <c r="BH217" i="77"/>
  <c r="BG217" i="77"/>
  <c r="BF217" i="77"/>
  <c r="BE217" i="77"/>
  <c r="BP216" i="77"/>
  <c r="BO216" i="77"/>
  <c r="BN216" i="77"/>
  <c r="BM216" i="77"/>
  <c r="BL216" i="77"/>
  <c r="BK216" i="77"/>
  <c r="BJ216" i="77"/>
  <c r="BI216" i="77"/>
  <c r="BH216" i="77"/>
  <c r="BG216" i="77"/>
  <c r="BF216" i="77"/>
  <c r="BE216" i="77"/>
  <c r="BP215" i="77"/>
  <c r="BO215" i="77"/>
  <c r="BN215" i="77"/>
  <c r="BM215" i="77"/>
  <c r="BL215" i="77"/>
  <c r="BK215" i="77"/>
  <c r="BJ215" i="77"/>
  <c r="BI215" i="77"/>
  <c r="BH215" i="77"/>
  <c r="BG215" i="77"/>
  <c r="BF215" i="77"/>
  <c r="BE215" i="77"/>
  <c r="BP211" i="77"/>
  <c r="BO211" i="77"/>
  <c r="BN211" i="77"/>
  <c r="BM211" i="77"/>
  <c r="BL211" i="77"/>
  <c r="BK211" i="77"/>
  <c r="BJ211" i="77"/>
  <c r="BI211" i="77"/>
  <c r="BH211" i="77"/>
  <c r="BG211" i="77"/>
  <c r="BF211" i="77"/>
  <c r="BE211" i="77"/>
  <c r="BP210" i="77"/>
  <c r="BO210" i="77"/>
  <c r="BN210" i="77"/>
  <c r="BM210" i="77"/>
  <c r="BL210" i="77"/>
  <c r="BK210" i="77"/>
  <c r="BJ210" i="77"/>
  <c r="BI210" i="77"/>
  <c r="BH210" i="77"/>
  <c r="BG210" i="77"/>
  <c r="BF210" i="77"/>
  <c r="BE210" i="77"/>
  <c r="BP209" i="77"/>
  <c r="BO209" i="77"/>
  <c r="BN209" i="77"/>
  <c r="BM209" i="77"/>
  <c r="BL209" i="77"/>
  <c r="BK209" i="77"/>
  <c r="BJ209" i="77"/>
  <c r="BI209" i="77"/>
  <c r="BH209" i="77"/>
  <c r="BG209" i="77"/>
  <c r="BF209" i="77"/>
  <c r="BE209" i="77"/>
  <c r="BP208" i="77"/>
  <c r="BO208" i="77"/>
  <c r="BN208" i="77"/>
  <c r="BM208" i="77"/>
  <c r="BL208" i="77"/>
  <c r="BK208" i="77"/>
  <c r="BJ208" i="77"/>
  <c r="BI208" i="77"/>
  <c r="BH208" i="77"/>
  <c r="BG208" i="77"/>
  <c r="BF208" i="77"/>
  <c r="BE208" i="77"/>
  <c r="BP207" i="77"/>
  <c r="BO207" i="77"/>
  <c r="BN207" i="77"/>
  <c r="BM207" i="77"/>
  <c r="BL207" i="77"/>
  <c r="BK207" i="77"/>
  <c r="BJ207" i="77"/>
  <c r="BI207" i="77"/>
  <c r="BH207" i="77"/>
  <c r="BG207" i="77"/>
  <c r="BF207" i="77"/>
  <c r="BE207" i="77"/>
  <c r="BP206" i="77"/>
  <c r="BO206" i="77"/>
  <c r="BN206" i="77"/>
  <c r="BM206" i="77"/>
  <c r="BL206" i="77"/>
  <c r="BK206" i="77"/>
  <c r="BJ206" i="77"/>
  <c r="BI206" i="77"/>
  <c r="BH206" i="77"/>
  <c r="BG206" i="77"/>
  <c r="BF206" i="77"/>
  <c r="BE206" i="77"/>
  <c r="BP205" i="77"/>
  <c r="BO205" i="77"/>
  <c r="BN205" i="77"/>
  <c r="BM205" i="77"/>
  <c r="BL205" i="77"/>
  <c r="BK205" i="77"/>
  <c r="BJ205" i="77"/>
  <c r="BI205" i="77"/>
  <c r="BH205" i="77"/>
  <c r="BG205" i="77"/>
  <c r="BF205" i="77"/>
  <c r="BE205" i="77"/>
  <c r="BP204" i="77"/>
  <c r="BO204" i="77"/>
  <c r="BN204" i="77"/>
  <c r="BM204" i="77"/>
  <c r="BL204" i="77"/>
  <c r="BK204" i="77"/>
  <c r="BJ204" i="77"/>
  <c r="BI204" i="77"/>
  <c r="BH204" i="77"/>
  <c r="BG204" i="77"/>
  <c r="BF204" i="77"/>
  <c r="BE204" i="77"/>
  <c r="BP203" i="77"/>
  <c r="BO203" i="77"/>
  <c r="BN203" i="77"/>
  <c r="BM203" i="77"/>
  <c r="BL203" i="77"/>
  <c r="BK203" i="77"/>
  <c r="BJ203" i="77"/>
  <c r="BI203" i="77"/>
  <c r="BH203" i="77"/>
  <c r="BG203" i="77"/>
  <c r="BF203" i="77"/>
  <c r="BE203" i="77"/>
  <c r="BP202" i="77"/>
  <c r="BX64" i="77" s="1"/>
  <c r="BX65" i="77" s="1"/>
  <c r="BO202" i="77"/>
  <c r="BN202" i="77"/>
  <c r="BM202" i="77"/>
  <c r="BL202" i="77"/>
  <c r="BK202" i="77"/>
  <c r="BJ202" i="77"/>
  <c r="BI202" i="77"/>
  <c r="BH202" i="77"/>
  <c r="BG202" i="77"/>
  <c r="BF202" i="77"/>
  <c r="BE202" i="77"/>
  <c r="BP201" i="77"/>
  <c r="BO201" i="77"/>
  <c r="BN201" i="77"/>
  <c r="BM201" i="77"/>
  <c r="BL201" i="77"/>
  <c r="BK201" i="77"/>
  <c r="BJ201" i="77"/>
  <c r="BI201" i="77"/>
  <c r="BH201" i="77"/>
  <c r="BG201" i="77"/>
  <c r="BF201" i="77"/>
  <c r="BE201" i="77"/>
  <c r="BP200" i="77"/>
  <c r="BX61" i="77" s="1"/>
  <c r="BX62" i="77" s="1"/>
  <c r="BO200" i="77"/>
  <c r="BN200" i="77"/>
  <c r="BM200" i="77"/>
  <c r="BL200" i="77"/>
  <c r="BK200" i="77"/>
  <c r="BJ200" i="77"/>
  <c r="BI200" i="77"/>
  <c r="BH200" i="77"/>
  <c r="BG200" i="77"/>
  <c r="BF200" i="77"/>
  <c r="BE200" i="77"/>
  <c r="BP199" i="77"/>
  <c r="BO199" i="77"/>
  <c r="BN199" i="77"/>
  <c r="BM199" i="77"/>
  <c r="BL199" i="77"/>
  <c r="BK199" i="77"/>
  <c r="BJ199" i="77"/>
  <c r="BI199" i="77"/>
  <c r="BH199" i="77"/>
  <c r="BG199" i="77"/>
  <c r="BF199" i="77"/>
  <c r="BE199" i="77"/>
  <c r="BP198" i="77"/>
  <c r="BO198" i="77"/>
  <c r="BN198" i="77"/>
  <c r="BM198" i="77"/>
  <c r="BL198" i="77"/>
  <c r="BK198" i="77"/>
  <c r="BJ198" i="77"/>
  <c r="BI198" i="77"/>
  <c r="BH198" i="77"/>
  <c r="BG198" i="77"/>
  <c r="BF198" i="77"/>
  <c r="BE198" i="77"/>
  <c r="BP197" i="77"/>
  <c r="BO197" i="77"/>
  <c r="BN197" i="77"/>
  <c r="BM197" i="77"/>
  <c r="BL197" i="77"/>
  <c r="BK197" i="77"/>
  <c r="BJ197" i="77"/>
  <c r="BI197" i="77"/>
  <c r="BH197" i="77"/>
  <c r="BG197" i="77"/>
  <c r="BF197" i="77"/>
  <c r="BE197" i="77"/>
  <c r="BP196" i="77"/>
  <c r="BO196" i="77"/>
  <c r="BN196" i="77"/>
  <c r="BM196" i="77"/>
  <c r="BL196" i="77"/>
  <c r="BK196" i="77"/>
  <c r="BJ196" i="77"/>
  <c r="BI196" i="77"/>
  <c r="BH196" i="77"/>
  <c r="BG196" i="77"/>
  <c r="BF196" i="77"/>
  <c r="BE196" i="77"/>
  <c r="BP192" i="77"/>
  <c r="BO192" i="77"/>
  <c r="BN192" i="77"/>
  <c r="BM192" i="77"/>
  <c r="BL192" i="77"/>
  <c r="BK192" i="77"/>
  <c r="BJ192" i="77"/>
  <c r="BI192" i="77"/>
  <c r="BH192" i="77"/>
  <c r="BG192" i="77"/>
  <c r="BF192" i="77"/>
  <c r="BE192" i="77"/>
  <c r="BP191" i="77"/>
  <c r="BO191" i="77"/>
  <c r="BN191" i="77"/>
  <c r="BM191" i="77"/>
  <c r="BL191" i="77"/>
  <c r="BK191" i="77"/>
  <c r="BJ191" i="77"/>
  <c r="BI191" i="77"/>
  <c r="BH191" i="77"/>
  <c r="BG191" i="77"/>
  <c r="BF191" i="77"/>
  <c r="BE191" i="77"/>
  <c r="BP190" i="77"/>
  <c r="BO190" i="77"/>
  <c r="BN190" i="77"/>
  <c r="BM190" i="77"/>
  <c r="BL190" i="77"/>
  <c r="BK190" i="77"/>
  <c r="BJ190" i="77"/>
  <c r="BI190" i="77"/>
  <c r="BH190" i="77"/>
  <c r="BG190" i="77"/>
  <c r="BF190" i="77"/>
  <c r="BE190" i="77"/>
  <c r="BP189" i="77"/>
  <c r="BO189" i="77"/>
  <c r="BN189" i="77"/>
  <c r="BM189" i="77"/>
  <c r="BL189" i="77"/>
  <c r="BK189" i="77"/>
  <c r="BJ189" i="77"/>
  <c r="BI189" i="77"/>
  <c r="BH189" i="77"/>
  <c r="BG189" i="77"/>
  <c r="BF189" i="77"/>
  <c r="BE189" i="77"/>
  <c r="BP188" i="77"/>
  <c r="BO188" i="77"/>
  <c r="BN188" i="77"/>
  <c r="BM188" i="77"/>
  <c r="BL188" i="77"/>
  <c r="BK188" i="77"/>
  <c r="BJ188" i="77"/>
  <c r="BI188" i="77"/>
  <c r="BH188" i="77"/>
  <c r="BG188" i="77"/>
  <c r="BF188" i="77"/>
  <c r="BE188" i="77"/>
  <c r="BP187" i="77"/>
  <c r="BO187" i="77"/>
  <c r="BN187" i="77"/>
  <c r="BM187" i="77"/>
  <c r="BL187" i="77"/>
  <c r="BK187" i="77"/>
  <c r="BJ187" i="77"/>
  <c r="BI187" i="77"/>
  <c r="BH187" i="77"/>
  <c r="BG187" i="77"/>
  <c r="BF187" i="77"/>
  <c r="BE187" i="77"/>
  <c r="BP186" i="77"/>
  <c r="BO186" i="77"/>
  <c r="BN186" i="77"/>
  <c r="BM186" i="77"/>
  <c r="BL186" i="77"/>
  <c r="BK186" i="77"/>
  <c r="BJ186" i="77"/>
  <c r="BI186" i="77"/>
  <c r="BH186" i="77"/>
  <c r="BG186" i="77"/>
  <c r="BF186" i="77"/>
  <c r="BE186" i="77"/>
  <c r="BP185" i="77"/>
  <c r="BO185" i="77"/>
  <c r="BN185" i="77"/>
  <c r="BM185" i="77"/>
  <c r="BL185" i="77"/>
  <c r="BK185" i="77"/>
  <c r="BJ185" i="77"/>
  <c r="BI185" i="77"/>
  <c r="BH185" i="77"/>
  <c r="BG185" i="77"/>
  <c r="BF185" i="77"/>
  <c r="BE185" i="77"/>
  <c r="BP184" i="77"/>
  <c r="BO184" i="77"/>
  <c r="BN184" i="77"/>
  <c r="BM184" i="77"/>
  <c r="BL184" i="77"/>
  <c r="BK184" i="77"/>
  <c r="BJ184" i="77"/>
  <c r="BI184" i="77"/>
  <c r="BH184" i="77"/>
  <c r="BG184" i="77"/>
  <c r="BF184" i="77"/>
  <c r="BE184" i="77"/>
  <c r="BP183" i="77"/>
  <c r="BO183" i="77"/>
  <c r="BN183" i="77"/>
  <c r="BM183" i="77"/>
  <c r="BL183" i="77"/>
  <c r="BK183" i="77"/>
  <c r="BJ183" i="77"/>
  <c r="BI183" i="77"/>
  <c r="BH183" i="77"/>
  <c r="BG183" i="77"/>
  <c r="BF183" i="77"/>
  <c r="BE183" i="77"/>
  <c r="BP182" i="77"/>
  <c r="BO182" i="77"/>
  <c r="BN182" i="77"/>
  <c r="BM182" i="77"/>
  <c r="BL182" i="77"/>
  <c r="BK182" i="77"/>
  <c r="BJ182" i="77"/>
  <c r="BI182" i="77"/>
  <c r="BH182" i="77"/>
  <c r="BG182" i="77"/>
  <c r="BF182" i="77"/>
  <c r="BE182" i="77"/>
  <c r="BP181" i="77"/>
  <c r="BO181" i="77"/>
  <c r="BN181" i="77"/>
  <c r="BM181" i="77"/>
  <c r="BL181" i="77"/>
  <c r="BK181" i="77"/>
  <c r="BJ181" i="77"/>
  <c r="BI181" i="77"/>
  <c r="BH181" i="77"/>
  <c r="BG181" i="77"/>
  <c r="BF181" i="77"/>
  <c r="BE181" i="77"/>
  <c r="BP180" i="77"/>
  <c r="BO180" i="77"/>
  <c r="BN180" i="77"/>
  <c r="BM180" i="77"/>
  <c r="BL180" i="77"/>
  <c r="BK180" i="77"/>
  <c r="BJ180" i="77"/>
  <c r="BI180" i="77"/>
  <c r="BH180" i="77"/>
  <c r="BG180" i="77"/>
  <c r="BF180" i="77"/>
  <c r="BE180" i="77"/>
  <c r="BP179" i="77"/>
  <c r="BO179" i="77"/>
  <c r="BN179" i="77"/>
  <c r="BM179" i="77"/>
  <c r="BL179" i="77"/>
  <c r="BK179" i="77"/>
  <c r="BJ179" i="77"/>
  <c r="BI179" i="77"/>
  <c r="BH179" i="77"/>
  <c r="BG179" i="77"/>
  <c r="BF179" i="77"/>
  <c r="BE179" i="77"/>
  <c r="BP178" i="77"/>
  <c r="BO178" i="77"/>
  <c r="BN178" i="77"/>
  <c r="BM178" i="77"/>
  <c r="BL178" i="77"/>
  <c r="BK178" i="77"/>
  <c r="BJ178" i="77"/>
  <c r="BI178" i="77"/>
  <c r="BH178" i="77"/>
  <c r="BG178" i="77"/>
  <c r="BF178" i="77"/>
  <c r="BE178" i="77"/>
  <c r="BP177" i="77"/>
  <c r="BO177" i="77"/>
  <c r="BN177" i="77"/>
  <c r="BM177" i="77"/>
  <c r="BL177" i="77"/>
  <c r="BK177" i="77"/>
  <c r="BJ177" i="77"/>
  <c r="BI177" i="77"/>
  <c r="BH177" i="77"/>
  <c r="BG177" i="77"/>
  <c r="BF177" i="77"/>
  <c r="BE177" i="77"/>
  <c r="BP174" i="77"/>
  <c r="BO174" i="77"/>
  <c r="BN174" i="77"/>
  <c r="BM174" i="77"/>
  <c r="BL174" i="77"/>
  <c r="BK174" i="77"/>
  <c r="BJ174" i="77"/>
  <c r="BI174" i="77"/>
  <c r="BH174" i="77"/>
  <c r="BG174" i="77"/>
  <c r="BF174" i="77"/>
  <c r="BE174" i="77"/>
  <c r="BP173" i="77"/>
  <c r="BO173" i="77"/>
  <c r="BN173" i="77"/>
  <c r="BM173" i="77"/>
  <c r="BL173" i="77"/>
  <c r="BK173" i="77"/>
  <c r="BJ173" i="77"/>
  <c r="BI173" i="77"/>
  <c r="BH173" i="77"/>
  <c r="BG173" i="77"/>
  <c r="BF173" i="77"/>
  <c r="BE173" i="77"/>
  <c r="BP172" i="77"/>
  <c r="BO172" i="77"/>
  <c r="BN172" i="77"/>
  <c r="BM172" i="77"/>
  <c r="BL172" i="77"/>
  <c r="BK172" i="77"/>
  <c r="BJ172" i="77"/>
  <c r="BI172" i="77"/>
  <c r="BH172" i="77"/>
  <c r="BG172" i="77"/>
  <c r="BF172" i="77"/>
  <c r="BE172" i="77"/>
  <c r="BP171" i="77"/>
  <c r="BO171" i="77"/>
  <c r="BN171" i="77"/>
  <c r="BM171" i="77"/>
  <c r="BL171" i="77"/>
  <c r="BK171" i="77"/>
  <c r="BJ171" i="77"/>
  <c r="BI171" i="77"/>
  <c r="BH171" i="77"/>
  <c r="BG171" i="77"/>
  <c r="BF171" i="77"/>
  <c r="BE171" i="77"/>
  <c r="BP170" i="77"/>
  <c r="BO170" i="77"/>
  <c r="BN170" i="77"/>
  <c r="BM170" i="77"/>
  <c r="BL170" i="77"/>
  <c r="BK170" i="77"/>
  <c r="BJ170" i="77"/>
  <c r="BI170" i="77"/>
  <c r="BH170" i="77"/>
  <c r="BG170" i="77"/>
  <c r="BF170" i="77"/>
  <c r="BE170" i="77"/>
  <c r="BP169" i="77"/>
  <c r="BO169" i="77"/>
  <c r="BN169" i="77"/>
  <c r="BM169" i="77"/>
  <c r="BL169" i="77"/>
  <c r="BK169" i="77"/>
  <c r="BJ169" i="77"/>
  <c r="BI169" i="77"/>
  <c r="BH169" i="77"/>
  <c r="BG169" i="77"/>
  <c r="BF169" i="77"/>
  <c r="BE169" i="77"/>
  <c r="BP168" i="77"/>
  <c r="BO168" i="77"/>
  <c r="BN168" i="77"/>
  <c r="BM168" i="77"/>
  <c r="BL168" i="77"/>
  <c r="BK168" i="77"/>
  <c r="BJ168" i="77"/>
  <c r="BI168" i="77"/>
  <c r="BH168" i="77"/>
  <c r="BG168" i="77"/>
  <c r="BF168" i="77"/>
  <c r="BE168" i="77"/>
  <c r="BP167" i="77"/>
  <c r="BO167" i="77"/>
  <c r="BN167" i="77"/>
  <c r="BM167" i="77"/>
  <c r="BL167" i="77"/>
  <c r="BK167" i="77"/>
  <c r="BJ167" i="77"/>
  <c r="BI167" i="77"/>
  <c r="BH167" i="77"/>
  <c r="BG167" i="77"/>
  <c r="BF167" i="77"/>
  <c r="BE167" i="77"/>
  <c r="BP166" i="77"/>
  <c r="BO166" i="77"/>
  <c r="BN166" i="77"/>
  <c r="BM166" i="77"/>
  <c r="BL166" i="77"/>
  <c r="BK166" i="77"/>
  <c r="BJ166" i="77"/>
  <c r="BI166" i="77"/>
  <c r="BH166" i="77"/>
  <c r="BG166" i="77"/>
  <c r="BF166" i="77"/>
  <c r="BE166" i="77"/>
  <c r="BP165" i="77"/>
  <c r="BO165" i="77"/>
  <c r="BN165" i="77"/>
  <c r="BM165" i="77"/>
  <c r="BL165" i="77"/>
  <c r="BK165" i="77"/>
  <c r="BJ165" i="77"/>
  <c r="BI165" i="77"/>
  <c r="BH165" i="77"/>
  <c r="BG165" i="77"/>
  <c r="BF165" i="77"/>
  <c r="BE165" i="77"/>
  <c r="BP164" i="77"/>
  <c r="BO164" i="77"/>
  <c r="BN164" i="77"/>
  <c r="BM164" i="77"/>
  <c r="BL164" i="77"/>
  <c r="BK164" i="77"/>
  <c r="BJ164" i="77"/>
  <c r="BI164" i="77"/>
  <c r="BH164" i="77"/>
  <c r="BG164" i="77"/>
  <c r="BF164" i="77"/>
  <c r="BE164" i="77"/>
  <c r="BP163" i="77"/>
  <c r="BO163" i="77"/>
  <c r="BN163" i="77"/>
  <c r="BM163" i="77"/>
  <c r="BL163" i="77"/>
  <c r="BK163" i="77"/>
  <c r="BJ163" i="77"/>
  <c r="BI163" i="77"/>
  <c r="BH163" i="77"/>
  <c r="BG163" i="77"/>
  <c r="BF163" i="77"/>
  <c r="BE163" i="77"/>
  <c r="BP162" i="77"/>
  <c r="BO162" i="77"/>
  <c r="BN162" i="77"/>
  <c r="BM162" i="77"/>
  <c r="BL162" i="77"/>
  <c r="BK162" i="77"/>
  <c r="BJ162" i="77"/>
  <c r="BI162" i="77"/>
  <c r="BH162" i="77"/>
  <c r="BG162" i="77"/>
  <c r="BF162" i="77"/>
  <c r="BE162" i="77"/>
  <c r="BP161" i="77"/>
  <c r="BO161" i="77"/>
  <c r="BN161" i="77"/>
  <c r="BM161" i="77"/>
  <c r="BL161" i="77"/>
  <c r="BK161" i="77"/>
  <c r="BJ161" i="77"/>
  <c r="BI161" i="77"/>
  <c r="BH161" i="77"/>
  <c r="BG161" i="77"/>
  <c r="BF161" i="77"/>
  <c r="BE161" i="77"/>
  <c r="BP160" i="77"/>
  <c r="BO160" i="77"/>
  <c r="BN160" i="77"/>
  <c r="BM160" i="77"/>
  <c r="BL160" i="77"/>
  <c r="BK160" i="77"/>
  <c r="BJ160" i="77"/>
  <c r="BI160" i="77"/>
  <c r="BH160" i="77"/>
  <c r="BG160" i="77"/>
  <c r="BF160" i="77"/>
  <c r="BE160" i="77"/>
  <c r="BP159" i="77"/>
  <c r="BO159" i="77"/>
  <c r="BN159" i="77"/>
  <c r="BM159" i="77"/>
  <c r="BL159" i="77"/>
  <c r="BK159" i="77"/>
  <c r="BJ159" i="77"/>
  <c r="BI159" i="77"/>
  <c r="BH159" i="77"/>
  <c r="BG159" i="77"/>
  <c r="BF159" i="77"/>
  <c r="BE159" i="77"/>
  <c r="BP155" i="77"/>
  <c r="BO155" i="77"/>
  <c r="BN155" i="77"/>
  <c r="BM155" i="77"/>
  <c r="BL155" i="77"/>
  <c r="BK155" i="77"/>
  <c r="BJ155" i="77"/>
  <c r="BI155" i="77"/>
  <c r="BH155" i="77"/>
  <c r="BG155" i="77"/>
  <c r="BF155" i="77"/>
  <c r="BE155" i="77"/>
  <c r="BP154" i="77"/>
  <c r="BO154" i="77"/>
  <c r="BN154" i="77"/>
  <c r="BM154" i="77"/>
  <c r="BL154" i="77"/>
  <c r="BK154" i="77"/>
  <c r="BJ154" i="77"/>
  <c r="BI154" i="77"/>
  <c r="BH154" i="77"/>
  <c r="BG154" i="77"/>
  <c r="BF154" i="77"/>
  <c r="BE154" i="77"/>
  <c r="BP153" i="77"/>
  <c r="BO153" i="77"/>
  <c r="BN153" i="77"/>
  <c r="BM153" i="77"/>
  <c r="BL153" i="77"/>
  <c r="BK153" i="77"/>
  <c r="BJ153" i="77"/>
  <c r="BI153" i="77"/>
  <c r="BH153" i="77"/>
  <c r="BG153" i="77"/>
  <c r="BF153" i="77"/>
  <c r="BE153" i="77"/>
  <c r="BP152" i="77"/>
  <c r="BO152" i="77"/>
  <c r="BN152" i="77"/>
  <c r="BM152" i="77"/>
  <c r="BL152" i="77"/>
  <c r="BK152" i="77"/>
  <c r="BJ152" i="77"/>
  <c r="BI152" i="77"/>
  <c r="BH152" i="77"/>
  <c r="BG152" i="77"/>
  <c r="BF152" i="77"/>
  <c r="BE152" i="77"/>
  <c r="BP151" i="77"/>
  <c r="BO151" i="77"/>
  <c r="BN151" i="77"/>
  <c r="BM151" i="77"/>
  <c r="BL151" i="77"/>
  <c r="BK151" i="77"/>
  <c r="BJ151" i="77"/>
  <c r="BI151" i="77"/>
  <c r="BH151" i="77"/>
  <c r="BG151" i="77"/>
  <c r="BF151" i="77"/>
  <c r="BE151" i="77"/>
  <c r="BB142" i="77"/>
  <c r="BA142" i="77"/>
  <c r="AY142" i="77"/>
  <c r="AX142" i="77"/>
  <c r="AW142" i="77"/>
  <c r="AV142" i="77"/>
  <c r="AU142" i="77"/>
  <c r="AT142" i="77"/>
  <c r="AS142" i="77"/>
  <c r="AR142" i="77"/>
  <c r="AQ142" i="77"/>
  <c r="AP142" i="77"/>
  <c r="AO142" i="77"/>
  <c r="AN142" i="77"/>
  <c r="AM142" i="77"/>
  <c r="AL142" i="77"/>
  <c r="AK142" i="77"/>
  <c r="AJ142" i="77"/>
  <c r="AI142" i="77"/>
  <c r="AH142" i="77"/>
  <c r="AG142" i="77"/>
  <c r="AF142" i="77"/>
  <c r="AE142" i="77"/>
  <c r="AD142" i="77"/>
  <c r="AC142" i="77"/>
  <c r="AB142" i="77"/>
  <c r="AA142" i="77"/>
  <c r="Z142" i="77"/>
  <c r="Y142" i="77"/>
  <c r="X142" i="77"/>
  <c r="W142" i="77"/>
  <c r="V142" i="77"/>
  <c r="U142" i="77"/>
  <c r="T142" i="77"/>
  <c r="S142" i="77"/>
  <c r="R142" i="77"/>
  <c r="Q142" i="77"/>
  <c r="P142" i="77"/>
  <c r="O142" i="77"/>
  <c r="N142" i="77"/>
  <c r="M142" i="77"/>
  <c r="L142" i="77"/>
  <c r="K142" i="77"/>
  <c r="J142" i="77"/>
  <c r="I142" i="77"/>
  <c r="H142" i="77"/>
  <c r="G142" i="77"/>
  <c r="BB141" i="77"/>
  <c r="BA141" i="77"/>
  <c r="AY141" i="77"/>
  <c r="AX141" i="77"/>
  <c r="AW141" i="77"/>
  <c r="AV141" i="77"/>
  <c r="AU141" i="77"/>
  <c r="AT141" i="77"/>
  <c r="AS141" i="77"/>
  <c r="AR141" i="77"/>
  <c r="AQ141" i="77"/>
  <c r="AP141" i="77"/>
  <c r="AO141" i="77"/>
  <c r="AN141" i="77"/>
  <c r="AM141" i="77"/>
  <c r="AL141" i="77"/>
  <c r="AK141" i="77"/>
  <c r="AJ141" i="77"/>
  <c r="AI141" i="77"/>
  <c r="AH141" i="77"/>
  <c r="AG141" i="77"/>
  <c r="AF141" i="77"/>
  <c r="AE141" i="77"/>
  <c r="AD141" i="77"/>
  <c r="AC141" i="77"/>
  <c r="AB141" i="77"/>
  <c r="AA141" i="77"/>
  <c r="Z141" i="77"/>
  <c r="Y141" i="77"/>
  <c r="X141" i="77"/>
  <c r="W141" i="77"/>
  <c r="V141" i="77"/>
  <c r="U141" i="77"/>
  <c r="T141" i="77"/>
  <c r="S141" i="77"/>
  <c r="R141" i="77"/>
  <c r="Q141" i="77"/>
  <c r="P141" i="77"/>
  <c r="O141" i="77"/>
  <c r="N141" i="77"/>
  <c r="M141" i="77"/>
  <c r="L141" i="77"/>
  <c r="K141" i="77"/>
  <c r="J141" i="77"/>
  <c r="I141" i="77"/>
  <c r="H141" i="77"/>
  <c r="G141" i="77"/>
  <c r="BB140" i="77"/>
  <c r="BA140" i="77"/>
  <c r="AY140" i="77"/>
  <c r="AX140" i="77"/>
  <c r="AW140" i="77"/>
  <c r="AV140" i="77"/>
  <c r="AU140" i="77"/>
  <c r="AT140" i="77"/>
  <c r="AS140" i="77"/>
  <c r="AR140" i="77"/>
  <c r="AQ140" i="77"/>
  <c r="AP140" i="77"/>
  <c r="AO140" i="77"/>
  <c r="AN140" i="77"/>
  <c r="AM140" i="77"/>
  <c r="AL140" i="77"/>
  <c r="AK140" i="77"/>
  <c r="AJ140" i="77"/>
  <c r="AI140" i="77"/>
  <c r="AH140" i="77"/>
  <c r="AG140" i="77"/>
  <c r="AF140" i="77"/>
  <c r="AE140" i="77"/>
  <c r="AD140" i="77"/>
  <c r="AC140" i="77"/>
  <c r="AB140" i="77"/>
  <c r="AA140" i="77"/>
  <c r="Z140" i="77"/>
  <c r="Y140" i="77"/>
  <c r="X140" i="77"/>
  <c r="W140" i="77"/>
  <c r="V140" i="77"/>
  <c r="U140" i="77"/>
  <c r="T140" i="77"/>
  <c r="S140" i="77"/>
  <c r="R140" i="77"/>
  <c r="Q140" i="77"/>
  <c r="P140" i="77"/>
  <c r="O140" i="77"/>
  <c r="N140" i="77"/>
  <c r="M140" i="77"/>
  <c r="L140" i="77"/>
  <c r="K140" i="77"/>
  <c r="J140" i="77"/>
  <c r="I140" i="77"/>
  <c r="H140" i="77"/>
  <c r="G140" i="77"/>
  <c r="BB139" i="77"/>
  <c r="BA139" i="77"/>
  <c r="AY139" i="77"/>
  <c r="AX139" i="77"/>
  <c r="AW139" i="77"/>
  <c r="AV139" i="77"/>
  <c r="AU139" i="77"/>
  <c r="AT139" i="77"/>
  <c r="AS139" i="77"/>
  <c r="AR139" i="77"/>
  <c r="AQ139" i="77"/>
  <c r="AP139" i="77"/>
  <c r="AO139" i="77"/>
  <c r="AN139" i="77"/>
  <c r="AM139" i="77"/>
  <c r="AL139" i="77"/>
  <c r="AK139" i="77"/>
  <c r="AJ139" i="77"/>
  <c r="AI139" i="77"/>
  <c r="AH139" i="77"/>
  <c r="AG139" i="77"/>
  <c r="AF139" i="77"/>
  <c r="AE139" i="77"/>
  <c r="AD139" i="77"/>
  <c r="AC139" i="77"/>
  <c r="AB139" i="77"/>
  <c r="AA139" i="77"/>
  <c r="Z139" i="77"/>
  <c r="Y139" i="77"/>
  <c r="X139" i="77"/>
  <c r="W139" i="77"/>
  <c r="V139" i="77"/>
  <c r="U139" i="77"/>
  <c r="T139" i="77"/>
  <c r="S139" i="77"/>
  <c r="R139" i="77"/>
  <c r="Q139" i="77"/>
  <c r="P139" i="77"/>
  <c r="O139" i="77"/>
  <c r="N139" i="77"/>
  <c r="M139" i="77"/>
  <c r="L139" i="77"/>
  <c r="K139" i="77"/>
  <c r="J139" i="77"/>
  <c r="I139" i="77"/>
  <c r="H139" i="77"/>
  <c r="G139" i="77"/>
  <c r="E142" i="77"/>
  <c r="D142" i="77"/>
  <c r="C142" i="77"/>
  <c r="E141" i="77"/>
  <c r="D141" i="77"/>
  <c r="C141" i="77"/>
  <c r="E140" i="77"/>
  <c r="D140" i="77"/>
  <c r="C140" i="77"/>
  <c r="E139" i="77"/>
  <c r="D139" i="77"/>
  <c r="C139" i="77"/>
  <c r="E7" i="77"/>
  <c r="D7" i="77"/>
  <c r="C7" i="77"/>
  <c r="R7" i="77"/>
  <c r="Q7" i="77"/>
  <c r="P7" i="77"/>
  <c r="O7" i="77"/>
  <c r="N7" i="77"/>
  <c r="M7" i="77"/>
  <c r="L7" i="77"/>
  <c r="K7" i="77"/>
  <c r="J7" i="77"/>
  <c r="I7" i="77"/>
  <c r="H7" i="77"/>
  <c r="G7" i="77"/>
  <c r="R6" i="77"/>
  <c r="Q6" i="77"/>
  <c r="P6" i="77"/>
  <c r="O6" i="77"/>
  <c r="N6" i="77"/>
  <c r="M6" i="77"/>
  <c r="L6" i="77"/>
  <c r="K6" i="77"/>
  <c r="J6" i="77"/>
  <c r="I6" i="77"/>
  <c r="H6" i="77"/>
  <c r="G6" i="77"/>
  <c r="F6" i="77"/>
  <c r="E6" i="77"/>
  <c r="D6" i="77"/>
  <c r="C6" i="77"/>
  <c r="D4" i="77"/>
  <c r="BF110" i="59"/>
  <c r="E108" i="59"/>
  <c r="BE108" i="59"/>
  <c r="BC108" i="59"/>
  <c r="E107" i="59"/>
  <c r="AZ107" i="59"/>
  <c r="E106" i="59"/>
  <c r="E105" i="59"/>
  <c r="AP105" i="59" s="1"/>
  <c r="CT108" i="59"/>
  <c r="CS108" i="59"/>
  <c r="CR108" i="59"/>
  <c r="CQ108" i="59"/>
  <c r="CO108" i="59"/>
  <c r="CN108" i="59"/>
  <c r="CM108" i="59"/>
  <c r="CL108" i="59"/>
  <c r="CJ108" i="59"/>
  <c r="CI108" i="59"/>
  <c r="CH108" i="59"/>
  <c r="CG108" i="59"/>
  <c r="CE108" i="59"/>
  <c r="CD108" i="59"/>
  <c r="CC108" i="59"/>
  <c r="CB108" i="59"/>
  <c r="BZ108" i="59"/>
  <c r="BY108" i="59"/>
  <c r="BX108" i="59"/>
  <c r="BW108" i="59"/>
  <c r="BU108" i="59"/>
  <c r="BT108" i="59"/>
  <c r="BS108" i="59"/>
  <c r="BR108" i="59"/>
  <c r="BP108" i="59"/>
  <c r="BO108" i="59"/>
  <c r="BN108" i="59"/>
  <c r="BM108" i="59"/>
  <c r="BK108" i="59"/>
  <c r="BJ108" i="59"/>
  <c r="BI108" i="59"/>
  <c r="BH108" i="59"/>
  <c r="BG108" i="59"/>
  <c r="BL108" i="59" s="1"/>
  <c r="BQ108" i="59" s="1"/>
  <c r="BV108" i="59" s="1"/>
  <c r="CA108" i="59" s="1"/>
  <c r="CF108" i="59" s="1"/>
  <c r="CK108" i="59" s="1"/>
  <c r="CP108" i="59" s="1"/>
  <c r="CU108" i="59" s="1"/>
  <c r="CO107" i="59"/>
  <c r="CN107" i="59"/>
  <c r="CM107" i="59"/>
  <c r="CL107" i="59"/>
  <c r="CJ107" i="59"/>
  <c r="CI107" i="59"/>
  <c r="CH107" i="59"/>
  <c r="CG107" i="59"/>
  <c r="CE107" i="59"/>
  <c r="CD107" i="59"/>
  <c r="CC107" i="59"/>
  <c r="CB107" i="59"/>
  <c r="BZ107" i="59"/>
  <c r="BY107" i="59"/>
  <c r="BX107" i="59"/>
  <c r="BW107" i="59"/>
  <c r="BU107" i="59"/>
  <c r="BT107" i="59"/>
  <c r="BS107" i="59"/>
  <c r="BR107" i="59"/>
  <c r="BP107" i="59"/>
  <c r="BO107" i="59"/>
  <c r="BN107" i="59"/>
  <c r="BM107" i="59"/>
  <c r="BK107" i="59"/>
  <c r="BJ107" i="59"/>
  <c r="BI107" i="59"/>
  <c r="BH107" i="59"/>
  <c r="BG107" i="59"/>
  <c r="BL107" i="59"/>
  <c r="BQ107" i="59" s="1"/>
  <c r="BV107" i="59" s="1"/>
  <c r="CA107" i="59" s="1"/>
  <c r="CF107" i="59" s="1"/>
  <c r="CK107" i="59" s="1"/>
  <c r="CP107" i="59" s="1"/>
  <c r="CY106" i="59"/>
  <c r="CX106" i="59"/>
  <c r="CW106" i="59"/>
  <c r="CV106" i="59"/>
  <c r="CJ106" i="59"/>
  <c r="CI106" i="59"/>
  <c r="CH106" i="59"/>
  <c r="CG106" i="59"/>
  <c r="CE106" i="59"/>
  <c r="CD106" i="59"/>
  <c r="CC106" i="59"/>
  <c r="CB106" i="59"/>
  <c r="BZ106" i="59"/>
  <c r="BY106" i="59"/>
  <c r="BX106" i="59"/>
  <c r="BW106" i="59"/>
  <c r="BU106" i="59"/>
  <c r="BT106" i="59"/>
  <c r="BS106" i="59"/>
  <c r="BR106" i="59"/>
  <c r="BP106" i="59"/>
  <c r="BO106" i="59"/>
  <c r="BN106" i="59"/>
  <c r="BN110" i="59"/>
  <c r="BM106" i="59"/>
  <c r="BK106" i="59"/>
  <c r="BJ106" i="59"/>
  <c r="BI106" i="59"/>
  <c r="BH106" i="59"/>
  <c r="BG106" i="59"/>
  <c r="BL106" i="59" s="1"/>
  <c r="BQ106" i="59" s="1"/>
  <c r="BV106" i="59" s="1"/>
  <c r="CA106" i="59" s="1"/>
  <c r="CF106" i="59" s="1"/>
  <c r="CK106" i="59" s="1"/>
  <c r="CY105" i="59"/>
  <c r="CX105" i="59"/>
  <c r="CW105" i="59"/>
  <c r="CV105" i="59"/>
  <c r="CT105" i="59"/>
  <c r="CS105" i="59"/>
  <c r="CR105" i="59"/>
  <c r="CQ105" i="59"/>
  <c r="CE105" i="59"/>
  <c r="CD105" i="59"/>
  <c r="CC105" i="59"/>
  <c r="CB105" i="59"/>
  <c r="CB110" i="59" s="1"/>
  <c r="BZ105" i="59"/>
  <c r="BY105" i="59"/>
  <c r="BX105" i="59"/>
  <c r="BX110" i="59" s="1"/>
  <c r="BW105" i="59"/>
  <c r="BW110" i="59" s="1"/>
  <c r="BU105" i="59"/>
  <c r="BT105" i="59"/>
  <c r="BS105" i="59"/>
  <c r="BS110" i="59" s="1"/>
  <c r="BR105" i="59"/>
  <c r="BR110" i="59" s="1"/>
  <c r="BP105" i="59"/>
  <c r="BO105" i="59"/>
  <c r="BN105" i="59"/>
  <c r="BM105" i="59"/>
  <c r="BM110" i="59" s="1"/>
  <c r="BK105" i="59"/>
  <c r="BJ105" i="59"/>
  <c r="BI105" i="59"/>
  <c r="BH105" i="59"/>
  <c r="BH110" i="59" s="1"/>
  <c r="BG105" i="59"/>
  <c r="BL105" i="59"/>
  <c r="BQ105" i="59" s="1"/>
  <c r="BV105" i="59" s="1"/>
  <c r="CA105" i="59" s="1"/>
  <c r="CF105" i="59" s="1"/>
  <c r="CK105" i="59" s="1"/>
  <c r="CP105" i="59" s="1"/>
  <c r="CU105" i="59" s="1"/>
  <c r="CZ105" i="59" s="1"/>
  <c r="AU108" i="59"/>
  <c r="AQ108" i="59"/>
  <c r="AP108" i="59"/>
  <c r="AN108" i="59"/>
  <c r="AK108" i="59"/>
  <c r="AH108" i="59"/>
  <c r="AF108" i="59"/>
  <c r="AD108" i="59"/>
  <c r="AA108" i="59"/>
  <c r="W108" i="59"/>
  <c r="V108" i="59"/>
  <c r="U108" i="59"/>
  <c r="Q108" i="59"/>
  <c r="M108" i="59"/>
  <c r="L108" i="59"/>
  <c r="BE107" i="59"/>
  <c r="BA107" i="59" s="1"/>
  <c r="AU107" i="59"/>
  <c r="AQ107" i="59" s="1"/>
  <c r="AP107" i="59"/>
  <c r="AO107" i="59" s="1"/>
  <c r="AK107" i="59"/>
  <c r="AJ107" i="59" s="1"/>
  <c r="AF107" i="59"/>
  <c r="AD107" i="59" s="1"/>
  <c r="AA107" i="59"/>
  <c r="X107" i="59" s="1"/>
  <c r="V107" i="59"/>
  <c r="R107" i="59" s="1"/>
  <c r="Q107" i="59"/>
  <c r="N107" i="59"/>
  <c r="L107" i="59"/>
  <c r="BE106" i="59"/>
  <c r="BA106" i="59" s="1"/>
  <c r="AP106" i="59"/>
  <c r="AK106" i="59"/>
  <c r="AJ106" i="59" s="1"/>
  <c r="AF106" i="59"/>
  <c r="AB106" i="59" s="1"/>
  <c r="AA106" i="59"/>
  <c r="Y106" i="59" s="1"/>
  <c r="V106" i="59"/>
  <c r="T106" i="59" s="1"/>
  <c r="Q106" i="59"/>
  <c r="L106" i="59"/>
  <c r="BE105" i="59"/>
  <c r="BC105" i="59"/>
  <c r="AU105" i="59"/>
  <c r="AS105" i="59"/>
  <c r="AK105" i="59"/>
  <c r="AI105" i="59"/>
  <c r="AF105" i="59"/>
  <c r="AA105" i="59"/>
  <c r="V105" i="59"/>
  <c r="Q105" i="59"/>
  <c r="Q110" i="59" s="1"/>
  <c r="L105" i="59"/>
  <c r="L110" i="59" s="1"/>
  <c r="F102" i="59"/>
  <c r="E100" i="59"/>
  <c r="AU100" i="59" s="1"/>
  <c r="E99" i="59"/>
  <c r="E98" i="59"/>
  <c r="E97" i="59"/>
  <c r="BE97" i="59" s="1"/>
  <c r="E96" i="59"/>
  <c r="BE96" i="59" s="1"/>
  <c r="BD96" i="59" s="1"/>
  <c r="E95" i="59"/>
  <c r="AZ95" i="59"/>
  <c r="E94" i="59"/>
  <c r="AP94" i="59"/>
  <c r="CY100" i="59"/>
  <c r="CX100" i="59"/>
  <c r="CW100" i="59"/>
  <c r="CV100" i="59"/>
  <c r="CJ100" i="59"/>
  <c r="CI100" i="59"/>
  <c r="CH100" i="59"/>
  <c r="CG100" i="59"/>
  <c r="CE100" i="59"/>
  <c r="CD100" i="59"/>
  <c r="CC100" i="59"/>
  <c r="CB100" i="59"/>
  <c r="BZ100" i="59"/>
  <c r="BY100" i="59"/>
  <c r="BX100" i="59"/>
  <c r="BW100" i="59"/>
  <c r="BU100" i="59"/>
  <c r="BT100" i="59"/>
  <c r="BS100" i="59"/>
  <c r="BR100" i="59"/>
  <c r="BP100" i="59"/>
  <c r="BO100" i="59"/>
  <c r="BN100" i="59"/>
  <c r="BM100" i="59"/>
  <c r="BK100" i="59"/>
  <c r="BJ100" i="59"/>
  <c r="BI100" i="59"/>
  <c r="BH100" i="59"/>
  <c r="BG100" i="59"/>
  <c r="BL100" i="59"/>
  <c r="BQ100" i="59" s="1"/>
  <c r="BV100" i="59" s="1"/>
  <c r="CA100" i="59" s="1"/>
  <c r="CF100" i="59" s="1"/>
  <c r="CK100" i="59" s="1"/>
  <c r="CY99" i="59"/>
  <c r="CX99" i="59"/>
  <c r="CW99" i="59"/>
  <c r="CV99" i="59"/>
  <c r="CT99" i="59"/>
  <c r="CS99" i="59"/>
  <c r="CR99" i="59"/>
  <c r="CQ99" i="59"/>
  <c r="CO99" i="59"/>
  <c r="CN99" i="59"/>
  <c r="CM99" i="59"/>
  <c r="CL99" i="59"/>
  <c r="CJ99" i="59"/>
  <c r="CI99" i="59"/>
  <c r="CH99" i="59"/>
  <c r="CG99" i="59"/>
  <c r="CE99" i="59"/>
  <c r="CD99" i="59"/>
  <c r="CC99" i="59"/>
  <c r="CB99" i="59"/>
  <c r="BZ99" i="59"/>
  <c r="BY99" i="59"/>
  <c r="BX99" i="59"/>
  <c r="BW99" i="59"/>
  <c r="BU99" i="59"/>
  <c r="BT99" i="59"/>
  <c r="BS99" i="59"/>
  <c r="BR99" i="59"/>
  <c r="BP99" i="59"/>
  <c r="BO99" i="59"/>
  <c r="BN99" i="59"/>
  <c r="BM99" i="59"/>
  <c r="BK99" i="59"/>
  <c r="BJ99" i="59"/>
  <c r="BI99" i="59"/>
  <c r="BH99" i="59"/>
  <c r="BG99" i="59"/>
  <c r="BL99" i="59" s="1"/>
  <c r="BQ99" i="59" s="1"/>
  <c r="BV99" i="59" s="1"/>
  <c r="CA99" i="59" s="1"/>
  <c r="CF99" i="59" s="1"/>
  <c r="CK99" i="59" s="1"/>
  <c r="CP99" i="59" s="1"/>
  <c r="CU99" i="59" s="1"/>
  <c r="CZ99" i="59" s="1"/>
  <c r="CY98" i="59"/>
  <c r="CX98" i="59"/>
  <c r="CW98" i="59"/>
  <c r="CV98" i="59"/>
  <c r="CT98" i="59"/>
  <c r="CS98" i="59"/>
  <c r="CR98" i="59"/>
  <c r="CQ98" i="59"/>
  <c r="CO98" i="59"/>
  <c r="CN98" i="59"/>
  <c r="CM98" i="59"/>
  <c r="CL98" i="59"/>
  <c r="CJ98" i="59"/>
  <c r="CI98" i="59"/>
  <c r="CH98" i="59"/>
  <c r="CG98" i="59"/>
  <c r="CE98" i="59"/>
  <c r="CD98" i="59"/>
  <c r="CC98" i="59"/>
  <c r="CB98" i="59"/>
  <c r="BZ98" i="59"/>
  <c r="BY98" i="59"/>
  <c r="BX98" i="59"/>
  <c r="BW98" i="59"/>
  <c r="BU98" i="59"/>
  <c r="BT98" i="59"/>
  <c r="BS98" i="59"/>
  <c r="BR98" i="59"/>
  <c r="BP98" i="59"/>
  <c r="BO98" i="59"/>
  <c r="BN98" i="59"/>
  <c r="BM98" i="59"/>
  <c r="BK98" i="59"/>
  <c r="BJ98" i="59"/>
  <c r="BI98" i="59"/>
  <c r="BH98" i="59"/>
  <c r="BG98" i="59"/>
  <c r="BL98" i="59" s="1"/>
  <c r="BQ98" i="59" s="1"/>
  <c r="BV98" i="59" s="1"/>
  <c r="CA98" i="59" s="1"/>
  <c r="CF98" i="59" s="1"/>
  <c r="CK98" i="59" s="1"/>
  <c r="CP98" i="59" s="1"/>
  <c r="CU98" i="59" s="1"/>
  <c r="CZ98" i="59" s="1"/>
  <c r="CT97" i="59"/>
  <c r="CS97" i="59"/>
  <c r="CR97" i="59"/>
  <c r="CQ97" i="59"/>
  <c r="CO97" i="59"/>
  <c r="CN97" i="59"/>
  <c r="CM97" i="59"/>
  <c r="CL97" i="59"/>
  <c r="CJ97" i="59"/>
  <c r="CI97" i="59"/>
  <c r="CH97" i="59"/>
  <c r="CG97" i="59"/>
  <c r="CE97" i="59"/>
  <c r="CD97" i="59"/>
  <c r="CC97" i="59"/>
  <c r="CB97" i="59"/>
  <c r="BZ97" i="59"/>
  <c r="BY97" i="59"/>
  <c r="BX97" i="59"/>
  <c r="BW97" i="59"/>
  <c r="BU97" i="59"/>
  <c r="BT97" i="59"/>
  <c r="BS97" i="59"/>
  <c r="BR97" i="59"/>
  <c r="BP97" i="59"/>
  <c r="BO97" i="59"/>
  <c r="BN97" i="59"/>
  <c r="BM97" i="59"/>
  <c r="BK97" i="59"/>
  <c r="BJ97" i="59"/>
  <c r="BI97" i="59"/>
  <c r="BH97" i="59"/>
  <c r="BG97" i="59"/>
  <c r="BL97" i="59" s="1"/>
  <c r="CT96" i="59"/>
  <c r="CS96" i="59"/>
  <c r="CR96" i="59"/>
  <c r="CQ96" i="59"/>
  <c r="CO96" i="59"/>
  <c r="CN96" i="59"/>
  <c r="CM96" i="59"/>
  <c r="CL96" i="59"/>
  <c r="CJ96" i="59"/>
  <c r="CI96" i="59"/>
  <c r="CH96" i="59"/>
  <c r="CG96" i="59"/>
  <c r="CE96" i="59"/>
  <c r="CD96" i="59"/>
  <c r="CC96" i="59"/>
  <c r="CB96" i="59"/>
  <c r="BZ96" i="59"/>
  <c r="BY96" i="59"/>
  <c r="BX96" i="59"/>
  <c r="BW96" i="59"/>
  <c r="BU96" i="59"/>
  <c r="BT96" i="59"/>
  <c r="BS96" i="59"/>
  <c r="BR96" i="59"/>
  <c r="BP96" i="59"/>
  <c r="BO96" i="59"/>
  <c r="BN96" i="59"/>
  <c r="BM96" i="59"/>
  <c r="BK96" i="59"/>
  <c r="BJ96" i="59"/>
  <c r="BI96" i="59"/>
  <c r="BH96" i="59"/>
  <c r="BG96" i="59"/>
  <c r="BL96" i="59" s="1"/>
  <c r="BQ96" i="59" s="1"/>
  <c r="BV96" i="59" s="1"/>
  <c r="CA96" i="59" s="1"/>
  <c r="CF96" i="59" s="1"/>
  <c r="CK96" i="59" s="1"/>
  <c r="CP96" i="59" s="1"/>
  <c r="CU96" i="59" s="1"/>
  <c r="CZ96" i="59" s="1"/>
  <c r="CO95" i="59"/>
  <c r="CN95" i="59"/>
  <c r="CM95" i="59"/>
  <c r="CL95" i="59"/>
  <c r="CJ95" i="59"/>
  <c r="CI95" i="59"/>
  <c r="CH95" i="59"/>
  <c r="CG95" i="59"/>
  <c r="CE95" i="59"/>
  <c r="CD95" i="59"/>
  <c r="CC95" i="59"/>
  <c r="CB95" i="59"/>
  <c r="BZ95" i="59"/>
  <c r="BY95" i="59"/>
  <c r="BX95" i="59"/>
  <c r="BW95" i="59"/>
  <c r="BU95" i="59"/>
  <c r="BT95" i="59"/>
  <c r="BS95" i="59"/>
  <c r="BR95" i="59"/>
  <c r="BP95" i="59"/>
  <c r="BO95" i="59"/>
  <c r="BN95" i="59"/>
  <c r="BM95" i="59"/>
  <c r="BK95" i="59"/>
  <c r="BJ95" i="59"/>
  <c r="BI95" i="59"/>
  <c r="BH95" i="59"/>
  <c r="BG95" i="59"/>
  <c r="CY94" i="59"/>
  <c r="CX94" i="59"/>
  <c r="CW94" i="59"/>
  <c r="CV94" i="59"/>
  <c r="CT94" i="59"/>
  <c r="CS94" i="59"/>
  <c r="CR94" i="59"/>
  <c r="CQ94" i="59"/>
  <c r="CE94" i="59"/>
  <c r="CD94" i="59"/>
  <c r="CC94" i="59"/>
  <c r="CB94" i="59"/>
  <c r="BZ94" i="59"/>
  <c r="BY94" i="59"/>
  <c r="BX94" i="59"/>
  <c r="BW94" i="59"/>
  <c r="BU94" i="59"/>
  <c r="BT94" i="59"/>
  <c r="BS94" i="59"/>
  <c r="BR94" i="59"/>
  <c r="BP94" i="59"/>
  <c r="BO94" i="59"/>
  <c r="BN94" i="59"/>
  <c r="BM94" i="59"/>
  <c r="BK94" i="59"/>
  <c r="BJ94" i="59"/>
  <c r="BI94" i="59"/>
  <c r="BH94" i="59"/>
  <c r="BG94" i="59"/>
  <c r="BL94" i="59"/>
  <c r="BQ94" i="59" s="1"/>
  <c r="BV94" i="59" s="1"/>
  <c r="CA94" i="59" s="1"/>
  <c r="CF94" i="59" s="1"/>
  <c r="BE100" i="59"/>
  <c r="BB100" i="59"/>
  <c r="AP100" i="59"/>
  <c r="AO100" i="59"/>
  <c r="AK100" i="59"/>
  <c r="AF100" i="59"/>
  <c r="AE100" i="59" s="1"/>
  <c r="AA100" i="59"/>
  <c r="Z100" i="59" s="1"/>
  <c r="V100" i="59"/>
  <c r="R100" i="59" s="1"/>
  <c r="Q100" i="59"/>
  <c r="P100" i="59" s="1"/>
  <c r="L100" i="59"/>
  <c r="BE99" i="59"/>
  <c r="BD99" i="59"/>
  <c r="AU99" i="59"/>
  <c r="AP99" i="59"/>
  <c r="AK99" i="59"/>
  <c r="AF99" i="59"/>
  <c r="AC99" i="59" s="1"/>
  <c r="AA99" i="59"/>
  <c r="V99" i="59"/>
  <c r="U99" i="59"/>
  <c r="Q99" i="59"/>
  <c r="P99" i="59"/>
  <c r="L99" i="59"/>
  <c r="BE98" i="59"/>
  <c r="BD98" i="59" s="1"/>
  <c r="AU98" i="59"/>
  <c r="AP98" i="59"/>
  <c r="AM98" i="59"/>
  <c r="AK98" i="59"/>
  <c r="AF98" i="59"/>
  <c r="AE98" i="59" s="1"/>
  <c r="AA98" i="59"/>
  <c r="Z98" i="59" s="1"/>
  <c r="V98" i="59"/>
  <c r="U98" i="59" s="1"/>
  <c r="Q98" i="59"/>
  <c r="L98" i="59"/>
  <c r="AU97" i="59"/>
  <c r="AP97" i="59"/>
  <c r="AO97" i="59"/>
  <c r="AK97" i="59"/>
  <c r="AJ97" i="59"/>
  <c r="AF97" i="59"/>
  <c r="AA97" i="59"/>
  <c r="X97" i="59" s="1"/>
  <c r="V97" i="59"/>
  <c r="U97" i="59" s="1"/>
  <c r="Q97" i="59"/>
  <c r="P97" i="59" s="1"/>
  <c r="L97" i="59"/>
  <c r="AU96" i="59"/>
  <c r="AT96" i="59"/>
  <c r="AP96" i="59"/>
  <c r="AL96" i="59"/>
  <c r="AK96" i="59"/>
  <c r="AH96" i="59"/>
  <c r="AF96" i="59"/>
  <c r="AC96" i="59"/>
  <c r="AA96" i="59"/>
  <c r="V96" i="59"/>
  <c r="R96" i="59" s="1"/>
  <c r="Q96" i="59"/>
  <c r="L96" i="59"/>
  <c r="BE95" i="59"/>
  <c r="BA95" i="59" s="1"/>
  <c r="AU95" i="59"/>
  <c r="AP95" i="59"/>
  <c r="AM95" i="59"/>
  <c r="AK95" i="59"/>
  <c r="AG95" i="59"/>
  <c r="AF95" i="59"/>
  <c r="AC95" i="59"/>
  <c r="AA95" i="59"/>
  <c r="V95" i="59"/>
  <c r="S95" i="59" s="1"/>
  <c r="Q95" i="59"/>
  <c r="P95" i="59" s="1"/>
  <c r="L95" i="59"/>
  <c r="BE94" i="59"/>
  <c r="BC94" i="59"/>
  <c r="AU94" i="59"/>
  <c r="AQ94" i="59"/>
  <c r="AK94" i="59"/>
  <c r="AI94" i="59"/>
  <c r="AF94" i="59"/>
  <c r="AA94" i="59"/>
  <c r="V94" i="59"/>
  <c r="U94" i="59"/>
  <c r="Q94" i="59"/>
  <c r="N94" i="59"/>
  <c r="L94" i="59"/>
  <c r="E83" i="59"/>
  <c r="BE83" i="59" s="1"/>
  <c r="BA83" i="59" s="1"/>
  <c r="E82" i="59"/>
  <c r="AZ82" i="59"/>
  <c r="E81" i="59"/>
  <c r="AU81" i="59"/>
  <c r="E80" i="59"/>
  <c r="CT83" i="59"/>
  <c r="CS83" i="59"/>
  <c r="CR83" i="59"/>
  <c r="CQ83" i="59"/>
  <c r="CO83" i="59"/>
  <c r="CN83" i="59"/>
  <c r="CM83" i="59"/>
  <c r="CL83" i="59"/>
  <c r="CJ83" i="59"/>
  <c r="CI83" i="59"/>
  <c r="CH83" i="59"/>
  <c r="CG83" i="59"/>
  <c r="CE83" i="59"/>
  <c r="CD83" i="59"/>
  <c r="CC83" i="59"/>
  <c r="CB83" i="59"/>
  <c r="BZ83" i="59"/>
  <c r="BY83" i="59"/>
  <c r="BX83" i="59"/>
  <c r="BW83" i="59"/>
  <c r="BU83" i="59"/>
  <c r="BT83" i="59"/>
  <c r="BS83" i="59"/>
  <c r="BR83" i="59"/>
  <c r="BP83" i="59"/>
  <c r="BO83" i="59"/>
  <c r="BN83" i="59"/>
  <c r="BM83" i="59"/>
  <c r="BK83" i="59"/>
  <c r="BJ83" i="59"/>
  <c r="BI83" i="59"/>
  <c r="BH83" i="59"/>
  <c r="BG83" i="59"/>
  <c r="BL83" i="59" s="1"/>
  <c r="BQ83" i="59" s="1"/>
  <c r="BV83" i="59" s="1"/>
  <c r="CA83" i="59" s="1"/>
  <c r="CF83" i="59" s="1"/>
  <c r="CK83" i="59" s="1"/>
  <c r="CP83" i="59" s="1"/>
  <c r="CU83" i="59" s="1"/>
  <c r="CZ83" i="59" s="1"/>
  <c r="CX83" i="59" s="1"/>
  <c r="CO82" i="59"/>
  <c r="CN82" i="59"/>
  <c r="CM82" i="59"/>
  <c r="CL82" i="59"/>
  <c r="CJ82" i="59"/>
  <c r="CI82" i="59"/>
  <c r="CH82" i="59"/>
  <c r="CG82" i="59"/>
  <c r="CE82" i="59"/>
  <c r="CD82" i="59"/>
  <c r="CC82" i="59"/>
  <c r="CB82" i="59"/>
  <c r="BZ82" i="59"/>
  <c r="BY82" i="59"/>
  <c r="BX82" i="59"/>
  <c r="BW82" i="59"/>
  <c r="BU82" i="59"/>
  <c r="BT82" i="59"/>
  <c r="BS82" i="59"/>
  <c r="BR82" i="59"/>
  <c r="BP82" i="59"/>
  <c r="BO82" i="59"/>
  <c r="BN82" i="59"/>
  <c r="BM82" i="59"/>
  <c r="BK82" i="59"/>
  <c r="BJ82" i="59"/>
  <c r="BI82" i="59"/>
  <c r="BH82" i="59"/>
  <c r="BG82" i="59"/>
  <c r="BL82" i="59"/>
  <c r="CY81" i="59"/>
  <c r="CX81" i="59"/>
  <c r="CW81" i="59"/>
  <c r="CV81" i="59"/>
  <c r="CJ81" i="59"/>
  <c r="CI81" i="59"/>
  <c r="CH81" i="59"/>
  <c r="CG81" i="59"/>
  <c r="CE81" i="59"/>
  <c r="CD81" i="59"/>
  <c r="CC81" i="59"/>
  <c r="CB81" i="59"/>
  <c r="BZ81" i="59"/>
  <c r="BY81" i="59"/>
  <c r="BX81" i="59"/>
  <c r="BW81" i="59"/>
  <c r="BU81" i="59"/>
  <c r="BT81" i="59"/>
  <c r="BS81" i="59"/>
  <c r="BR81" i="59"/>
  <c r="BP81" i="59"/>
  <c r="BO81" i="59"/>
  <c r="BN81" i="59"/>
  <c r="BM81" i="59"/>
  <c r="BK81" i="59"/>
  <c r="BJ81" i="59"/>
  <c r="BI81" i="59"/>
  <c r="BH81" i="59"/>
  <c r="BG81" i="59"/>
  <c r="BL81" i="59"/>
  <c r="CY80" i="59"/>
  <c r="CX80" i="59"/>
  <c r="CW80" i="59"/>
  <c r="CV80" i="59"/>
  <c r="CT80" i="59"/>
  <c r="CS80" i="59"/>
  <c r="CR80" i="59"/>
  <c r="CQ80" i="59"/>
  <c r="CE80" i="59"/>
  <c r="CD80" i="59"/>
  <c r="CC80" i="59"/>
  <c r="CB80" i="59"/>
  <c r="BZ80" i="59"/>
  <c r="BY80" i="59"/>
  <c r="BX80" i="59"/>
  <c r="BW80" i="59"/>
  <c r="BU80" i="59"/>
  <c r="BT80" i="59"/>
  <c r="BS80" i="59"/>
  <c r="BR80" i="59"/>
  <c r="BP80" i="59"/>
  <c r="BO80" i="59"/>
  <c r="BN80" i="59"/>
  <c r="BM80" i="59"/>
  <c r="BK80" i="59"/>
  <c r="BJ80" i="59"/>
  <c r="BI80" i="59"/>
  <c r="BH80" i="59"/>
  <c r="BG80" i="59"/>
  <c r="BL80" i="59"/>
  <c r="BQ80" i="59" s="1"/>
  <c r="BV80" i="59" s="1"/>
  <c r="CA80" i="59" s="1"/>
  <c r="CF80" i="59" s="1"/>
  <c r="CY78" i="59"/>
  <c r="CX78" i="59"/>
  <c r="CW78" i="59"/>
  <c r="CV78" i="59"/>
  <c r="CT78" i="59"/>
  <c r="CS78" i="59"/>
  <c r="CR78" i="59"/>
  <c r="CQ78" i="59"/>
  <c r="CO78" i="59"/>
  <c r="CN78" i="59"/>
  <c r="CM78" i="59"/>
  <c r="CL78" i="59"/>
  <c r="BZ78" i="59"/>
  <c r="BY78" i="59"/>
  <c r="BX78" i="59"/>
  <c r="BW78" i="59"/>
  <c r="BU78" i="59"/>
  <c r="BT78" i="59"/>
  <c r="BS78" i="59"/>
  <c r="BR78" i="59"/>
  <c r="BP78" i="59"/>
  <c r="BO78" i="59"/>
  <c r="BN78" i="59"/>
  <c r="BM78" i="59"/>
  <c r="BK78" i="59"/>
  <c r="BJ78" i="59"/>
  <c r="BI78" i="59"/>
  <c r="BH78" i="59"/>
  <c r="BG78" i="59"/>
  <c r="BL78" i="59"/>
  <c r="BQ78" i="59" s="1"/>
  <c r="BV78" i="59" s="1"/>
  <c r="CA78" i="59" s="1"/>
  <c r="CF78" i="59" s="1"/>
  <c r="AU83" i="59"/>
  <c r="AP83" i="59"/>
  <c r="AM83" i="59" s="1"/>
  <c r="AK83" i="59"/>
  <c r="AI83" i="59" s="1"/>
  <c r="AF83" i="59"/>
  <c r="AB83" i="59" s="1"/>
  <c r="AA83" i="59"/>
  <c r="Y83" i="59" s="1"/>
  <c r="V83" i="59"/>
  <c r="Q83" i="59"/>
  <c r="M83" i="59"/>
  <c r="L83" i="59"/>
  <c r="BE82" i="59"/>
  <c r="AU82" i="59"/>
  <c r="AS82" i="59"/>
  <c r="AP82" i="59"/>
  <c r="AK82" i="59"/>
  <c r="AG82" i="59" s="1"/>
  <c r="AF82" i="59"/>
  <c r="AA82" i="59"/>
  <c r="Y82" i="59"/>
  <c r="V82" i="59"/>
  <c r="Q82" i="59"/>
  <c r="M82" i="59" s="1"/>
  <c r="L82" i="59"/>
  <c r="BE81" i="59"/>
  <c r="BD81" i="59"/>
  <c r="AP81" i="59"/>
  <c r="AO81" i="59"/>
  <c r="AK81" i="59"/>
  <c r="AJ81" i="59"/>
  <c r="AF81" i="59"/>
  <c r="AD81" i="59"/>
  <c r="AA81" i="59"/>
  <c r="Y81" i="59"/>
  <c r="V81" i="59"/>
  <c r="U81" i="59"/>
  <c r="Q81" i="59"/>
  <c r="P81" i="59"/>
  <c r="L81" i="59"/>
  <c r="BE80" i="59"/>
  <c r="BA80" i="59" s="1"/>
  <c r="AU80" i="59"/>
  <c r="AT80" i="59" s="1"/>
  <c r="AP80" i="59"/>
  <c r="AN80" i="59" s="1"/>
  <c r="AK80" i="59"/>
  <c r="AF80" i="59"/>
  <c r="AC80" i="59"/>
  <c r="AA80" i="59"/>
  <c r="Y80" i="59"/>
  <c r="V80" i="59"/>
  <c r="U80" i="59"/>
  <c r="Q80" i="59"/>
  <c r="L80" i="59"/>
  <c r="BE78" i="59"/>
  <c r="BD78" i="59"/>
  <c r="AU78" i="59"/>
  <c r="AQ78" i="59"/>
  <c r="AP78" i="59"/>
  <c r="AL78" i="59"/>
  <c r="AK78" i="59"/>
  <c r="AG78" i="59"/>
  <c r="AF78" i="59"/>
  <c r="AC78" i="59"/>
  <c r="AA78" i="59"/>
  <c r="Y78" i="59"/>
  <c r="V78" i="59"/>
  <c r="T78" i="59"/>
  <c r="Q78" i="59"/>
  <c r="P78" i="59"/>
  <c r="L78" i="59"/>
  <c r="F75" i="59"/>
  <c r="E71" i="59"/>
  <c r="E70" i="59"/>
  <c r="E69" i="59"/>
  <c r="E68" i="59"/>
  <c r="E67" i="59"/>
  <c r="E66" i="59"/>
  <c r="E65" i="59"/>
  <c r="E64" i="59"/>
  <c r="E63" i="59"/>
  <c r="E62" i="59"/>
  <c r="E61" i="59"/>
  <c r="E60" i="59"/>
  <c r="E58" i="59"/>
  <c r="E57" i="59"/>
  <c r="E56" i="59"/>
  <c r="E55" i="59"/>
  <c r="E54" i="59"/>
  <c r="E53" i="59"/>
  <c r="E52" i="59"/>
  <c r="E51" i="59"/>
  <c r="AZ51" i="59" s="1"/>
  <c r="E50" i="59"/>
  <c r="AZ50" i="59" s="1"/>
  <c r="E49" i="59"/>
  <c r="E48" i="59"/>
  <c r="E47" i="59"/>
  <c r="AP47" i="59" s="1"/>
  <c r="AN47" i="59" s="1"/>
  <c r="E46" i="59"/>
  <c r="E45" i="59"/>
  <c r="E44" i="59"/>
  <c r="E43" i="59"/>
  <c r="BE43" i="59" s="1"/>
  <c r="BC43" i="59" s="1"/>
  <c r="CY59" i="59"/>
  <c r="CX59" i="59"/>
  <c r="CW59" i="59"/>
  <c r="CV59" i="59"/>
  <c r="CT59" i="59"/>
  <c r="CS59" i="59"/>
  <c r="CR59" i="59"/>
  <c r="CQ59" i="59"/>
  <c r="CO59" i="59"/>
  <c r="CN59" i="59"/>
  <c r="CM59" i="59"/>
  <c r="CL59" i="59"/>
  <c r="CJ59" i="59"/>
  <c r="CI59" i="59"/>
  <c r="CH59" i="59"/>
  <c r="CG59" i="59"/>
  <c r="CE59" i="59"/>
  <c r="CD59" i="59"/>
  <c r="CC59" i="59"/>
  <c r="CB59" i="59"/>
  <c r="BZ59" i="59"/>
  <c r="BY59" i="59"/>
  <c r="BX59" i="59"/>
  <c r="BW59" i="59"/>
  <c r="BU59" i="59"/>
  <c r="BT59" i="59"/>
  <c r="BS59" i="59"/>
  <c r="BR59" i="59"/>
  <c r="BP59" i="59"/>
  <c r="BO59" i="59"/>
  <c r="BN59" i="59"/>
  <c r="BM59" i="59"/>
  <c r="BK59" i="59"/>
  <c r="BJ59" i="59"/>
  <c r="BI59" i="59"/>
  <c r="BH59" i="59"/>
  <c r="BG59" i="59"/>
  <c r="BL59" i="59"/>
  <c r="CY71" i="59"/>
  <c r="CX71" i="59"/>
  <c r="CW71" i="59"/>
  <c r="CV71" i="59"/>
  <c r="CT71" i="59"/>
  <c r="CS71" i="59"/>
  <c r="CR71" i="59"/>
  <c r="CQ71" i="59"/>
  <c r="CO71" i="59"/>
  <c r="CN71" i="59"/>
  <c r="CM71" i="59"/>
  <c r="CL71" i="59"/>
  <c r="CJ71" i="59"/>
  <c r="CI71" i="59"/>
  <c r="CH71" i="59"/>
  <c r="CG71" i="59"/>
  <c r="CE71" i="59"/>
  <c r="CD71" i="59"/>
  <c r="CC71" i="59"/>
  <c r="CB71" i="59"/>
  <c r="BZ71" i="59"/>
  <c r="BY71" i="59"/>
  <c r="BX71" i="59"/>
  <c r="BW71" i="59"/>
  <c r="BU71" i="59"/>
  <c r="BT71" i="59"/>
  <c r="BS71" i="59"/>
  <c r="BR71" i="59"/>
  <c r="BP71" i="59"/>
  <c r="BO71" i="59"/>
  <c r="BN71" i="59"/>
  <c r="BM71" i="59"/>
  <c r="BK71" i="59"/>
  <c r="BJ71" i="59"/>
  <c r="BI71" i="59"/>
  <c r="BH71" i="59"/>
  <c r="BG71" i="59"/>
  <c r="BL71" i="59"/>
  <c r="BQ71" i="59" s="1"/>
  <c r="BV71" i="59" s="1"/>
  <c r="CA71" i="59" s="1"/>
  <c r="CF71" i="59" s="1"/>
  <c r="CK71" i="59" s="1"/>
  <c r="CP71" i="59" s="1"/>
  <c r="CU71" i="59" s="1"/>
  <c r="CZ71" i="59" s="1"/>
  <c r="CY70" i="59"/>
  <c r="CX70" i="59"/>
  <c r="CW70" i="59"/>
  <c r="CV70" i="59"/>
  <c r="CT70" i="59"/>
  <c r="CS70" i="59"/>
  <c r="CR70" i="59"/>
  <c r="CQ70" i="59"/>
  <c r="CO70" i="59"/>
  <c r="CN70" i="59"/>
  <c r="CM70" i="59"/>
  <c r="CL70" i="59"/>
  <c r="CJ70" i="59"/>
  <c r="CI70" i="59"/>
  <c r="CH70" i="59"/>
  <c r="CG70" i="59"/>
  <c r="CE70" i="59"/>
  <c r="CD70" i="59"/>
  <c r="CC70" i="59"/>
  <c r="CB70" i="59"/>
  <c r="BZ70" i="59"/>
  <c r="BY70" i="59"/>
  <c r="BX70" i="59"/>
  <c r="BW70" i="59"/>
  <c r="BU70" i="59"/>
  <c r="BT70" i="59"/>
  <c r="BS70" i="59"/>
  <c r="BR70" i="59"/>
  <c r="BP70" i="59"/>
  <c r="BO70" i="59"/>
  <c r="BN70" i="59"/>
  <c r="BM70" i="59"/>
  <c r="BK70" i="59"/>
  <c r="BJ70" i="59"/>
  <c r="BI70" i="59"/>
  <c r="BH70" i="59"/>
  <c r="BG70" i="59"/>
  <c r="BL70" i="59"/>
  <c r="BQ70" i="59" s="1"/>
  <c r="BV70" i="59" s="1"/>
  <c r="CA70" i="59" s="1"/>
  <c r="CF70" i="59" s="1"/>
  <c r="CK70" i="59" s="1"/>
  <c r="CP70" i="59" s="1"/>
  <c r="CU70" i="59" s="1"/>
  <c r="CZ70" i="59" s="1"/>
  <c r="CY69" i="59"/>
  <c r="CX69" i="59"/>
  <c r="CW69" i="59"/>
  <c r="CV69" i="59"/>
  <c r="CT69" i="59"/>
  <c r="CS69" i="59"/>
  <c r="CR69" i="59"/>
  <c r="CQ69" i="59"/>
  <c r="CO69" i="59"/>
  <c r="CN69" i="59"/>
  <c r="CM69" i="59"/>
  <c r="CL69" i="59"/>
  <c r="CJ69" i="59"/>
  <c r="CI69" i="59"/>
  <c r="CH69" i="59"/>
  <c r="CG69" i="59"/>
  <c r="CE69" i="59"/>
  <c r="CD69" i="59"/>
  <c r="CC69" i="59"/>
  <c r="CB69" i="59"/>
  <c r="BZ69" i="59"/>
  <c r="BY69" i="59"/>
  <c r="BX69" i="59"/>
  <c r="BW69" i="59"/>
  <c r="BU69" i="59"/>
  <c r="BT69" i="59"/>
  <c r="BS69" i="59"/>
  <c r="BR69" i="59"/>
  <c r="BP69" i="59"/>
  <c r="BO69" i="59"/>
  <c r="BN69" i="59"/>
  <c r="BM69" i="59"/>
  <c r="BK69" i="59"/>
  <c r="BJ69" i="59"/>
  <c r="BI69" i="59"/>
  <c r="BH69" i="59"/>
  <c r="BG69" i="59"/>
  <c r="BL69" i="59"/>
  <c r="BQ69" i="59" s="1"/>
  <c r="BV69" i="59" s="1"/>
  <c r="CA69" i="59" s="1"/>
  <c r="CF69" i="59" s="1"/>
  <c r="CK69" i="59" s="1"/>
  <c r="CP69" i="59" s="1"/>
  <c r="CU69" i="59" s="1"/>
  <c r="CZ69" i="59" s="1"/>
  <c r="CY68" i="59"/>
  <c r="CX68" i="59"/>
  <c r="CW68" i="59"/>
  <c r="CV68" i="59"/>
  <c r="CT68" i="59"/>
  <c r="CS68" i="59"/>
  <c r="CR68" i="59"/>
  <c r="CQ68" i="59"/>
  <c r="CO68" i="59"/>
  <c r="CN68" i="59"/>
  <c r="CM68" i="59"/>
  <c r="CL68" i="59"/>
  <c r="CJ68" i="59"/>
  <c r="CI68" i="59"/>
  <c r="CH68" i="59"/>
  <c r="CG68" i="59"/>
  <c r="CE68" i="59"/>
  <c r="CD68" i="59"/>
  <c r="CC68" i="59"/>
  <c r="CB68" i="59"/>
  <c r="BZ68" i="59"/>
  <c r="BY68" i="59"/>
  <c r="BX68" i="59"/>
  <c r="BW68" i="59"/>
  <c r="BU68" i="59"/>
  <c r="BT68" i="59"/>
  <c r="BS68" i="59"/>
  <c r="BR68" i="59"/>
  <c r="BP68" i="59"/>
  <c r="BO68" i="59"/>
  <c r="BN68" i="59"/>
  <c r="BM68" i="59"/>
  <c r="BK68" i="59"/>
  <c r="BJ68" i="59"/>
  <c r="BI68" i="59"/>
  <c r="BH68" i="59"/>
  <c r="BG68" i="59"/>
  <c r="BL68" i="59"/>
  <c r="BQ68" i="59" s="1"/>
  <c r="BV68" i="59" s="1"/>
  <c r="CA68" i="59" s="1"/>
  <c r="CF68" i="59" s="1"/>
  <c r="CK68" i="59" s="1"/>
  <c r="CP68" i="59" s="1"/>
  <c r="CU68" i="59" s="1"/>
  <c r="CZ68" i="59" s="1"/>
  <c r="CY67" i="59"/>
  <c r="CX67" i="59"/>
  <c r="CW67" i="59"/>
  <c r="CV67" i="59"/>
  <c r="CT67" i="59"/>
  <c r="CS67" i="59"/>
  <c r="CR67" i="59"/>
  <c r="CQ67" i="59"/>
  <c r="CO67" i="59"/>
  <c r="CN67" i="59"/>
  <c r="CM67" i="59"/>
  <c r="CL67" i="59"/>
  <c r="CJ67" i="59"/>
  <c r="CI67" i="59"/>
  <c r="CH67" i="59"/>
  <c r="CG67" i="59"/>
  <c r="CE67" i="59"/>
  <c r="CD67" i="59"/>
  <c r="CC67" i="59"/>
  <c r="CB67" i="59"/>
  <c r="BZ67" i="59"/>
  <c r="BY67" i="59"/>
  <c r="BX67" i="59"/>
  <c r="BW67" i="59"/>
  <c r="BU67" i="59"/>
  <c r="BT67" i="59"/>
  <c r="BS67" i="59"/>
  <c r="BR67" i="59"/>
  <c r="BP67" i="59"/>
  <c r="BO67" i="59"/>
  <c r="BN67" i="59"/>
  <c r="BM67" i="59"/>
  <c r="BK67" i="59"/>
  <c r="BJ67" i="59"/>
  <c r="BI67" i="59"/>
  <c r="BH67" i="59"/>
  <c r="BG67" i="59"/>
  <c r="BL67" i="59"/>
  <c r="BQ67" i="59" s="1"/>
  <c r="BV67" i="59" s="1"/>
  <c r="CA67" i="59" s="1"/>
  <c r="CF67" i="59" s="1"/>
  <c r="CK67" i="59" s="1"/>
  <c r="CP67" i="59" s="1"/>
  <c r="CU67" i="59" s="1"/>
  <c r="CZ67" i="59" s="1"/>
  <c r="CY66" i="59"/>
  <c r="CX66" i="59"/>
  <c r="CW66" i="59"/>
  <c r="CV66" i="59"/>
  <c r="CT66" i="59"/>
  <c r="CS66" i="59"/>
  <c r="CR66" i="59"/>
  <c r="CQ66" i="59"/>
  <c r="CO66" i="59"/>
  <c r="CN66" i="59"/>
  <c r="CM66" i="59"/>
  <c r="CL66" i="59"/>
  <c r="CJ66" i="59"/>
  <c r="CI66" i="59"/>
  <c r="CH66" i="59"/>
  <c r="CG66" i="59"/>
  <c r="CE66" i="59"/>
  <c r="CD66" i="59"/>
  <c r="CC66" i="59"/>
  <c r="CB66" i="59"/>
  <c r="BZ66" i="59"/>
  <c r="BY66" i="59"/>
  <c r="BX66" i="59"/>
  <c r="BW66" i="59"/>
  <c r="BU66" i="59"/>
  <c r="BT66" i="59"/>
  <c r="BS66" i="59"/>
  <c r="BR66" i="59"/>
  <c r="BP66" i="59"/>
  <c r="BO66" i="59"/>
  <c r="BN66" i="59"/>
  <c r="BM66" i="59"/>
  <c r="BK66" i="59"/>
  <c r="BJ66" i="59"/>
  <c r="BI66" i="59"/>
  <c r="BH66" i="59"/>
  <c r="BG66" i="59"/>
  <c r="BL66" i="59"/>
  <c r="BQ66" i="59" s="1"/>
  <c r="BV66" i="59" s="1"/>
  <c r="CA66" i="59" s="1"/>
  <c r="CF66" i="59" s="1"/>
  <c r="CK66" i="59" s="1"/>
  <c r="CP66" i="59" s="1"/>
  <c r="CU66" i="59" s="1"/>
  <c r="CZ66" i="59" s="1"/>
  <c r="CY65" i="59"/>
  <c r="CX65" i="59"/>
  <c r="CW65" i="59"/>
  <c r="CV65" i="59"/>
  <c r="CT65" i="59"/>
  <c r="CS65" i="59"/>
  <c r="CR65" i="59"/>
  <c r="CQ65" i="59"/>
  <c r="CO65" i="59"/>
  <c r="CN65" i="59"/>
  <c r="CM65" i="59"/>
  <c r="CL65" i="59"/>
  <c r="CJ65" i="59"/>
  <c r="CI65" i="59"/>
  <c r="CH65" i="59"/>
  <c r="CG65" i="59"/>
  <c r="CE65" i="59"/>
  <c r="CD65" i="59"/>
  <c r="CC65" i="59"/>
  <c r="CB65" i="59"/>
  <c r="BZ65" i="59"/>
  <c r="BY65" i="59"/>
  <c r="BX65" i="59"/>
  <c r="BW65" i="59"/>
  <c r="BU65" i="59"/>
  <c r="BT65" i="59"/>
  <c r="BS65" i="59"/>
  <c r="BR65" i="59"/>
  <c r="BP65" i="59"/>
  <c r="BO65" i="59"/>
  <c r="BN65" i="59"/>
  <c r="BM65" i="59"/>
  <c r="BK65" i="59"/>
  <c r="BJ65" i="59"/>
  <c r="BI65" i="59"/>
  <c r="BH65" i="59"/>
  <c r="BG65" i="59"/>
  <c r="BL65" i="59"/>
  <c r="BQ65" i="59" s="1"/>
  <c r="BV65" i="59" s="1"/>
  <c r="CA65" i="59" s="1"/>
  <c r="CF65" i="59" s="1"/>
  <c r="CK65" i="59" s="1"/>
  <c r="CP65" i="59" s="1"/>
  <c r="CU65" i="59" s="1"/>
  <c r="CZ65" i="59" s="1"/>
  <c r="CY64" i="59"/>
  <c r="CX64" i="59"/>
  <c r="CW64" i="59"/>
  <c r="CV64" i="59"/>
  <c r="CT64" i="59"/>
  <c r="CS64" i="59"/>
  <c r="CR64" i="59"/>
  <c r="CQ64" i="59"/>
  <c r="CO64" i="59"/>
  <c r="CN64" i="59"/>
  <c r="CM64" i="59"/>
  <c r="CL64" i="59"/>
  <c r="CJ64" i="59"/>
  <c r="CI64" i="59"/>
  <c r="CH64" i="59"/>
  <c r="CG64" i="59"/>
  <c r="CE64" i="59"/>
  <c r="CD64" i="59"/>
  <c r="CC64" i="59"/>
  <c r="CB64" i="59"/>
  <c r="BZ64" i="59"/>
  <c r="BY64" i="59"/>
  <c r="BX64" i="59"/>
  <c r="BW64" i="59"/>
  <c r="BU64" i="59"/>
  <c r="BT64" i="59"/>
  <c r="BS64" i="59"/>
  <c r="BR64" i="59"/>
  <c r="BP64" i="59"/>
  <c r="BO64" i="59"/>
  <c r="BN64" i="59"/>
  <c r="BM64" i="59"/>
  <c r="BK64" i="59"/>
  <c r="BJ64" i="59"/>
  <c r="BI64" i="59"/>
  <c r="BH64" i="59"/>
  <c r="BG64" i="59"/>
  <c r="BL64" i="59"/>
  <c r="BQ64" i="59" s="1"/>
  <c r="BV64" i="59" s="1"/>
  <c r="CA64" i="59" s="1"/>
  <c r="CF64" i="59" s="1"/>
  <c r="CK64" i="59" s="1"/>
  <c r="CP64" i="59" s="1"/>
  <c r="CU64" i="59" s="1"/>
  <c r="CZ64" i="59" s="1"/>
  <c r="CY63" i="59"/>
  <c r="CX63" i="59"/>
  <c r="CW63" i="59"/>
  <c r="CV63" i="59"/>
  <c r="CT63" i="59"/>
  <c r="CS63" i="59"/>
  <c r="CR63" i="59"/>
  <c r="CQ63" i="59"/>
  <c r="CO63" i="59"/>
  <c r="CN63" i="59"/>
  <c r="CM63" i="59"/>
  <c r="CL63" i="59"/>
  <c r="CJ63" i="59"/>
  <c r="CI63" i="59"/>
  <c r="CH63" i="59"/>
  <c r="CG63" i="59"/>
  <c r="CE63" i="59"/>
  <c r="CD63" i="59"/>
  <c r="CC63" i="59"/>
  <c r="CB63" i="59"/>
  <c r="BZ63" i="59"/>
  <c r="BY63" i="59"/>
  <c r="BX63" i="59"/>
  <c r="BW63" i="59"/>
  <c r="BU63" i="59"/>
  <c r="BT63" i="59"/>
  <c r="BS63" i="59"/>
  <c r="BR63" i="59"/>
  <c r="BP63" i="59"/>
  <c r="BO63" i="59"/>
  <c r="BN63" i="59"/>
  <c r="BM63" i="59"/>
  <c r="BK63" i="59"/>
  <c r="BJ63" i="59"/>
  <c r="BI63" i="59"/>
  <c r="BH63" i="59"/>
  <c r="BG63" i="59"/>
  <c r="BL63" i="59"/>
  <c r="BQ63" i="59"/>
  <c r="BV63" i="59"/>
  <c r="CA63" i="59" s="1"/>
  <c r="CF63" i="59" s="1"/>
  <c r="CK63" i="59" s="1"/>
  <c r="CP63" i="59" s="1"/>
  <c r="CU63" i="59" s="1"/>
  <c r="CZ63" i="59" s="1"/>
  <c r="CY62" i="59"/>
  <c r="CX62" i="59"/>
  <c r="CW62" i="59"/>
  <c r="CV62" i="59"/>
  <c r="CT62" i="59"/>
  <c r="CS62" i="59"/>
  <c r="CR62" i="59"/>
  <c r="CQ62" i="59"/>
  <c r="CO62" i="59"/>
  <c r="CN62" i="59"/>
  <c r="CM62" i="59"/>
  <c r="CL62" i="59"/>
  <c r="CJ62" i="59"/>
  <c r="CI62" i="59"/>
  <c r="CH62" i="59"/>
  <c r="CG62" i="59"/>
  <c r="CE62" i="59"/>
  <c r="CD62" i="59"/>
  <c r="CC62" i="59"/>
  <c r="CB62" i="59"/>
  <c r="BZ62" i="59"/>
  <c r="BY62" i="59"/>
  <c r="BX62" i="59"/>
  <c r="BW62" i="59"/>
  <c r="BU62" i="59"/>
  <c r="BT62" i="59"/>
  <c r="BS62" i="59"/>
  <c r="BR62" i="59"/>
  <c r="BP62" i="59"/>
  <c r="BO62" i="59"/>
  <c r="BN62" i="59"/>
  <c r="BM62" i="59"/>
  <c r="BK62" i="59"/>
  <c r="BJ62" i="59"/>
  <c r="BI62" i="59"/>
  <c r="BH62" i="59"/>
  <c r="BG62" i="59"/>
  <c r="BL62" i="59"/>
  <c r="BQ62" i="59" s="1"/>
  <c r="BV62" i="59" s="1"/>
  <c r="CA62" i="59" s="1"/>
  <c r="CF62" i="59" s="1"/>
  <c r="CK62" i="59" s="1"/>
  <c r="CP62" i="59" s="1"/>
  <c r="CU62" i="59" s="1"/>
  <c r="CZ62" i="59" s="1"/>
  <c r="CY61" i="59"/>
  <c r="CX61" i="59"/>
  <c r="CW61" i="59"/>
  <c r="CV61" i="59"/>
  <c r="CT61" i="59"/>
  <c r="CS61" i="59"/>
  <c r="CR61" i="59"/>
  <c r="CQ61" i="59"/>
  <c r="CO61" i="59"/>
  <c r="CN61" i="59"/>
  <c r="CM61" i="59"/>
  <c r="CL61" i="59"/>
  <c r="CJ61" i="59"/>
  <c r="CI61" i="59"/>
  <c r="CH61" i="59"/>
  <c r="CG61" i="59"/>
  <c r="CE61" i="59"/>
  <c r="CD61" i="59"/>
  <c r="CC61" i="59"/>
  <c r="CB61" i="59"/>
  <c r="BZ61" i="59"/>
  <c r="BY61" i="59"/>
  <c r="BX61" i="59"/>
  <c r="BW61" i="59"/>
  <c r="BU61" i="59"/>
  <c r="BT61" i="59"/>
  <c r="BS61" i="59"/>
  <c r="BR61" i="59"/>
  <c r="BP61" i="59"/>
  <c r="BO61" i="59"/>
  <c r="BN61" i="59"/>
  <c r="BM61" i="59"/>
  <c r="BK61" i="59"/>
  <c r="BJ61" i="59"/>
  <c r="BI61" i="59"/>
  <c r="BH61" i="59"/>
  <c r="BG61" i="59"/>
  <c r="BL61" i="59"/>
  <c r="BQ61" i="59"/>
  <c r="BV61" i="59"/>
  <c r="CA61" i="59" s="1"/>
  <c r="CF61" i="59" s="1"/>
  <c r="CK61" i="59" s="1"/>
  <c r="CP61" i="59" s="1"/>
  <c r="CU61" i="59" s="1"/>
  <c r="CZ61" i="59" s="1"/>
  <c r="CY60" i="59"/>
  <c r="CX60" i="59"/>
  <c r="CW60" i="59"/>
  <c r="CV60" i="59"/>
  <c r="CT60" i="59"/>
  <c r="CS60" i="59"/>
  <c r="CR60" i="59"/>
  <c r="CQ60" i="59"/>
  <c r="CO60" i="59"/>
  <c r="CN60" i="59"/>
  <c r="CM60" i="59"/>
  <c r="CL60" i="59"/>
  <c r="CJ60" i="59"/>
  <c r="CI60" i="59"/>
  <c r="CH60" i="59"/>
  <c r="CG60" i="59"/>
  <c r="CE60" i="59"/>
  <c r="CD60" i="59"/>
  <c r="CC60" i="59"/>
  <c r="CB60" i="59"/>
  <c r="BZ60" i="59"/>
  <c r="BY60" i="59"/>
  <c r="BX60" i="59"/>
  <c r="BW60" i="59"/>
  <c r="BU60" i="59"/>
  <c r="BT60" i="59"/>
  <c r="BS60" i="59"/>
  <c r="BR60" i="59"/>
  <c r="BP60" i="59"/>
  <c r="BO60" i="59"/>
  <c r="BN60" i="59"/>
  <c r="BM60" i="59"/>
  <c r="BK60" i="59"/>
  <c r="BJ60" i="59"/>
  <c r="BI60" i="59"/>
  <c r="BH60" i="59"/>
  <c r="BG60" i="59"/>
  <c r="BL60" i="59"/>
  <c r="BQ60" i="59" s="1"/>
  <c r="BV60" i="59" s="1"/>
  <c r="CA60" i="59" s="1"/>
  <c r="CF60" i="59" s="1"/>
  <c r="CK60" i="59" s="1"/>
  <c r="CP60" i="59" s="1"/>
  <c r="CU60" i="59" s="1"/>
  <c r="CZ60" i="59" s="1"/>
  <c r="CY58" i="59"/>
  <c r="CX58" i="59"/>
  <c r="CW58" i="59"/>
  <c r="CV58" i="59"/>
  <c r="CT58" i="59"/>
  <c r="CS58" i="59"/>
  <c r="CR58" i="59"/>
  <c r="CQ58" i="59"/>
  <c r="CO58" i="59"/>
  <c r="CN58" i="59"/>
  <c r="CM58" i="59"/>
  <c r="CL58" i="59"/>
  <c r="CJ58" i="59"/>
  <c r="CI58" i="59"/>
  <c r="CH58" i="59"/>
  <c r="CG58" i="59"/>
  <c r="CE58" i="59"/>
  <c r="CD58" i="59"/>
  <c r="CC58" i="59"/>
  <c r="CB58" i="59"/>
  <c r="BZ58" i="59"/>
  <c r="BY58" i="59"/>
  <c r="BX58" i="59"/>
  <c r="BW58" i="59"/>
  <c r="BU58" i="59"/>
  <c r="BT58" i="59"/>
  <c r="BS58" i="59"/>
  <c r="BR58" i="59"/>
  <c r="BP58" i="59"/>
  <c r="BO58" i="59"/>
  <c r="BN58" i="59"/>
  <c r="BM58" i="59"/>
  <c r="BK58" i="59"/>
  <c r="BJ58" i="59"/>
  <c r="BI58" i="59"/>
  <c r="BH58" i="59"/>
  <c r="BG58" i="59"/>
  <c r="BL58" i="59"/>
  <c r="BQ58" i="59" s="1"/>
  <c r="BV58" i="59" s="1"/>
  <c r="CA58" i="59" s="1"/>
  <c r="CF58" i="59" s="1"/>
  <c r="CK58" i="59" s="1"/>
  <c r="CP58" i="59" s="1"/>
  <c r="CU58" i="59" s="1"/>
  <c r="CZ58" i="59" s="1"/>
  <c r="CY57" i="59"/>
  <c r="CX57" i="59"/>
  <c r="CW57" i="59"/>
  <c r="CV57" i="59"/>
  <c r="CT57" i="59"/>
  <c r="CS57" i="59"/>
  <c r="CR57" i="59"/>
  <c r="CQ57" i="59"/>
  <c r="CO57" i="59"/>
  <c r="CN57" i="59"/>
  <c r="CM57" i="59"/>
  <c r="CL57" i="59"/>
  <c r="CJ57" i="59"/>
  <c r="CI57" i="59"/>
  <c r="CH57" i="59"/>
  <c r="CG57" i="59"/>
  <c r="CE57" i="59"/>
  <c r="CD57" i="59"/>
  <c r="CC57" i="59"/>
  <c r="CB57" i="59"/>
  <c r="BZ57" i="59"/>
  <c r="BY57" i="59"/>
  <c r="BX57" i="59"/>
  <c r="BW57" i="59"/>
  <c r="BU57" i="59"/>
  <c r="BT57" i="59"/>
  <c r="BS57" i="59"/>
  <c r="BR57" i="59"/>
  <c r="BP57" i="59"/>
  <c r="BO57" i="59"/>
  <c r="BN57" i="59"/>
  <c r="BM57" i="59"/>
  <c r="BK57" i="59"/>
  <c r="BJ57" i="59"/>
  <c r="BI57" i="59"/>
  <c r="BH57" i="59"/>
  <c r="BG57" i="59"/>
  <c r="BL57" i="59"/>
  <c r="BQ57" i="59" s="1"/>
  <c r="BV57" i="59" s="1"/>
  <c r="CA57" i="59" s="1"/>
  <c r="CF57" i="59" s="1"/>
  <c r="CK57" i="59" s="1"/>
  <c r="CP57" i="59" s="1"/>
  <c r="CU57" i="59" s="1"/>
  <c r="CZ57" i="59" s="1"/>
  <c r="CY56" i="59"/>
  <c r="CX56" i="59"/>
  <c r="CW56" i="59"/>
  <c r="CV56" i="59"/>
  <c r="CT56" i="59"/>
  <c r="CS56" i="59"/>
  <c r="CR56" i="59"/>
  <c r="CQ56" i="59"/>
  <c r="CO56" i="59"/>
  <c r="CN56" i="59"/>
  <c r="CM56" i="59"/>
  <c r="CL56" i="59"/>
  <c r="CJ56" i="59"/>
  <c r="CI56" i="59"/>
  <c r="CH56" i="59"/>
  <c r="CG56" i="59"/>
  <c r="CE56" i="59"/>
  <c r="CD56" i="59"/>
  <c r="CC56" i="59"/>
  <c r="CB56" i="59"/>
  <c r="BZ56" i="59"/>
  <c r="BY56" i="59"/>
  <c r="BX56" i="59"/>
  <c r="BW56" i="59"/>
  <c r="BU56" i="59"/>
  <c r="BT56" i="59"/>
  <c r="BS56" i="59"/>
  <c r="BR56" i="59"/>
  <c r="BP56" i="59"/>
  <c r="BO56" i="59"/>
  <c r="BN56" i="59"/>
  <c r="BM56" i="59"/>
  <c r="BK56" i="59"/>
  <c r="BJ56" i="59"/>
  <c r="BI56" i="59"/>
  <c r="BH56" i="59"/>
  <c r="BG56" i="59"/>
  <c r="BL56" i="59"/>
  <c r="BQ56" i="59" s="1"/>
  <c r="BV56" i="59" s="1"/>
  <c r="CA56" i="59" s="1"/>
  <c r="CF56" i="59" s="1"/>
  <c r="CK56" i="59" s="1"/>
  <c r="CP56" i="59" s="1"/>
  <c r="CU56" i="59" s="1"/>
  <c r="CZ56" i="59" s="1"/>
  <c r="CY55" i="59"/>
  <c r="CX55" i="59"/>
  <c r="CW55" i="59"/>
  <c r="CV55" i="59"/>
  <c r="CT55" i="59"/>
  <c r="CS55" i="59"/>
  <c r="CR55" i="59"/>
  <c r="CQ55" i="59"/>
  <c r="CO55" i="59"/>
  <c r="CN55" i="59"/>
  <c r="CM55" i="59"/>
  <c r="CL55" i="59"/>
  <c r="CJ55" i="59"/>
  <c r="CI55" i="59"/>
  <c r="CH55" i="59"/>
  <c r="CG55" i="59"/>
  <c r="CE55" i="59"/>
  <c r="CD55" i="59"/>
  <c r="CC55" i="59"/>
  <c r="CB55" i="59"/>
  <c r="BZ55" i="59"/>
  <c r="BY55" i="59"/>
  <c r="BX55" i="59"/>
  <c r="BW55" i="59"/>
  <c r="BU55" i="59"/>
  <c r="BT55" i="59"/>
  <c r="BS55" i="59"/>
  <c r="BR55" i="59"/>
  <c r="BP55" i="59"/>
  <c r="BO55" i="59"/>
  <c r="BN55" i="59"/>
  <c r="BM55" i="59"/>
  <c r="BK55" i="59"/>
  <c r="BJ55" i="59"/>
  <c r="BI55" i="59"/>
  <c r="BH55" i="59"/>
  <c r="BG55" i="59"/>
  <c r="BL55" i="59"/>
  <c r="BQ55" i="59" s="1"/>
  <c r="BV55" i="59" s="1"/>
  <c r="CA55" i="59" s="1"/>
  <c r="CF55" i="59" s="1"/>
  <c r="CK55" i="59" s="1"/>
  <c r="CP55" i="59" s="1"/>
  <c r="CU55" i="59" s="1"/>
  <c r="CZ55" i="59" s="1"/>
  <c r="CY54" i="59"/>
  <c r="CX54" i="59"/>
  <c r="CW54" i="59"/>
  <c r="CV54" i="59"/>
  <c r="CT54" i="59"/>
  <c r="CS54" i="59"/>
  <c r="CR54" i="59"/>
  <c r="CQ54" i="59"/>
  <c r="CO54" i="59"/>
  <c r="CN54" i="59"/>
  <c r="CM54" i="59"/>
  <c r="CL54" i="59"/>
  <c r="CJ54" i="59"/>
  <c r="CI54" i="59"/>
  <c r="CH54" i="59"/>
  <c r="CG54" i="59"/>
  <c r="CE54" i="59"/>
  <c r="CD54" i="59"/>
  <c r="CC54" i="59"/>
  <c r="CB54" i="59"/>
  <c r="BZ54" i="59"/>
  <c r="BY54" i="59"/>
  <c r="BX54" i="59"/>
  <c r="BW54" i="59"/>
  <c r="BU54" i="59"/>
  <c r="BT54" i="59"/>
  <c r="BS54" i="59"/>
  <c r="BR54" i="59"/>
  <c r="BP54" i="59"/>
  <c r="BO54" i="59"/>
  <c r="BN54" i="59"/>
  <c r="BM54" i="59"/>
  <c r="BK54" i="59"/>
  <c r="BJ54" i="59"/>
  <c r="BI54" i="59"/>
  <c r="BH54" i="59"/>
  <c r="BG54" i="59"/>
  <c r="BL54" i="59"/>
  <c r="BQ54" i="59" s="1"/>
  <c r="BV54" i="59" s="1"/>
  <c r="CA54" i="59" s="1"/>
  <c r="CF54" i="59" s="1"/>
  <c r="CK54" i="59" s="1"/>
  <c r="CP54" i="59" s="1"/>
  <c r="CU54" i="59" s="1"/>
  <c r="CZ54" i="59" s="1"/>
  <c r="CY53" i="59"/>
  <c r="CX53" i="59"/>
  <c r="CW53" i="59"/>
  <c r="CV53" i="59"/>
  <c r="CT53" i="59"/>
  <c r="CS53" i="59"/>
  <c r="CR53" i="59"/>
  <c r="CQ53" i="59"/>
  <c r="CO53" i="59"/>
  <c r="CN53" i="59"/>
  <c r="CM53" i="59"/>
  <c r="CL53" i="59"/>
  <c r="CJ53" i="59"/>
  <c r="CI53" i="59"/>
  <c r="CH53" i="59"/>
  <c r="CG53" i="59"/>
  <c r="CE53" i="59"/>
  <c r="CD53" i="59"/>
  <c r="CC53" i="59"/>
  <c r="CB53" i="59"/>
  <c r="BZ53" i="59"/>
  <c r="BY53" i="59"/>
  <c r="BX53" i="59"/>
  <c r="BW53" i="59"/>
  <c r="BU53" i="59"/>
  <c r="BT53" i="59"/>
  <c r="BS53" i="59"/>
  <c r="BR53" i="59"/>
  <c r="BP53" i="59"/>
  <c r="BO53" i="59"/>
  <c r="BN53" i="59"/>
  <c r="BM53" i="59"/>
  <c r="BK53" i="59"/>
  <c r="BJ53" i="59"/>
  <c r="BI53" i="59"/>
  <c r="BH53" i="59"/>
  <c r="BG53" i="59"/>
  <c r="BL53" i="59"/>
  <c r="BQ53" i="59" s="1"/>
  <c r="BV53" i="59" s="1"/>
  <c r="CA53" i="59" s="1"/>
  <c r="CF53" i="59" s="1"/>
  <c r="CK53" i="59" s="1"/>
  <c r="CP53" i="59" s="1"/>
  <c r="CU53" i="59" s="1"/>
  <c r="CZ53" i="59" s="1"/>
  <c r="CT52" i="59"/>
  <c r="CS52" i="59"/>
  <c r="CR52" i="59"/>
  <c r="CQ52" i="59"/>
  <c r="CO52" i="59"/>
  <c r="CN52" i="59"/>
  <c r="CM52" i="59"/>
  <c r="CL52" i="59"/>
  <c r="CJ52" i="59"/>
  <c r="CI52" i="59"/>
  <c r="CH52" i="59"/>
  <c r="CG52" i="59"/>
  <c r="CE52" i="59"/>
  <c r="CD52" i="59"/>
  <c r="CC52" i="59"/>
  <c r="CB52" i="59"/>
  <c r="BZ52" i="59"/>
  <c r="BY52" i="59"/>
  <c r="BX52" i="59"/>
  <c r="BW52" i="59"/>
  <c r="BU52" i="59"/>
  <c r="BT52" i="59"/>
  <c r="BS52" i="59"/>
  <c r="BR52" i="59"/>
  <c r="BP52" i="59"/>
  <c r="BO52" i="59"/>
  <c r="BN52" i="59"/>
  <c r="BM52" i="59"/>
  <c r="BK52" i="59"/>
  <c r="BJ52" i="59"/>
  <c r="BI52" i="59"/>
  <c r="BH52" i="59"/>
  <c r="BG52" i="59"/>
  <c r="BL52" i="59"/>
  <c r="BQ52" i="59" s="1"/>
  <c r="BV52" i="59" s="1"/>
  <c r="CA52" i="59" s="1"/>
  <c r="CF52" i="59" s="1"/>
  <c r="CK52" i="59" s="1"/>
  <c r="CP52" i="59" s="1"/>
  <c r="CU52" i="59" s="1"/>
  <c r="CZ52" i="59" s="1"/>
  <c r="CO51" i="59"/>
  <c r="CN51" i="59"/>
  <c r="CM51" i="59"/>
  <c r="CL51" i="59"/>
  <c r="CJ51" i="59"/>
  <c r="CI51" i="59"/>
  <c r="CH51" i="59"/>
  <c r="CG51" i="59"/>
  <c r="CE51" i="59"/>
  <c r="CD51" i="59"/>
  <c r="CC51" i="59"/>
  <c r="CB51" i="59"/>
  <c r="BZ51" i="59"/>
  <c r="BY51" i="59"/>
  <c r="BX51" i="59"/>
  <c r="BW51" i="59"/>
  <c r="BU51" i="59"/>
  <c r="BT51" i="59"/>
  <c r="BS51" i="59"/>
  <c r="BR51" i="59"/>
  <c r="BP51" i="59"/>
  <c r="BO51" i="59"/>
  <c r="BN51" i="59"/>
  <c r="BM51" i="59"/>
  <c r="BK51" i="59"/>
  <c r="BJ51" i="59"/>
  <c r="BI51" i="59"/>
  <c r="BH51" i="59"/>
  <c r="BG51" i="59"/>
  <c r="BL51" i="59"/>
  <c r="BQ51" i="59" s="1"/>
  <c r="BV51" i="59" s="1"/>
  <c r="CA51" i="59" s="1"/>
  <c r="CF51" i="59" s="1"/>
  <c r="CK51" i="59" s="1"/>
  <c r="CP51" i="59" s="1"/>
  <c r="CU51" i="59" s="1"/>
  <c r="CO50" i="59"/>
  <c r="CN50" i="59"/>
  <c r="CM50" i="59"/>
  <c r="CL50" i="59"/>
  <c r="CJ50" i="59"/>
  <c r="CI50" i="59"/>
  <c r="CH50" i="59"/>
  <c r="CG50" i="59"/>
  <c r="CE50" i="59"/>
  <c r="CD50" i="59"/>
  <c r="CC50" i="59"/>
  <c r="CB50" i="59"/>
  <c r="BZ50" i="59"/>
  <c r="BY50" i="59"/>
  <c r="BX50" i="59"/>
  <c r="BW50" i="59"/>
  <c r="BU50" i="59"/>
  <c r="BT50" i="59"/>
  <c r="BS50" i="59"/>
  <c r="BR50" i="59"/>
  <c r="BP50" i="59"/>
  <c r="BO50" i="59"/>
  <c r="BN50" i="59"/>
  <c r="BM50" i="59"/>
  <c r="BK50" i="59"/>
  <c r="BJ50" i="59"/>
  <c r="BI50" i="59"/>
  <c r="BH50" i="59"/>
  <c r="BG50" i="59"/>
  <c r="BL50" i="59" s="1"/>
  <c r="BQ50" i="59" s="1"/>
  <c r="BV50" i="59" s="1"/>
  <c r="CA50" i="59" s="1"/>
  <c r="CF50" i="59" s="1"/>
  <c r="CK50" i="59" s="1"/>
  <c r="CP50" i="59" s="1"/>
  <c r="CU50" i="59" s="1"/>
  <c r="CY49" i="59"/>
  <c r="CX49" i="59"/>
  <c r="CW49" i="59"/>
  <c r="CV49" i="59"/>
  <c r="CJ49" i="59"/>
  <c r="CI49" i="59"/>
  <c r="CH49" i="59"/>
  <c r="CG49" i="59"/>
  <c r="CE49" i="59"/>
  <c r="CD49" i="59"/>
  <c r="CC49" i="59"/>
  <c r="CB49" i="59"/>
  <c r="BZ49" i="59"/>
  <c r="BY49" i="59"/>
  <c r="BX49" i="59"/>
  <c r="BW49" i="59"/>
  <c r="BU49" i="59"/>
  <c r="BT49" i="59"/>
  <c r="BS49" i="59"/>
  <c r="BR49" i="59"/>
  <c r="BP49" i="59"/>
  <c r="BO49" i="59"/>
  <c r="BN49" i="59"/>
  <c r="BM49" i="59"/>
  <c r="BK49" i="59"/>
  <c r="BJ49" i="59"/>
  <c r="BI49" i="59"/>
  <c r="BH49" i="59"/>
  <c r="BG49" i="59"/>
  <c r="BL49" i="59"/>
  <c r="BQ49" i="59" s="1"/>
  <c r="BV49" i="59" s="1"/>
  <c r="CA49" i="59" s="1"/>
  <c r="CF49" i="59" s="1"/>
  <c r="CK49" i="59" s="1"/>
  <c r="CP49" i="59" s="1"/>
  <c r="CY48" i="59"/>
  <c r="CX48" i="59"/>
  <c r="CW48" i="59"/>
  <c r="CV48" i="59"/>
  <c r="CJ48" i="59"/>
  <c r="CI48" i="59"/>
  <c r="CH48" i="59"/>
  <c r="CG48" i="59"/>
  <c r="CE48" i="59"/>
  <c r="CD48" i="59"/>
  <c r="CC48" i="59"/>
  <c r="CB48" i="59"/>
  <c r="BZ48" i="59"/>
  <c r="BY48" i="59"/>
  <c r="BX48" i="59"/>
  <c r="BW48" i="59"/>
  <c r="BU48" i="59"/>
  <c r="BT48" i="59"/>
  <c r="BS48" i="59"/>
  <c r="BR48" i="59"/>
  <c r="BP48" i="59"/>
  <c r="BO48" i="59"/>
  <c r="BN48" i="59"/>
  <c r="BM48" i="59"/>
  <c r="BK48" i="59"/>
  <c r="BJ48" i="59"/>
  <c r="BI48" i="59"/>
  <c r="BH48" i="59"/>
  <c r="BG48" i="59"/>
  <c r="BL48" i="59"/>
  <c r="BQ48" i="59" s="1"/>
  <c r="BV48" i="59" s="1"/>
  <c r="CA48" i="59" s="1"/>
  <c r="CF48" i="59" s="1"/>
  <c r="CK48" i="59" s="1"/>
  <c r="CP48" i="59" s="1"/>
  <c r="CY47" i="59"/>
  <c r="CX47" i="59"/>
  <c r="CW47" i="59"/>
  <c r="CV47" i="59"/>
  <c r="CT47" i="59"/>
  <c r="CS47" i="59"/>
  <c r="CR47" i="59"/>
  <c r="CQ47" i="59"/>
  <c r="CE47" i="59"/>
  <c r="CD47" i="59"/>
  <c r="CC47" i="59"/>
  <c r="CB47" i="59"/>
  <c r="BZ47" i="59"/>
  <c r="BY47" i="59"/>
  <c r="BX47" i="59"/>
  <c r="BW47" i="59"/>
  <c r="BU47" i="59"/>
  <c r="BT47" i="59"/>
  <c r="BS47" i="59"/>
  <c r="BR47" i="59"/>
  <c r="BP47" i="59"/>
  <c r="BO47" i="59"/>
  <c r="BN47" i="59"/>
  <c r="BM47" i="59"/>
  <c r="BK47" i="59"/>
  <c r="BJ47" i="59"/>
  <c r="BI47" i="59"/>
  <c r="BH47" i="59"/>
  <c r="BG47" i="59"/>
  <c r="BL47" i="59"/>
  <c r="BQ47" i="59" s="1"/>
  <c r="BV47" i="59" s="1"/>
  <c r="CA47" i="59" s="1"/>
  <c r="CF47" i="59" s="1"/>
  <c r="CY46" i="59"/>
  <c r="CX46" i="59"/>
  <c r="CW46" i="59"/>
  <c r="CV46" i="59"/>
  <c r="CT46" i="59"/>
  <c r="CS46" i="59"/>
  <c r="CR46" i="59"/>
  <c r="CQ46" i="59"/>
  <c r="CE46" i="59"/>
  <c r="CD46" i="59"/>
  <c r="CC46" i="59"/>
  <c r="CB46" i="59"/>
  <c r="BZ46" i="59"/>
  <c r="BY46" i="59"/>
  <c r="BX46" i="59"/>
  <c r="BW46" i="59"/>
  <c r="BU46" i="59"/>
  <c r="BT46" i="59"/>
  <c r="BS46" i="59"/>
  <c r="BR46" i="59"/>
  <c r="BP46" i="59"/>
  <c r="BO46" i="59"/>
  <c r="BN46" i="59"/>
  <c r="BM46" i="59"/>
  <c r="BK46" i="59"/>
  <c r="BJ46" i="59"/>
  <c r="BI46" i="59"/>
  <c r="BH46" i="59"/>
  <c r="BG46" i="59"/>
  <c r="BL46" i="59"/>
  <c r="CY45" i="59"/>
  <c r="CX45" i="59"/>
  <c r="CW45" i="59"/>
  <c r="CV45" i="59"/>
  <c r="CT45" i="59"/>
  <c r="CS45" i="59"/>
  <c r="CR45" i="59"/>
  <c r="CQ45" i="59"/>
  <c r="CO45" i="59"/>
  <c r="CN45" i="59"/>
  <c r="CM45" i="59"/>
  <c r="CL45" i="59"/>
  <c r="CJ45" i="59"/>
  <c r="CI45" i="59"/>
  <c r="CH45" i="59"/>
  <c r="CG45" i="59"/>
  <c r="CE45" i="59"/>
  <c r="CD45" i="59"/>
  <c r="CC45" i="59"/>
  <c r="CB45" i="59"/>
  <c r="BZ45" i="59"/>
  <c r="BY45" i="59"/>
  <c r="BX45" i="59"/>
  <c r="BW45" i="59"/>
  <c r="BU45" i="59"/>
  <c r="BT45" i="59"/>
  <c r="BS45" i="59"/>
  <c r="BR45" i="59"/>
  <c r="BP45" i="59"/>
  <c r="BO45" i="59"/>
  <c r="BN45" i="59"/>
  <c r="BM45" i="59"/>
  <c r="BK45" i="59"/>
  <c r="BJ45" i="59"/>
  <c r="BI45" i="59"/>
  <c r="BH45" i="59"/>
  <c r="BG45" i="59"/>
  <c r="BL45" i="59"/>
  <c r="BQ45" i="59" s="1"/>
  <c r="BV45" i="59" s="1"/>
  <c r="CA45" i="59" s="1"/>
  <c r="CF45" i="59" s="1"/>
  <c r="CK45" i="59" s="1"/>
  <c r="CP45" i="59" s="1"/>
  <c r="CU45" i="59" s="1"/>
  <c r="CZ45" i="59" s="1"/>
  <c r="CY44" i="59"/>
  <c r="CX44" i="59"/>
  <c r="CW44" i="59"/>
  <c r="CV44" i="59"/>
  <c r="CT44" i="59"/>
  <c r="CS44" i="59"/>
  <c r="CR44" i="59"/>
  <c r="CQ44" i="59"/>
  <c r="CO44" i="59"/>
  <c r="CN44" i="59"/>
  <c r="CM44" i="59"/>
  <c r="CL44" i="59"/>
  <c r="CJ44" i="59"/>
  <c r="CI44" i="59"/>
  <c r="CH44" i="59"/>
  <c r="CG44" i="59"/>
  <c r="CE44" i="59"/>
  <c r="CD44" i="59"/>
  <c r="CC44" i="59"/>
  <c r="CB44" i="59"/>
  <c r="BZ44" i="59"/>
  <c r="BY44" i="59"/>
  <c r="BX44" i="59"/>
  <c r="BW44" i="59"/>
  <c r="BU44" i="59"/>
  <c r="BT44" i="59"/>
  <c r="BS44" i="59"/>
  <c r="BR44" i="59"/>
  <c r="BP44" i="59"/>
  <c r="BO44" i="59"/>
  <c r="BN44" i="59"/>
  <c r="BM44" i="59"/>
  <c r="BK44" i="59"/>
  <c r="BJ44" i="59"/>
  <c r="BI44" i="59"/>
  <c r="BH44" i="59"/>
  <c r="BG44" i="59"/>
  <c r="BL44" i="59"/>
  <c r="BQ44" i="59" s="1"/>
  <c r="BV44" i="59" s="1"/>
  <c r="CT43" i="59"/>
  <c r="CS43" i="59"/>
  <c r="CR43" i="59"/>
  <c r="CQ43" i="59"/>
  <c r="CO43" i="59"/>
  <c r="CN43" i="59"/>
  <c r="CM43" i="59"/>
  <c r="CL43" i="59"/>
  <c r="CJ43" i="59"/>
  <c r="CI43" i="59"/>
  <c r="CH43" i="59"/>
  <c r="CG43" i="59"/>
  <c r="CE43" i="59"/>
  <c r="CD43" i="59"/>
  <c r="CC43" i="59"/>
  <c r="CB43" i="59"/>
  <c r="BZ43" i="59"/>
  <c r="BY43" i="59"/>
  <c r="BX43" i="59"/>
  <c r="BW43" i="59"/>
  <c r="BU43" i="59"/>
  <c r="BT43" i="59"/>
  <c r="BS43" i="59"/>
  <c r="BR43" i="59"/>
  <c r="BP43" i="59"/>
  <c r="BO43" i="59"/>
  <c r="BN43" i="59"/>
  <c r="BM43" i="59"/>
  <c r="BK43" i="59"/>
  <c r="BJ43" i="59"/>
  <c r="BI43" i="59"/>
  <c r="BH43" i="59"/>
  <c r="BG43" i="59"/>
  <c r="BL43" i="59"/>
  <c r="BQ43" i="59" s="1"/>
  <c r="BV43" i="59" s="1"/>
  <c r="CA43" i="59" s="1"/>
  <c r="CF43" i="59" s="1"/>
  <c r="CK43" i="59" s="1"/>
  <c r="CP43" i="59" s="1"/>
  <c r="CU43" i="59" s="1"/>
  <c r="CZ43" i="59" s="1"/>
  <c r="CY43" i="59" s="1"/>
  <c r="BE59" i="59"/>
  <c r="BC59" i="59"/>
  <c r="AU59" i="59"/>
  <c r="AS59" i="59" s="1"/>
  <c r="AP59" i="59"/>
  <c r="AK59" i="59"/>
  <c r="AJ59" i="59"/>
  <c r="AF59" i="59"/>
  <c r="AA59" i="59"/>
  <c r="V59" i="59"/>
  <c r="R59" i="59"/>
  <c r="Q59" i="59"/>
  <c r="O59" i="59"/>
  <c r="L59" i="59"/>
  <c r="BE71" i="59"/>
  <c r="BA71" i="59" s="1"/>
  <c r="AU71" i="59"/>
  <c r="AS71" i="59"/>
  <c r="AP71" i="59"/>
  <c r="AK71" i="59"/>
  <c r="AI71" i="59"/>
  <c r="AF71" i="59"/>
  <c r="AA71" i="59"/>
  <c r="V71" i="59"/>
  <c r="S71" i="59"/>
  <c r="Q71" i="59"/>
  <c r="L71" i="59"/>
  <c r="BE70" i="59"/>
  <c r="BC70" i="59"/>
  <c r="AU70" i="59"/>
  <c r="AS70" i="59"/>
  <c r="AP70" i="59"/>
  <c r="AK70" i="59"/>
  <c r="AF70" i="59"/>
  <c r="AA70" i="59"/>
  <c r="V70" i="59"/>
  <c r="Q70" i="59"/>
  <c r="O70" i="59"/>
  <c r="L70" i="59"/>
  <c r="BE69" i="59"/>
  <c r="BC69" i="59"/>
  <c r="AU69" i="59"/>
  <c r="AT69" i="59"/>
  <c r="AP69" i="59"/>
  <c r="AK69" i="59"/>
  <c r="AG69" i="59"/>
  <c r="AF69" i="59"/>
  <c r="AA69" i="59"/>
  <c r="V69" i="59"/>
  <c r="U69" i="59"/>
  <c r="Q69" i="59"/>
  <c r="O69" i="59" s="1"/>
  <c r="L69" i="59"/>
  <c r="BE68" i="59"/>
  <c r="BB68" i="59"/>
  <c r="AU68" i="59"/>
  <c r="AP68" i="59"/>
  <c r="AK68" i="59"/>
  <c r="AH68" i="59"/>
  <c r="AF68" i="59"/>
  <c r="AD68" i="59"/>
  <c r="AA68" i="59"/>
  <c r="V68" i="59"/>
  <c r="T68" i="59" s="1"/>
  <c r="Q68" i="59"/>
  <c r="N68" i="59"/>
  <c r="L68" i="59"/>
  <c r="BE67" i="59"/>
  <c r="AU67" i="59"/>
  <c r="AR67" i="59"/>
  <c r="AP67" i="59"/>
  <c r="AK67" i="59"/>
  <c r="AI67" i="59"/>
  <c r="AF67" i="59"/>
  <c r="AA67" i="59"/>
  <c r="V67" i="59"/>
  <c r="T67" i="59"/>
  <c r="Q67" i="59"/>
  <c r="L67" i="59"/>
  <c r="BE66" i="59"/>
  <c r="BA66" i="59"/>
  <c r="AU66" i="59"/>
  <c r="AS66" i="59"/>
  <c r="AP66" i="59"/>
  <c r="AO66" i="59"/>
  <c r="AK66" i="59"/>
  <c r="AJ66" i="59"/>
  <c r="AF66" i="59"/>
  <c r="AC66" i="59"/>
  <c r="AA66" i="59"/>
  <c r="Y66" i="59"/>
  <c r="V66" i="59"/>
  <c r="Q66" i="59"/>
  <c r="N66" i="59"/>
  <c r="L66" i="59"/>
  <c r="BE65" i="59"/>
  <c r="AU65" i="59"/>
  <c r="AR65" i="59"/>
  <c r="AP65" i="59"/>
  <c r="AK65" i="59"/>
  <c r="AG65" i="59"/>
  <c r="AF65" i="59"/>
  <c r="AE65" i="59"/>
  <c r="AA65" i="59"/>
  <c r="Z65" i="59"/>
  <c r="V65" i="59"/>
  <c r="T65" i="59"/>
  <c r="Q65" i="59"/>
  <c r="O65" i="59"/>
  <c r="L65" i="59"/>
  <c r="BE64" i="59"/>
  <c r="BC64" i="59" s="1"/>
  <c r="AU64" i="59"/>
  <c r="AP64" i="59"/>
  <c r="AK64" i="59"/>
  <c r="AH64" i="59" s="1"/>
  <c r="AF64" i="59"/>
  <c r="AA64" i="59"/>
  <c r="Y64" i="59"/>
  <c r="V64" i="59"/>
  <c r="U64" i="59"/>
  <c r="Q64" i="59"/>
  <c r="P64" i="59"/>
  <c r="L64" i="59"/>
  <c r="BE63" i="59"/>
  <c r="AU63" i="59"/>
  <c r="AP63" i="59"/>
  <c r="AN63" i="59" s="1"/>
  <c r="AK63" i="59"/>
  <c r="AG63" i="59"/>
  <c r="AF63" i="59"/>
  <c r="AD63" i="59" s="1"/>
  <c r="AA63" i="59"/>
  <c r="Y63" i="59"/>
  <c r="V63" i="59"/>
  <c r="T63" i="59" s="1"/>
  <c r="Q63" i="59"/>
  <c r="O63" i="59"/>
  <c r="L63" i="59"/>
  <c r="BE62" i="59"/>
  <c r="AU62" i="59"/>
  <c r="AP62" i="59"/>
  <c r="AM62" i="59"/>
  <c r="AK62" i="59"/>
  <c r="AJ62" i="59"/>
  <c r="AF62" i="59"/>
  <c r="AB62" i="59"/>
  <c r="AA62" i="59"/>
  <c r="Y62" i="59"/>
  <c r="V62" i="59"/>
  <c r="S62" i="59"/>
  <c r="Q62" i="59"/>
  <c r="L62" i="59"/>
  <c r="BE61" i="59"/>
  <c r="BA61" i="59"/>
  <c r="AU61" i="59"/>
  <c r="AR61" i="59"/>
  <c r="AP61" i="59"/>
  <c r="AL61" i="59"/>
  <c r="AK61" i="59"/>
  <c r="AH61" i="59"/>
  <c r="AF61" i="59"/>
  <c r="AC61" i="59"/>
  <c r="AA61" i="59"/>
  <c r="X61" i="59"/>
  <c r="V61" i="59"/>
  <c r="Q61" i="59"/>
  <c r="M61" i="59" s="1"/>
  <c r="L61" i="59"/>
  <c r="BE60" i="59"/>
  <c r="BC60" i="59"/>
  <c r="AU60" i="59"/>
  <c r="AP60" i="59"/>
  <c r="AO60" i="59"/>
  <c r="AK60" i="59"/>
  <c r="AH60" i="59" s="1"/>
  <c r="AF60" i="59"/>
  <c r="AA60" i="59"/>
  <c r="V60" i="59"/>
  <c r="Q60" i="59"/>
  <c r="N60" i="59"/>
  <c r="L60" i="59"/>
  <c r="BE58" i="59"/>
  <c r="BA58" i="59" s="1"/>
  <c r="AU58" i="59"/>
  <c r="AR58" i="59"/>
  <c r="AP58" i="59"/>
  <c r="AL58" i="59" s="1"/>
  <c r="AK58" i="59"/>
  <c r="AF58" i="59"/>
  <c r="AC58" i="59"/>
  <c r="AA58" i="59"/>
  <c r="Y58" i="59"/>
  <c r="V58" i="59"/>
  <c r="T58" i="59"/>
  <c r="Q58" i="59"/>
  <c r="P58" i="59"/>
  <c r="L58" i="59"/>
  <c r="BE57" i="59"/>
  <c r="BB57" i="59" s="1"/>
  <c r="AU57" i="59"/>
  <c r="AQ57" i="59"/>
  <c r="AP57" i="59"/>
  <c r="AO57" i="59" s="1"/>
  <c r="AK57" i="59"/>
  <c r="AF57" i="59"/>
  <c r="AB57" i="59"/>
  <c r="AA57" i="59"/>
  <c r="W57" i="59"/>
  <c r="V57" i="59"/>
  <c r="Q57" i="59"/>
  <c r="L57" i="59"/>
  <c r="BE56" i="59"/>
  <c r="AU56" i="59"/>
  <c r="AS56" i="59"/>
  <c r="AP56" i="59"/>
  <c r="AL56" i="59"/>
  <c r="AK56" i="59"/>
  <c r="AI56" i="59"/>
  <c r="AF56" i="59"/>
  <c r="AD56" i="59"/>
  <c r="AA56" i="59"/>
  <c r="Z56" i="59"/>
  <c r="V56" i="59"/>
  <c r="R56" i="59"/>
  <c r="Q56" i="59"/>
  <c r="M56" i="59"/>
  <c r="L56" i="59"/>
  <c r="BE55" i="59"/>
  <c r="AU55" i="59"/>
  <c r="AP55" i="59"/>
  <c r="AO55" i="59" s="1"/>
  <c r="AK55" i="59"/>
  <c r="AJ55" i="59" s="1"/>
  <c r="AF55" i="59"/>
  <c r="AB55" i="59" s="1"/>
  <c r="AA55" i="59"/>
  <c r="V55" i="59"/>
  <c r="S55" i="59"/>
  <c r="Q55" i="59"/>
  <c r="N55" i="59"/>
  <c r="L55" i="59"/>
  <c r="BE54" i="59"/>
  <c r="AU54" i="59"/>
  <c r="AP54" i="59"/>
  <c r="AL54" i="59" s="1"/>
  <c r="AK54" i="59"/>
  <c r="AG54" i="59" s="1"/>
  <c r="AF54" i="59"/>
  <c r="AA54" i="59"/>
  <c r="Y54" i="59"/>
  <c r="V54" i="59"/>
  <c r="Q54" i="59"/>
  <c r="L54" i="59"/>
  <c r="BE53" i="59"/>
  <c r="AU53" i="59"/>
  <c r="AP53" i="59"/>
  <c r="AM53" i="59" s="1"/>
  <c r="AK53" i="59"/>
  <c r="AH53" i="59" s="1"/>
  <c r="AF53" i="59"/>
  <c r="AB53" i="59" s="1"/>
  <c r="AA53" i="59"/>
  <c r="V53" i="59"/>
  <c r="S53" i="59"/>
  <c r="Q53" i="59"/>
  <c r="L53" i="59"/>
  <c r="BE52" i="59"/>
  <c r="BA52" i="59"/>
  <c r="AU52" i="59"/>
  <c r="AR52" i="59"/>
  <c r="AP52" i="59"/>
  <c r="AO52" i="59"/>
  <c r="AK52" i="59"/>
  <c r="AF52" i="59"/>
  <c r="AD52" i="59" s="1"/>
  <c r="AA52" i="59"/>
  <c r="V52" i="59"/>
  <c r="R52" i="59"/>
  <c r="Q52" i="59"/>
  <c r="M52" i="59"/>
  <c r="L52" i="59"/>
  <c r="BE51" i="59"/>
  <c r="BC51" i="59" s="1"/>
  <c r="AU51" i="59"/>
  <c r="AP51" i="59"/>
  <c r="AN51" i="59"/>
  <c r="AK51" i="59"/>
  <c r="AG51" i="59"/>
  <c r="AF51" i="59"/>
  <c r="AA51" i="59"/>
  <c r="V51" i="59"/>
  <c r="S51" i="59"/>
  <c r="Q51" i="59"/>
  <c r="P51" i="59"/>
  <c r="L51" i="59"/>
  <c r="BE50" i="59"/>
  <c r="AU50" i="59"/>
  <c r="AP50" i="59"/>
  <c r="AK50" i="59"/>
  <c r="AF50" i="59"/>
  <c r="AC50" i="59" s="1"/>
  <c r="AA50" i="59"/>
  <c r="V50" i="59"/>
  <c r="Q50" i="59"/>
  <c r="L50" i="59"/>
  <c r="BE49" i="59"/>
  <c r="AU49" i="59"/>
  <c r="AP49" i="59"/>
  <c r="AM49" i="59" s="1"/>
  <c r="AK49" i="59"/>
  <c r="AG49" i="59" s="1"/>
  <c r="AF49" i="59"/>
  <c r="AA49" i="59"/>
  <c r="Z49" i="59"/>
  <c r="V49" i="59"/>
  <c r="Q49" i="59"/>
  <c r="L49" i="59"/>
  <c r="BE48" i="59"/>
  <c r="AU48" i="59"/>
  <c r="AQ48" i="59"/>
  <c r="AP48" i="59"/>
  <c r="AL48" i="59"/>
  <c r="AK48" i="59"/>
  <c r="AJ48" i="59"/>
  <c r="AF48" i="59"/>
  <c r="AD48" i="59"/>
  <c r="AA48" i="59"/>
  <c r="V48" i="59"/>
  <c r="U48" i="59" s="1"/>
  <c r="Q48" i="59"/>
  <c r="P48" i="59" s="1"/>
  <c r="L48" i="59"/>
  <c r="BE47" i="59"/>
  <c r="BA47" i="59"/>
  <c r="AU47" i="59"/>
  <c r="AT47" i="59"/>
  <c r="AK47" i="59"/>
  <c r="AF47" i="59"/>
  <c r="AE47" i="59" s="1"/>
  <c r="AA47" i="59"/>
  <c r="Z47" i="59" s="1"/>
  <c r="V47" i="59"/>
  <c r="Q47" i="59"/>
  <c r="M47" i="59"/>
  <c r="L47" i="59"/>
  <c r="BE46" i="59"/>
  <c r="BA46" i="59" s="1"/>
  <c r="AU46" i="59"/>
  <c r="AQ46" i="59" s="1"/>
  <c r="AP46" i="59"/>
  <c r="AK46" i="59"/>
  <c r="AF46" i="59"/>
  <c r="AA46" i="59"/>
  <c r="W46" i="59"/>
  <c r="V46" i="59"/>
  <c r="Q46" i="59"/>
  <c r="M46" i="59" s="1"/>
  <c r="L46" i="59"/>
  <c r="BE45" i="59"/>
  <c r="BD45" i="59"/>
  <c r="AU45" i="59"/>
  <c r="AR45" i="59"/>
  <c r="AP45" i="59"/>
  <c r="AO45" i="59"/>
  <c r="AK45" i="59"/>
  <c r="AF45" i="59"/>
  <c r="AB45" i="59" s="1"/>
  <c r="AA45" i="59"/>
  <c r="X45" i="59" s="1"/>
  <c r="V45" i="59"/>
  <c r="R45" i="59" s="1"/>
  <c r="Q45" i="59"/>
  <c r="P45" i="59" s="1"/>
  <c r="L45" i="59"/>
  <c r="BE44" i="59"/>
  <c r="AU44" i="59"/>
  <c r="AQ44" i="59" s="1"/>
  <c r="AP44" i="59"/>
  <c r="AK44" i="59"/>
  <c r="AF44" i="59"/>
  <c r="AE44" i="59" s="1"/>
  <c r="AA44" i="59"/>
  <c r="W44" i="59" s="1"/>
  <c r="V44" i="59"/>
  <c r="Q44" i="59"/>
  <c r="L44" i="59"/>
  <c r="AU43" i="59"/>
  <c r="AQ43" i="59"/>
  <c r="AP43" i="59"/>
  <c r="AL43" i="59"/>
  <c r="AK43" i="59"/>
  <c r="AJ43" i="59"/>
  <c r="AF43" i="59"/>
  <c r="AA43" i="59"/>
  <c r="X43" i="59" s="1"/>
  <c r="V43" i="59"/>
  <c r="Q43" i="59"/>
  <c r="L43" i="59"/>
  <c r="L75" i="59" s="1"/>
  <c r="E32" i="59"/>
  <c r="BE32" i="59" s="1"/>
  <c r="E31" i="59"/>
  <c r="E30" i="59"/>
  <c r="AU30" i="59"/>
  <c r="E29" i="59"/>
  <c r="AP29" i="59"/>
  <c r="AO29" i="59" s="1"/>
  <c r="CT32" i="59"/>
  <c r="CS32" i="59"/>
  <c r="CR32" i="59"/>
  <c r="CQ32" i="59"/>
  <c r="CO32" i="59"/>
  <c r="CN32" i="59"/>
  <c r="CM32" i="59"/>
  <c r="CL32" i="59"/>
  <c r="CJ32" i="59"/>
  <c r="CI32" i="59"/>
  <c r="CH32" i="59"/>
  <c r="CG32" i="59"/>
  <c r="CE32" i="59"/>
  <c r="CD32" i="59"/>
  <c r="CC32" i="59"/>
  <c r="CB32" i="59"/>
  <c r="BZ32" i="59"/>
  <c r="BY32" i="59"/>
  <c r="BX32" i="59"/>
  <c r="BW32" i="59"/>
  <c r="BU32" i="59"/>
  <c r="BT32" i="59"/>
  <c r="BS32" i="59"/>
  <c r="BR32" i="59"/>
  <c r="BP32" i="59"/>
  <c r="BO32" i="59"/>
  <c r="BN32" i="59"/>
  <c r="BM32" i="59"/>
  <c r="BK32" i="59"/>
  <c r="BJ32" i="59"/>
  <c r="BI32" i="59"/>
  <c r="BH32" i="59"/>
  <c r="BG32" i="59"/>
  <c r="BL32" i="59" s="1"/>
  <c r="CO31" i="59"/>
  <c r="CN31" i="59"/>
  <c r="CM31" i="59"/>
  <c r="CL31" i="59"/>
  <c r="CJ31" i="59"/>
  <c r="CI31" i="59"/>
  <c r="CH31" i="59"/>
  <c r="CG31" i="59"/>
  <c r="CE31" i="59"/>
  <c r="CD31" i="59"/>
  <c r="CC31" i="59"/>
  <c r="CB31" i="59"/>
  <c r="BZ31" i="59"/>
  <c r="BY31" i="59"/>
  <c r="BX31" i="59"/>
  <c r="BW31" i="59"/>
  <c r="BU31" i="59"/>
  <c r="BT31" i="59"/>
  <c r="BS31" i="59"/>
  <c r="BR31" i="59"/>
  <c r="BP31" i="59"/>
  <c r="BO31" i="59"/>
  <c r="BN31" i="59"/>
  <c r="BM31" i="59"/>
  <c r="BK31" i="59"/>
  <c r="BJ31" i="59"/>
  <c r="BI31" i="59"/>
  <c r="BH31" i="59"/>
  <c r="BG31" i="59"/>
  <c r="BL31" i="59" s="1"/>
  <c r="CY30" i="59"/>
  <c r="CX30" i="59"/>
  <c r="CW30" i="59"/>
  <c r="CV30" i="59"/>
  <c r="CJ30" i="59"/>
  <c r="CI30" i="59"/>
  <c r="CH30" i="59"/>
  <c r="CG30" i="59"/>
  <c r="CE30" i="59"/>
  <c r="CD30" i="59"/>
  <c r="CC30" i="59"/>
  <c r="CB30" i="59"/>
  <c r="BZ30" i="59"/>
  <c r="BY30" i="59"/>
  <c r="BX30" i="59"/>
  <c r="BW30" i="59"/>
  <c r="BU30" i="59"/>
  <c r="BT30" i="59"/>
  <c r="BS30" i="59"/>
  <c r="BR30" i="59"/>
  <c r="BP30" i="59"/>
  <c r="BO30" i="59"/>
  <c r="BN30" i="59"/>
  <c r="BM30" i="59"/>
  <c r="BK30" i="59"/>
  <c r="BJ30" i="59"/>
  <c r="BI30" i="59"/>
  <c r="BH30" i="59"/>
  <c r="BG30" i="59"/>
  <c r="BL30" i="59" s="1"/>
  <c r="BQ30" i="59" s="1"/>
  <c r="BV30" i="59" s="1"/>
  <c r="CA30" i="59" s="1"/>
  <c r="CF30" i="59" s="1"/>
  <c r="CK30" i="59" s="1"/>
  <c r="CP30" i="59" s="1"/>
  <c r="CY29" i="59"/>
  <c r="CX29" i="59"/>
  <c r="CW29" i="59"/>
  <c r="CV29" i="59"/>
  <c r="CT29" i="59"/>
  <c r="CS29" i="59"/>
  <c r="CR29" i="59"/>
  <c r="CQ29" i="59"/>
  <c r="CE29" i="59"/>
  <c r="CD29" i="59"/>
  <c r="CC29" i="59"/>
  <c r="CB29" i="59"/>
  <c r="BZ29" i="59"/>
  <c r="BY29" i="59"/>
  <c r="BX29" i="59"/>
  <c r="BW29" i="59"/>
  <c r="BU29" i="59"/>
  <c r="BT29" i="59"/>
  <c r="BS29" i="59"/>
  <c r="BR29" i="59"/>
  <c r="BP29" i="59"/>
  <c r="BO29" i="59"/>
  <c r="BN29" i="59"/>
  <c r="BM29" i="59"/>
  <c r="BK29" i="59"/>
  <c r="BJ29" i="59"/>
  <c r="BI29" i="59"/>
  <c r="BH29" i="59"/>
  <c r="BG29" i="59"/>
  <c r="BL29" i="59" s="1"/>
  <c r="BQ29" i="59" s="1"/>
  <c r="BV29" i="59" s="1"/>
  <c r="CA29" i="59" s="1"/>
  <c r="CF29" i="59" s="1"/>
  <c r="CY28" i="59"/>
  <c r="CX28" i="59"/>
  <c r="CW28" i="59"/>
  <c r="CV28" i="59"/>
  <c r="CT28" i="59"/>
  <c r="CS28" i="59"/>
  <c r="CR28" i="59"/>
  <c r="CQ28" i="59"/>
  <c r="CO28" i="59"/>
  <c r="CN28" i="59"/>
  <c r="CM28" i="59"/>
  <c r="CL28" i="59"/>
  <c r="BZ28" i="59"/>
  <c r="BY28" i="59"/>
  <c r="BX28" i="59"/>
  <c r="BW28" i="59"/>
  <c r="BU28" i="59"/>
  <c r="BT28" i="59"/>
  <c r="BS28" i="59"/>
  <c r="BR28" i="59"/>
  <c r="BP28" i="59"/>
  <c r="BO28" i="59"/>
  <c r="BN28" i="59"/>
  <c r="BM28" i="59"/>
  <c r="BK28" i="59"/>
  <c r="BJ28" i="59"/>
  <c r="BI28" i="59"/>
  <c r="BH28" i="59"/>
  <c r="BG28" i="59"/>
  <c r="BL28" i="59" s="1"/>
  <c r="BQ28" i="59" s="1"/>
  <c r="BV28" i="59" s="1"/>
  <c r="CA28" i="59" s="1"/>
  <c r="CF28" i="59" s="1"/>
  <c r="AU32" i="59"/>
  <c r="AT32" i="59" s="1"/>
  <c r="AP32" i="59"/>
  <c r="AK32" i="59"/>
  <c r="AJ32" i="59"/>
  <c r="AF32" i="59"/>
  <c r="AA32" i="59"/>
  <c r="Y32" i="59" s="1"/>
  <c r="V32" i="59"/>
  <c r="Q32" i="59"/>
  <c r="L32" i="59"/>
  <c r="BE31" i="59"/>
  <c r="AU31" i="59"/>
  <c r="AT31" i="59" s="1"/>
  <c r="AP31" i="59"/>
  <c r="AK31" i="59"/>
  <c r="AF31" i="59"/>
  <c r="AA31" i="59"/>
  <c r="Y31" i="59"/>
  <c r="V31" i="59"/>
  <c r="U31" i="59"/>
  <c r="Q31" i="59"/>
  <c r="M31" i="59"/>
  <c r="L31" i="59"/>
  <c r="BE30" i="59"/>
  <c r="BC30" i="59" s="1"/>
  <c r="AP30" i="59"/>
  <c r="AK30" i="59"/>
  <c r="AI30" i="59"/>
  <c r="AF30" i="59"/>
  <c r="AA30" i="59"/>
  <c r="V30" i="59"/>
  <c r="Q30" i="59"/>
  <c r="O30" i="59" s="1"/>
  <c r="L30" i="59"/>
  <c r="BE29" i="59"/>
  <c r="AU29" i="59"/>
  <c r="AK29" i="59"/>
  <c r="AJ29" i="59"/>
  <c r="AF29" i="59"/>
  <c r="AA29" i="59"/>
  <c r="W29" i="59" s="1"/>
  <c r="V29" i="59"/>
  <c r="U29" i="59" s="1"/>
  <c r="Q29" i="59"/>
  <c r="M29" i="59" s="1"/>
  <c r="L29" i="59"/>
  <c r="BE28" i="59"/>
  <c r="BC28" i="59"/>
  <c r="AU28" i="59"/>
  <c r="AS28" i="59"/>
  <c r="AP28" i="59"/>
  <c r="AK28" i="59"/>
  <c r="AG28" i="59" s="1"/>
  <c r="AF28" i="59"/>
  <c r="AA28" i="59"/>
  <c r="V28" i="59"/>
  <c r="U28" i="59" s="1"/>
  <c r="Q28" i="59"/>
  <c r="L28" i="59"/>
  <c r="F24" i="59"/>
  <c r="F12" i="59" s="1"/>
  <c r="E20" i="59"/>
  <c r="BE20" i="59" s="1"/>
  <c r="E19" i="59"/>
  <c r="AU19" i="59" s="1"/>
  <c r="E18" i="59"/>
  <c r="AK18" i="59" s="1"/>
  <c r="CY22" i="59"/>
  <c r="CX22" i="59"/>
  <c r="CW22" i="59"/>
  <c r="CV22" i="59"/>
  <c r="CJ22" i="59"/>
  <c r="CI22" i="59"/>
  <c r="CH22" i="59"/>
  <c r="CG22" i="59"/>
  <c r="CE22" i="59"/>
  <c r="CD22" i="59"/>
  <c r="CC22" i="59"/>
  <c r="CB22" i="59"/>
  <c r="BZ22" i="59"/>
  <c r="BY22" i="59"/>
  <c r="BX22" i="59"/>
  <c r="BW22" i="59"/>
  <c r="BU22" i="59"/>
  <c r="BT22" i="59"/>
  <c r="BS22" i="59"/>
  <c r="BR22" i="59"/>
  <c r="BP22" i="59"/>
  <c r="BO22" i="59"/>
  <c r="BN22" i="59"/>
  <c r="BM22" i="59"/>
  <c r="BK22" i="59"/>
  <c r="BJ22" i="59"/>
  <c r="BI22" i="59"/>
  <c r="BH22" i="59"/>
  <c r="BG22" i="59"/>
  <c r="BL22" i="59" s="1"/>
  <c r="BQ22" i="59" s="1"/>
  <c r="BV22" i="59" s="1"/>
  <c r="CA22" i="59" s="1"/>
  <c r="CF22" i="59" s="1"/>
  <c r="CK22" i="59" s="1"/>
  <c r="CP22" i="59" s="1"/>
  <c r="CT20" i="59"/>
  <c r="CS20" i="59"/>
  <c r="CR20" i="59"/>
  <c r="CQ20" i="59"/>
  <c r="CO20" i="59"/>
  <c r="CN20" i="59"/>
  <c r="CM20" i="59"/>
  <c r="CL20" i="59"/>
  <c r="CJ20" i="59"/>
  <c r="CI20" i="59"/>
  <c r="CH20" i="59"/>
  <c r="CG20" i="59"/>
  <c r="CE20" i="59"/>
  <c r="CD20" i="59"/>
  <c r="CC20" i="59"/>
  <c r="CB20" i="59"/>
  <c r="BZ20" i="59"/>
  <c r="BY20" i="59"/>
  <c r="BX20" i="59"/>
  <c r="BW20" i="59"/>
  <c r="BU20" i="59"/>
  <c r="BT20" i="59"/>
  <c r="BS20" i="59"/>
  <c r="BR20" i="59"/>
  <c r="BP20" i="59"/>
  <c r="BO20" i="59"/>
  <c r="BN20" i="59"/>
  <c r="BM20" i="59"/>
  <c r="BK20" i="59"/>
  <c r="BJ20" i="59"/>
  <c r="BI20" i="59"/>
  <c r="BH20" i="59"/>
  <c r="BG20" i="59"/>
  <c r="BL20" i="59" s="1"/>
  <c r="BQ20" i="59" s="1"/>
  <c r="BV20" i="59" s="1"/>
  <c r="CA20" i="59" s="1"/>
  <c r="CF20" i="59" s="1"/>
  <c r="CK20" i="59" s="1"/>
  <c r="CP20" i="59" s="1"/>
  <c r="CU20" i="59" s="1"/>
  <c r="CY19" i="59"/>
  <c r="CX19" i="59"/>
  <c r="CW19" i="59"/>
  <c r="CV19" i="59"/>
  <c r="CJ19" i="59"/>
  <c r="CI19" i="59"/>
  <c r="CH19" i="59"/>
  <c r="CG19" i="59"/>
  <c r="CE19" i="59"/>
  <c r="CD19" i="59"/>
  <c r="CC19" i="59"/>
  <c r="CB19" i="59"/>
  <c r="BZ19" i="59"/>
  <c r="BY19" i="59"/>
  <c r="BX19" i="59"/>
  <c r="BW19" i="59"/>
  <c r="BU19" i="59"/>
  <c r="BT19" i="59"/>
  <c r="BS19" i="59"/>
  <c r="BR19" i="59"/>
  <c r="BP19" i="59"/>
  <c r="BO19" i="59"/>
  <c r="BN19" i="59"/>
  <c r="BM19" i="59"/>
  <c r="BK19" i="59"/>
  <c r="BJ19" i="59"/>
  <c r="BI19" i="59"/>
  <c r="BH19" i="59"/>
  <c r="BG19" i="59"/>
  <c r="CY18" i="59"/>
  <c r="CX18" i="59"/>
  <c r="CW18" i="59"/>
  <c r="CV18" i="59"/>
  <c r="CT18" i="59"/>
  <c r="CS18" i="59"/>
  <c r="CR18" i="59"/>
  <c r="CQ18" i="59"/>
  <c r="CO18" i="59"/>
  <c r="CN18" i="59"/>
  <c r="CM18" i="59"/>
  <c r="CL18" i="59"/>
  <c r="BZ18" i="59"/>
  <c r="BY18" i="59"/>
  <c r="BX18" i="59"/>
  <c r="BW18" i="59"/>
  <c r="BU18" i="59"/>
  <c r="BT18" i="59"/>
  <c r="BS18" i="59"/>
  <c r="BR18" i="59"/>
  <c r="BP18" i="59"/>
  <c r="BO18" i="59"/>
  <c r="BN18" i="59"/>
  <c r="BM18" i="59"/>
  <c r="BK18" i="59"/>
  <c r="BJ18" i="59"/>
  <c r="BI18" i="59"/>
  <c r="BH18" i="59"/>
  <c r="BG18" i="59"/>
  <c r="BL18" i="59" s="1"/>
  <c r="BQ18" i="59" s="1"/>
  <c r="BV18" i="59" s="1"/>
  <c r="CA18" i="59" s="1"/>
  <c r="CF18" i="59" s="1"/>
  <c r="BE22" i="59"/>
  <c r="BC22" i="59" s="1"/>
  <c r="AU22" i="59"/>
  <c r="AQ22" i="59" s="1"/>
  <c r="AP22" i="59"/>
  <c r="AK22" i="59"/>
  <c r="AF22" i="59"/>
  <c r="AA22" i="59"/>
  <c r="Y22" i="59"/>
  <c r="V22" i="59"/>
  <c r="Q22" i="59"/>
  <c r="M22" i="59" s="1"/>
  <c r="L22" i="59"/>
  <c r="AU20" i="59"/>
  <c r="AQ20" i="59"/>
  <c r="AP20" i="59"/>
  <c r="AL20" i="59"/>
  <c r="AK20" i="59"/>
  <c r="AF20" i="59"/>
  <c r="AA20" i="59"/>
  <c r="W20" i="59"/>
  <c r="V20" i="59"/>
  <c r="U20" i="59"/>
  <c r="Q20" i="59"/>
  <c r="L20" i="59"/>
  <c r="BE19" i="59"/>
  <c r="BD19" i="59"/>
  <c r="AP19" i="59"/>
  <c r="AK19" i="59"/>
  <c r="AG19" i="59" s="1"/>
  <c r="AF19" i="59"/>
  <c r="AA19" i="59"/>
  <c r="V19" i="59"/>
  <c r="Q19" i="59"/>
  <c r="M19" i="59"/>
  <c r="L19" i="59"/>
  <c r="BE18" i="59"/>
  <c r="AU18" i="59"/>
  <c r="AQ18" i="59"/>
  <c r="AP18" i="59"/>
  <c r="AF18" i="59"/>
  <c r="AE18" i="59" s="1"/>
  <c r="AA18" i="59"/>
  <c r="V18" i="59"/>
  <c r="R18" i="59"/>
  <c r="Q18" i="59"/>
  <c r="O18" i="59"/>
  <c r="L18" i="59"/>
  <c r="B2" i="59"/>
  <c r="BP66" i="51"/>
  <c r="BO66" i="51"/>
  <c r="BN66" i="51"/>
  <c r="BM66" i="51"/>
  <c r="BK66" i="51"/>
  <c r="BJ66" i="51"/>
  <c r="BI66" i="51"/>
  <c r="BH66" i="51"/>
  <c r="BF66" i="51"/>
  <c r="BE66" i="51"/>
  <c r="BD66" i="51"/>
  <c r="BC66" i="51"/>
  <c r="BA66" i="51"/>
  <c r="AY66" i="51"/>
  <c r="AX66" i="51"/>
  <c r="AS66" i="51"/>
  <c r="AN66" i="51"/>
  <c r="AI66" i="51"/>
  <c r="AD66" i="51"/>
  <c r="Y66" i="51"/>
  <c r="T66" i="51"/>
  <c r="O66" i="51"/>
  <c r="J66" i="51"/>
  <c r="F66" i="51"/>
  <c r="E66" i="51"/>
  <c r="AS65" i="51"/>
  <c r="AN65" i="51"/>
  <c r="AI65" i="51"/>
  <c r="AD65" i="51"/>
  <c r="Y65" i="51"/>
  <c r="T65" i="51"/>
  <c r="Q65" i="51"/>
  <c r="P65" i="51"/>
  <c r="O65" i="51"/>
  <c r="M65" i="51"/>
  <c r="L65" i="51"/>
  <c r="K65" i="51"/>
  <c r="J65" i="51"/>
  <c r="H65" i="51"/>
  <c r="G65" i="51"/>
  <c r="F65" i="51"/>
  <c r="E65" i="51"/>
  <c r="AS64" i="51"/>
  <c r="AN64" i="51"/>
  <c r="AI64" i="51"/>
  <c r="AD64" i="51"/>
  <c r="Y64" i="51"/>
  <c r="T64" i="51"/>
  <c r="O64" i="51"/>
  <c r="J64" i="51"/>
  <c r="BP63" i="51"/>
  <c r="BO63" i="51"/>
  <c r="BN63" i="51"/>
  <c r="BM63" i="51"/>
  <c r="BK63" i="51"/>
  <c r="BJ63" i="51"/>
  <c r="BI63" i="51"/>
  <c r="BH63" i="51"/>
  <c r="BF63" i="51"/>
  <c r="BE63" i="51"/>
  <c r="BD63" i="51"/>
  <c r="BC63" i="51"/>
  <c r="BA63" i="51"/>
  <c r="AY63" i="51"/>
  <c r="AX63" i="51"/>
  <c r="AS63" i="51"/>
  <c r="AN63" i="51"/>
  <c r="AJ63" i="51"/>
  <c r="AI63" i="51"/>
  <c r="AE63" i="51"/>
  <c r="AD63" i="51"/>
  <c r="Y63" i="51"/>
  <c r="T63" i="51"/>
  <c r="P63" i="51"/>
  <c r="O63" i="51"/>
  <c r="L63" i="51"/>
  <c r="K63" i="51"/>
  <c r="J63" i="51"/>
  <c r="G63" i="51"/>
  <c r="F63" i="51"/>
  <c r="E63" i="51"/>
  <c r="BP62" i="51"/>
  <c r="BO62" i="51"/>
  <c r="BN62" i="51"/>
  <c r="BM62" i="51"/>
  <c r="BK62" i="51"/>
  <c r="BJ62" i="51"/>
  <c r="BI62" i="51"/>
  <c r="BH62" i="51"/>
  <c r="BF62" i="51"/>
  <c r="BE62" i="51"/>
  <c r="BD62" i="51"/>
  <c r="BC62" i="51"/>
  <c r="BA62" i="51"/>
  <c r="AY62" i="51"/>
  <c r="AX62" i="51"/>
  <c r="AS62" i="51"/>
  <c r="AN62" i="51"/>
  <c r="AI62" i="51"/>
  <c r="T62" i="51"/>
  <c r="P62" i="51"/>
  <c r="O62" i="51"/>
  <c r="J62" i="51"/>
  <c r="F62" i="51"/>
  <c r="E62" i="51"/>
  <c r="AS61" i="51"/>
  <c r="AN61" i="51"/>
  <c r="AN43" i="51"/>
  <c r="AI61" i="51"/>
  <c r="AI43" i="51"/>
  <c r="AD61" i="51"/>
  <c r="AD43" i="51"/>
  <c r="Y61" i="51"/>
  <c r="Y43" i="51"/>
  <c r="O61" i="51"/>
  <c r="O43" i="51"/>
  <c r="J61" i="51"/>
  <c r="J43" i="51" s="1"/>
  <c r="E61" i="51"/>
  <c r="E43" i="51" s="1"/>
  <c r="AS60" i="51"/>
  <c r="AS42" i="51" s="1"/>
  <c r="AN60" i="51"/>
  <c r="AI60" i="51"/>
  <c r="AD60" i="51"/>
  <c r="Y60" i="51"/>
  <c r="Y42" i="51"/>
  <c r="Y102" i="46" s="1"/>
  <c r="T60" i="51"/>
  <c r="T42" i="51" s="1"/>
  <c r="P60" i="51"/>
  <c r="P42" i="51" s="1"/>
  <c r="O60" i="51"/>
  <c r="O42" i="51" s="1"/>
  <c r="J60" i="51"/>
  <c r="J42" i="51" s="1"/>
  <c r="E60" i="51"/>
  <c r="E42" i="51" s="1"/>
  <c r="BP56" i="51"/>
  <c r="BO56" i="51"/>
  <c r="BN56" i="51"/>
  <c r="BM56" i="51"/>
  <c r="BK56" i="51"/>
  <c r="BJ56" i="51"/>
  <c r="BI56" i="51"/>
  <c r="BH56" i="51"/>
  <c r="BF56" i="51"/>
  <c r="BE56" i="51"/>
  <c r="BD56" i="51"/>
  <c r="BC56" i="51"/>
  <c r="BA56" i="51"/>
  <c r="AY56" i="51"/>
  <c r="AX56" i="51"/>
  <c r="AS55" i="51"/>
  <c r="AN55" i="51"/>
  <c r="AI55" i="51"/>
  <c r="AD55" i="51"/>
  <c r="Y55" i="51"/>
  <c r="T55" i="51"/>
  <c r="O55" i="51"/>
  <c r="J55" i="51"/>
  <c r="E55" i="51"/>
  <c r="AS50" i="51"/>
  <c r="AN50" i="51"/>
  <c r="AI50" i="51"/>
  <c r="AD50" i="51"/>
  <c r="Y50" i="51"/>
  <c r="T50" i="51"/>
  <c r="O50" i="51"/>
  <c r="J50" i="51"/>
  <c r="E50" i="51"/>
  <c r="AS49" i="51"/>
  <c r="AN49" i="51"/>
  <c r="AI49" i="51"/>
  <c r="AD49" i="51"/>
  <c r="Y49" i="51"/>
  <c r="T49" i="51"/>
  <c r="O49" i="51"/>
  <c r="J49" i="51"/>
  <c r="E49" i="51"/>
  <c r="AS48" i="51"/>
  <c r="AN48" i="51"/>
  <c r="AI48" i="51"/>
  <c r="AD48" i="51"/>
  <c r="Y48" i="51"/>
  <c r="T48" i="51"/>
  <c r="O48" i="51"/>
  <c r="J48" i="51"/>
  <c r="E48" i="51"/>
  <c r="BM43" i="51"/>
  <c r="BM42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I34" i="51"/>
  <c r="AH34" i="51"/>
  <c r="AG34" i="51"/>
  <c r="AF34" i="51"/>
  <c r="AE34" i="51"/>
  <c r="AD34" i="51"/>
  <c r="AC34" i="51"/>
  <c r="AB34" i="51"/>
  <c r="AA34" i="51"/>
  <c r="Z34" i="51"/>
  <c r="Y34" i="51"/>
  <c r="X34" i="51"/>
  <c r="W34" i="51"/>
  <c r="V34" i="51"/>
  <c r="U34" i="51"/>
  <c r="T34" i="51"/>
  <c r="S34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I33" i="51"/>
  <c r="AH33" i="51"/>
  <c r="AG33" i="51"/>
  <c r="AF33" i="51"/>
  <c r="AE33" i="51"/>
  <c r="AD33" i="51"/>
  <c r="AC33" i="51"/>
  <c r="AB33" i="51"/>
  <c r="AA33" i="51"/>
  <c r="Z33" i="51"/>
  <c r="Y33" i="51"/>
  <c r="X33" i="51"/>
  <c r="W33" i="51"/>
  <c r="V33" i="51"/>
  <c r="U33" i="51"/>
  <c r="T33" i="51"/>
  <c r="S33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BQ30" i="51"/>
  <c r="BL30" i="51"/>
  <c r="BG30" i="51"/>
  <c r="BB30" i="51"/>
  <c r="G30" i="51"/>
  <c r="AU27" i="51"/>
  <c r="AT27" i="51"/>
  <c r="AS27" i="51"/>
  <c r="AR27" i="51"/>
  <c r="AP27" i="51"/>
  <c r="AO27" i="51"/>
  <c r="AN27" i="51"/>
  <c r="AM27" i="51"/>
  <c r="AK27" i="51"/>
  <c r="AJ27" i="51"/>
  <c r="AI27" i="51"/>
  <c r="AH27" i="51"/>
  <c r="AF27" i="51"/>
  <c r="AE27" i="51"/>
  <c r="AD27" i="51"/>
  <c r="AC27" i="51"/>
  <c r="AA27" i="51"/>
  <c r="Z27" i="51"/>
  <c r="Y27" i="51"/>
  <c r="X27" i="51"/>
  <c r="V27" i="51"/>
  <c r="U27" i="51"/>
  <c r="T27" i="51"/>
  <c r="S27" i="51"/>
  <c r="Q27" i="51"/>
  <c r="P27" i="51"/>
  <c r="O27" i="51"/>
  <c r="N27" i="51"/>
  <c r="L27" i="51"/>
  <c r="K27" i="51"/>
  <c r="J27" i="51"/>
  <c r="I27" i="51"/>
  <c r="G27" i="51"/>
  <c r="F27" i="51"/>
  <c r="E27" i="51"/>
  <c r="AU23" i="51"/>
  <c r="AT23" i="51"/>
  <c r="AS23" i="51"/>
  <c r="AR23" i="51"/>
  <c r="AP23" i="51"/>
  <c r="AO23" i="51"/>
  <c r="AN23" i="51"/>
  <c r="AM23" i="51"/>
  <c r="AK23" i="51"/>
  <c r="AJ23" i="51"/>
  <c r="AI23" i="51"/>
  <c r="AH23" i="51"/>
  <c r="AF23" i="51"/>
  <c r="AE23" i="51"/>
  <c r="AD23" i="51"/>
  <c r="AC23" i="51"/>
  <c r="AA23" i="51"/>
  <c r="Z23" i="51"/>
  <c r="Y23" i="51"/>
  <c r="X23" i="51"/>
  <c r="V23" i="51"/>
  <c r="U23" i="51"/>
  <c r="T23" i="51"/>
  <c r="S23" i="51"/>
  <c r="Q23" i="51"/>
  <c r="P23" i="51"/>
  <c r="O23" i="51"/>
  <c r="N23" i="51"/>
  <c r="L23" i="51"/>
  <c r="K23" i="51"/>
  <c r="J23" i="51"/>
  <c r="I23" i="51"/>
  <c r="G23" i="51"/>
  <c r="F23" i="51"/>
  <c r="E23" i="51"/>
  <c r="BQ18" i="51"/>
  <c r="AY14" i="51"/>
  <c r="BJ13" i="51"/>
  <c r="BO13" i="51"/>
  <c r="BD13" i="51"/>
  <c r="BI13" i="51"/>
  <c r="BC13" i="51"/>
  <c r="BF13" i="51"/>
  <c r="BK13" i="51" s="1"/>
  <c r="BJ12" i="51"/>
  <c r="BO12" i="51" s="1"/>
  <c r="BD12" i="51"/>
  <c r="BI12" i="51" s="1"/>
  <c r="BC12" i="51"/>
  <c r="BH12" i="51" s="1"/>
  <c r="BF12" i="51"/>
  <c r="AU13" i="51"/>
  <c r="AT13" i="51"/>
  <c r="AS13" i="51"/>
  <c r="AR13" i="51"/>
  <c r="AP13" i="51"/>
  <c r="AO13" i="51"/>
  <c r="AN13" i="51"/>
  <c r="AM13" i="51"/>
  <c r="AK13" i="51"/>
  <c r="AJ13" i="51"/>
  <c r="AI13" i="51"/>
  <c r="AH13" i="51"/>
  <c r="AF13" i="51"/>
  <c r="AE13" i="51"/>
  <c r="AD13" i="51"/>
  <c r="AC13" i="51"/>
  <c r="AA13" i="51"/>
  <c r="Z13" i="51"/>
  <c r="Y13" i="51"/>
  <c r="X13" i="51"/>
  <c r="V13" i="51"/>
  <c r="U13" i="51"/>
  <c r="T13" i="51"/>
  <c r="S13" i="51"/>
  <c r="Q13" i="51"/>
  <c r="P13" i="51"/>
  <c r="O13" i="51"/>
  <c r="N13" i="51"/>
  <c r="L13" i="51"/>
  <c r="K13" i="51"/>
  <c r="J13" i="51"/>
  <c r="I13" i="51"/>
  <c r="G13" i="51"/>
  <c r="F13" i="51"/>
  <c r="E13" i="51"/>
  <c r="AU12" i="51"/>
  <c r="AT12" i="51"/>
  <c r="AS12" i="51"/>
  <c r="AR12" i="51"/>
  <c r="AP12" i="51"/>
  <c r="AO12" i="51"/>
  <c r="AN12" i="51"/>
  <c r="AM12" i="51"/>
  <c r="AK12" i="51"/>
  <c r="AJ12" i="51"/>
  <c r="AI12" i="51"/>
  <c r="AH12" i="51"/>
  <c r="AF12" i="51"/>
  <c r="AE12" i="51"/>
  <c r="AD12" i="51"/>
  <c r="AC12" i="51"/>
  <c r="AA12" i="51"/>
  <c r="Z12" i="51"/>
  <c r="Y12" i="51"/>
  <c r="X12" i="51"/>
  <c r="V12" i="51"/>
  <c r="U12" i="51"/>
  <c r="T12" i="51"/>
  <c r="S12" i="51"/>
  <c r="Q12" i="51"/>
  <c r="P12" i="51"/>
  <c r="O12" i="51"/>
  <c r="N12" i="51"/>
  <c r="L12" i="51"/>
  <c r="K12" i="51"/>
  <c r="J12" i="51"/>
  <c r="I12" i="51"/>
  <c r="G12" i="51"/>
  <c r="F12" i="51"/>
  <c r="E12" i="51"/>
  <c r="BJ9" i="51"/>
  <c r="BJ14" i="51"/>
  <c r="BE14" i="51"/>
  <c r="BD9" i="51"/>
  <c r="BC9" i="51"/>
  <c r="BC14" i="51"/>
  <c r="AX16" i="51"/>
  <c r="AU8" i="51"/>
  <c r="AT8" i="51"/>
  <c r="AS8" i="51"/>
  <c r="AR8" i="51"/>
  <c r="AP8" i="51"/>
  <c r="AO8" i="51"/>
  <c r="AN8" i="51"/>
  <c r="AM8" i="51"/>
  <c r="AK8" i="51"/>
  <c r="AJ8" i="51"/>
  <c r="AI8" i="51"/>
  <c r="AH8" i="51"/>
  <c r="AF8" i="51"/>
  <c r="AE8" i="51"/>
  <c r="AD8" i="51"/>
  <c r="AC8" i="51"/>
  <c r="AA8" i="51"/>
  <c r="Z8" i="51"/>
  <c r="Y8" i="51"/>
  <c r="X8" i="51"/>
  <c r="V8" i="51"/>
  <c r="U8" i="51"/>
  <c r="T8" i="51"/>
  <c r="S8" i="51"/>
  <c r="Q8" i="51"/>
  <c r="P8" i="51"/>
  <c r="O8" i="51"/>
  <c r="N8" i="51"/>
  <c r="L8" i="51"/>
  <c r="K8" i="51"/>
  <c r="J8" i="51"/>
  <c r="I8" i="51"/>
  <c r="G8" i="51"/>
  <c r="F8" i="51"/>
  <c r="E8" i="51"/>
  <c r="B2" i="51"/>
  <c r="AR552" i="15"/>
  <c r="AM552" i="15"/>
  <c r="AH552" i="15"/>
  <c r="AC552" i="15"/>
  <c r="X552" i="15"/>
  <c r="S552" i="15"/>
  <c r="N552" i="15"/>
  <c r="I552" i="15"/>
  <c r="AT548" i="15"/>
  <c r="AT549" i="15" s="1"/>
  <c r="AS548" i="15"/>
  <c r="AS549" i="15" s="1"/>
  <c r="AQ548" i="15"/>
  <c r="Z548" i="15"/>
  <c r="Z549" i="15"/>
  <c r="T548" i="15"/>
  <c r="R548" i="15"/>
  <c r="Q548" i="15"/>
  <c r="Q549" i="15"/>
  <c r="P548" i="15"/>
  <c r="P549" i="15"/>
  <c r="O548" i="15"/>
  <c r="M548" i="15"/>
  <c r="L548" i="15"/>
  <c r="L549" i="15"/>
  <c r="K548" i="15"/>
  <c r="K549" i="15"/>
  <c r="J548" i="15"/>
  <c r="H548" i="15"/>
  <c r="G548" i="15"/>
  <c r="F548" i="15"/>
  <c r="F549" i="15" s="1"/>
  <c r="E548" i="15"/>
  <c r="AR540" i="15"/>
  <c r="AM540" i="15"/>
  <c r="AH540" i="15"/>
  <c r="AC540" i="15"/>
  <c r="X540" i="15"/>
  <c r="S540" i="15"/>
  <c r="N540" i="15"/>
  <c r="I540" i="15"/>
  <c r="X537" i="15"/>
  <c r="S537" i="15"/>
  <c r="N537" i="15"/>
  <c r="I537" i="15"/>
  <c r="AT534" i="15"/>
  <c r="AS534" i="15"/>
  <c r="AS543" i="15" s="1"/>
  <c r="AS541" i="15" s="1"/>
  <c r="AQ534" i="15"/>
  <c r="AQ543" i="15"/>
  <c r="AQ544" i="15" s="1"/>
  <c r="Z534" i="15"/>
  <c r="T534" i="15"/>
  <c r="R534" i="15"/>
  <c r="Q534" i="15"/>
  <c r="P534" i="15"/>
  <c r="O534" i="15"/>
  <c r="O543" i="15"/>
  <c r="M534" i="15"/>
  <c r="L534" i="15"/>
  <c r="L543" i="15" s="1"/>
  <c r="K534" i="15"/>
  <c r="K543" i="15" s="1"/>
  <c r="K555" i="15" s="1"/>
  <c r="J534" i="15"/>
  <c r="H534" i="15"/>
  <c r="H543" i="15" s="1"/>
  <c r="G534" i="15"/>
  <c r="G543" i="15" s="1"/>
  <c r="F534" i="15"/>
  <c r="E534" i="15"/>
  <c r="AR533" i="15"/>
  <c r="AR532" i="15"/>
  <c r="AR534" i="15"/>
  <c r="AP533" i="15"/>
  <c r="AO533" i="15"/>
  <c r="AN533" i="15"/>
  <c r="AN534" i="15"/>
  <c r="AN543" i="15" s="1"/>
  <c r="AN541" i="15" s="1"/>
  <c r="AL533" i="15"/>
  <c r="AL534" i="15"/>
  <c r="AK533" i="15"/>
  <c r="AK534" i="15"/>
  <c r="AJ533" i="15"/>
  <c r="AI533" i="15"/>
  <c r="AG533" i="15"/>
  <c r="AG534" i="15"/>
  <c r="AG543" i="15" s="1"/>
  <c r="AF533" i="15"/>
  <c r="AE533" i="15"/>
  <c r="AE548" i="15"/>
  <c r="AD533" i="15"/>
  <c r="AB533" i="15"/>
  <c r="AB534" i="15" s="1"/>
  <c r="AA533" i="15"/>
  <c r="Y533" i="15"/>
  <c r="W533" i="15"/>
  <c r="V533" i="15"/>
  <c r="V534" i="15"/>
  <c r="U533" i="15"/>
  <c r="U534" i="15"/>
  <c r="S533" i="15"/>
  <c r="S532" i="15"/>
  <c r="S534" i="15" s="1"/>
  <c r="N533" i="15"/>
  <c r="N534" i="15" s="1"/>
  <c r="N532" i="15"/>
  <c r="I533" i="15"/>
  <c r="I532" i="15"/>
  <c r="I534" i="15" s="1"/>
  <c r="AM532" i="15"/>
  <c r="AH532" i="15"/>
  <c r="AC532" i="15"/>
  <c r="X532" i="15"/>
  <c r="AR530" i="15"/>
  <c r="AM530" i="15"/>
  <c r="AH530" i="15"/>
  <c r="AC530" i="15"/>
  <c r="X530" i="15"/>
  <c r="S530" i="15"/>
  <c r="N530" i="15"/>
  <c r="I530" i="15"/>
  <c r="AM525" i="15"/>
  <c r="AH525" i="15"/>
  <c r="AC525" i="15"/>
  <c r="X525" i="15"/>
  <c r="S525" i="15"/>
  <c r="N525" i="15"/>
  <c r="I525" i="15"/>
  <c r="I524" i="15"/>
  <c r="AS521" i="15"/>
  <c r="AN521" i="15"/>
  <c r="AI521" i="15"/>
  <c r="AD521" i="15"/>
  <c r="Y521" i="15"/>
  <c r="T521" i="15"/>
  <c r="O521" i="15"/>
  <c r="J521" i="15"/>
  <c r="BQ520" i="15"/>
  <c r="BL520" i="15"/>
  <c r="BG520" i="15"/>
  <c r="BB520" i="15"/>
  <c r="AT520" i="15"/>
  <c r="BM519" i="15"/>
  <c r="BN519" i="15"/>
  <c r="BH519" i="15"/>
  <c r="BC519" i="15"/>
  <c r="BD519" i="15" s="1"/>
  <c r="AX519" i="15"/>
  <c r="AY519" i="15" s="1"/>
  <c r="AT519" i="15"/>
  <c r="AU519" i="15" s="1"/>
  <c r="AJ520" i="15"/>
  <c r="AK520" i="15" s="1"/>
  <c r="AJ519" i="15"/>
  <c r="AE520" i="15"/>
  <c r="AE519" i="15"/>
  <c r="P520" i="15"/>
  <c r="Q520" i="15" s="1"/>
  <c r="Q66" i="51" s="1"/>
  <c r="P66" i="51"/>
  <c r="P519" i="15"/>
  <c r="Q519" i="15" s="1"/>
  <c r="Q64" i="51" s="1"/>
  <c r="P64" i="51"/>
  <c r="K520" i="15"/>
  <c r="L520" i="15" s="1"/>
  <c r="L66" i="51" s="1"/>
  <c r="K66" i="51"/>
  <c r="K519" i="15"/>
  <c r="L519" i="15" s="1"/>
  <c r="L64" i="51" s="1"/>
  <c r="K64" i="51"/>
  <c r="G520" i="15"/>
  <c r="H520" i="15"/>
  <c r="E519" i="15"/>
  <c r="E521" i="15"/>
  <c r="BQ518" i="15"/>
  <c r="BQ517" i="15"/>
  <c r="BL518" i="15"/>
  <c r="BL517" i="15"/>
  <c r="BG518" i="15"/>
  <c r="BG517" i="15"/>
  <c r="BB518" i="15"/>
  <c r="BB517" i="15"/>
  <c r="Q518" i="15"/>
  <c r="R518" i="15"/>
  <c r="I518" i="15"/>
  <c r="AT518" i="15"/>
  <c r="AT517" i="15"/>
  <c r="Q517" i="15"/>
  <c r="Q515" i="15"/>
  <c r="R515" i="15"/>
  <c r="P516" i="15"/>
  <c r="P61" i="51"/>
  <c r="F516" i="15"/>
  <c r="F515" i="15"/>
  <c r="F60" i="51" s="1"/>
  <c r="F42" i="51" s="1"/>
  <c r="AT516" i="15"/>
  <c r="AT515" i="15"/>
  <c r="AT490" i="15" s="1"/>
  <c r="AO520" i="15"/>
  <c r="AP520" i="15"/>
  <c r="AO519" i="15"/>
  <c r="AP519" i="15"/>
  <c r="AO518" i="15"/>
  <c r="AO517" i="15"/>
  <c r="AP517" i="15" s="1"/>
  <c r="AO516" i="15"/>
  <c r="AO515" i="15"/>
  <c r="AK518" i="15"/>
  <c r="AK517" i="15"/>
  <c r="AK516" i="15"/>
  <c r="AK491" i="15" s="1"/>
  <c r="AK515" i="15"/>
  <c r="AF518" i="15"/>
  <c r="AF517" i="15"/>
  <c r="AF516" i="15"/>
  <c r="AF491" i="15" s="1"/>
  <c r="AF515" i="15"/>
  <c r="Z520" i="15"/>
  <c r="Z519" i="15"/>
  <c r="Z518" i="15"/>
  <c r="Z517" i="15"/>
  <c r="Z516" i="15"/>
  <c r="Z515" i="15"/>
  <c r="AA515" i="15"/>
  <c r="U520" i="15"/>
  <c r="V520" i="15"/>
  <c r="U519" i="15"/>
  <c r="U518" i="15"/>
  <c r="U517" i="15"/>
  <c r="U516" i="15"/>
  <c r="U515" i="15"/>
  <c r="M518" i="15"/>
  <c r="N518" i="15" s="1"/>
  <c r="K517" i="15"/>
  <c r="K62" i="51" s="1"/>
  <c r="K516" i="15"/>
  <c r="L516" i="15" s="1"/>
  <c r="K515" i="15"/>
  <c r="K60" i="51" s="1"/>
  <c r="G517" i="15"/>
  <c r="G62" i="51" s="1"/>
  <c r="BQ512" i="15"/>
  <c r="BQ511" i="15"/>
  <c r="BL512" i="15"/>
  <c r="BL511" i="15"/>
  <c r="BG512" i="15"/>
  <c r="BG511" i="15"/>
  <c r="BB512" i="15"/>
  <c r="BB511" i="15"/>
  <c r="AS512" i="15"/>
  <c r="AT512" i="15" s="1"/>
  <c r="AN512" i="15"/>
  <c r="AI512" i="15"/>
  <c r="AD512" i="15"/>
  <c r="Y512" i="15"/>
  <c r="T512" i="15"/>
  <c r="O512" i="15"/>
  <c r="O57" i="51"/>
  <c r="J512" i="15"/>
  <c r="J57" i="51"/>
  <c r="E512" i="15"/>
  <c r="F512" i="15"/>
  <c r="F57" i="51" s="1"/>
  <c r="AS511" i="15"/>
  <c r="AN511" i="15"/>
  <c r="AI511" i="15"/>
  <c r="AD511" i="15"/>
  <c r="Y511" i="15"/>
  <c r="T511" i="15"/>
  <c r="V511" i="15" s="1"/>
  <c r="U511" i="15"/>
  <c r="O511" i="15"/>
  <c r="O56" i="51" s="1"/>
  <c r="J511" i="15"/>
  <c r="J513" i="15" s="1"/>
  <c r="E511" i="15"/>
  <c r="E56" i="51" s="1"/>
  <c r="AT510" i="15"/>
  <c r="AT480" i="15" s="1"/>
  <c r="AO510" i="15"/>
  <c r="AJ510" i="15"/>
  <c r="AE510" i="15"/>
  <c r="AF510" i="15"/>
  <c r="Z510" i="15"/>
  <c r="AA510" i="15"/>
  <c r="U510" i="15"/>
  <c r="P510" i="15"/>
  <c r="K510" i="15"/>
  <c r="K55" i="51"/>
  <c r="L510" i="15"/>
  <c r="L55" i="51"/>
  <c r="F510" i="15"/>
  <c r="F55" i="51"/>
  <c r="BQ507" i="15"/>
  <c r="BL507" i="15"/>
  <c r="BG507" i="15"/>
  <c r="BB507" i="15"/>
  <c r="AS507" i="15"/>
  <c r="AN507" i="15"/>
  <c r="AI507" i="15"/>
  <c r="AD507" i="15"/>
  <c r="Y507" i="15"/>
  <c r="T507" i="15"/>
  <c r="U507" i="15" s="1"/>
  <c r="O507" i="15"/>
  <c r="O52" i="51" s="1"/>
  <c r="J507" i="15"/>
  <c r="J52" i="51" s="1"/>
  <c r="E507" i="15"/>
  <c r="E52" i="51" s="1"/>
  <c r="BC506" i="15"/>
  <c r="BD506" i="15" s="1"/>
  <c r="BE506" i="15" s="1"/>
  <c r="BF506" i="15" s="1"/>
  <c r="AX506" i="15"/>
  <c r="AY506" i="15" s="1"/>
  <c r="AS506" i="15"/>
  <c r="AT506" i="15" s="1"/>
  <c r="AN506" i="15"/>
  <c r="AO506" i="15" s="1"/>
  <c r="AI506" i="15"/>
  <c r="AD506" i="15"/>
  <c r="Y506" i="15"/>
  <c r="T506" i="15"/>
  <c r="O506" i="15"/>
  <c r="P506" i="15"/>
  <c r="J506" i="15"/>
  <c r="J51" i="51"/>
  <c r="E506" i="15"/>
  <c r="F506" i="15"/>
  <c r="BM506" i="15"/>
  <c r="BN506" i="15"/>
  <c r="BO506" i="15" s="1"/>
  <c r="BP506" i="15" s="1"/>
  <c r="BM505" i="15"/>
  <c r="BN505" i="15"/>
  <c r="BO505" i="15" s="1"/>
  <c r="BP505" i="15" s="1"/>
  <c r="BH506" i="15"/>
  <c r="BI506" i="15"/>
  <c r="BJ506" i="15" s="1"/>
  <c r="BK506" i="15" s="1"/>
  <c r="BH505" i="15"/>
  <c r="BI505" i="15"/>
  <c r="BJ505" i="15" s="1"/>
  <c r="BK505" i="15" s="1"/>
  <c r="BG505" i="15"/>
  <c r="BC505" i="15"/>
  <c r="BD505" i="15" s="1"/>
  <c r="BE505" i="15" s="1"/>
  <c r="BF505" i="15" s="1"/>
  <c r="BB505" i="15"/>
  <c r="AX505" i="15" s="1"/>
  <c r="AT505" i="15"/>
  <c r="AT504" i="15"/>
  <c r="AT503" i="15"/>
  <c r="AO505" i="15"/>
  <c r="AO504" i="15"/>
  <c r="AP504" i="15" s="1"/>
  <c r="AO503" i="15"/>
  <c r="AJ505" i="15"/>
  <c r="AJ504" i="15"/>
  <c r="AJ503" i="15"/>
  <c r="AE505" i="15"/>
  <c r="AE504" i="15"/>
  <c r="AE503" i="15"/>
  <c r="Z505" i="15"/>
  <c r="Z504" i="15"/>
  <c r="Z503" i="15"/>
  <c r="U505" i="15"/>
  <c r="U504" i="15"/>
  <c r="U503" i="15"/>
  <c r="P505" i="15"/>
  <c r="P50" i="51"/>
  <c r="P504" i="15"/>
  <c r="P49" i="51"/>
  <c r="P503" i="15"/>
  <c r="P48" i="51"/>
  <c r="K505" i="15"/>
  <c r="K50" i="51"/>
  <c r="K504" i="15"/>
  <c r="K49" i="51"/>
  <c r="K503" i="15"/>
  <c r="K48" i="51"/>
  <c r="F505" i="15"/>
  <c r="F50" i="51"/>
  <c r="F504" i="15"/>
  <c r="F49" i="51"/>
  <c r="F503" i="15"/>
  <c r="F48" i="51"/>
  <c r="BQ499" i="15"/>
  <c r="BP499" i="15"/>
  <c r="BO499" i="15"/>
  <c r="BN499" i="15"/>
  <c r="BM499" i="15"/>
  <c r="BL499" i="15"/>
  <c r="BK499" i="15"/>
  <c r="BJ499" i="15"/>
  <c r="BI499" i="15"/>
  <c r="BH499" i="15"/>
  <c r="BG499" i="15"/>
  <c r="BF499" i="15"/>
  <c r="BE499" i="15"/>
  <c r="BD499" i="15"/>
  <c r="BC499" i="15"/>
  <c r="BB499" i="15"/>
  <c r="BA499" i="15"/>
  <c r="AY499" i="15"/>
  <c r="AX499" i="15"/>
  <c r="AS491" i="15"/>
  <c r="AN491" i="15"/>
  <c r="AJ491" i="15"/>
  <c r="AI491" i="15"/>
  <c r="AE491" i="15"/>
  <c r="AD491" i="15"/>
  <c r="Z491" i="15"/>
  <c r="Y491" i="15"/>
  <c r="U491" i="15"/>
  <c r="T491" i="15"/>
  <c r="P491" i="15"/>
  <c r="O491" i="15"/>
  <c r="J491" i="15"/>
  <c r="E491" i="15"/>
  <c r="AS490" i="15"/>
  <c r="AO490" i="15"/>
  <c r="AN490" i="15"/>
  <c r="AK490" i="15"/>
  <c r="AJ490" i="15"/>
  <c r="AI490" i="15"/>
  <c r="AE490" i="15"/>
  <c r="AD490" i="15"/>
  <c r="Z490" i="15"/>
  <c r="Y490" i="15"/>
  <c r="T490" i="15"/>
  <c r="Q490" i="15"/>
  <c r="P490" i="15"/>
  <c r="O490" i="15"/>
  <c r="K490" i="15"/>
  <c r="J490" i="15"/>
  <c r="E490" i="15"/>
  <c r="BP484" i="15"/>
  <c r="BO484" i="15"/>
  <c r="BN484" i="15" s="1"/>
  <c r="BM484" i="15" s="1"/>
  <c r="BK484" i="15"/>
  <c r="BJ484" i="15"/>
  <c r="BI484" i="15" s="1"/>
  <c r="BH484" i="15" s="1"/>
  <c r="BF484" i="15"/>
  <c r="BE484" i="15"/>
  <c r="BD484" i="15" s="1"/>
  <c r="BC484" i="15" s="1"/>
  <c r="BA484" i="15"/>
  <c r="AZ484" i="15"/>
  <c r="AY484" i="15" s="1"/>
  <c r="BT479" i="15"/>
  <c r="BT478" i="15"/>
  <c r="BT477" i="15"/>
  <c r="BT476" i="15"/>
  <c r="BT475" i="15"/>
  <c r="BQ480" i="15"/>
  <c r="BL480" i="15"/>
  <c r="BH480" i="15" s="1"/>
  <c r="BH510" i="15" s="1"/>
  <c r="BG480" i="15"/>
  <c r="BC480" i="15"/>
  <c r="BG566" i="15"/>
  <c r="BB480" i="15"/>
  <c r="AS480" i="15"/>
  <c r="AN480" i="15"/>
  <c r="AJ480" i="15"/>
  <c r="AI480" i="15"/>
  <c r="AE480" i="15"/>
  <c r="AD480" i="15"/>
  <c r="Z480" i="15"/>
  <c r="Y480" i="15"/>
  <c r="T480" i="15"/>
  <c r="O480" i="15"/>
  <c r="K480" i="15"/>
  <c r="J480" i="15"/>
  <c r="F480" i="15"/>
  <c r="E480" i="15"/>
  <c r="AU472" i="15"/>
  <c r="AT472" i="15"/>
  <c r="AS472" i="15"/>
  <c r="AW472" i="15" s="1"/>
  <c r="AP472" i="15"/>
  <c r="AO472" i="15"/>
  <c r="AN472" i="15"/>
  <c r="AK472" i="15"/>
  <c r="AJ472" i="15"/>
  <c r="AI472" i="15"/>
  <c r="AF472" i="15"/>
  <c r="AE472" i="15"/>
  <c r="AD472" i="15"/>
  <c r="Z472" i="15"/>
  <c r="Y472" i="15"/>
  <c r="V472" i="15"/>
  <c r="U472" i="15"/>
  <c r="T472" i="15"/>
  <c r="Q472" i="15"/>
  <c r="P472" i="15"/>
  <c r="O472" i="15"/>
  <c r="L472" i="15"/>
  <c r="K472" i="15"/>
  <c r="J472" i="15"/>
  <c r="G472" i="15"/>
  <c r="F472" i="15"/>
  <c r="E472" i="15"/>
  <c r="AQ469" i="15"/>
  <c r="AQ465" i="15"/>
  <c r="AN469" i="15"/>
  <c r="AO469" i="15"/>
  <c r="AI469" i="15"/>
  <c r="AJ469" i="15"/>
  <c r="AD469" i="15"/>
  <c r="AE469" i="15"/>
  <c r="Y469" i="15"/>
  <c r="Z469" i="15"/>
  <c r="T469" i="15"/>
  <c r="U469" i="15"/>
  <c r="R469" i="15"/>
  <c r="Q469" i="15"/>
  <c r="Q465" i="15" s="1"/>
  <c r="Q467" i="15" s="1"/>
  <c r="O469" i="15"/>
  <c r="M469" i="15"/>
  <c r="J469" i="15"/>
  <c r="K469" i="15"/>
  <c r="K465" i="15" s="1"/>
  <c r="K467" i="15" s="1"/>
  <c r="G467" i="15"/>
  <c r="F467" i="15"/>
  <c r="E467" i="15"/>
  <c r="E473" i="15"/>
  <c r="AR466" i="15"/>
  <c r="AM466" i="15"/>
  <c r="AH466" i="15"/>
  <c r="AC466" i="15"/>
  <c r="X466" i="15"/>
  <c r="S466" i="15"/>
  <c r="N466" i="15"/>
  <c r="I466" i="15"/>
  <c r="AS465" i="15"/>
  <c r="AS467" i="15"/>
  <c r="AN465" i="15"/>
  <c r="AN467" i="15"/>
  <c r="AI465" i="15"/>
  <c r="AI467" i="15"/>
  <c r="AD465" i="15"/>
  <c r="AD467" i="15"/>
  <c r="Y465" i="15"/>
  <c r="Y467" i="15"/>
  <c r="T465" i="15"/>
  <c r="T467" i="15"/>
  <c r="R465" i="15"/>
  <c r="J465" i="15"/>
  <c r="J467" i="15" s="1"/>
  <c r="H465" i="15"/>
  <c r="I465" i="15" s="1"/>
  <c r="BP457" i="15"/>
  <c r="BO457" i="15" s="1"/>
  <c r="BN457" i="15" s="1"/>
  <c r="BM457" i="15" s="1"/>
  <c r="BA457" i="15"/>
  <c r="AZ457" i="15" s="1"/>
  <c r="AU457" i="15"/>
  <c r="AT457" i="15"/>
  <c r="AS457" i="15"/>
  <c r="AR457" i="15"/>
  <c r="AP457" i="15"/>
  <c r="AO457" i="15"/>
  <c r="AN457" i="15"/>
  <c r="AM457" i="15"/>
  <c r="AK457" i="15"/>
  <c r="AJ457" i="15"/>
  <c r="AI457" i="15"/>
  <c r="AH457" i="15"/>
  <c r="AF457" i="15"/>
  <c r="AE457" i="15"/>
  <c r="AD457" i="15"/>
  <c r="AC457" i="15"/>
  <c r="AA457" i="15"/>
  <c r="Z457" i="15"/>
  <c r="Y457" i="15"/>
  <c r="X457" i="15"/>
  <c r="V457" i="15"/>
  <c r="U457" i="15"/>
  <c r="T457" i="15"/>
  <c r="S457" i="15"/>
  <c r="Q457" i="15"/>
  <c r="P457" i="15"/>
  <c r="O457" i="15"/>
  <c r="N457" i="15"/>
  <c r="L457" i="15"/>
  <c r="K457" i="15"/>
  <c r="J457" i="15"/>
  <c r="AU456" i="15"/>
  <c r="AT456" i="15"/>
  <c r="AS456" i="15"/>
  <c r="AP456" i="15"/>
  <c r="AO456" i="15"/>
  <c r="AN456" i="15"/>
  <c r="AK456" i="15"/>
  <c r="AJ456" i="15"/>
  <c r="AI456" i="15"/>
  <c r="AF456" i="15"/>
  <c r="AE456" i="15"/>
  <c r="AD456" i="15"/>
  <c r="AA456" i="15"/>
  <c r="Z456" i="15"/>
  <c r="Y456" i="15"/>
  <c r="V456" i="15"/>
  <c r="U456" i="15"/>
  <c r="T456" i="15"/>
  <c r="Q456" i="15"/>
  <c r="P456" i="15"/>
  <c r="O456" i="15"/>
  <c r="L456" i="15"/>
  <c r="K456" i="15"/>
  <c r="J456" i="15"/>
  <c r="BQ442" i="15"/>
  <c r="BL442" i="15"/>
  <c r="BG442" i="15"/>
  <c r="BB442" i="15"/>
  <c r="AW442" i="15"/>
  <c r="AR442" i="15"/>
  <c r="AM442" i="15"/>
  <c r="AH442" i="15"/>
  <c r="BP441" i="15"/>
  <c r="BO441" i="15"/>
  <c r="BN441" i="15" s="1"/>
  <c r="BM441" i="15" s="1"/>
  <c r="BP440" i="15"/>
  <c r="BP442" i="15"/>
  <c r="BO440" i="15"/>
  <c r="BK441" i="15"/>
  <c r="BJ441" i="15" s="1"/>
  <c r="BI441" i="15" s="1"/>
  <c r="BH441" i="15" s="1"/>
  <c r="BK440" i="15"/>
  <c r="BJ440" i="15" s="1"/>
  <c r="BF441" i="15"/>
  <c r="BE441" i="15" s="1"/>
  <c r="BD441" i="15" s="1"/>
  <c r="BC441" i="15" s="1"/>
  <c r="BF440" i="15"/>
  <c r="BA441" i="15"/>
  <c r="AZ441" i="15" s="1"/>
  <c r="AY441" i="15" s="1"/>
  <c r="BA440" i="15"/>
  <c r="AZ440" i="15" s="1"/>
  <c r="AV441" i="15"/>
  <c r="AU441" i="15" s="1"/>
  <c r="AT441" i="15" s="1"/>
  <c r="AS441" i="15" s="1"/>
  <c r="AV440" i="15"/>
  <c r="AV442" i="15" s="1"/>
  <c r="AQ441" i="15"/>
  <c r="AP441" i="15" s="1"/>
  <c r="AO441" i="15" s="1"/>
  <c r="AN441" i="15" s="1"/>
  <c r="AQ440" i="15"/>
  <c r="AP440" i="15" s="1"/>
  <c r="AL441" i="15"/>
  <c r="AK441" i="15" s="1"/>
  <c r="AJ441" i="15" s="1"/>
  <c r="AI441" i="15" s="1"/>
  <c r="AL440" i="15"/>
  <c r="AL442" i="15" s="1"/>
  <c r="AG441" i="15"/>
  <c r="AF441" i="15" s="1"/>
  <c r="AG440" i="15"/>
  <c r="AF440" i="15" s="1"/>
  <c r="H441" i="15"/>
  <c r="G441" i="15"/>
  <c r="H440" i="15"/>
  <c r="H442" i="15" s="1"/>
  <c r="G440" i="15"/>
  <c r="BQ438" i="15"/>
  <c r="BP438" i="15" s="1"/>
  <c r="BL438" i="15"/>
  <c r="BK438" i="15"/>
  <c r="BG438" i="15"/>
  <c r="BF438" i="15" s="1"/>
  <c r="BB438" i="15"/>
  <c r="BA438" i="15"/>
  <c r="AZ438" i="15"/>
  <c r="AY438" i="15" s="1"/>
  <c r="AW438" i="15"/>
  <c r="AV438" i="15"/>
  <c r="AR438" i="15"/>
  <c r="AQ438" i="15" s="1"/>
  <c r="AM438" i="15"/>
  <c r="AL438" i="15"/>
  <c r="AH438" i="15"/>
  <c r="AG438" i="15" s="1"/>
  <c r="BP437" i="15"/>
  <c r="BO437" i="15"/>
  <c r="BN437" i="15"/>
  <c r="BM437" i="15" s="1"/>
  <c r="BP436" i="15"/>
  <c r="BO436" i="15" s="1"/>
  <c r="BN436" i="15" s="1"/>
  <c r="BM436" i="15" s="1"/>
  <c r="BK437" i="15"/>
  <c r="BJ437" i="15" s="1"/>
  <c r="BI437" i="15" s="1"/>
  <c r="BH437" i="15" s="1"/>
  <c r="BK436" i="15"/>
  <c r="BJ436" i="15" s="1"/>
  <c r="BI436" i="15" s="1"/>
  <c r="BH436" i="15" s="1"/>
  <c r="BF437" i="15"/>
  <c r="BE437" i="15" s="1"/>
  <c r="BD437" i="15" s="1"/>
  <c r="BC437" i="15" s="1"/>
  <c r="BF436" i="15"/>
  <c r="BE436" i="15" s="1"/>
  <c r="BD436" i="15" s="1"/>
  <c r="BC436" i="15" s="1"/>
  <c r="BA437" i="15"/>
  <c r="AZ437" i="15" s="1"/>
  <c r="AY437" i="15" s="1"/>
  <c r="BA436" i="15"/>
  <c r="AZ436" i="15"/>
  <c r="AY436" i="15" s="1"/>
  <c r="AV437" i="15"/>
  <c r="AU437" i="15" s="1"/>
  <c r="AT437" i="15" s="1"/>
  <c r="AS437" i="15" s="1"/>
  <c r="AV436" i="15"/>
  <c r="AU436" i="15" s="1"/>
  <c r="AT436" i="15" s="1"/>
  <c r="AS436" i="15" s="1"/>
  <c r="AQ437" i="15"/>
  <c r="AP437" i="15" s="1"/>
  <c r="AO437" i="15" s="1"/>
  <c r="AN437" i="15" s="1"/>
  <c r="AQ436" i="15"/>
  <c r="AP436" i="15" s="1"/>
  <c r="AO436" i="15" s="1"/>
  <c r="AN436" i="15" s="1"/>
  <c r="AL437" i="15"/>
  <c r="AK437" i="15" s="1"/>
  <c r="AJ437" i="15" s="1"/>
  <c r="AI437" i="15" s="1"/>
  <c r="AL436" i="15"/>
  <c r="AK436" i="15" s="1"/>
  <c r="AJ436" i="15" s="1"/>
  <c r="AI436" i="15" s="1"/>
  <c r="AG437" i="15"/>
  <c r="AF437" i="15" s="1"/>
  <c r="AE437" i="15" s="1"/>
  <c r="AD437" i="15" s="1"/>
  <c r="AG436" i="15"/>
  <c r="AF436" i="15" s="1"/>
  <c r="AE436" i="15" s="1"/>
  <c r="AD436" i="15" s="1"/>
  <c r="H438" i="15"/>
  <c r="H448" i="15" s="1"/>
  <c r="H437" i="15"/>
  <c r="G437" i="15" s="1"/>
  <c r="F437" i="15" s="1"/>
  <c r="E437" i="15" s="1"/>
  <c r="E447" i="15" s="1"/>
  <c r="H436" i="15"/>
  <c r="G436" i="15"/>
  <c r="F436" i="15" s="1"/>
  <c r="E436" i="15" s="1"/>
  <c r="BQ432" i="15"/>
  <c r="BM432" i="15"/>
  <c r="BL432" i="15"/>
  <c r="BJ432" i="15"/>
  <c r="BG432" i="15"/>
  <c r="BB432" i="15"/>
  <c r="AV432" i="15"/>
  <c r="AR432" i="15"/>
  <c r="AN432" i="15" s="1"/>
  <c r="AM432" i="15"/>
  <c r="AM431" i="15"/>
  <c r="AG431" i="15"/>
  <c r="AG447" i="15" s="1"/>
  <c r="AD431" i="15"/>
  <c r="H431" i="15"/>
  <c r="H447" i="15" s="1"/>
  <c r="G431" i="15"/>
  <c r="F431" i="15"/>
  <c r="AY411" i="15"/>
  <c r="BA411" i="15" s="1"/>
  <c r="AD391" i="15"/>
  <c r="AE391" i="15" s="1"/>
  <c r="AE194" i="15" s="1"/>
  <c r="Y391" i="15"/>
  <c r="Y194" i="15"/>
  <c r="BE371" i="15"/>
  <c r="BD371" i="15"/>
  <c r="AD359" i="15"/>
  <c r="AE359" i="15" s="1"/>
  <c r="Y359" i="15"/>
  <c r="Z359" i="15" s="1"/>
  <c r="AD357" i="15"/>
  <c r="AD360" i="15" s="1"/>
  <c r="Y357" i="15"/>
  <c r="AD346" i="15"/>
  <c r="AE346" i="15" s="1"/>
  <c r="Y346" i="15"/>
  <c r="Z346" i="15"/>
  <c r="AA346" i="15" s="1"/>
  <c r="I344" i="15"/>
  <c r="Y342" i="15"/>
  <c r="Z342" i="15"/>
  <c r="AD331" i="15"/>
  <c r="Y331" i="15"/>
  <c r="Z331" i="15" s="1"/>
  <c r="BK320" i="15"/>
  <c r="BJ320" i="15" s="1"/>
  <c r="BI320" i="15" s="1"/>
  <c r="BH320" i="15" s="1"/>
  <c r="BG320" i="15"/>
  <c r="BF320" i="15" s="1"/>
  <c r="BE320" i="15" s="1"/>
  <c r="BD320" i="15" s="1"/>
  <c r="BC320" i="15" s="1"/>
  <c r="BB320" i="15"/>
  <c r="BA320" i="15" s="1"/>
  <c r="AW320" i="15"/>
  <c r="AV320" i="15"/>
  <c r="AR320" i="15"/>
  <c r="AQ320" i="15" s="1"/>
  <c r="AM320" i="15"/>
  <c r="AL320" i="15"/>
  <c r="AK320" i="15" s="1"/>
  <c r="AJ320" i="15" s="1"/>
  <c r="AH320" i="15"/>
  <c r="AG320" i="15"/>
  <c r="AC320" i="15"/>
  <c r="AB320" i="15" s="1"/>
  <c r="I318" i="15"/>
  <c r="Y318" i="15"/>
  <c r="AD306" i="15"/>
  <c r="AE306" i="15" s="1"/>
  <c r="AJ306" i="15" s="1"/>
  <c r="AO306" i="15" s="1"/>
  <c r="AT306" i="15" s="1"/>
  <c r="AY306" i="15" s="1"/>
  <c r="Y306" i="15"/>
  <c r="Z306" i="15"/>
  <c r="AA306" i="15" s="1"/>
  <c r="AD304" i="15"/>
  <c r="Y304" i="15"/>
  <c r="AY293" i="15"/>
  <c r="AS293" i="15"/>
  <c r="AX293" i="15" s="1"/>
  <c r="BC293" i="15" s="1"/>
  <c r="BH293" i="15" s="1"/>
  <c r="BM293" i="15" s="1"/>
  <c r="AP293" i="15"/>
  <c r="AQ293" i="15" s="1"/>
  <c r="AV293" i="15" s="1"/>
  <c r="BA293" i="15" s="1"/>
  <c r="BF293" i="15" s="1"/>
  <c r="BK293" i="15" s="1"/>
  <c r="BP293" i="15" s="1"/>
  <c r="AI293" i="15"/>
  <c r="AF293" i="15"/>
  <c r="AD293" i="15"/>
  <c r="AE293" i="15"/>
  <c r="Y293" i="15"/>
  <c r="I291" i="15"/>
  <c r="AD291" i="15" s="1"/>
  <c r="AV289" i="15"/>
  <c r="AU289" i="15"/>
  <c r="AT289" i="15"/>
  <c r="AS289" i="15"/>
  <c r="AC289" i="15"/>
  <c r="AH289" i="15"/>
  <c r="BB289" i="15"/>
  <c r="AD280" i="15"/>
  <c r="AB280" i="15"/>
  <c r="AG280" i="15"/>
  <c r="AL280" i="15"/>
  <c r="AN280" i="15" s="1"/>
  <c r="AA280" i="15"/>
  <c r="AF280" i="15"/>
  <c r="Z280" i="15"/>
  <c r="AE280" i="15" s="1"/>
  <c r="Y280" i="15"/>
  <c r="AL278" i="15"/>
  <c r="AM278" i="15"/>
  <c r="AN278" i="15" s="1"/>
  <c r="I278" i="15"/>
  <c r="AD275" i="15"/>
  <c r="AE275" i="15"/>
  <c r="Y275" i="15"/>
  <c r="Z275" i="15"/>
  <c r="AA275" i="15" s="1"/>
  <c r="AB275" i="15" s="1"/>
  <c r="AC275" i="15" s="1"/>
  <c r="CO276" i="15"/>
  <c r="I264" i="15"/>
  <c r="CO272" i="15"/>
  <c r="CO275" i="15" s="1"/>
  <c r="CO271" i="15"/>
  <c r="CO267" i="15"/>
  <c r="AU253" i="15"/>
  <c r="CO263" i="15"/>
  <c r="CO262" i="15"/>
  <c r="CO266" i="15" s="1"/>
  <c r="BH247" i="15"/>
  <c r="BC247" i="15"/>
  <c r="BD247" i="15" s="1"/>
  <c r="AX247" i="15"/>
  <c r="AY247" i="15" s="1"/>
  <c r="AZ247" i="15" s="1"/>
  <c r="BA247" i="15" s="1"/>
  <c r="AS247" i="15"/>
  <c r="AT247" i="15" s="1"/>
  <c r="AN247" i="15"/>
  <c r="AD247" i="15"/>
  <c r="AE247" i="15"/>
  <c r="AF247" i="15" s="1"/>
  <c r="Y247" i="15"/>
  <c r="AV245" i="15"/>
  <c r="AW245" i="15"/>
  <c r="I245" i="15"/>
  <c r="Y245" i="15" s="1"/>
  <c r="CO254" i="15"/>
  <c r="CO253" i="15"/>
  <c r="CO245" i="15"/>
  <c r="CO242" i="15"/>
  <c r="CS238" i="15"/>
  <c r="CO238" i="15"/>
  <c r="I225" i="15"/>
  <c r="AD225" i="15"/>
  <c r="Y225" i="15"/>
  <c r="CO234" i="15"/>
  <c r="CK208" i="15" s="1"/>
  <c r="CO231" i="15"/>
  <c r="BY219" i="15"/>
  <c r="CT228" i="15"/>
  <c r="CU228" i="15" s="1"/>
  <c r="CS228" i="15"/>
  <c r="CO223" i="15"/>
  <c r="AV212" i="15"/>
  <c r="AU212" i="15"/>
  <c r="AT212" i="15"/>
  <c r="AS212" i="15"/>
  <c r="AQ212" i="15"/>
  <c r="AP212" i="15"/>
  <c r="AO212" i="15"/>
  <c r="AN212" i="15"/>
  <c r="AL212" i="15"/>
  <c r="AK212" i="15"/>
  <c r="AJ212" i="15"/>
  <c r="AI212" i="15"/>
  <c r="AG212" i="15"/>
  <c r="AF212" i="15"/>
  <c r="AE212" i="15"/>
  <c r="AD212" i="15"/>
  <c r="CO220" i="15"/>
  <c r="CW217" i="15"/>
  <c r="CV216" i="15"/>
  <c r="CV215" i="15"/>
  <c r="CV214" i="15"/>
  <c r="CV217" i="15" s="1"/>
  <c r="CG202" i="15"/>
  <c r="CG203" i="15" s="1"/>
  <c r="CG204" i="15" s="1"/>
  <c r="CG205" i="15" s="1"/>
  <c r="BZ206" i="15"/>
  <c r="BY206" i="15"/>
  <c r="BX206" i="15"/>
  <c r="BW206" i="15"/>
  <c r="CK209" i="15"/>
  <c r="CJ208" i="15"/>
  <c r="CJ207" i="15"/>
  <c r="CK206" i="15"/>
  <c r="CK205" i="15"/>
  <c r="CJ205" i="15"/>
  <c r="CK204" i="15"/>
  <c r="CJ204" i="15"/>
  <c r="BZ201" i="15"/>
  <c r="AM204" i="15"/>
  <c r="AI204" i="15"/>
  <c r="AM203" i="15"/>
  <c r="AJ203" i="15"/>
  <c r="AJ204" i="15"/>
  <c r="AH204" i="15"/>
  <c r="AE204" i="15" s="1"/>
  <c r="BJ204" i="15"/>
  <c r="BI204" i="15"/>
  <c r="BH204" i="15"/>
  <c r="BF204" i="15"/>
  <c r="BE204" i="15"/>
  <c r="BD204" i="15"/>
  <c r="BC204" i="15"/>
  <c r="AY204" i="15"/>
  <c r="BA204" i="15"/>
  <c r="AW204" i="15"/>
  <c r="AS204" i="15" s="1"/>
  <c r="AR204" i="15"/>
  <c r="CE223" i="15"/>
  <c r="BF203" i="15"/>
  <c r="CD223" i="15"/>
  <c r="BC203" i="15"/>
  <c r="BB203" i="15"/>
  <c r="AX203" i="15" s="1"/>
  <c r="AZ203" i="15"/>
  <c r="AW203" i="15"/>
  <c r="AU203" i="15"/>
  <c r="AR203" i="15"/>
  <c r="CA223" i="15" s="1"/>
  <c r="AH203" i="15"/>
  <c r="CZ211" i="15"/>
  <c r="CZ212" i="15" s="1"/>
  <c r="CZ213" i="15" s="1"/>
  <c r="CZ210" i="15"/>
  <c r="CO212" i="15"/>
  <c r="CK210" i="15" s="1"/>
  <c r="CE204" i="15" s="1"/>
  <c r="CB207" i="15"/>
  <c r="CA207" i="15"/>
  <c r="CD206" i="15"/>
  <c r="CC206" i="15"/>
  <c r="CB206" i="15"/>
  <c r="CA206" i="15"/>
  <c r="CD201" i="15"/>
  <c r="CB201" i="15"/>
  <c r="CA201" i="15"/>
  <c r="BY202" i="15"/>
  <c r="BX202" i="15"/>
  <c r="BW202" i="15"/>
  <c r="BY201" i="15"/>
  <c r="BY203" i="15" s="1"/>
  <c r="BX201" i="15"/>
  <c r="BW201" i="15"/>
  <c r="BW203" i="15" s="1"/>
  <c r="BW205" i="15" s="1"/>
  <c r="BW208" i="15" s="1"/>
  <c r="AX200" i="15"/>
  <c r="AY200" i="15" s="1"/>
  <c r="AS200" i="15"/>
  <c r="AT200" i="15"/>
  <c r="AU200" i="15"/>
  <c r="AV200" i="15" s="1"/>
  <c r="AN200" i="15"/>
  <c r="AO200" i="15"/>
  <c r="AP200" i="15"/>
  <c r="AQ200" i="15" s="1"/>
  <c r="AI201" i="15"/>
  <c r="AJ201" i="15"/>
  <c r="AK201" i="15"/>
  <c r="AL201" i="15" s="1"/>
  <c r="AI200" i="15"/>
  <c r="AJ200" i="15"/>
  <c r="AK200" i="15"/>
  <c r="AL200" i="15" s="1"/>
  <c r="AD201" i="15"/>
  <c r="AE201" i="15"/>
  <c r="AF201" i="15"/>
  <c r="AG201" i="15" s="1"/>
  <c r="AD200" i="15"/>
  <c r="AE200" i="15"/>
  <c r="AF200" i="15"/>
  <c r="AG200" i="15" s="1"/>
  <c r="CO209" i="15"/>
  <c r="AD194" i="15"/>
  <c r="BK193" i="15"/>
  <c r="BJ193" i="15"/>
  <c r="BH193" i="15"/>
  <c r="BI193" i="15"/>
  <c r="BG193" i="15"/>
  <c r="BF193" i="15"/>
  <c r="BE193" i="15"/>
  <c r="BC193" i="15"/>
  <c r="BD193" i="15" s="1"/>
  <c r="BA193" i="15"/>
  <c r="BB193" i="15" s="1"/>
  <c r="AZ193" i="15"/>
  <c r="CU188" i="15"/>
  <c r="CU189" i="15"/>
  <c r="CU190" i="15" s="1"/>
  <c r="CU191" i="15" s="1"/>
  <c r="CU187" i="15"/>
  <c r="CV189" i="15"/>
  <c r="CV190" i="15" s="1"/>
  <c r="CO179" i="15"/>
  <c r="AD180" i="15"/>
  <c r="BG151" i="15"/>
  <c r="BG150" i="15"/>
  <c r="BG149" i="15"/>
  <c r="AM151" i="15"/>
  <c r="AM150" i="15"/>
  <c r="AM149" i="15"/>
  <c r="AH151" i="15"/>
  <c r="AH150" i="15"/>
  <c r="AH149" i="15"/>
  <c r="AC151" i="15"/>
  <c r="AC150" i="15"/>
  <c r="AC149" i="15"/>
  <c r="AY150" i="15"/>
  <c r="BB150" i="15" s="1"/>
  <c r="AT150" i="15"/>
  <c r="AW150" i="15" s="1"/>
  <c r="AO150" i="15"/>
  <c r="AR150" i="15" s="1"/>
  <c r="AN139" i="15"/>
  <c r="AO139" i="15" s="1"/>
  <c r="AP139" i="15" s="1"/>
  <c r="AQ139" i="15" s="1"/>
  <c r="AN138" i="15"/>
  <c r="AO138" i="15" s="1"/>
  <c r="AP138" i="15" s="1"/>
  <c r="AQ138" i="15" s="1"/>
  <c r="AI139" i="15"/>
  <c r="AJ139" i="15" s="1"/>
  <c r="AK139" i="15" s="1"/>
  <c r="AL139" i="15" s="1"/>
  <c r="AI138" i="15"/>
  <c r="AJ138" i="15" s="1"/>
  <c r="AK138" i="15" s="1"/>
  <c r="AL138" i="15" s="1"/>
  <c r="AD139" i="15"/>
  <c r="AE139" i="15" s="1"/>
  <c r="AF139" i="15" s="1"/>
  <c r="AG139" i="15" s="1"/>
  <c r="AD138" i="15"/>
  <c r="AE138" i="15" s="1"/>
  <c r="AF138" i="15" s="1"/>
  <c r="AG138" i="15" s="1"/>
  <c r="Y139" i="15"/>
  <c r="Z139" i="15" s="1"/>
  <c r="AA139" i="15" s="1"/>
  <c r="AB139" i="15" s="1"/>
  <c r="Y138" i="15"/>
  <c r="Z138" i="15" s="1"/>
  <c r="AA138" i="15" s="1"/>
  <c r="AB138" i="15" s="1"/>
  <c r="C134" i="15"/>
  <c r="C132" i="15"/>
  <c r="C131" i="15"/>
  <c r="C130" i="15"/>
  <c r="C129" i="15"/>
  <c r="C128" i="15"/>
  <c r="C127" i="15"/>
  <c r="C126" i="15"/>
  <c r="C125" i="15"/>
  <c r="C124" i="15"/>
  <c r="C123" i="15"/>
  <c r="AW139" i="15"/>
  <c r="AW138" i="15"/>
  <c r="BB138" i="15" s="1"/>
  <c r="AV135" i="15"/>
  <c r="AU135" i="15"/>
  <c r="AT135" i="15"/>
  <c r="AW135" i="15" s="1"/>
  <c r="AS135" i="15"/>
  <c r="BA133" i="15"/>
  <c r="AY133" i="15"/>
  <c r="BB133" i="15" s="1"/>
  <c r="AX133" i="15"/>
  <c r="AV133" i="15"/>
  <c r="AU133" i="15"/>
  <c r="AT133" i="15"/>
  <c r="AS133" i="15"/>
  <c r="AB137" i="15"/>
  <c r="AA137" i="15"/>
  <c r="AC137" i="15" s="1"/>
  <c r="Z137" i="15"/>
  <c r="Y137" i="15"/>
  <c r="AQ135" i="15"/>
  <c r="AP135" i="15"/>
  <c r="AO135" i="15"/>
  <c r="AN135" i="15"/>
  <c r="AR135" i="15" s="1"/>
  <c r="AL135" i="15"/>
  <c r="AK135" i="15"/>
  <c r="AJ135" i="15"/>
  <c r="AI135" i="15"/>
  <c r="AG135" i="15"/>
  <c r="AF135" i="15"/>
  <c r="AE135" i="15"/>
  <c r="AH135" i="15" s="1"/>
  <c r="AD135" i="15"/>
  <c r="AB135" i="15"/>
  <c r="AA135" i="15"/>
  <c r="Z135" i="15"/>
  <c r="AC135" i="15" s="1"/>
  <c r="Y135" i="15"/>
  <c r="AQ133" i="15"/>
  <c r="AP133" i="15"/>
  <c r="AO133" i="15"/>
  <c r="AN133" i="15"/>
  <c r="AR133" i="15" s="1"/>
  <c r="AL133" i="15"/>
  <c r="AK133" i="15"/>
  <c r="AJ133" i="15"/>
  <c r="AI133" i="15"/>
  <c r="AM133" i="15" s="1"/>
  <c r="AG133" i="15"/>
  <c r="AF133" i="15"/>
  <c r="AE133" i="15"/>
  <c r="AH133" i="15" s="1"/>
  <c r="AD133" i="15"/>
  <c r="AB133" i="15"/>
  <c r="AA133" i="15"/>
  <c r="Z133" i="15"/>
  <c r="AC133" i="15" s="1"/>
  <c r="Y133" i="15"/>
  <c r="AI112" i="15"/>
  <c r="AI111" i="15"/>
  <c r="AI110" i="15"/>
  <c r="AJ109" i="15"/>
  <c r="AJ112" i="15" s="1"/>
  <c r="BI104" i="15"/>
  <c r="BD104" i="15"/>
  <c r="AY104" i="15"/>
  <c r="AT104" i="15"/>
  <c r="AO104" i="15"/>
  <c r="AJ104" i="15"/>
  <c r="AE104" i="15"/>
  <c r="Z104" i="15"/>
  <c r="BI101" i="15"/>
  <c r="BD101" i="15"/>
  <c r="BD105" i="15"/>
  <c r="AY101" i="15"/>
  <c r="AT101" i="15"/>
  <c r="AT105" i="15" s="1"/>
  <c r="AO101" i="15"/>
  <c r="AJ101" i="15"/>
  <c r="AJ105" i="15"/>
  <c r="AJ106" i="15" s="1"/>
  <c r="AJ316" i="15" s="1"/>
  <c r="AE101" i="15"/>
  <c r="Z101" i="15"/>
  <c r="BI100" i="15"/>
  <c r="BD100" i="15"/>
  <c r="AY100" i="15"/>
  <c r="AY102" i="15"/>
  <c r="AY243" i="15" s="1"/>
  <c r="AT100" i="15"/>
  <c r="AO100" i="15"/>
  <c r="AJ100" i="15"/>
  <c r="AE100" i="15"/>
  <c r="Z100" i="15"/>
  <c r="BK97" i="15"/>
  <c r="BJ97" i="15"/>
  <c r="BI97" i="15"/>
  <c r="BH97" i="15"/>
  <c r="BL97" i="15" s="1"/>
  <c r="BF97" i="15"/>
  <c r="BF156" i="15"/>
  <c r="BH156" i="15" s="1"/>
  <c r="BE97" i="15"/>
  <c r="BE156" i="15"/>
  <c r="BD97" i="15"/>
  <c r="BD156" i="15" s="1"/>
  <c r="BD157" i="15" s="1"/>
  <c r="BC97" i="15"/>
  <c r="BA97" i="15"/>
  <c r="AY97" i="15"/>
  <c r="AX97" i="15"/>
  <c r="AV97" i="15"/>
  <c r="AU97" i="15"/>
  <c r="AT97" i="15"/>
  <c r="AS97" i="15"/>
  <c r="AW97" i="15" s="1"/>
  <c r="AQ97" i="15"/>
  <c r="AP97" i="15"/>
  <c r="AO97" i="15"/>
  <c r="AN97" i="15"/>
  <c r="AR97" i="15"/>
  <c r="AL97" i="15"/>
  <c r="AK97" i="15"/>
  <c r="AJ97" i="15"/>
  <c r="AI97" i="15"/>
  <c r="AG97" i="15"/>
  <c r="AF97" i="15"/>
  <c r="AE97" i="15"/>
  <c r="AD97" i="15"/>
  <c r="AH97" i="15" s="1"/>
  <c r="AB97" i="15"/>
  <c r="AA97" i="15"/>
  <c r="Z97" i="15"/>
  <c r="AC97" i="15" s="1"/>
  <c r="Y97" i="15"/>
  <c r="BK96" i="15"/>
  <c r="BJ96" i="15"/>
  <c r="BI96" i="15"/>
  <c r="BH96" i="15"/>
  <c r="BL96" i="15" s="1"/>
  <c r="BF96" i="15"/>
  <c r="BE96" i="15"/>
  <c r="BD96" i="15"/>
  <c r="BC96" i="15"/>
  <c r="BG96" i="15" s="1"/>
  <c r="BA96" i="15"/>
  <c r="AY96" i="15"/>
  <c r="AX96" i="15"/>
  <c r="BB96" i="15" s="1"/>
  <c r="AV96" i="15"/>
  <c r="AW96" i="15"/>
  <c r="AU96" i="15"/>
  <c r="AT96" i="15"/>
  <c r="AS96" i="15"/>
  <c r="AQ96" i="15"/>
  <c r="AP96" i="15"/>
  <c r="AO96" i="15"/>
  <c r="AN96" i="15"/>
  <c r="AR96" i="15" s="1"/>
  <c r="AL96" i="15"/>
  <c r="AK96" i="15"/>
  <c r="AJ96" i="15"/>
  <c r="AM96" i="15" s="1"/>
  <c r="AI96" i="15"/>
  <c r="AG96" i="15"/>
  <c r="AF96" i="15"/>
  <c r="AE96" i="15"/>
  <c r="AD96" i="15"/>
  <c r="AH96" i="15" s="1"/>
  <c r="AB96" i="15"/>
  <c r="AC96" i="15"/>
  <c r="AA96" i="15"/>
  <c r="Z96" i="15"/>
  <c r="Y96" i="15"/>
  <c r="BK95" i="15"/>
  <c r="BJ95" i="15"/>
  <c r="BH95" i="15"/>
  <c r="BL95" i="15" s="1"/>
  <c r="BE95" i="15"/>
  <c r="BC95" i="15"/>
  <c r="AX95" i="15"/>
  <c r="AU95" i="15"/>
  <c r="AS95" i="15"/>
  <c r="AW95" i="15" s="1"/>
  <c r="AQ95" i="15"/>
  <c r="AP95" i="15"/>
  <c r="AN95" i="15"/>
  <c r="AK95" i="15"/>
  <c r="AI95" i="15"/>
  <c r="AF95" i="15"/>
  <c r="AD95" i="15"/>
  <c r="AH95" i="15" s="1"/>
  <c r="AA95" i="15"/>
  <c r="Y95" i="15"/>
  <c r="BK94" i="15"/>
  <c r="BK276" i="15"/>
  <c r="BJ94" i="15"/>
  <c r="BJ276" i="15"/>
  <c r="BI94" i="15"/>
  <c r="BH94" i="15"/>
  <c r="BL94" i="15" s="1"/>
  <c r="BL276" i="15" s="1"/>
  <c r="BF94" i="15"/>
  <c r="BF276" i="15"/>
  <c r="BE94" i="15"/>
  <c r="BE276" i="15"/>
  <c r="BD94" i="15"/>
  <c r="BD276" i="15"/>
  <c r="BC94" i="15"/>
  <c r="BC276" i="15"/>
  <c r="BA94" i="15"/>
  <c r="BA276" i="15"/>
  <c r="AY94" i="15"/>
  <c r="AX94" i="15"/>
  <c r="AV94" i="15"/>
  <c r="AV276" i="15"/>
  <c r="AU94" i="15"/>
  <c r="AT94" i="15"/>
  <c r="AT276" i="15" s="1"/>
  <c r="AS94" i="15"/>
  <c r="AQ94" i="15"/>
  <c r="AQ276" i="15"/>
  <c r="AP94" i="15"/>
  <c r="AP276" i="15"/>
  <c r="AO94" i="15"/>
  <c r="AN94" i="15"/>
  <c r="AL94" i="15"/>
  <c r="AL276" i="15"/>
  <c r="AK94" i="15"/>
  <c r="AK276" i="15"/>
  <c r="AJ94" i="15"/>
  <c r="AI94" i="15"/>
  <c r="AI276" i="15" s="1"/>
  <c r="AG94" i="15"/>
  <c r="AG276" i="15" s="1"/>
  <c r="AF94" i="15"/>
  <c r="AF276" i="15" s="1"/>
  <c r="AE94" i="15"/>
  <c r="AD94" i="15"/>
  <c r="AD276" i="15"/>
  <c r="AB94" i="15"/>
  <c r="AA94" i="15"/>
  <c r="AA276" i="15" s="1"/>
  <c r="Z94" i="15"/>
  <c r="Y94" i="15"/>
  <c r="BK93" i="15"/>
  <c r="BJ93" i="15"/>
  <c r="BI93" i="15"/>
  <c r="BH93" i="15"/>
  <c r="BL93" i="15" s="1"/>
  <c r="BF93" i="15"/>
  <c r="BE93" i="15"/>
  <c r="BD93" i="15"/>
  <c r="BC93" i="15"/>
  <c r="BA93" i="15"/>
  <c r="AY93" i="15"/>
  <c r="AX93" i="15"/>
  <c r="AV93" i="15"/>
  <c r="AU93" i="15"/>
  <c r="AT93" i="15"/>
  <c r="AS93" i="15"/>
  <c r="AQ93" i="15"/>
  <c r="AP93" i="15"/>
  <c r="AO93" i="15"/>
  <c r="AN93" i="15"/>
  <c r="AL93" i="15"/>
  <c r="AK93" i="15"/>
  <c r="AJ93" i="15"/>
  <c r="AI93" i="15"/>
  <c r="AG93" i="15"/>
  <c r="AF93" i="15"/>
  <c r="AE93" i="15"/>
  <c r="AD93" i="15"/>
  <c r="AB93" i="15"/>
  <c r="AA93" i="15"/>
  <c r="Z93" i="15"/>
  <c r="Y93" i="15"/>
  <c r="BI90" i="15"/>
  <c r="BD90" i="15"/>
  <c r="AY90" i="15"/>
  <c r="AT90" i="15"/>
  <c r="AO90" i="15"/>
  <c r="AJ90" i="15"/>
  <c r="AE90" i="15"/>
  <c r="Z90" i="15"/>
  <c r="Y90" i="15"/>
  <c r="AC90" i="15" s="1"/>
  <c r="BK89" i="15"/>
  <c r="BJ89" i="15"/>
  <c r="BI89" i="15"/>
  <c r="BH89" i="15"/>
  <c r="BL89" i="15" s="1"/>
  <c r="BF89" i="15"/>
  <c r="BE89" i="15"/>
  <c r="BD89" i="15"/>
  <c r="BC89" i="15"/>
  <c r="BA89" i="15"/>
  <c r="AY89" i="15"/>
  <c r="AX89" i="15"/>
  <c r="AV89" i="15"/>
  <c r="AU89" i="15"/>
  <c r="AT89" i="15"/>
  <c r="AS89" i="15"/>
  <c r="AQ89" i="15"/>
  <c r="AP89" i="15"/>
  <c r="AO89" i="15"/>
  <c r="AN89" i="15"/>
  <c r="AL89" i="15"/>
  <c r="AK89" i="15"/>
  <c r="AJ89" i="15"/>
  <c r="AI89" i="15"/>
  <c r="AM89" i="15" s="1"/>
  <c r="AG89" i="15"/>
  <c r="AF89" i="15"/>
  <c r="AE89" i="15"/>
  <c r="AD89" i="15"/>
  <c r="AB89" i="15"/>
  <c r="AA89" i="15"/>
  <c r="Z89" i="15"/>
  <c r="Y89" i="15"/>
  <c r="AC89" i="15" s="1"/>
  <c r="BK87" i="15"/>
  <c r="BJ87" i="15"/>
  <c r="BI87" i="15"/>
  <c r="BH87" i="15"/>
  <c r="BL87" i="15" s="1"/>
  <c r="BF87" i="15"/>
  <c r="BE87" i="15"/>
  <c r="BD87" i="15"/>
  <c r="BG87" i="15" s="1"/>
  <c r="BC87" i="15"/>
  <c r="BA87" i="15"/>
  <c r="AY87" i="15"/>
  <c r="AX87" i="15"/>
  <c r="AV87" i="15"/>
  <c r="AU87" i="15"/>
  <c r="AT87" i="15"/>
  <c r="AS87" i="15"/>
  <c r="AQ87" i="15"/>
  <c r="AP87" i="15"/>
  <c r="AO87" i="15"/>
  <c r="AR87" i="15"/>
  <c r="AN87" i="15"/>
  <c r="AL87" i="15"/>
  <c r="AK87" i="15"/>
  <c r="AJ87" i="15"/>
  <c r="AI87" i="15"/>
  <c r="AM87" i="15" s="1"/>
  <c r="AG87" i="15"/>
  <c r="AF87" i="15"/>
  <c r="AE87" i="15"/>
  <c r="AD87" i="15"/>
  <c r="AB87" i="15"/>
  <c r="AA87" i="15"/>
  <c r="AC87" i="15" s="1"/>
  <c r="Z87" i="15"/>
  <c r="Y87" i="15"/>
  <c r="BK86" i="15"/>
  <c r="BJ86" i="15"/>
  <c r="BI86" i="15"/>
  <c r="BH86" i="15"/>
  <c r="BL86" i="15" s="1"/>
  <c r="BF86" i="15"/>
  <c r="BE86" i="15"/>
  <c r="BD86" i="15"/>
  <c r="BC86" i="15"/>
  <c r="BA86" i="15"/>
  <c r="AY86" i="15"/>
  <c r="AX86" i="15"/>
  <c r="AV86" i="15"/>
  <c r="AU86" i="15"/>
  <c r="AT86" i="15"/>
  <c r="AS86" i="15"/>
  <c r="AQ86" i="15"/>
  <c r="AP86" i="15"/>
  <c r="AO86" i="15"/>
  <c r="AN86" i="15"/>
  <c r="AR86" i="15" s="1"/>
  <c r="AL86" i="15"/>
  <c r="AK86" i="15"/>
  <c r="AJ86" i="15"/>
  <c r="AI86" i="15"/>
  <c r="AG86" i="15"/>
  <c r="AF86" i="15"/>
  <c r="AE86" i="15"/>
  <c r="AD86" i="15"/>
  <c r="AH86" i="15"/>
  <c r="AB86" i="15"/>
  <c r="AA86" i="15"/>
  <c r="Z86" i="15"/>
  <c r="Y86" i="15"/>
  <c r="AC86" i="15" s="1"/>
  <c r="BK84" i="15"/>
  <c r="BJ84" i="15"/>
  <c r="BI84" i="15"/>
  <c r="BH84" i="15"/>
  <c r="BL84" i="15" s="1"/>
  <c r="BF84" i="15"/>
  <c r="BE84" i="15"/>
  <c r="BG84" i="15"/>
  <c r="BD84" i="15"/>
  <c r="BC84" i="15"/>
  <c r="BA84" i="15"/>
  <c r="AY84" i="15"/>
  <c r="AX84" i="15"/>
  <c r="BB84" i="15" s="1"/>
  <c r="AV84" i="15"/>
  <c r="AU84" i="15"/>
  <c r="AW84" i="15" s="1"/>
  <c r="AT84" i="15"/>
  <c r="AS84" i="15"/>
  <c r="AQ84" i="15"/>
  <c r="AP84" i="15"/>
  <c r="AO84" i="15"/>
  <c r="AN84" i="15"/>
  <c r="AL84" i="15"/>
  <c r="AK84" i="15"/>
  <c r="AJ84" i="15"/>
  <c r="AI84" i="15"/>
  <c r="AM84" i="15" s="1"/>
  <c r="AG84" i="15"/>
  <c r="AF84" i="15"/>
  <c r="AE84" i="15"/>
  <c r="AH84" i="15"/>
  <c r="AD84" i="15"/>
  <c r="AB84" i="15"/>
  <c r="AA84" i="15"/>
  <c r="Z84" i="15"/>
  <c r="Y84" i="15"/>
  <c r="AC84" i="15" s="1"/>
  <c r="BK83" i="15"/>
  <c r="BJ83" i="15"/>
  <c r="BI83" i="15"/>
  <c r="BH83" i="15"/>
  <c r="BL83" i="15" s="1"/>
  <c r="BF83" i="15"/>
  <c r="BE83" i="15"/>
  <c r="BD83" i="15"/>
  <c r="BC83" i="15"/>
  <c r="BA83" i="15"/>
  <c r="AY83" i="15"/>
  <c r="AX83" i="15"/>
  <c r="AV83" i="15"/>
  <c r="AU83" i="15"/>
  <c r="AT83" i="15"/>
  <c r="AS83" i="15"/>
  <c r="AQ83" i="15"/>
  <c r="AP83" i="15"/>
  <c r="AO83" i="15"/>
  <c r="AN83" i="15"/>
  <c r="AL83" i="15"/>
  <c r="AK83" i="15"/>
  <c r="AJ83" i="15"/>
  <c r="AI83" i="15"/>
  <c r="AG83" i="15"/>
  <c r="AF83" i="15"/>
  <c r="AE83" i="15"/>
  <c r="AD83" i="15"/>
  <c r="AB83" i="15"/>
  <c r="AA83" i="15"/>
  <c r="Z83" i="15"/>
  <c r="Y83" i="15"/>
  <c r="BK81" i="15"/>
  <c r="BJ81" i="15"/>
  <c r="BI81" i="15"/>
  <c r="BH81" i="15"/>
  <c r="BL81" i="15" s="1"/>
  <c r="BF81" i="15"/>
  <c r="BE81" i="15"/>
  <c r="BD81" i="15"/>
  <c r="BC81" i="15"/>
  <c r="BG81" i="15" s="1"/>
  <c r="BA81" i="15"/>
  <c r="AY81" i="15"/>
  <c r="AX81" i="15"/>
  <c r="AV81" i="15"/>
  <c r="AU81" i="15"/>
  <c r="AT81" i="15"/>
  <c r="AS81" i="15"/>
  <c r="AQ81" i="15"/>
  <c r="AP81" i="15"/>
  <c r="AO81" i="15"/>
  <c r="AN81" i="15"/>
  <c r="AL81" i="15"/>
  <c r="AK81" i="15"/>
  <c r="AJ81" i="15"/>
  <c r="AI81" i="15"/>
  <c r="AG81" i="15"/>
  <c r="AF81" i="15"/>
  <c r="AE81" i="15"/>
  <c r="AD81" i="15"/>
  <c r="AB81" i="15"/>
  <c r="AA81" i="15"/>
  <c r="Z81" i="15"/>
  <c r="Y81" i="15"/>
  <c r="BK80" i="15"/>
  <c r="BJ80" i="15"/>
  <c r="BI80" i="15"/>
  <c r="BH80" i="15"/>
  <c r="BL80" i="15" s="1"/>
  <c r="BF80" i="15"/>
  <c r="BE80" i="15"/>
  <c r="BD80" i="15"/>
  <c r="BC80" i="15"/>
  <c r="BA80" i="15"/>
  <c r="AY80" i="15"/>
  <c r="AX80" i="15"/>
  <c r="AV80" i="15"/>
  <c r="AU80" i="15"/>
  <c r="AT80" i="15"/>
  <c r="AS80" i="15"/>
  <c r="AQ80" i="15"/>
  <c r="AP80" i="15"/>
  <c r="AO80" i="15"/>
  <c r="AN80" i="15"/>
  <c r="AL80" i="15"/>
  <c r="AK80" i="15"/>
  <c r="AJ80" i="15"/>
  <c r="AI80" i="15"/>
  <c r="AG80" i="15"/>
  <c r="AF80" i="15"/>
  <c r="AE80" i="15"/>
  <c r="AD80" i="15"/>
  <c r="AB80" i="15"/>
  <c r="AA80" i="15"/>
  <c r="Z80" i="15"/>
  <c r="Y80" i="15"/>
  <c r="BK56" i="15"/>
  <c r="BJ56" i="15"/>
  <c r="BI56" i="15"/>
  <c r="BH56" i="15"/>
  <c r="BL56" i="15" s="1"/>
  <c r="BF56" i="15"/>
  <c r="BE56" i="15"/>
  <c r="BD56" i="15"/>
  <c r="BC56" i="15"/>
  <c r="BA56" i="15"/>
  <c r="AY56" i="15"/>
  <c r="AX56" i="15"/>
  <c r="AV56" i="15"/>
  <c r="AU56" i="15"/>
  <c r="AT56" i="15"/>
  <c r="AS56" i="15"/>
  <c r="AQ56" i="15"/>
  <c r="AP56" i="15"/>
  <c r="AO56" i="15"/>
  <c r="AN56" i="15"/>
  <c r="AL56" i="15"/>
  <c r="AK56" i="15"/>
  <c r="AJ56" i="15"/>
  <c r="AI56" i="15"/>
  <c r="AG56" i="15"/>
  <c r="AF56" i="15"/>
  <c r="AE56" i="15"/>
  <c r="AD56" i="15"/>
  <c r="AB56" i="15"/>
  <c r="AA56" i="15"/>
  <c r="Z56" i="15"/>
  <c r="Y56" i="15"/>
  <c r="V56" i="15"/>
  <c r="U56" i="15"/>
  <c r="T56" i="15"/>
  <c r="X56" i="15" s="1"/>
  <c r="R56" i="15"/>
  <c r="Q56" i="15"/>
  <c r="P56" i="15"/>
  <c r="O56" i="15"/>
  <c r="BK55" i="15"/>
  <c r="BI55" i="15"/>
  <c r="BD55" i="15"/>
  <c r="AY55" i="15"/>
  <c r="AT55" i="15"/>
  <c r="AO55" i="15"/>
  <c r="AJ55" i="15"/>
  <c r="AE55" i="15"/>
  <c r="Z55" i="15"/>
  <c r="V55" i="15"/>
  <c r="U55" i="15"/>
  <c r="T55" i="15"/>
  <c r="R55" i="15"/>
  <c r="Q55" i="15"/>
  <c r="P55" i="15"/>
  <c r="O55" i="15"/>
  <c r="BK54" i="15"/>
  <c r="BJ54" i="15"/>
  <c r="BI54" i="15"/>
  <c r="BH54" i="15"/>
  <c r="BL54" i="15" s="1"/>
  <c r="BF54" i="15"/>
  <c r="BE54" i="15"/>
  <c r="BD54" i="15"/>
  <c r="BC54" i="15"/>
  <c r="BA54" i="15"/>
  <c r="AY54" i="15"/>
  <c r="AX54" i="15"/>
  <c r="AV54" i="15"/>
  <c r="AU54" i="15"/>
  <c r="AT54" i="15"/>
  <c r="AS54" i="15"/>
  <c r="AQ54" i="15"/>
  <c r="AP54" i="15"/>
  <c r="AO54" i="15"/>
  <c r="AN54" i="15"/>
  <c r="AL54" i="15"/>
  <c r="AK54" i="15"/>
  <c r="AJ54" i="15"/>
  <c r="AI54" i="15"/>
  <c r="AG54" i="15"/>
  <c r="AF54" i="15"/>
  <c r="AE54" i="15"/>
  <c r="AD54" i="15"/>
  <c r="AB54" i="15"/>
  <c r="AA54" i="15"/>
  <c r="Z54" i="15"/>
  <c r="Y54" i="15"/>
  <c r="V54" i="15"/>
  <c r="U54" i="15"/>
  <c r="T54" i="15"/>
  <c r="R54" i="15"/>
  <c r="Q54" i="15"/>
  <c r="P54" i="15"/>
  <c r="O54" i="15"/>
  <c r="BK53" i="15"/>
  <c r="BI53" i="15"/>
  <c r="BD53" i="15"/>
  <c r="AY53" i="15"/>
  <c r="AT53" i="15"/>
  <c r="AO53" i="15"/>
  <c r="AJ53" i="15"/>
  <c r="AE53" i="15"/>
  <c r="Z53" i="15"/>
  <c r="W53" i="15"/>
  <c r="V53" i="15"/>
  <c r="U53" i="15"/>
  <c r="T53" i="15"/>
  <c r="R53" i="15"/>
  <c r="Q53" i="15"/>
  <c r="P53" i="15"/>
  <c r="O53" i="15"/>
  <c r="BH50" i="15"/>
  <c r="BI50" i="15"/>
  <c r="BJ50" i="15"/>
  <c r="BG50" i="15"/>
  <c r="BC50" i="15"/>
  <c r="BB50" i="15"/>
  <c r="AX50" i="15"/>
  <c r="AY50" i="15" s="1"/>
  <c r="AZ50" i="15" s="1"/>
  <c r="AW50" i="15"/>
  <c r="AS50" i="15"/>
  <c r="AR50" i="15"/>
  <c r="AN50" i="15"/>
  <c r="AM50" i="15"/>
  <c r="AI50" i="15"/>
  <c r="AH50" i="15"/>
  <c r="AD50" i="15"/>
  <c r="AC50" i="15"/>
  <c r="Y50" i="15"/>
  <c r="Z50" i="15" s="1"/>
  <c r="AA50" i="15" s="1"/>
  <c r="AB50" i="15" s="1"/>
  <c r="BH49" i="15"/>
  <c r="BI49" i="15" s="1"/>
  <c r="BJ49" i="15" s="1"/>
  <c r="BK49" i="15" s="1"/>
  <c r="BG49" i="15"/>
  <c r="BC49" i="15" s="1"/>
  <c r="BD49" i="15" s="1"/>
  <c r="BE49" i="15" s="1"/>
  <c r="BF49" i="15" s="1"/>
  <c r="BB49" i="15"/>
  <c r="AX49" i="15"/>
  <c r="AS49" i="15"/>
  <c r="AT49" i="15"/>
  <c r="AT46" i="15" s="1"/>
  <c r="AR49" i="15"/>
  <c r="AN49" i="15"/>
  <c r="AM49" i="15"/>
  <c r="AI49" i="15" s="1"/>
  <c r="AH49" i="15"/>
  <c r="AD49" i="15"/>
  <c r="AC49" i="15"/>
  <c r="Y49" i="15" s="1"/>
  <c r="BI46" i="15"/>
  <c r="BD46" i="15"/>
  <c r="AS46" i="15"/>
  <c r="V46" i="15"/>
  <c r="U46" i="15"/>
  <c r="T46" i="15"/>
  <c r="R46" i="15"/>
  <c r="Q46" i="15"/>
  <c r="P46" i="15"/>
  <c r="O46" i="15"/>
  <c r="S46" i="15"/>
  <c r="AU38" i="15"/>
  <c r="AT38" i="15"/>
  <c r="AS38" i="15"/>
  <c r="AR38" i="15"/>
  <c r="AQ38" i="15"/>
  <c r="AP38" i="15"/>
  <c r="AO38" i="15"/>
  <c r="AN38" i="15"/>
  <c r="AM38" i="15"/>
  <c r="AL38" i="15"/>
  <c r="AK38" i="15"/>
  <c r="AJ38" i="15"/>
  <c r="AI38" i="15"/>
  <c r="AH38" i="15"/>
  <c r="AG38" i="15"/>
  <c r="AF38" i="15"/>
  <c r="AE38" i="15"/>
  <c r="AD38" i="15"/>
  <c r="AC38" i="15"/>
  <c r="AB38" i="15"/>
  <c r="AA38" i="15"/>
  <c r="Z38" i="15"/>
  <c r="Y38" i="15"/>
  <c r="X38" i="15"/>
  <c r="W38" i="15"/>
  <c r="V38" i="15"/>
  <c r="U38" i="15"/>
  <c r="T38" i="15"/>
  <c r="S38" i="15"/>
  <c r="R38" i="15"/>
  <c r="Q38" i="15"/>
  <c r="P38" i="15"/>
  <c r="O38" i="15"/>
  <c r="N38" i="15"/>
  <c r="M38" i="15"/>
  <c r="L38" i="15"/>
  <c r="K38" i="15"/>
  <c r="J38" i="15"/>
  <c r="I38" i="15"/>
  <c r="H38" i="15"/>
  <c r="G38" i="15"/>
  <c r="F38" i="15"/>
  <c r="E38" i="15"/>
  <c r="AU37" i="15"/>
  <c r="AT37" i="15"/>
  <c r="AS37" i="15"/>
  <c r="AR37" i="15"/>
  <c r="AQ37" i="15"/>
  <c r="AP37" i="15"/>
  <c r="AO37" i="15"/>
  <c r="AN37" i="15"/>
  <c r="AM37" i="15"/>
  <c r="AL37" i="15"/>
  <c r="AK37" i="15"/>
  <c r="AJ37" i="15"/>
  <c r="AI37" i="15"/>
  <c r="AH37" i="15"/>
  <c r="AG37" i="15"/>
  <c r="AF37" i="15"/>
  <c r="AE37" i="15"/>
  <c r="AD37" i="15"/>
  <c r="AC37" i="15"/>
  <c r="AB37" i="15"/>
  <c r="AA37" i="15"/>
  <c r="Z37" i="15"/>
  <c r="Y37" i="15"/>
  <c r="X37" i="15"/>
  <c r="W37" i="15"/>
  <c r="V37" i="15"/>
  <c r="U37" i="15"/>
  <c r="T37" i="15"/>
  <c r="S37" i="15"/>
  <c r="R37" i="15"/>
  <c r="Q37" i="15"/>
  <c r="P37" i="15"/>
  <c r="O37" i="15"/>
  <c r="N37" i="15"/>
  <c r="M37" i="15"/>
  <c r="L37" i="15"/>
  <c r="K37" i="15"/>
  <c r="J37" i="15"/>
  <c r="I37" i="15"/>
  <c r="H37" i="15"/>
  <c r="G37" i="15"/>
  <c r="F37" i="15"/>
  <c r="E37" i="15"/>
  <c r="BQ34" i="15"/>
  <c r="BL34" i="15"/>
  <c r="BG34" i="15"/>
  <c r="BB34" i="15"/>
  <c r="AU34" i="15"/>
  <c r="AT34" i="15"/>
  <c r="AV34" i="15" s="1"/>
  <c r="AS34" i="15"/>
  <c r="AR34" i="15"/>
  <c r="AP34" i="15"/>
  <c r="AO34" i="15"/>
  <c r="AN34" i="15"/>
  <c r="AM34" i="15"/>
  <c r="AK34" i="15"/>
  <c r="AL34" i="15" s="1"/>
  <c r="AJ34" i="15"/>
  <c r="AI34" i="15"/>
  <c r="AH34" i="15"/>
  <c r="AG34" i="15" s="1"/>
  <c r="AF34" i="15"/>
  <c r="AC34" i="15"/>
  <c r="AA34" i="15"/>
  <c r="Z34" i="15"/>
  <c r="Y34" i="15"/>
  <c r="X34" i="15"/>
  <c r="V34" i="15"/>
  <c r="W34" i="15" s="1"/>
  <c r="U34" i="15"/>
  <c r="T34" i="15"/>
  <c r="Q34" i="15"/>
  <c r="R34" i="15" s="1"/>
  <c r="P34" i="15"/>
  <c r="O34" i="15"/>
  <c r="L34" i="15"/>
  <c r="L30" i="51" s="1"/>
  <c r="K34" i="15"/>
  <c r="K30" i="51" s="1"/>
  <c r="J34" i="15"/>
  <c r="M34" i="15" s="1"/>
  <c r="E34" i="15"/>
  <c r="H34" i="15" s="1"/>
  <c r="BQ31" i="15"/>
  <c r="BL31" i="15"/>
  <c r="BG31" i="15"/>
  <c r="BB31" i="15"/>
  <c r="AQ31" i="15"/>
  <c r="AL31" i="15"/>
  <c r="AG31" i="15"/>
  <c r="AB31" i="15"/>
  <c r="W31" i="15"/>
  <c r="R31" i="15"/>
  <c r="M31" i="15"/>
  <c r="H31" i="15"/>
  <c r="AQ27" i="15"/>
  <c r="AL27" i="15"/>
  <c r="AG27" i="15"/>
  <c r="AB27" i="15"/>
  <c r="W27" i="15"/>
  <c r="R27" i="15"/>
  <c r="M27" i="15"/>
  <c r="H27" i="15"/>
  <c r="BG23" i="15"/>
  <c r="CO40" i="73" s="1"/>
  <c r="AQ23" i="15"/>
  <c r="AL23" i="15"/>
  <c r="AG23" i="15"/>
  <c r="AB23" i="15"/>
  <c r="W23" i="15"/>
  <c r="R23" i="15"/>
  <c r="M23" i="15"/>
  <c r="H23" i="15"/>
  <c r="AU18" i="15"/>
  <c r="AT18" i="15"/>
  <c r="AS18" i="15"/>
  <c r="AR18" i="15"/>
  <c r="AP18" i="15"/>
  <c r="AO18" i="15"/>
  <c r="AN18" i="15"/>
  <c r="AM18" i="15"/>
  <c r="AK18" i="15"/>
  <c r="AJ18" i="15"/>
  <c r="AI18" i="15"/>
  <c r="AH18" i="15"/>
  <c r="AF18" i="15"/>
  <c r="AE18" i="15"/>
  <c r="AD18" i="15"/>
  <c r="AC18" i="15"/>
  <c r="AA18" i="15"/>
  <c r="Z18" i="15"/>
  <c r="Y18" i="15"/>
  <c r="X18" i="15"/>
  <c r="V18" i="15"/>
  <c r="U18" i="15"/>
  <c r="T18" i="15"/>
  <c r="S18" i="15"/>
  <c r="S18" i="51" s="1"/>
  <c r="Q18" i="15"/>
  <c r="Q18" i="51" s="1"/>
  <c r="P18" i="15"/>
  <c r="P18" i="51" s="1"/>
  <c r="O18" i="15"/>
  <c r="O18" i="51"/>
  <c r="N18" i="15"/>
  <c r="N18" i="51" s="1"/>
  <c r="L18" i="15"/>
  <c r="L18" i="51"/>
  <c r="K18" i="15"/>
  <c r="K18" i="51" s="1"/>
  <c r="J18" i="15"/>
  <c r="J18" i="51"/>
  <c r="I18" i="15"/>
  <c r="I18" i="51" s="1"/>
  <c r="G18" i="15"/>
  <c r="G18" i="51"/>
  <c r="F18" i="15"/>
  <c r="F18" i="51" s="1"/>
  <c r="E18" i="15"/>
  <c r="E18" i="51"/>
  <c r="AU14" i="15"/>
  <c r="AU16" i="15" s="1"/>
  <c r="AU19" i="46" s="1"/>
  <c r="AT14" i="15"/>
  <c r="AT16" i="15"/>
  <c r="AT20" i="15" s="1"/>
  <c r="AT25" i="15" s="1"/>
  <c r="AS14" i="15"/>
  <c r="AS16" i="15" s="1"/>
  <c r="AS20" i="15" s="1"/>
  <c r="AS25" i="15" s="1"/>
  <c r="AS484" i="15" s="1"/>
  <c r="AR14" i="15"/>
  <c r="AR16" i="15"/>
  <c r="AR20" i="15"/>
  <c r="AR21" i="15" s="1"/>
  <c r="BZ38" i="73" s="1"/>
  <c r="BZ70" i="73" s="1"/>
  <c r="AP14" i="15"/>
  <c r="AP16" i="15" s="1"/>
  <c r="AO14" i="15"/>
  <c r="AO16" i="15"/>
  <c r="AO20" i="15"/>
  <c r="AO25" i="15" s="1"/>
  <c r="AO484" i="15" s="1"/>
  <c r="AN14" i="15"/>
  <c r="AN16" i="15"/>
  <c r="AM14" i="15"/>
  <c r="AM16" i="15"/>
  <c r="AM20" i="15"/>
  <c r="AM21" i="15"/>
  <c r="AK14" i="15"/>
  <c r="AK16" i="15"/>
  <c r="AJ14" i="15"/>
  <c r="AJ16" i="15"/>
  <c r="AJ20" i="15" s="1"/>
  <c r="AJ25" i="15" s="1"/>
  <c r="AI14" i="15"/>
  <c r="AI16" i="15"/>
  <c r="AI20" i="15" s="1"/>
  <c r="AI21" i="15" s="1"/>
  <c r="AH14" i="15"/>
  <c r="AH16" i="15"/>
  <c r="AH20" i="15" s="1"/>
  <c r="AH21" i="15" s="1"/>
  <c r="BX38" i="73" s="1"/>
  <c r="BX70" i="73" s="1"/>
  <c r="AF14" i="15"/>
  <c r="AF16" i="15" s="1"/>
  <c r="AE14" i="15"/>
  <c r="AE16" i="15"/>
  <c r="AD14" i="15"/>
  <c r="AD16" i="15"/>
  <c r="AC14" i="15"/>
  <c r="AC16" i="15"/>
  <c r="AC20" i="15" s="1"/>
  <c r="AA14" i="15"/>
  <c r="AA16" i="15"/>
  <c r="Z14" i="15"/>
  <c r="Z16" i="15" s="1"/>
  <c r="Z20" i="15" s="1"/>
  <c r="Z25" i="15" s="1"/>
  <c r="Z484" i="15" s="1"/>
  <c r="Y14" i="15"/>
  <c r="Y16" i="15"/>
  <c r="X14" i="15"/>
  <c r="X16" i="15" s="1"/>
  <c r="X20" i="15" s="1"/>
  <c r="X25" i="15" s="1"/>
  <c r="X29" i="15" s="1"/>
  <c r="X33" i="15" s="1"/>
  <c r="V14" i="15"/>
  <c r="V16" i="15"/>
  <c r="U14" i="15"/>
  <c r="U16" i="15" s="1"/>
  <c r="U20" i="15" s="1"/>
  <c r="U21" i="15" s="1"/>
  <c r="T14" i="15"/>
  <c r="T16" i="15" s="1"/>
  <c r="S14" i="15"/>
  <c r="S16" i="15"/>
  <c r="Q14" i="15"/>
  <c r="Q16" i="15" s="1"/>
  <c r="P14" i="15"/>
  <c r="P16" i="15"/>
  <c r="O14" i="15"/>
  <c r="O16" i="15" s="1"/>
  <c r="N14" i="15"/>
  <c r="N16" i="15"/>
  <c r="N19" i="46"/>
  <c r="L14" i="15"/>
  <c r="L16" i="15" s="1"/>
  <c r="K14" i="15"/>
  <c r="K16" i="15"/>
  <c r="K20" i="15" s="1"/>
  <c r="K21" i="15" s="1"/>
  <c r="J14" i="15"/>
  <c r="J16" i="15"/>
  <c r="I14" i="15"/>
  <c r="I16" i="15" s="1"/>
  <c r="G14" i="15"/>
  <c r="G16" i="15"/>
  <c r="G19" i="46" s="1"/>
  <c r="F14" i="15"/>
  <c r="F16" i="15"/>
  <c r="E14" i="15"/>
  <c r="E16" i="15" s="1"/>
  <c r="AQ13" i="15"/>
  <c r="AQ12" i="15"/>
  <c r="AL13" i="15"/>
  <c r="AL472" i="15" s="1"/>
  <c r="AL12" i="15"/>
  <c r="AG13" i="15"/>
  <c r="AG12" i="15"/>
  <c r="AB13" i="15"/>
  <c r="AB12" i="15"/>
  <c r="W13" i="15"/>
  <c r="W12" i="15"/>
  <c r="R13" i="15"/>
  <c r="R12" i="15"/>
  <c r="M13" i="15"/>
  <c r="M472" i="15"/>
  <c r="M12" i="15"/>
  <c r="H13" i="15"/>
  <c r="H472" i="15"/>
  <c r="I472" i="15"/>
  <c r="H12" i="15"/>
  <c r="BS12" i="15"/>
  <c r="AU10" i="15"/>
  <c r="AT10" i="15"/>
  <c r="AS10" i="15"/>
  <c r="AR10" i="15"/>
  <c r="AP10" i="15"/>
  <c r="AO10" i="15"/>
  <c r="AN10" i="15"/>
  <c r="AM10" i="15"/>
  <c r="AK10" i="15"/>
  <c r="AJ10" i="15"/>
  <c r="AI10" i="15"/>
  <c r="AH10" i="15"/>
  <c r="AF10" i="15"/>
  <c r="AE10" i="15"/>
  <c r="AD10" i="15"/>
  <c r="AC10" i="15"/>
  <c r="AA10" i="15"/>
  <c r="Z10" i="15"/>
  <c r="Y10" i="15"/>
  <c r="X10" i="15"/>
  <c r="V10" i="15"/>
  <c r="U10" i="15"/>
  <c r="T10" i="15"/>
  <c r="S10" i="15"/>
  <c r="Q10" i="15"/>
  <c r="P10" i="15"/>
  <c r="O10" i="15"/>
  <c r="N10" i="15"/>
  <c r="L10" i="15"/>
  <c r="K10" i="15"/>
  <c r="J10" i="15"/>
  <c r="I10" i="15"/>
  <c r="G10" i="15"/>
  <c r="F10" i="15"/>
  <c r="E10" i="15"/>
  <c r="AQ9" i="15"/>
  <c r="AQ8" i="15"/>
  <c r="AQ10" i="15"/>
  <c r="AL9" i="15"/>
  <c r="AL8" i="15"/>
  <c r="AG9" i="15"/>
  <c r="AG8" i="15"/>
  <c r="AB9" i="15"/>
  <c r="AB8" i="15"/>
  <c r="W9" i="15"/>
  <c r="W8" i="15"/>
  <c r="R9" i="15"/>
  <c r="R8" i="15"/>
  <c r="M9" i="15"/>
  <c r="M8" i="15"/>
  <c r="H9" i="15"/>
  <c r="H8" i="15"/>
  <c r="B2" i="15"/>
  <c r="BQ269" i="72"/>
  <c r="BL269" i="72"/>
  <c r="BG269" i="72"/>
  <c r="BB269" i="72"/>
  <c r="AW269" i="72"/>
  <c r="AW67" i="72" s="1"/>
  <c r="AW48" i="73" s="1"/>
  <c r="AR269" i="72"/>
  <c r="AM269" i="72"/>
  <c r="AH269" i="72"/>
  <c r="AC269" i="72"/>
  <c r="X269" i="72"/>
  <c r="S269" i="72"/>
  <c r="N269" i="72"/>
  <c r="I269" i="72"/>
  <c r="BP269" i="72"/>
  <c r="BO269" i="72"/>
  <c r="BN269" i="72"/>
  <c r="BM269" i="72"/>
  <c r="BK269" i="72"/>
  <c r="BJ269" i="72"/>
  <c r="BI269" i="72"/>
  <c r="BH269" i="72"/>
  <c r="BF269" i="72"/>
  <c r="BE269" i="72"/>
  <c r="BD269" i="72"/>
  <c r="BC269" i="72"/>
  <c r="BA269" i="72"/>
  <c r="AY269" i="72"/>
  <c r="AX269" i="72"/>
  <c r="AV269" i="72"/>
  <c r="AV67" i="72"/>
  <c r="AU269" i="72"/>
  <c r="AT269" i="72"/>
  <c r="AS269" i="72"/>
  <c r="AQ269" i="72"/>
  <c r="AP269" i="72"/>
  <c r="AO269" i="72"/>
  <c r="AN269" i="72"/>
  <c r="AL269" i="72"/>
  <c r="AK269" i="72"/>
  <c r="AJ269" i="72"/>
  <c r="AI269" i="72"/>
  <c r="AG269" i="72"/>
  <c r="AF269" i="72"/>
  <c r="AE269" i="72"/>
  <c r="AD269" i="72"/>
  <c r="AB269" i="72"/>
  <c r="AA269" i="72"/>
  <c r="Z269" i="72"/>
  <c r="Y269" i="72"/>
  <c r="W269" i="72"/>
  <c r="V269" i="72"/>
  <c r="U269" i="72"/>
  <c r="T269" i="72"/>
  <c r="R269" i="72"/>
  <c r="Q269" i="72"/>
  <c r="P269" i="72"/>
  <c r="O269" i="72"/>
  <c r="M269" i="72"/>
  <c r="L269" i="72"/>
  <c r="K269" i="72"/>
  <c r="J269" i="72"/>
  <c r="H269" i="72"/>
  <c r="G269" i="72"/>
  <c r="F269" i="72"/>
  <c r="E269" i="72"/>
  <c r="BG263" i="72"/>
  <c r="BL263" i="72" s="1"/>
  <c r="BQ263" i="72" s="1"/>
  <c r="I259" i="72"/>
  <c r="BQ255" i="72"/>
  <c r="BL255" i="72"/>
  <c r="AR256" i="72"/>
  <c r="AR255" i="72"/>
  <c r="AM256" i="72"/>
  <c r="AM255" i="72"/>
  <c r="AH256" i="72"/>
  <c r="AH255" i="72"/>
  <c r="AH252" i="72"/>
  <c r="AS255" i="72"/>
  <c r="AN255" i="72"/>
  <c r="AI255" i="72"/>
  <c r="AD255" i="72"/>
  <c r="AD252" i="72"/>
  <c r="AC252" i="72"/>
  <c r="AC259" i="72"/>
  <c r="AC53" i="73" s="1"/>
  <c r="X252" i="72"/>
  <c r="X259" i="72"/>
  <c r="X53" i="73" s="1"/>
  <c r="S252" i="72"/>
  <c r="S259" i="72"/>
  <c r="N252" i="72"/>
  <c r="N259" i="72" s="1"/>
  <c r="AR237" i="72"/>
  <c r="AM237" i="72"/>
  <c r="AH237" i="72"/>
  <c r="AC237" i="72"/>
  <c r="X237" i="72"/>
  <c r="S237" i="72"/>
  <c r="N237" i="72"/>
  <c r="I237" i="72"/>
  <c r="AQ225" i="72"/>
  <c r="AL225" i="72"/>
  <c r="AG225" i="72"/>
  <c r="AB225" i="72"/>
  <c r="W225" i="72"/>
  <c r="R225" i="72"/>
  <c r="M225" i="72"/>
  <c r="H225" i="72"/>
  <c r="M222" i="72"/>
  <c r="H222" i="72"/>
  <c r="AS219" i="72"/>
  <c r="AR219" i="72"/>
  <c r="AP219" i="72"/>
  <c r="AN219" i="72"/>
  <c r="V219" i="72"/>
  <c r="V229" i="72" s="1"/>
  <c r="U219" i="72"/>
  <c r="T219" i="72"/>
  <c r="S219" i="72"/>
  <c r="Q219" i="72"/>
  <c r="P219" i="72"/>
  <c r="O219" i="72"/>
  <c r="N219" i="72"/>
  <c r="N229" i="72"/>
  <c r="M219" i="72"/>
  <c r="L219" i="72"/>
  <c r="K219" i="72"/>
  <c r="J219" i="72"/>
  <c r="I219" i="72"/>
  <c r="G219" i="72"/>
  <c r="F219" i="72"/>
  <c r="F229" i="72"/>
  <c r="E219" i="72"/>
  <c r="AU218" i="72"/>
  <c r="AT218" i="72"/>
  <c r="AQ218" i="72"/>
  <c r="AQ217" i="72"/>
  <c r="AO218" i="72"/>
  <c r="AO219" i="72" s="1"/>
  <c r="AM218" i="72"/>
  <c r="AL218" i="72"/>
  <c r="AK218" i="72"/>
  <c r="AK219" i="72" s="1"/>
  <c r="AJ218" i="72"/>
  <c r="AJ219" i="72"/>
  <c r="AI218" i="72"/>
  <c r="AH218" i="72"/>
  <c r="AG218" i="72"/>
  <c r="AF218" i="72"/>
  <c r="AF219" i="72" s="1"/>
  <c r="AE218" i="72"/>
  <c r="AE219" i="72"/>
  <c r="AD218" i="72"/>
  <c r="AC218" i="72"/>
  <c r="AC219" i="72" s="1"/>
  <c r="AA218" i="72"/>
  <c r="AA219" i="72"/>
  <c r="Z218" i="72"/>
  <c r="Y218" i="72"/>
  <c r="Y219" i="72" s="1"/>
  <c r="X218" i="72"/>
  <c r="X219" i="72"/>
  <c r="R218" i="72"/>
  <c r="R219" i="72" s="1"/>
  <c r="R217" i="72"/>
  <c r="M218" i="72"/>
  <c r="M217" i="72"/>
  <c r="H218" i="72"/>
  <c r="H217" i="72"/>
  <c r="AL217" i="72"/>
  <c r="AG217" i="72"/>
  <c r="AG219" i="72" s="1"/>
  <c r="AB217" i="72"/>
  <c r="W217" i="72"/>
  <c r="AQ215" i="72"/>
  <c r="AL215" i="72"/>
  <c r="AG215" i="72"/>
  <c r="AB215" i="72"/>
  <c r="W215" i="72"/>
  <c r="R215" i="72"/>
  <c r="M215" i="72"/>
  <c r="H215" i="72"/>
  <c r="AL210" i="72"/>
  <c r="AG210" i="72"/>
  <c r="AB210" i="72"/>
  <c r="W210" i="72"/>
  <c r="R210" i="72"/>
  <c r="M210" i="72"/>
  <c r="H210" i="72"/>
  <c r="I209" i="72"/>
  <c r="AS206" i="72"/>
  <c r="AR206" i="72"/>
  <c r="AN206" i="72"/>
  <c r="AI206" i="72"/>
  <c r="T206" i="72"/>
  <c r="Q206" i="72"/>
  <c r="P206" i="72"/>
  <c r="O206" i="72"/>
  <c r="L206" i="72"/>
  <c r="K206" i="72"/>
  <c r="K208" i="72" s="1"/>
  <c r="J206" i="72"/>
  <c r="G206" i="72"/>
  <c r="F206" i="72"/>
  <c r="E206" i="72"/>
  <c r="BQ205" i="72"/>
  <c r="BL205" i="72"/>
  <c r="BG205" i="72"/>
  <c r="BB205" i="72"/>
  <c r="AT205" i="72"/>
  <c r="R205" i="72"/>
  <c r="R204" i="72"/>
  <c r="R203" i="72"/>
  <c r="R202" i="72"/>
  <c r="R200" i="72"/>
  <c r="N205" i="72"/>
  <c r="M205" i="72"/>
  <c r="I205" i="72"/>
  <c r="H205" i="72"/>
  <c r="BN204" i="72"/>
  <c r="BO204" i="72" s="1"/>
  <c r="BM204" i="72"/>
  <c r="BH204" i="72"/>
  <c r="BI204" i="72"/>
  <c r="BC204" i="72"/>
  <c r="AX204" i="72"/>
  <c r="AY204" i="72"/>
  <c r="AY98" i="46"/>
  <c r="AT204" i="72"/>
  <c r="AJ205" i="72"/>
  <c r="AJ204" i="72"/>
  <c r="AK204" i="72"/>
  <c r="AL204" i="72"/>
  <c r="AE205" i="72"/>
  <c r="AF205" i="72" s="1"/>
  <c r="AE204" i="72"/>
  <c r="AF204" i="72" s="1"/>
  <c r="M204" i="72"/>
  <c r="M203" i="72"/>
  <c r="M202" i="72"/>
  <c r="M200" i="72"/>
  <c r="H204" i="72"/>
  <c r="H203" i="72"/>
  <c r="H63" i="51"/>
  <c r="H202" i="72"/>
  <c r="H200" i="72"/>
  <c r="BQ203" i="72"/>
  <c r="BQ202" i="72"/>
  <c r="BL203" i="72"/>
  <c r="BL202" i="72"/>
  <c r="BG203" i="72"/>
  <c r="BG202" i="72"/>
  <c r="BB203" i="72"/>
  <c r="BB202" i="72"/>
  <c r="AT203" i="72"/>
  <c r="AU203" i="72" s="1"/>
  <c r="AT202" i="72"/>
  <c r="AU202" i="72"/>
  <c r="AK203" i="72"/>
  <c r="AL203" i="72" s="1"/>
  <c r="AJ202" i="72"/>
  <c r="AK202" i="72"/>
  <c r="AJ201" i="72"/>
  <c r="AJ200" i="72"/>
  <c r="AJ206" i="72" s="1"/>
  <c r="AF203" i="72"/>
  <c r="AG203" i="72"/>
  <c r="AD202" i="72"/>
  <c r="AD62" i="51" s="1"/>
  <c r="Z205" i="72"/>
  <c r="AA205" i="72"/>
  <c r="Z204" i="72"/>
  <c r="Z203" i="72"/>
  <c r="AA203" i="72" s="1"/>
  <c r="Y202" i="72"/>
  <c r="Y62" i="51" s="1"/>
  <c r="U205" i="72"/>
  <c r="V205" i="72"/>
  <c r="U204" i="72"/>
  <c r="V204" i="72" s="1"/>
  <c r="V203" i="72"/>
  <c r="W203" i="72"/>
  <c r="U203" i="72"/>
  <c r="U202" i="72"/>
  <c r="V202" i="72"/>
  <c r="W202" i="72"/>
  <c r="AM201" i="72"/>
  <c r="AM206" i="72"/>
  <c r="AH201" i="72"/>
  <c r="AH206" i="72"/>
  <c r="AF201" i="72"/>
  <c r="AC201" i="72"/>
  <c r="AC206" i="72"/>
  <c r="Z201" i="72"/>
  <c r="X201" i="72"/>
  <c r="U201" i="72"/>
  <c r="V201" i="72"/>
  <c r="V174" i="72"/>
  <c r="S201" i="72"/>
  <c r="S206" i="72"/>
  <c r="N201" i="72"/>
  <c r="N206" i="72"/>
  <c r="I201" i="72"/>
  <c r="I206" i="72"/>
  <c r="AT201" i="72"/>
  <c r="AT200" i="72"/>
  <c r="AO205" i="72"/>
  <c r="AP205" i="72"/>
  <c r="AQ205" i="72" s="1"/>
  <c r="AO204" i="72"/>
  <c r="AO203" i="72"/>
  <c r="AO202" i="72"/>
  <c r="AP202" i="72"/>
  <c r="AO201" i="72"/>
  <c r="AO200" i="72"/>
  <c r="AE200" i="72"/>
  <c r="Z200" i="72"/>
  <c r="AA200" i="72"/>
  <c r="AA173" i="72" s="1"/>
  <c r="U200" i="72"/>
  <c r="Q198" i="72"/>
  <c r="P198" i="72"/>
  <c r="O198" i="72"/>
  <c r="L198" i="72"/>
  <c r="K198" i="72"/>
  <c r="J198" i="72"/>
  <c r="G198" i="72"/>
  <c r="G208" i="72"/>
  <c r="F198" i="72"/>
  <c r="E198" i="72"/>
  <c r="BM197" i="72"/>
  <c r="BN197" i="72" s="1"/>
  <c r="BN57" i="51" s="1"/>
  <c r="BM57" i="51"/>
  <c r="BH197" i="72"/>
  <c r="BI197" i="72" s="1"/>
  <c r="BI57" i="51" s="1"/>
  <c r="BH57" i="51"/>
  <c r="BD197" i="72"/>
  <c r="BD57" i="51"/>
  <c r="BC197" i="72"/>
  <c r="AX197" i="72"/>
  <c r="AS197" i="72"/>
  <c r="AS198" i="72"/>
  <c r="AR197" i="72"/>
  <c r="AR198" i="72"/>
  <c r="AN197" i="72"/>
  <c r="AN57" i="51"/>
  <c r="AM197" i="72"/>
  <c r="AM198" i="72"/>
  <c r="AI197" i="72"/>
  <c r="AI57" i="51" s="1"/>
  <c r="AH197" i="72"/>
  <c r="AD197" i="72"/>
  <c r="AD57" i="51"/>
  <c r="AD198" i="72"/>
  <c r="AC197" i="72"/>
  <c r="AC198" i="72" s="1"/>
  <c r="Y197" i="72"/>
  <c r="Z197" i="72" s="1"/>
  <c r="Y57" i="51"/>
  <c r="Y198" i="72"/>
  <c r="X197" i="72"/>
  <c r="T197" i="72"/>
  <c r="T57" i="51"/>
  <c r="S197" i="72"/>
  <c r="R197" i="72" s="1"/>
  <c r="N197" i="72"/>
  <c r="N198" i="72" s="1"/>
  <c r="I197" i="72"/>
  <c r="I198" i="72" s="1"/>
  <c r="AT196" i="72"/>
  <c r="AO196" i="72"/>
  <c r="AP196" i="72" s="1"/>
  <c r="AP168" i="72" s="1"/>
  <c r="AP253" i="72" s="1"/>
  <c r="AJ196" i="72"/>
  <c r="AK196" i="72"/>
  <c r="AE196" i="72"/>
  <c r="Z196" i="72"/>
  <c r="AA196" i="72" s="1"/>
  <c r="AA168" i="72" s="1"/>
  <c r="U196" i="72"/>
  <c r="V196" i="72"/>
  <c r="R196" i="72"/>
  <c r="M196" i="72"/>
  <c r="H196" i="72"/>
  <c r="Q194" i="72"/>
  <c r="Q208" i="72" s="1"/>
  <c r="P194" i="72"/>
  <c r="P208" i="72" s="1"/>
  <c r="O194" i="72"/>
  <c r="O208" i="72"/>
  <c r="L194" i="72"/>
  <c r="L208" i="72"/>
  <c r="K194" i="72"/>
  <c r="J194" i="72"/>
  <c r="J208" i="72"/>
  <c r="G194" i="72"/>
  <c r="F194" i="72"/>
  <c r="F208" i="72" s="1"/>
  <c r="E194" i="72"/>
  <c r="E208" i="72" s="1"/>
  <c r="E211" i="72" s="1"/>
  <c r="F209" i="72" s="1"/>
  <c r="BC193" i="72"/>
  <c r="AZ193" i="72" s="1"/>
  <c r="AZ114" i="46" s="1"/>
  <c r="AZ52" i="51" s="1"/>
  <c r="BC192" i="72"/>
  <c r="AX193" i="72"/>
  <c r="AY193" i="72"/>
  <c r="AY114" i="46" s="1"/>
  <c r="AX192" i="72"/>
  <c r="AS193" i="72"/>
  <c r="AT193" i="72"/>
  <c r="AR193" i="72"/>
  <c r="AO193" i="72"/>
  <c r="AN193" i="72"/>
  <c r="AP193" i="72" s="1"/>
  <c r="AM193" i="72"/>
  <c r="AI193" i="72"/>
  <c r="AH193" i="72"/>
  <c r="AD193" i="72"/>
  <c r="AC193" i="72"/>
  <c r="Y193" i="72"/>
  <c r="Z193" i="72"/>
  <c r="X193" i="72"/>
  <c r="T193" i="72"/>
  <c r="U193" i="72" s="1"/>
  <c r="S193" i="72"/>
  <c r="R193" i="72" s="1"/>
  <c r="AS192" i="72"/>
  <c r="AT192" i="72" s="1"/>
  <c r="AR192" i="72"/>
  <c r="AN192" i="72"/>
  <c r="AN194" i="72" s="1"/>
  <c r="AM192" i="72"/>
  <c r="AI192" i="72"/>
  <c r="AI194" i="72" s="1"/>
  <c r="AH192" i="72"/>
  <c r="AD192" i="72"/>
  <c r="AE192" i="72" s="1"/>
  <c r="AC192" i="72"/>
  <c r="AC194" i="72" s="1"/>
  <c r="Y192" i="72"/>
  <c r="Z192" i="72" s="1"/>
  <c r="X192" i="72"/>
  <c r="X194" i="72" s="1"/>
  <c r="T192" i="72"/>
  <c r="S192" i="72"/>
  <c r="N193" i="72"/>
  <c r="M193" i="72" s="1"/>
  <c r="N192" i="72"/>
  <c r="M192" i="72" s="1"/>
  <c r="I193" i="72"/>
  <c r="H193" i="72" s="1"/>
  <c r="I192" i="72"/>
  <c r="H192" i="72" s="1"/>
  <c r="BM193" i="72"/>
  <c r="BM192" i="72"/>
  <c r="BM191" i="72"/>
  <c r="BH193" i="72"/>
  <c r="BI193" i="72" s="1"/>
  <c r="BH192" i="72"/>
  <c r="BI192" i="72" s="1"/>
  <c r="BH191" i="72"/>
  <c r="BH255" i="72" s="1"/>
  <c r="BG191" i="72"/>
  <c r="BB191" i="72"/>
  <c r="AU191" i="72"/>
  <c r="AU255" i="72" s="1"/>
  <c r="AT191" i="72"/>
  <c r="R191" i="72"/>
  <c r="R190" i="72"/>
  <c r="R189" i="72"/>
  <c r="M191" i="72"/>
  <c r="M190" i="72"/>
  <c r="M189" i="72"/>
  <c r="H191" i="72"/>
  <c r="H190" i="72"/>
  <c r="H189" i="72"/>
  <c r="AT190" i="72"/>
  <c r="AT189" i="72"/>
  <c r="AT194" i="72" s="1"/>
  <c r="AO191" i="72"/>
  <c r="AP191" i="72" s="1"/>
  <c r="AP255" i="72" s="1"/>
  <c r="AO255" i="72"/>
  <c r="AO190" i="72"/>
  <c r="AO189" i="72"/>
  <c r="AP189" i="72" s="1"/>
  <c r="AJ191" i="72"/>
  <c r="AJ255" i="72" s="1"/>
  <c r="AK190" i="72"/>
  <c r="AJ190" i="72"/>
  <c r="AJ189" i="72"/>
  <c r="AE191" i="72"/>
  <c r="AE255" i="72"/>
  <c r="AE190" i="72"/>
  <c r="AF190" i="72"/>
  <c r="AE189" i="72"/>
  <c r="AF189" i="72" s="1"/>
  <c r="Z191" i="72"/>
  <c r="Z190" i="72"/>
  <c r="AA190" i="72" s="1"/>
  <c r="Z189" i="72"/>
  <c r="U191" i="72"/>
  <c r="V191" i="72" s="1"/>
  <c r="W191" i="72" s="1"/>
  <c r="U190" i="72"/>
  <c r="U189" i="72"/>
  <c r="BQ185" i="72"/>
  <c r="BP185" i="72"/>
  <c r="BO185" i="72"/>
  <c r="BN185" i="72"/>
  <c r="BM185" i="72"/>
  <c r="BL185" i="72"/>
  <c r="BK185" i="72"/>
  <c r="BJ185" i="72"/>
  <c r="BI185" i="72"/>
  <c r="BH185" i="72"/>
  <c r="BG185" i="72"/>
  <c r="BF185" i="72"/>
  <c r="BE185" i="72"/>
  <c r="BD185" i="72"/>
  <c r="BC185" i="72"/>
  <c r="BB185" i="72"/>
  <c r="BA185" i="72"/>
  <c r="AY185" i="72"/>
  <c r="AX185" i="72"/>
  <c r="AX181" i="72" s="1"/>
  <c r="S181" i="72"/>
  <c r="BP177" i="72"/>
  <c r="BP178" i="72" s="1"/>
  <c r="BO177" i="72"/>
  <c r="BO178" i="72" s="1"/>
  <c r="BN177" i="72"/>
  <c r="BN178" i="72" s="1"/>
  <c r="BM177" i="72"/>
  <c r="BM178" i="72" s="1"/>
  <c r="BK177" i="72"/>
  <c r="BK178" i="72" s="1"/>
  <c r="BJ177" i="72"/>
  <c r="BJ178" i="72" s="1"/>
  <c r="BI177" i="72"/>
  <c r="BI178" i="72" s="1"/>
  <c r="BH177" i="72"/>
  <c r="BH178" i="72" s="1"/>
  <c r="BF177" i="72"/>
  <c r="BF178" i="72" s="1"/>
  <c r="BE177" i="72"/>
  <c r="BD177" i="72"/>
  <c r="BD178" i="72"/>
  <c r="BC177" i="72"/>
  <c r="AZ177" i="72"/>
  <c r="AZ178" i="72" s="1"/>
  <c r="BA177" i="72"/>
  <c r="BA178" i="72" s="1"/>
  <c r="AY177" i="72"/>
  <c r="AX177" i="72"/>
  <c r="AX178" i="72" s="1"/>
  <c r="AU177" i="72"/>
  <c r="AT177" i="72"/>
  <c r="AY178" i="72"/>
  <c r="AS177" i="72"/>
  <c r="AQ177" i="72"/>
  <c r="AP177" i="72"/>
  <c r="AO177" i="72"/>
  <c r="AN177" i="72"/>
  <c r="AL177" i="72"/>
  <c r="AK177" i="72"/>
  <c r="AJ177" i="72"/>
  <c r="AI177" i="72"/>
  <c r="AG177" i="72"/>
  <c r="AF177" i="72"/>
  <c r="AE177" i="72"/>
  <c r="AD177" i="72"/>
  <c r="AB177" i="72"/>
  <c r="AA177" i="72"/>
  <c r="Z177" i="72"/>
  <c r="Y177" i="72"/>
  <c r="X177" i="72"/>
  <c r="V177" i="72" s="1"/>
  <c r="S177" i="72"/>
  <c r="R177" i="72" s="1"/>
  <c r="AM176" i="72"/>
  <c r="AR176" i="72" s="1"/>
  <c r="AW176" i="72" s="1"/>
  <c r="AC176" i="72"/>
  <c r="X176" i="72"/>
  <c r="S176" i="72"/>
  <c r="AT174" i="72"/>
  <c r="AS174" i="72"/>
  <c r="AR174" i="72"/>
  <c r="AO174" i="72"/>
  <c r="AN174" i="72"/>
  <c r="AM174" i="72"/>
  <c r="AJ174" i="72"/>
  <c r="AI174" i="72"/>
  <c r="AH174" i="72"/>
  <c r="AF174" i="72"/>
  <c r="AE174" i="72"/>
  <c r="AD174" i="72"/>
  <c r="AC174" i="72"/>
  <c r="Z174" i="72"/>
  <c r="Y174" i="72"/>
  <c r="X174" i="72"/>
  <c r="U174" i="72"/>
  <c r="T174" i="72"/>
  <c r="S174" i="72"/>
  <c r="Q174" i="72"/>
  <c r="P174" i="72"/>
  <c r="O174" i="72"/>
  <c r="N174" i="72"/>
  <c r="L174" i="72"/>
  <c r="K174" i="72"/>
  <c r="J174" i="72"/>
  <c r="I174" i="72"/>
  <c r="G174" i="72"/>
  <c r="F174" i="72"/>
  <c r="E174" i="72"/>
  <c r="AT173" i="72"/>
  <c r="AS173" i="72"/>
  <c r="AR173" i="72"/>
  <c r="AO173" i="72"/>
  <c r="AN173" i="72"/>
  <c r="AM173" i="72"/>
  <c r="AJ173" i="72"/>
  <c r="AI173" i="72"/>
  <c r="AH173" i="72"/>
  <c r="AE173" i="72"/>
  <c r="AD173" i="72"/>
  <c r="AC173" i="72"/>
  <c r="Z173" i="72"/>
  <c r="Y173" i="72"/>
  <c r="X173" i="72"/>
  <c r="U173" i="72"/>
  <c r="T173" i="72"/>
  <c r="S173" i="72"/>
  <c r="R173" i="72"/>
  <c r="Q173" i="72"/>
  <c r="P173" i="72"/>
  <c r="O173" i="72"/>
  <c r="N173" i="72"/>
  <c r="M173" i="72"/>
  <c r="L173" i="72"/>
  <c r="K173" i="72"/>
  <c r="J173" i="72"/>
  <c r="I173" i="72"/>
  <c r="H173" i="72"/>
  <c r="G173" i="72"/>
  <c r="F173" i="72"/>
  <c r="E173" i="72"/>
  <c r="BQ168" i="72"/>
  <c r="BM168" i="72"/>
  <c r="BL168" i="72"/>
  <c r="BL253" i="72" s="1"/>
  <c r="BG168" i="72"/>
  <c r="BC168" i="72" s="1"/>
  <c r="BB168" i="72"/>
  <c r="AT168" i="72"/>
  <c r="AT253" i="72"/>
  <c r="AS168" i="72"/>
  <c r="AS253" i="72"/>
  <c r="AR168" i="72"/>
  <c r="AR159" i="72"/>
  <c r="AO168" i="72"/>
  <c r="AO253" i="72"/>
  <c r="AN168" i="72"/>
  <c r="AN253" i="72"/>
  <c r="AM168" i="72"/>
  <c r="AM159" i="72"/>
  <c r="AK168" i="72"/>
  <c r="AK253" i="72"/>
  <c r="AJ168" i="72"/>
  <c r="AJ253" i="72"/>
  <c r="AI168" i="72"/>
  <c r="AI253" i="72"/>
  <c r="AH168" i="72"/>
  <c r="AH253" i="72"/>
  <c r="AE168" i="72"/>
  <c r="AE253" i="72"/>
  <c r="AD168" i="72"/>
  <c r="AD253" i="72"/>
  <c r="AC168" i="72"/>
  <c r="Z168" i="72"/>
  <c r="Y168" i="72"/>
  <c r="X168" i="72"/>
  <c r="U168" i="72"/>
  <c r="T168" i="72"/>
  <c r="S168" i="72"/>
  <c r="P159" i="72" s="1"/>
  <c r="R168" i="72"/>
  <c r="Q168" i="72"/>
  <c r="P168" i="72"/>
  <c r="O168" i="72"/>
  <c r="N168" i="72"/>
  <c r="L159" i="72" s="1"/>
  <c r="M168" i="72"/>
  <c r="L168" i="72"/>
  <c r="K168" i="72"/>
  <c r="J168" i="72"/>
  <c r="I168" i="72"/>
  <c r="H168" i="72"/>
  <c r="G168" i="72"/>
  <c r="F168" i="72"/>
  <c r="E168" i="72"/>
  <c r="BP167" i="72"/>
  <c r="BO167" i="72"/>
  <c r="BN167" i="72"/>
  <c r="BM167" i="72"/>
  <c r="BP166" i="72"/>
  <c r="BO166" i="72"/>
  <c r="BN166" i="72"/>
  <c r="BM166" i="72"/>
  <c r="BP165" i="72"/>
  <c r="BO165" i="72"/>
  <c r="BN165" i="72"/>
  <c r="BM165" i="72"/>
  <c r="BP164" i="72"/>
  <c r="BO164" i="72"/>
  <c r="BN164" i="72"/>
  <c r="BM164" i="72"/>
  <c r="BP163" i="72"/>
  <c r="BO163" i="72"/>
  <c r="BN163" i="72"/>
  <c r="BM163" i="72"/>
  <c r="BP162" i="72"/>
  <c r="BO162" i="72"/>
  <c r="BN162" i="72"/>
  <c r="BM162" i="72"/>
  <c r="BP161" i="72"/>
  <c r="BO161" i="72"/>
  <c r="BN161" i="72"/>
  <c r="BM161" i="72"/>
  <c r="BK167" i="72"/>
  <c r="BJ167" i="72"/>
  <c r="BI167" i="72"/>
  <c r="BH167" i="72"/>
  <c r="BK166" i="72"/>
  <c r="BJ166" i="72"/>
  <c r="BI166" i="72"/>
  <c r="BH166" i="72"/>
  <c r="BK165" i="72"/>
  <c r="BJ165" i="72"/>
  <c r="BI165" i="72"/>
  <c r="BH165" i="72"/>
  <c r="BK164" i="72"/>
  <c r="BJ164" i="72"/>
  <c r="BI164" i="72"/>
  <c r="BH164" i="72"/>
  <c r="BK163" i="72"/>
  <c r="BJ163" i="72"/>
  <c r="BI163" i="72"/>
  <c r="BH163" i="72"/>
  <c r="BK162" i="72"/>
  <c r="BJ162" i="72"/>
  <c r="BI162" i="72"/>
  <c r="BH162" i="72"/>
  <c r="BK161" i="72"/>
  <c r="BJ161" i="72"/>
  <c r="BI161" i="72"/>
  <c r="BH161" i="72"/>
  <c r="BF167" i="72"/>
  <c r="BE167" i="72"/>
  <c r="BD167" i="72"/>
  <c r="BC167" i="72"/>
  <c r="AZ167" i="72" s="1"/>
  <c r="BF166" i="72"/>
  <c r="BE166" i="72"/>
  <c r="BD166" i="72"/>
  <c r="BC166" i="72"/>
  <c r="AZ166" i="72"/>
  <c r="BF165" i="72"/>
  <c r="BE165" i="72"/>
  <c r="BD165" i="72"/>
  <c r="BC165" i="72"/>
  <c r="AZ165" i="72" s="1"/>
  <c r="BF164" i="72"/>
  <c r="BE164" i="72"/>
  <c r="BD164" i="72"/>
  <c r="BC164" i="72"/>
  <c r="AZ164" i="72"/>
  <c r="BF163" i="72"/>
  <c r="BE163" i="72"/>
  <c r="BD163" i="72"/>
  <c r="BC163" i="72"/>
  <c r="AZ163" i="72" s="1"/>
  <c r="BF162" i="72"/>
  <c r="BE162" i="72"/>
  <c r="BD162" i="72"/>
  <c r="BC162" i="72"/>
  <c r="AZ162" i="72"/>
  <c r="BF161" i="72"/>
  <c r="BE161" i="72"/>
  <c r="BD161" i="72"/>
  <c r="BC161" i="72"/>
  <c r="AZ161" i="72"/>
  <c r="BA167" i="72"/>
  <c r="AY167" i="72"/>
  <c r="AX167" i="72"/>
  <c r="BA166" i="72"/>
  <c r="AY166" i="72"/>
  <c r="AX166" i="72"/>
  <c r="BA165" i="72"/>
  <c r="AY165" i="72"/>
  <c r="AX165" i="72"/>
  <c r="BA164" i="72"/>
  <c r="AY164" i="72"/>
  <c r="AX164" i="72"/>
  <c r="BA163" i="72"/>
  <c r="AY163" i="72"/>
  <c r="AX163" i="72"/>
  <c r="BA162" i="72"/>
  <c r="AY162" i="72"/>
  <c r="AX162" i="72"/>
  <c r="BA161" i="72"/>
  <c r="AY161" i="72"/>
  <c r="AX161" i="72"/>
  <c r="AH159" i="72"/>
  <c r="AC159" i="72"/>
  <c r="M159" i="72"/>
  <c r="K159" i="72"/>
  <c r="J159" i="72"/>
  <c r="BP155" i="72"/>
  <c r="BO155" i="72"/>
  <c r="BN155" i="72"/>
  <c r="BM155" i="72"/>
  <c r="BK155" i="72"/>
  <c r="BJ155" i="72"/>
  <c r="BI155" i="72"/>
  <c r="BH155" i="72"/>
  <c r="BF155" i="72"/>
  <c r="BE155" i="72"/>
  <c r="BD155" i="72"/>
  <c r="BC155" i="72"/>
  <c r="AZ155" i="72"/>
  <c r="BA155" i="72"/>
  <c r="AY155" i="72"/>
  <c r="AX155" i="72"/>
  <c r="AU154" i="72"/>
  <c r="AT154" i="72"/>
  <c r="AW154" i="72" s="1"/>
  <c r="AS154" i="72"/>
  <c r="AP154" i="72"/>
  <c r="AO154" i="72"/>
  <c r="AN154" i="72"/>
  <c r="AK154" i="72"/>
  <c r="AJ154" i="72"/>
  <c r="AI154" i="72"/>
  <c r="AF154" i="72"/>
  <c r="AE154" i="72"/>
  <c r="AD154" i="72"/>
  <c r="AA154" i="72"/>
  <c r="Z154" i="72"/>
  <c r="Y154" i="72"/>
  <c r="X154" i="72"/>
  <c r="V154" i="72"/>
  <c r="U154" i="72"/>
  <c r="T154" i="72"/>
  <c r="S154" i="72"/>
  <c r="Q154" i="72"/>
  <c r="P154" i="72"/>
  <c r="O154" i="72"/>
  <c r="N154" i="72"/>
  <c r="L154" i="72"/>
  <c r="K154" i="72"/>
  <c r="J154" i="72"/>
  <c r="I154" i="72"/>
  <c r="G154" i="72"/>
  <c r="F154" i="72"/>
  <c r="E154" i="72"/>
  <c r="AQ152" i="72"/>
  <c r="AP152" i="72"/>
  <c r="AO152" i="72"/>
  <c r="AO159" i="72"/>
  <c r="AN152" i="72"/>
  <c r="AN148" i="72" s="1"/>
  <c r="AN159" i="72"/>
  <c r="AI152" i="72"/>
  <c r="AI159" i="72"/>
  <c r="AD152" i="72"/>
  <c r="AD159" i="72"/>
  <c r="Y159" i="72"/>
  <c r="X152" i="72"/>
  <c r="Y152" i="72" s="1"/>
  <c r="Y148" i="72" s="1"/>
  <c r="Y150" i="72" s="1"/>
  <c r="X159" i="72"/>
  <c r="S152" i="72"/>
  <c r="S148" i="72"/>
  <c r="S150" i="72" s="1"/>
  <c r="N152" i="72"/>
  <c r="N159" i="72" s="1"/>
  <c r="G150" i="72"/>
  <c r="F150" i="72"/>
  <c r="E150" i="72"/>
  <c r="AQ149" i="72"/>
  <c r="AL149" i="72"/>
  <c r="AG149" i="72"/>
  <c r="AB149" i="72"/>
  <c r="R149" i="72"/>
  <c r="M149" i="72"/>
  <c r="H149" i="72"/>
  <c r="AS148" i="72"/>
  <c r="AR148" i="72"/>
  <c r="AR150" i="72"/>
  <c r="AM148" i="72"/>
  <c r="AM150" i="72" s="1"/>
  <c r="AH148" i="72"/>
  <c r="AH150" i="72" s="1"/>
  <c r="AD148" i="72"/>
  <c r="AD150" i="72" s="1"/>
  <c r="AC148" i="72"/>
  <c r="X148" i="72"/>
  <c r="X150" i="72" s="1"/>
  <c r="Q148" i="72"/>
  <c r="Q150" i="72" s="1"/>
  <c r="P148" i="72"/>
  <c r="P150" i="72" s="1"/>
  <c r="O148" i="72"/>
  <c r="O150" i="72" s="1"/>
  <c r="L148" i="72"/>
  <c r="L150" i="72" s="1"/>
  <c r="K148" i="72"/>
  <c r="K150" i="72" s="1"/>
  <c r="J148" i="72"/>
  <c r="J150" i="72" s="1"/>
  <c r="I148" i="72"/>
  <c r="I150" i="72" s="1"/>
  <c r="AU142" i="72"/>
  <c r="AT142" i="72"/>
  <c r="AW142" i="72" s="1"/>
  <c r="AS142" i="72"/>
  <c r="AP142" i="72"/>
  <c r="AO142" i="72"/>
  <c r="AN142" i="72"/>
  <c r="AK142" i="72"/>
  <c r="AP143" i="72"/>
  <c r="AJ142" i="72"/>
  <c r="AI142" i="72"/>
  <c r="AI143" i="72" s="1"/>
  <c r="AI63" i="72" s="1"/>
  <c r="AF142" i="72"/>
  <c r="AE142" i="72"/>
  <c r="AD142" i="72"/>
  <c r="AD143" i="72"/>
  <c r="AA142" i="72"/>
  <c r="AF143" i="72"/>
  <c r="Z142" i="72"/>
  <c r="Y142" i="72"/>
  <c r="V142" i="72"/>
  <c r="AA143" i="72" s="1"/>
  <c r="AA63" i="72" s="1"/>
  <c r="V143" i="72"/>
  <c r="U142" i="72"/>
  <c r="Z143" i="72"/>
  <c r="T142" i="72"/>
  <c r="T143" i="72"/>
  <c r="Q142" i="72"/>
  <c r="P142" i="72"/>
  <c r="P143" i="72" s="1"/>
  <c r="P63" i="72" s="1"/>
  <c r="O142" i="72"/>
  <c r="O143" i="72"/>
  <c r="O63" i="72" s="1"/>
  <c r="L142" i="72"/>
  <c r="L143" i="72" s="1"/>
  <c r="L63" i="72" s="1"/>
  <c r="K142" i="72"/>
  <c r="J142" i="72"/>
  <c r="J143" i="72" s="1"/>
  <c r="J63" i="72" s="1"/>
  <c r="G142" i="72"/>
  <c r="F142" i="72"/>
  <c r="K143" i="72"/>
  <c r="E142" i="72"/>
  <c r="BQ140" i="72"/>
  <c r="BL140" i="72"/>
  <c r="BG140" i="72"/>
  <c r="BB140" i="72"/>
  <c r="AR138" i="72"/>
  <c r="AR137" i="72"/>
  <c r="AM138" i="72"/>
  <c r="AM137" i="72"/>
  <c r="AH138" i="72"/>
  <c r="AH137" i="72"/>
  <c r="AC137" i="72"/>
  <c r="Y138" i="72"/>
  <c r="X138" i="72"/>
  <c r="AU137" i="72"/>
  <c r="AU139" i="72"/>
  <c r="AT137" i="72"/>
  <c r="AT139" i="72"/>
  <c r="AS137" i="72"/>
  <c r="AS139" i="72"/>
  <c r="AP137" i="72"/>
  <c r="AP139" i="72"/>
  <c r="AO137" i="72"/>
  <c r="AO139" i="72"/>
  <c r="AN137" i="72"/>
  <c r="AN139" i="72"/>
  <c r="AK137" i="72"/>
  <c r="AK139" i="72"/>
  <c r="AK140" i="72" s="1"/>
  <c r="AK62" i="72" s="1"/>
  <c r="AJ137" i="72"/>
  <c r="AJ139" i="72"/>
  <c r="AI137" i="72"/>
  <c r="AI139" i="72"/>
  <c r="AI140" i="72" s="1"/>
  <c r="AI62" i="72" s="1"/>
  <c r="AF137" i="72"/>
  <c r="AF139" i="72"/>
  <c r="AE137" i="72"/>
  <c r="AE139" i="72"/>
  <c r="AD137" i="72"/>
  <c r="AD139" i="72"/>
  <c r="AA137" i="72"/>
  <c r="AA139" i="72"/>
  <c r="Z137" i="72"/>
  <c r="Z139" i="72"/>
  <c r="Y137" i="72"/>
  <c r="Y139" i="72"/>
  <c r="X137" i="72"/>
  <c r="V137" i="72"/>
  <c r="V139" i="72" s="1"/>
  <c r="U137" i="72"/>
  <c r="U139" i="72" s="1"/>
  <c r="T137" i="72"/>
  <c r="T139" i="72" s="1"/>
  <c r="S137" i="72"/>
  <c r="Q137" i="72"/>
  <c r="Q139" i="72"/>
  <c r="P137" i="72"/>
  <c r="P139" i="72"/>
  <c r="O137" i="72"/>
  <c r="O139" i="72"/>
  <c r="N137" i="72"/>
  <c r="L137" i="72"/>
  <c r="L139" i="72" s="1"/>
  <c r="K137" i="72"/>
  <c r="K139" i="72" s="1"/>
  <c r="J137" i="72"/>
  <c r="J139" i="72" s="1"/>
  <c r="I137" i="72"/>
  <c r="G137" i="72"/>
  <c r="G139" i="72"/>
  <c r="F137" i="72"/>
  <c r="F139" i="72"/>
  <c r="E137" i="72"/>
  <c r="E139" i="72"/>
  <c r="AU127" i="72"/>
  <c r="AT127" i="72"/>
  <c r="AS127" i="72"/>
  <c r="AR127" i="72"/>
  <c r="AP127" i="72"/>
  <c r="AO127" i="72"/>
  <c r="AN127" i="72"/>
  <c r="AM127" i="72"/>
  <c r="AK127" i="72"/>
  <c r="AJ127" i="72"/>
  <c r="AI127" i="72"/>
  <c r="AH127" i="72"/>
  <c r="AF127" i="72"/>
  <c r="P127" i="72"/>
  <c r="O127" i="72"/>
  <c r="L127" i="72"/>
  <c r="K127" i="72"/>
  <c r="J127" i="72"/>
  <c r="AQ126" i="72"/>
  <c r="AL126" i="72"/>
  <c r="AL127" i="72" s="1"/>
  <c r="AG126" i="72"/>
  <c r="Z126" i="72"/>
  <c r="Z127" i="72"/>
  <c r="Z116" i="72"/>
  <c r="Y126" i="72"/>
  <c r="X126" i="72"/>
  <c r="AC127" i="72"/>
  <c r="V126" i="72"/>
  <c r="V116" i="72"/>
  <c r="U126" i="72"/>
  <c r="T126" i="72"/>
  <c r="T116" i="72" s="1"/>
  <c r="X116" i="72" s="1"/>
  <c r="S126" i="72"/>
  <c r="S127" i="72" s="1"/>
  <c r="S52" i="72" s="1"/>
  <c r="R126" i="72"/>
  <c r="X127" i="72"/>
  <c r="X52" i="72"/>
  <c r="Q126" i="72"/>
  <c r="N126" i="72"/>
  <c r="M126" i="72" s="1"/>
  <c r="I126" i="72"/>
  <c r="AU124" i="72"/>
  <c r="AT124" i="72"/>
  <c r="AS124" i="72"/>
  <c r="AR124" i="72"/>
  <c r="AP124" i="72"/>
  <c r="AO124" i="72"/>
  <c r="AN124" i="72"/>
  <c r="AM124" i="72"/>
  <c r="AK124" i="72"/>
  <c r="AJ124" i="72"/>
  <c r="AI124" i="72"/>
  <c r="AH124" i="72"/>
  <c r="AF124" i="72"/>
  <c r="AE124" i="72"/>
  <c r="AD124" i="72"/>
  <c r="AC124" i="72"/>
  <c r="AC51" i="72" s="1"/>
  <c r="AA124" i="72"/>
  <c r="Z124" i="72"/>
  <c r="Y124" i="72"/>
  <c r="X124" i="72"/>
  <c r="V124" i="72"/>
  <c r="V51" i="72" s="1"/>
  <c r="U124" i="72"/>
  <c r="U51" i="72" s="1"/>
  <c r="T124" i="72"/>
  <c r="S124" i="72"/>
  <c r="S51" i="72"/>
  <c r="Q124" i="72"/>
  <c r="Q51" i="72" s="1"/>
  <c r="P124" i="72"/>
  <c r="O124" i="72"/>
  <c r="O51" i="72"/>
  <c r="N124" i="72"/>
  <c r="N51" i="72"/>
  <c r="L124" i="72"/>
  <c r="K124" i="72"/>
  <c r="J124" i="72"/>
  <c r="AQ123" i="72"/>
  <c r="AQ124" i="72" s="1"/>
  <c r="AL123" i="72"/>
  <c r="AL124" i="72" s="1"/>
  <c r="AG123" i="72"/>
  <c r="AG124" i="72" s="1"/>
  <c r="AB123" i="72"/>
  <c r="W123" i="72"/>
  <c r="R123" i="72"/>
  <c r="R124" i="72" s="1"/>
  <c r="R51" i="72" s="1"/>
  <c r="M123" i="72"/>
  <c r="M124" i="72"/>
  <c r="M51" i="72" s="1"/>
  <c r="H123" i="72"/>
  <c r="AU120" i="72"/>
  <c r="AT120" i="72"/>
  <c r="AS120" i="72"/>
  <c r="AR120" i="72"/>
  <c r="AP120" i="72"/>
  <c r="AO120" i="72"/>
  <c r="AN120" i="72"/>
  <c r="AM120" i="72"/>
  <c r="AK120" i="72"/>
  <c r="AJ120" i="72"/>
  <c r="AI120" i="72"/>
  <c r="AH120" i="72"/>
  <c r="AF120" i="72"/>
  <c r="AE120" i="72"/>
  <c r="AD120" i="72"/>
  <c r="AC120" i="72"/>
  <c r="AA120" i="72"/>
  <c r="Z120" i="72"/>
  <c r="Y120" i="72"/>
  <c r="X120" i="72"/>
  <c r="V120" i="72"/>
  <c r="U120" i="72"/>
  <c r="T120" i="72"/>
  <c r="S120" i="72"/>
  <c r="Q120" i="72"/>
  <c r="P120" i="72"/>
  <c r="O120" i="72"/>
  <c r="N120" i="72"/>
  <c r="L120" i="72"/>
  <c r="K120" i="72"/>
  <c r="J120" i="72"/>
  <c r="I120" i="72"/>
  <c r="G120" i="72"/>
  <c r="F120" i="72"/>
  <c r="E120" i="72"/>
  <c r="AU116" i="72"/>
  <c r="AZ116" i="72" s="1"/>
  <c r="AT116" i="72"/>
  <c r="AY116" i="72" s="1"/>
  <c r="AS116" i="72"/>
  <c r="AP116" i="72"/>
  <c r="AO116" i="72"/>
  <c r="AN116" i="72"/>
  <c r="AK116" i="72"/>
  <c r="AJ116" i="72"/>
  <c r="AI116" i="72"/>
  <c r="AF116" i="72"/>
  <c r="AE116" i="72"/>
  <c r="AH116" i="72"/>
  <c r="AD116" i="72"/>
  <c r="AA116" i="72"/>
  <c r="P116" i="72"/>
  <c r="O116" i="72"/>
  <c r="L116" i="72"/>
  <c r="K116" i="72"/>
  <c r="J116" i="72"/>
  <c r="G116" i="72"/>
  <c r="F116" i="72"/>
  <c r="E116" i="72"/>
  <c r="AU115" i="72"/>
  <c r="AT115" i="72"/>
  <c r="AS115" i="72"/>
  <c r="AP115" i="72"/>
  <c r="AO115" i="72"/>
  <c r="AN115" i="72"/>
  <c r="AK115" i="72"/>
  <c r="AJ115" i="72"/>
  <c r="AI115" i="72"/>
  <c r="AF115" i="72"/>
  <c r="AE115" i="72"/>
  <c r="AH115" i="72" s="1"/>
  <c r="AD115" i="72"/>
  <c r="AA115" i="72"/>
  <c r="Z115" i="72"/>
  <c r="Y115" i="72"/>
  <c r="V115" i="72"/>
  <c r="U115" i="72"/>
  <c r="T115" i="72"/>
  <c r="X115" i="72" s="1"/>
  <c r="Q115" i="72"/>
  <c r="P115" i="72"/>
  <c r="O115" i="72"/>
  <c r="L115" i="72"/>
  <c r="K115" i="72"/>
  <c r="J115" i="72"/>
  <c r="G115" i="72"/>
  <c r="F115" i="72"/>
  <c r="E115" i="72"/>
  <c r="AQ113" i="72"/>
  <c r="AQ120" i="72"/>
  <c r="AQ112" i="72"/>
  <c r="AL113" i="72"/>
  <c r="AL112" i="72"/>
  <c r="AL115" i="72" s="1"/>
  <c r="AM115" i="72" s="1"/>
  <c r="AG113" i="72"/>
  <c r="AG116" i="72"/>
  <c r="AG112" i="72"/>
  <c r="AG115" i="72"/>
  <c r="AB113" i="72"/>
  <c r="AB120" i="72" s="1"/>
  <c r="AB112" i="72"/>
  <c r="AB115" i="72" s="1"/>
  <c r="W113" i="72"/>
  <c r="W120" i="72" s="1"/>
  <c r="W132" i="72" s="1"/>
  <c r="W112" i="72"/>
  <c r="W115" i="72" s="1"/>
  <c r="R113" i="72"/>
  <c r="R112" i="72"/>
  <c r="R115" i="72"/>
  <c r="M113" i="72"/>
  <c r="M112" i="72"/>
  <c r="H113" i="72"/>
  <c r="H112" i="72"/>
  <c r="H115" i="72" s="1"/>
  <c r="AU103" i="72"/>
  <c r="AU104" i="72"/>
  <c r="AZ49" i="72" s="1"/>
  <c r="AT103" i="72"/>
  <c r="AT104" i="72"/>
  <c r="AY49" i="72" s="1"/>
  <c r="AY84" i="72" s="1"/>
  <c r="AS103" i="72"/>
  <c r="AS104" i="72"/>
  <c r="AP103" i="72"/>
  <c r="AP104" i="72" s="1"/>
  <c r="AP107" i="72" s="1"/>
  <c r="AO103" i="72"/>
  <c r="AO104" i="72" s="1"/>
  <c r="AO107" i="72" s="1"/>
  <c r="AN103" i="72"/>
  <c r="AK103" i="72"/>
  <c r="AK104" i="72" s="1"/>
  <c r="AK107" i="72" s="1"/>
  <c r="AJ103" i="72"/>
  <c r="AJ104" i="72" s="1"/>
  <c r="AF103" i="72"/>
  <c r="AF104" i="72"/>
  <c r="AE103" i="72"/>
  <c r="AE104" i="72"/>
  <c r="AA103" i="72"/>
  <c r="AA104" i="72"/>
  <c r="Z103" i="72"/>
  <c r="Z104" i="72"/>
  <c r="V103" i="72"/>
  <c r="V104" i="72"/>
  <c r="U103" i="72"/>
  <c r="U104" i="72"/>
  <c r="T103" i="72"/>
  <c r="T104" i="72"/>
  <c r="AQ101" i="72"/>
  <c r="AQ100" i="72"/>
  <c r="AQ103" i="72" s="1"/>
  <c r="AQ104" i="72" s="1"/>
  <c r="AQ107" i="72" s="1"/>
  <c r="AL101" i="72"/>
  <c r="AL100" i="72"/>
  <c r="AG101" i="72"/>
  <c r="AG103" i="72"/>
  <c r="AG104" i="72" s="1"/>
  <c r="AG100" i="72"/>
  <c r="AB101" i="72"/>
  <c r="AB100" i="72"/>
  <c r="W101" i="72"/>
  <c r="W100" i="72"/>
  <c r="W103" i="72" s="1"/>
  <c r="W104" i="72" s="1"/>
  <c r="W107" i="72" s="1"/>
  <c r="R101" i="72"/>
  <c r="R100" i="72"/>
  <c r="R93" i="72"/>
  <c r="Q93" i="72"/>
  <c r="P93" i="72"/>
  <c r="O93" i="72"/>
  <c r="M93" i="72"/>
  <c r="L93" i="72"/>
  <c r="K93" i="72"/>
  <c r="J93" i="72"/>
  <c r="AU84" i="72"/>
  <c r="AZ84" i="72" s="1"/>
  <c r="AZ86" i="72" s="1"/>
  <c r="AT84" i="72"/>
  <c r="AT86" i="72" s="1"/>
  <c r="AT49" i="72" s="1"/>
  <c r="AS84" i="72"/>
  <c r="AS86" i="72" s="1"/>
  <c r="AS49" i="72" s="1"/>
  <c r="AR84" i="72"/>
  <c r="AP84" i="72"/>
  <c r="AO84" i="72"/>
  <c r="AN84" i="72"/>
  <c r="AM84" i="72"/>
  <c r="AR86" i="72"/>
  <c r="AR49" i="72" s="1"/>
  <c r="AR42" i="73" s="1"/>
  <c r="AK84" i="72"/>
  <c r="AJ84" i="72"/>
  <c r="AJ86" i="72" s="1"/>
  <c r="AJ49" i="72" s="1"/>
  <c r="AI84" i="72"/>
  <c r="AH84" i="72"/>
  <c r="AF84" i="72"/>
  <c r="AE84" i="72"/>
  <c r="AD84" i="72"/>
  <c r="AC84" i="72"/>
  <c r="AA84" i="72"/>
  <c r="Z84" i="72"/>
  <c r="Y84" i="72"/>
  <c r="AD86" i="72"/>
  <c r="AD49" i="72" s="1"/>
  <c r="X84" i="72"/>
  <c r="V84" i="72"/>
  <c r="U84" i="72"/>
  <c r="T84" i="72"/>
  <c r="S84" i="72"/>
  <c r="Q84" i="72"/>
  <c r="P84" i="72"/>
  <c r="O84" i="72"/>
  <c r="N84" i="72"/>
  <c r="L84" i="72"/>
  <c r="K84" i="72"/>
  <c r="K94" i="72" s="1"/>
  <c r="J84" i="72"/>
  <c r="I84" i="72"/>
  <c r="AQ83" i="72"/>
  <c r="AQ82" i="72"/>
  <c r="AQ81" i="72"/>
  <c r="AQ84" i="72" s="1"/>
  <c r="AQ80" i="72"/>
  <c r="AL83" i="72"/>
  <c r="AL82" i="72"/>
  <c r="AL81" i="72"/>
  <c r="AL80" i="72"/>
  <c r="AL84" i="72" s="1"/>
  <c r="AG83" i="72"/>
  <c r="AG82" i="72"/>
  <c r="AG81" i="72"/>
  <c r="AG84" i="72" s="1"/>
  <c r="AG86" i="72" s="1"/>
  <c r="AG49" i="72" s="1"/>
  <c r="AG80" i="72"/>
  <c r="AB83" i="72"/>
  <c r="AB82" i="72"/>
  <c r="AB81" i="72"/>
  <c r="AB80" i="72"/>
  <c r="AB84" i="72"/>
  <c r="W83" i="72"/>
  <c r="W82" i="72"/>
  <c r="W84" i="72" s="1"/>
  <c r="W81" i="72"/>
  <c r="W80" i="72"/>
  <c r="R83" i="72"/>
  <c r="R82" i="72"/>
  <c r="R81" i="72"/>
  <c r="R80" i="72"/>
  <c r="R84" i="72" s="1"/>
  <c r="M83" i="72"/>
  <c r="M82" i="72"/>
  <c r="M81" i="72"/>
  <c r="M84" i="72" s="1"/>
  <c r="M80" i="72"/>
  <c r="AU77" i="72"/>
  <c r="AT77" i="72"/>
  <c r="AT88" i="72"/>
  <c r="AS77" i="72"/>
  <c r="AR77" i="72"/>
  <c r="AP77" i="72"/>
  <c r="AP88" i="72"/>
  <c r="AO77" i="72"/>
  <c r="AN77" i="72"/>
  <c r="AM77" i="72"/>
  <c r="AK77" i="72"/>
  <c r="AJ77" i="72"/>
  <c r="AI77" i="72"/>
  <c r="AI88" i="72" s="1"/>
  <c r="AH77" i="72"/>
  <c r="AF77" i="72"/>
  <c r="AE77" i="72"/>
  <c r="AD77" i="72"/>
  <c r="AD88" i="72"/>
  <c r="AC77" i="72"/>
  <c r="AA77" i="72"/>
  <c r="AA88" i="72" s="1"/>
  <c r="Z77" i="72"/>
  <c r="Y77" i="72"/>
  <c r="X77" i="72"/>
  <c r="V77" i="72"/>
  <c r="V88" i="72"/>
  <c r="U77" i="72"/>
  <c r="T77" i="72"/>
  <c r="S77" i="72"/>
  <c r="Q77" i="72"/>
  <c r="P77" i="72"/>
  <c r="O77" i="72"/>
  <c r="O88" i="72" s="1"/>
  <c r="N77" i="72"/>
  <c r="L77" i="72"/>
  <c r="K77" i="72"/>
  <c r="K96" i="72" s="1"/>
  <c r="J77" i="72"/>
  <c r="J88" i="72" s="1"/>
  <c r="AQ76" i="72"/>
  <c r="AQ75" i="72"/>
  <c r="AQ74" i="72"/>
  <c r="AQ73" i="72"/>
  <c r="AQ77" i="72" s="1"/>
  <c r="AL76" i="72"/>
  <c r="AL75" i="72"/>
  <c r="AL74" i="72"/>
  <c r="AL73" i="72"/>
  <c r="AL77" i="72" s="1"/>
  <c r="AG76" i="72"/>
  <c r="AG75" i="72"/>
  <c r="AG74" i="72"/>
  <c r="AG77" i="72" s="1"/>
  <c r="AG73" i="72"/>
  <c r="AB76" i="72"/>
  <c r="AB75" i="72"/>
  <c r="AB77" i="72" s="1"/>
  <c r="AB74" i="72"/>
  <c r="AB73" i="72"/>
  <c r="W76" i="72"/>
  <c r="W75" i="72"/>
  <c r="W74" i="72"/>
  <c r="W73" i="72"/>
  <c r="W77" i="72" s="1"/>
  <c r="R76" i="72"/>
  <c r="R75" i="72"/>
  <c r="R74" i="72"/>
  <c r="R77" i="72" s="1"/>
  <c r="R73" i="72"/>
  <c r="M76" i="72"/>
  <c r="M75" i="72"/>
  <c r="M74" i="72"/>
  <c r="M77" i="72" s="1"/>
  <c r="M96" i="72" s="1"/>
  <c r="M97" i="72" s="1"/>
  <c r="M73" i="72"/>
  <c r="I75" i="72"/>
  <c r="I76" i="72"/>
  <c r="I74" i="72"/>
  <c r="I73" i="72"/>
  <c r="I77" i="72" s="1"/>
  <c r="BQ67" i="72"/>
  <c r="BQ48" i="73" s="1"/>
  <c r="BL67" i="72"/>
  <c r="BL48" i="73" s="1"/>
  <c r="BG67" i="72"/>
  <c r="BG48" i="73" s="1"/>
  <c r="BB67" i="72"/>
  <c r="BB48" i="73" s="1"/>
  <c r="AR67" i="72"/>
  <c r="AR48" i="73" s="1"/>
  <c r="AM67" i="72"/>
  <c r="AM48" i="73" s="1"/>
  <c r="AH67" i="72"/>
  <c r="AH48" i="73" s="1"/>
  <c r="AC67" i="72"/>
  <c r="AC48" i="73"/>
  <c r="X67" i="72"/>
  <c r="X48" i="73" s="1"/>
  <c r="S67" i="72"/>
  <c r="N67" i="72"/>
  <c r="I67" i="72"/>
  <c r="BP67" i="72"/>
  <c r="BO67" i="72"/>
  <c r="BN67" i="72"/>
  <c r="BM67" i="72"/>
  <c r="BK67" i="72"/>
  <c r="BJ67" i="72"/>
  <c r="BI67" i="72"/>
  <c r="BH67" i="72"/>
  <c r="BF67" i="72"/>
  <c r="BE67" i="72"/>
  <c r="BD67" i="72"/>
  <c r="BC67" i="72"/>
  <c r="BA67" i="72"/>
  <c r="AY67" i="72"/>
  <c r="AX67" i="72"/>
  <c r="AU67" i="72"/>
  <c r="AT67" i="72"/>
  <c r="AS67" i="72"/>
  <c r="AQ67" i="72"/>
  <c r="AP67" i="72"/>
  <c r="AO67" i="72"/>
  <c r="AN67" i="72"/>
  <c r="AL67" i="72"/>
  <c r="AK67" i="72"/>
  <c r="AJ67" i="72"/>
  <c r="AI67" i="72"/>
  <c r="AG67" i="72"/>
  <c r="AF67" i="72"/>
  <c r="AE67" i="72"/>
  <c r="AD67" i="72"/>
  <c r="AB67" i="72"/>
  <c r="AA67" i="72"/>
  <c r="Z67" i="72"/>
  <c r="Y67" i="72"/>
  <c r="W67" i="72"/>
  <c r="V67" i="72"/>
  <c r="U67" i="72"/>
  <c r="T67" i="72"/>
  <c r="R67" i="72"/>
  <c r="Q67" i="72"/>
  <c r="P67" i="72"/>
  <c r="O67" i="72"/>
  <c r="M67" i="72"/>
  <c r="L67" i="72"/>
  <c r="K67" i="72"/>
  <c r="J67" i="72"/>
  <c r="BP65" i="72"/>
  <c r="BO65" i="72"/>
  <c r="BN65" i="72" s="1"/>
  <c r="BM65" i="72" s="1"/>
  <c r="BK65" i="72"/>
  <c r="BJ65" i="72"/>
  <c r="BI65" i="72" s="1"/>
  <c r="BH65" i="72" s="1"/>
  <c r="BF65" i="72"/>
  <c r="BE65" i="72"/>
  <c r="BD65" i="72" s="1"/>
  <c r="BC65" i="72" s="1"/>
  <c r="BA65" i="72"/>
  <c r="AZ65" i="72"/>
  <c r="AY65" i="72" s="1"/>
  <c r="AX65" i="72" s="1"/>
  <c r="BP63" i="72"/>
  <c r="BP143" i="72"/>
  <c r="BP62" i="72"/>
  <c r="BP140" i="72" s="1"/>
  <c r="BK63" i="72"/>
  <c r="BK143" i="72"/>
  <c r="BJ63" i="72"/>
  <c r="BJ143" i="72" s="1"/>
  <c r="BK62" i="72"/>
  <c r="BK140" i="72"/>
  <c r="BF63" i="72"/>
  <c r="BF143" i="72" s="1"/>
  <c r="BF62" i="72"/>
  <c r="BE62" i="72"/>
  <c r="BA63" i="72"/>
  <c r="AZ63" i="72" s="1"/>
  <c r="BA62" i="72"/>
  <c r="AP63" i="72"/>
  <c r="AF63" i="72"/>
  <c r="AD63" i="72"/>
  <c r="Z63" i="72"/>
  <c r="V63" i="72"/>
  <c r="T63" i="72"/>
  <c r="K63" i="72"/>
  <c r="BQ60" i="72"/>
  <c r="BQ40" i="73" s="1"/>
  <c r="BL60" i="72"/>
  <c r="BI60" i="72" s="1"/>
  <c r="BL40" i="73"/>
  <c r="BG60" i="72"/>
  <c r="BF60" i="72" s="1"/>
  <c r="BG40" i="73"/>
  <c r="BB60" i="72"/>
  <c r="BB40" i="73" s="1"/>
  <c r="BQ59" i="72"/>
  <c r="BQ39" i="73" s="1"/>
  <c r="BL59" i="72"/>
  <c r="BL39" i="73" s="1"/>
  <c r="BG59" i="72"/>
  <c r="BG39" i="73"/>
  <c r="BB59" i="72"/>
  <c r="BB39" i="73"/>
  <c r="AX59" i="72"/>
  <c r="BQ58" i="72"/>
  <c r="BQ38" i="73" s="1"/>
  <c r="BL58" i="72"/>
  <c r="BL118" i="72" s="1"/>
  <c r="BL38" i="73"/>
  <c r="BG58" i="72"/>
  <c r="BG38" i="73" s="1"/>
  <c r="BB58" i="72"/>
  <c r="BB38" i="73"/>
  <c r="BP57" i="72"/>
  <c r="BO57" i="72"/>
  <c r="BQ57" i="72" s="1"/>
  <c r="BN57" i="72"/>
  <c r="BM57" i="72"/>
  <c r="BK57" i="72"/>
  <c r="BJ57" i="72"/>
  <c r="BI57" i="72"/>
  <c r="BH57" i="72"/>
  <c r="BL57" i="72" s="1"/>
  <c r="BF57" i="72"/>
  <c r="BD57" i="72"/>
  <c r="BC57" i="72"/>
  <c r="BQ56" i="72"/>
  <c r="BQ36" i="73" s="1"/>
  <c r="BL56" i="72"/>
  <c r="BL36" i="73" s="1"/>
  <c r="BG56" i="72"/>
  <c r="BG36" i="73"/>
  <c r="BB56" i="72"/>
  <c r="BB36" i="73" s="1"/>
  <c r="BK55" i="72"/>
  <c r="BJ55" i="72"/>
  <c r="BI55" i="72"/>
  <c r="BH55" i="72"/>
  <c r="BF55" i="72"/>
  <c r="BE55" i="72"/>
  <c r="BD55" i="72"/>
  <c r="BC55" i="72"/>
  <c r="AZ55" i="72"/>
  <c r="BP55" i="72"/>
  <c r="BO55" i="72"/>
  <c r="BN55" i="72"/>
  <c r="BM55" i="72"/>
  <c r="BP54" i="72"/>
  <c r="BO54" i="72"/>
  <c r="BN54" i="72"/>
  <c r="BM54" i="72"/>
  <c r="BK54" i="72"/>
  <c r="BJ54" i="72"/>
  <c r="BI54" i="72"/>
  <c r="BH54" i="72"/>
  <c r="BG54" i="72"/>
  <c r="BG34" i="73"/>
  <c r="BF54" i="72"/>
  <c r="BA55" i="72"/>
  <c r="AY55" i="72"/>
  <c r="AX55" i="72"/>
  <c r="AC52" i="72"/>
  <c r="BP52" i="72"/>
  <c r="BO52" i="72" s="1"/>
  <c r="BN52" i="72" s="1"/>
  <c r="BM52" i="72" s="1"/>
  <c r="BP51" i="72"/>
  <c r="BO51" i="72" s="1"/>
  <c r="BN51" i="72" s="1"/>
  <c r="BM51" i="72" s="1"/>
  <c r="BK52" i="72"/>
  <c r="BJ52" i="72" s="1"/>
  <c r="BI52" i="72" s="1"/>
  <c r="BH52" i="72" s="1"/>
  <c r="BK51" i="72"/>
  <c r="BJ51" i="72" s="1"/>
  <c r="BI51" i="72" s="1"/>
  <c r="BH51" i="72" s="1"/>
  <c r="BF52" i="72"/>
  <c r="BE52" i="72" s="1"/>
  <c r="BD52" i="72" s="1"/>
  <c r="BC52" i="72" s="1"/>
  <c r="BF51" i="72"/>
  <c r="BE51" i="72" s="1"/>
  <c r="BD51" i="72" s="1"/>
  <c r="BC51" i="72" s="1"/>
  <c r="BA52" i="72"/>
  <c r="AZ52" i="72" s="1"/>
  <c r="BA51" i="72"/>
  <c r="AZ51" i="72" s="1"/>
  <c r="P52" i="72"/>
  <c r="O52" i="72"/>
  <c r="L52" i="72"/>
  <c r="K52" i="72"/>
  <c r="J52" i="72"/>
  <c r="X51" i="72"/>
  <c r="T51" i="72"/>
  <c r="P51" i="72"/>
  <c r="L51" i="72"/>
  <c r="K51" i="72"/>
  <c r="J51" i="72"/>
  <c r="BP49" i="72"/>
  <c r="BO49" i="72" s="1"/>
  <c r="BN49" i="72" s="1"/>
  <c r="BM49" i="72" s="1"/>
  <c r="BK49" i="72"/>
  <c r="BJ49" i="72" s="1"/>
  <c r="BI49" i="72" s="1"/>
  <c r="BH49" i="72" s="1"/>
  <c r="BF49" i="72"/>
  <c r="BE49" i="72" s="1"/>
  <c r="BD49" i="72" s="1"/>
  <c r="AX49" i="72"/>
  <c r="AU41" i="72"/>
  <c r="AT41" i="72"/>
  <c r="AS41" i="72"/>
  <c r="AR41" i="72"/>
  <c r="AR61" i="73"/>
  <c r="AQ41" i="72"/>
  <c r="AP41" i="72"/>
  <c r="AO41" i="72"/>
  <c r="AN41" i="72"/>
  <c r="AM41" i="72"/>
  <c r="AM61" i="73"/>
  <c r="BY80" i="73" s="1"/>
  <c r="BZ80" i="73" s="1"/>
  <c r="CE80" i="73" s="1"/>
  <c r="CJ80" i="73" s="1"/>
  <c r="CO80" i="73" s="1"/>
  <c r="CT80" i="73" s="1"/>
  <c r="CY80" i="73" s="1"/>
  <c r="AL41" i="72"/>
  <c r="AK41" i="72"/>
  <c r="AJ41" i="72"/>
  <c r="AI41" i="72"/>
  <c r="AH41" i="72"/>
  <c r="AH61" i="73"/>
  <c r="BX80" i="73"/>
  <c r="AG41" i="72"/>
  <c r="AF41" i="72"/>
  <c r="AE41" i="72"/>
  <c r="AD41" i="72"/>
  <c r="AD107" i="72" s="1"/>
  <c r="AC41" i="72"/>
  <c r="AC61" i="73"/>
  <c r="AB41" i="72"/>
  <c r="AA41" i="72"/>
  <c r="Z41" i="72"/>
  <c r="Y41" i="72"/>
  <c r="X41" i="72"/>
  <c r="X61" i="73"/>
  <c r="W41" i="72"/>
  <c r="V41" i="72"/>
  <c r="U41" i="72"/>
  <c r="T41" i="72"/>
  <c r="T107" i="72" s="1"/>
  <c r="S41" i="72"/>
  <c r="R41" i="72"/>
  <c r="Q41" i="72"/>
  <c r="P41" i="72"/>
  <c r="O41" i="72"/>
  <c r="N41" i="72"/>
  <c r="M41" i="72"/>
  <c r="L41" i="72"/>
  <c r="K41" i="72"/>
  <c r="J41" i="72"/>
  <c r="I41" i="72"/>
  <c r="H41" i="72"/>
  <c r="G41" i="72"/>
  <c r="F41" i="72"/>
  <c r="E41" i="72"/>
  <c r="BQ37" i="72"/>
  <c r="BL37" i="72"/>
  <c r="BG37" i="72"/>
  <c r="BB37" i="72"/>
  <c r="AM37" i="72"/>
  <c r="AH37" i="72"/>
  <c r="AC37" i="72"/>
  <c r="X37" i="72"/>
  <c r="M37" i="72"/>
  <c r="H37" i="72"/>
  <c r="AQ34" i="72"/>
  <c r="AL34" i="72"/>
  <c r="AG34" i="72"/>
  <c r="AB34" i="72"/>
  <c r="W34" i="72"/>
  <c r="R34" i="72"/>
  <c r="M34" i="72"/>
  <c r="H34" i="72"/>
  <c r="AQ30" i="72"/>
  <c r="AL30" i="72"/>
  <c r="AG30" i="72"/>
  <c r="AB30" i="72"/>
  <c r="W30" i="72"/>
  <c r="R30" i="72"/>
  <c r="M30" i="72"/>
  <c r="H30" i="72"/>
  <c r="AU25" i="72"/>
  <c r="AT25" i="72"/>
  <c r="AS25" i="72"/>
  <c r="AV25" i="72" s="1"/>
  <c r="AV27" i="72" s="1"/>
  <c r="AR25" i="72"/>
  <c r="AQ25" i="72" s="1"/>
  <c r="AP25" i="72"/>
  <c r="AO25" i="72"/>
  <c r="AN25" i="72"/>
  <c r="AM25" i="72"/>
  <c r="AJ25" i="72"/>
  <c r="AL25" i="72" s="1"/>
  <c r="AI25" i="72"/>
  <c r="AH25" i="72"/>
  <c r="AF25" i="72"/>
  <c r="AG25" i="72" s="1"/>
  <c r="AE25" i="72"/>
  <c r="AC25" i="72"/>
  <c r="AA25" i="72"/>
  <c r="AB25" i="72" s="1"/>
  <c r="Z25" i="72"/>
  <c r="Y25" i="72"/>
  <c r="X25" i="72"/>
  <c r="W25" i="72" s="1"/>
  <c r="W18" i="51" s="1"/>
  <c r="V25" i="72"/>
  <c r="U25" i="72"/>
  <c r="R25" i="72"/>
  <c r="M25" i="72"/>
  <c r="H25" i="72"/>
  <c r="AU21" i="72"/>
  <c r="AU23" i="72"/>
  <c r="AT21" i="72"/>
  <c r="AT23" i="72"/>
  <c r="AS21" i="72"/>
  <c r="AS23" i="72"/>
  <c r="AR21" i="72"/>
  <c r="AR23" i="72"/>
  <c r="AR27" i="72" s="1"/>
  <c r="AP21" i="72"/>
  <c r="AP23" i="72" s="1"/>
  <c r="AO21" i="72"/>
  <c r="AO23" i="72" s="1"/>
  <c r="AN21" i="72"/>
  <c r="AN23" i="72"/>
  <c r="AM21" i="72"/>
  <c r="AM23" i="72"/>
  <c r="AM27" i="72" s="1"/>
  <c r="AK21" i="72"/>
  <c r="AK23" i="72" s="1"/>
  <c r="AJ21" i="72"/>
  <c r="AJ23" i="72" s="1"/>
  <c r="AI21" i="72"/>
  <c r="AI23" i="72" s="1"/>
  <c r="AH21" i="72"/>
  <c r="AH23" i="72" s="1"/>
  <c r="AH27" i="72" s="1"/>
  <c r="AF21" i="72"/>
  <c r="AF23" i="72" s="1"/>
  <c r="AE21" i="72"/>
  <c r="AE23" i="72" s="1"/>
  <c r="AD21" i="72"/>
  <c r="AD23" i="72"/>
  <c r="AC21" i="72"/>
  <c r="AC23" i="72"/>
  <c r="AC27" i="72" s="1"/>
  <c r="AA21" i="72"/>
  <c r="AA23" i="72"/>
  <c r="Z21" i="72"/>
  <c r="Z23" i="72"/>
  <c r="Y21" i="72"/>
  <c r="Y23" i="72"/>
  <c r="X21" i="72"/>
  <c r="X23" i="72"/>
  <c r="X27" i="72" s="1"/>
  <c r="V21" i="72"/>
  <c r="V23" i="72" s="1"/>
  <c r="U21" i="72"/>
  <c r="U23" i="72"/>
  <c r="T21" i="72"/>
  <c r="T23" i="72"/>
  <c r="T27" i="72" s="1"/>
  <c r="S21" i="72"/>
  <c r="S23" i="72" s="1"/>
  <c r="Q21" i="72"/>
  <c r="Q23" i="72" s="1"/>
  <c r="P21" i="72"/>
  <c r="P23" i="72" s="1"/>
  <c r="O21" i="72"/>
  <c r="O23" i="72" s="1"/>
  <c r="N21" i="72"/>
  <c r="N23" i="72" s="1"/>
  <c r="L21" i="72"/>
  <c r="L23" i="72"/>
  <c r="K21" i="72"/>
  <c r="K23" i="72"/>
  <c r="J21" i="72"/>
  <c r="J23" i="72"/>
  <c r="I21" i="72"/>
  <c r="I23" i="72"/>
  <c r="I27" i="72" s="1"/>
  <c r="G21" i="72"/>
  <c r="G23" i="72" s="1"/>
  <c r="F21" i="72"/>
  <c r="F23" i="72" s="1"/>
  <c r="E21" i="72"/>
  <c r="E23" i="72" s="1"/>
  <c r="AQ20" i="72"/>
  <c r="AQ142" i="72" s="1"/>
  <c r="AQ19" i="72"/>
  <c r="AQ154" i="72" s="1"/>
  <c r="AR154" i="72" s="1"/>
  <c r="AQ18" i="72"/>
  <c r="AQ137" i="72" s="1"/>
  <c r="AQ139" i="72" s="1"/>
  <c r="AQ140" i="72" s="1"/>
  <c r="AQ62" i="72" s="1"/>
  <c r="AL20" i="72"/>
  <c r="AL142" i="72"/>
  <c r="AL19" i="72"/>
  <c r="AL154" i="72"/>
  <c r="AL18" i="72"/>
  <c r="AL137" i="72"/>
  <c r="AL139" i="72" s="1"/>
  <c r="AG20" i="72"/>
  <c r="AG142" i="72" s="1"/>
  <c r="AH142" i="72" s="1"/>
  <c r="AG19" i="72"/>
  <c r="AG154" i="72" s="1"/>
  <c r="AH154" i="72" s="1"/>
  <c r="AG18" i="72"/>
  <c r="AG137" i="72" s="1"/>
  <c r="AG139" i="72" s="1"/>
  <c r="AB20" i="72"/>
  <c r="AB142" i="72" s="1"/>
  <c r="AB19" i="72"/>
  <c r="AB154" i="72" s="1"/>
  <c r="AC154" i="72" s="1"/>
  <c r="AB18" i="72"/>
  <c r="AB137" i="72"/>
  <c r="AB139" i="72" s="1"/>
  <c r="W20" i="72"/>
  <c r="W142" i="72" s="1"/>
  <c r="W19" i="72"/>
  <c r="W154" i="72" s="1"/>
  <c r="W18" i="72"/>
  <c r="W137" i="72" s="1"/>
  <c r="W139" i="72" s="1"/>
  <c r="R20" i="72"/>
  <c r="R142" i="72"/>
  <c r="R19" i="72"/>
  <c r="R154" i="72"/>
  <c r="R18" i="72"/>
  <c r="R137" i="72"/>
  <c r="R139" i="72" s="1"/>
  <c r="M20" i="72"/>
  <c r="M142" i="72"/>
  <c r="M19" i="72"/>
  <c r="M154" i="72"/>
  <c r="M18" i="72"/>
  <c r="M137" i="72"/>
  <c r="M139" i="72" s="1"/>
  <c r="M140" i="72" s="1"/>
  <c r="M62" i="72" s="1"/>
  <c r="H20" i="72"/>
  <c r="H142" i="72" s="1"/>
  <c r="H19" i="72"/>
  <c r="H154" i="72" s="1"/>
  <c r="H18" i="72"/>
  <c r="H137" i="72" s="1"/>
  <c r="H139" i="72" s="1"/>
  <c r="I139" i="72" s="1"/>
  <c r="BT18" i="72"/>
  <c r="AU16" i="72"/>
  <c r="AT16" i="72"/>
  <c r="AS16" i="72"/>
  <c r="AR16" i="72"/>
  <c r="AP16" i="72"/>
  <c r="AO16" i="72"/>
  <c r="AN16" i="72"/>
  <c r="AM16" i="72"/>
  <c r="AL16" i="72"/>
  <c r="AK16" i="72"/>
  <c r="AJ16" i="72"/>
  <c r="AI16" i="72"/>
  <c r="AH16" i="72"/>
  <c r="AF16" i="72"/>
  <c r="AE16" i="72"/>
  <c r="AD16" i="72"/>
  <c r="AC16" i="72"/>
  <c r="AA16" i="72"/>
  <c r="Z16" i="72"/>
  <c r="Y16" i="72"/>
  <c r="X16" i="72"/>
  <c r="V16" i="72"/>
  <c r="U16" i="72"/>
  <c r="T16" i="72"/>
  <c r="S16" i="72"/>
  <c r="Q16" i="72"/>
  <c r="P16" i="72"/>
  <c r="O16" i="72"/>
  <c r="N16" i="72"/>
  <c r="L16" i="72"/>
  <c r="K16" i="72"/>
  <c r="J16" i="72"/>
  <c r="I16" i="72"/>
  <c r="G16" i="72"/>
  <c r="F16" i="72"/>
  <c r="E16" i="72"/>
  <c r="AQ14" i="72"/>
  <c r="AQ21" i="72" s="1"/>
  <c r="AQ23" i="72" s="1"/>
  <c r="AQ12" i="72"/>
  <c r="AQ93" i="72"/>
  <c r="AL14" i="72"/>
  <c r="AL21" i="72"/>
  <c r="AL12" i="72"/>
  <c r="AL93" i="72" s="1"/>
  <c r="AL94" i="72" s="1"/>
  <c r="AG14" i="72"/>
  <c r="AG21" i="72"/>
  <c r="AG12" i="72"/>
  <c r="AG93" i="72" s="1"/>
  <c r="AB14" i="72"/>
  <c r="AB13" i="72" s="1"/>
  <c r="AB12" i="72"/>
  <c r="AB93" i="72"/>
  <c r="AB94" i="72" s="1"/>
  <c r="W14" i="72"/>
  <c r="W21" i="72" s="1"/>
  <c r="W23" i="72" s="1"/>
  <c r="W12" i="72"/>
  <c r="W93" i="72" s="1"/>
  <c r="W94" i="72" s="1"/>
  <c r="R14" i="72"/>
  <c r="R21" i="72"/>
  <c r="M14" i="72"/>
  <c r="M21" i="72"/>
  <c r="H14" i="72"/>
  <c r="H13" i="72" s="1"/>
  <c r="Q13" i="72"/>
  <c r="Q9" i="51"/>
  <c r="Q129" i="72"/>
  <c r="Q130" i="72" s="1"/>
  <c r="P13" i="72"/>
  <c r="P9" i="51"/>
  <c r="O13" i="72"/>
  <c r="O9" i="51" s="1"/>
  <c r="O14" i="51" s="1"/>
  <c r="O16" i="51" s="1"/>
  <c r="L13" i="72"/>
  <c r="L9" i="51"/>
  <c r="L129" i="72"/>
  <c r="L130" i="72" s="1"/>
  <c r="K13" i="72"/>
  <c r="K9" i="51"/>
  <c r="J13" i="72"/>
  <c r="J9" i="51" s="1"/>
  <c r="J14" i="51" s="1"/>
  <c r="J16" i="51" s="1"/>
  <c r="G13" i="72"/>
  <c r="G9" i="51" s="1"/>
  <c r="F13" i="72"/>
  <c r="F9" i="51"/>
  <c r="F14" i="51" s="1"/>
  <c r="F16" i="51" s="1"/>
  <c r="E13" i="72"/>
  <c r="E9" i="51"/>
  <c r="E129" i="72"/>
  <c r="E130" i="72" s="1"/>
  <c r="AU93" i="72"/>
  <c r="AU94" i="72"/>
  <c r="AZ94" i="72"/>
  <c r="AZ93" i="72" s="1"/>
  <c r="AT93" i="72"/>
  <c r="AT94" i="72"/>
  <c r="AY94" i="72"/>
  <c r="AS12" i="72"/>
  <c r="AP12" i="72"/>
  <c r="AP93" i="72"/>
  <c r="AP94" i="72" s="1"/>
  <c r="AO12" i="72"/>
  <c r="AO93" i="72"/>
  <c r="AO96" i="72"/>
  <c r="AN12" i="72"/>
  <c r="AK12" i="72"/>
  <c r="AK93" i="72"/>
  <c r="AJ12" i="72"/>
  <c r="AJ93" i="72" s="1"/>
  <c r="AI12" i="72"/>
  <c r="AI93" i="72" s="1"/>
  <c r="AF12" i="72"/>
  <c r="AF107" i="72"/>
  <c r="AE12" i="72"/>
  <c r="AD12" i="72"/>
  <c r="AA12" i="72"/>
  <c r="AA93" i="72" s="1"/>
  <c r="Z12" i="72"/>
  <c r="Z107" i="72"/>
  <c r="Y12" i="72"/>
  <c r="V12" i="72"/>
  <c r="V107" i="72"/>
  <c r="U12" i="72"/>
  <c r="U93" i="72" s="1"/>
  <c r="T12" i="72"/>
  <c r="T93" i="72"/>
  <c r="T94" i="72" s="1"/>
  <c r="S12" i="72"/>
  <c r="S93" i="72"/>
  <c r="N12" i="72"/>
  <c r="N93" i="72" s="1"/>
  <c r="I12" i="72"/>
  <c r="I93" i="72"/>
  <c r="I94" i="72" s="1"/>
  <c r="AQ10" i="72"/>
  <c r="AQ8" i="72"/>
  <c r="AQ9" i="72" s="1"/>
  <c r="AL10" i="72"/>
  <c r="AL9" i="72" s="1"/>
  <c r="AL8" i="72"/>
  <c r="AG10" i="72"/>
  <c r="AG23" i="72" s="1"/>
  <c r="AG8" i="72"/>
  <c r="AB10" i="72"/>
  <c r="AB16" i="72" s="1"/>
  <c r="AB8" i="72"/>
  <c r="W10" i="72"/>
  <c r="W9" i="72"/>
  <c r="W8" i="72"/>
  <c r="R10" i="72"/>
  <c r="R8" i="72"/>
  <c r="R9" i="72"/>
  <c r="M10" i="72"/>
  <c r="M23" i="72" s="1"/>
  <c r="M8" i="72"/>
  <c r="H10" i="72"/>
  <c r="H16" i="72"/>
  <c r="H8" i="72"/>
  <c r="AU9" i="72"/>
  <c r="AT9" i="72"/>
  <c r="AS9" i="72"/>
  <c r="AR9" i="72"/>
  <c r="AP9" i="72"/>
  <c r="AO9" i="72"/>
  <c r="AN9" i="72"/>
  <c r="AM9" i="72"/>
  <c r="AK9" i="72"/>
  <c r="AJ9" i="72"/>
  <c r="AI9" i="72"/>
  <c r="AH9" i="72"/>
  <c r="AF9" i="72"/>
  <c r="AE9" i="72"/>
  <c r="AD9" i="72"/>
  <c r="AC9" i="72"/>
  <c r="AA9" i="72"/>
  <c r="Z9" i="72"/>
  <c r="Y9" i="72"/>
  <c r="X9" i="72"/>
  <c r="V9" i="72"/>
  <c r="U9" i="72"/>
  <c r="T9" i="72"/>
  <c r="S9" i="72"/>
  <c r="Q9" i="72"/>
  <c r="P9" i="72"/>
  <c r="O9" i="72"/>
  <c r="N9" i="72"/>
  <c r="L9" i="72"/>
  <c r="K9" i="72"/>
  <c r="J9" i="72"/>
  <c r="I9" i="72"/>
  <c r="G9" i="72"/>
  <c r="F9" i="72"/>
  <c r="E9" i="72"/>
  <c r="B2" i="72"/>
  <c r="S337" i="46"/>
  <c r="N337" i="46"/>
  <c r="L337" i="46"/>
  <c r="K337" i="46"/>
  <c r="I337" i="46"/>
  <c r="G337" i="46"/>
  <c r="AS336" i="46"/>
  <c r="AN336" i="46"/>
  <c r="AJ336" i="46"/>
  <c r="AI336" i="46"/>
  <c r="AE336" i="46"/>
  <c r="AD336" i="46"/>
  <c r="Y336" i="46"/>
  <c r="T336" i="46"/>
  <c r="Q336" i="46"/>
  <c r="P336" i="46"/>
  <c r="O336" i="46"/>
  <c r="N336" i="46"/>
  <c r="M336" i="46"/>
  <c r="L336" i="46"/>
  <c r="K336" i="46"/>
  <c r="J336" i="46"/>
  <c r="I336" i="46"/>
  <c r="H336" i="46"/>
  <c r="G336" i="46"/>
  <c r="F336" i="46"/>
  <c r="E336" i="46"/>
  <c r="AS333" i="46"/>
  <c r="AN333" i="46"/>
  <c r="AI333" i="46"/>
  <c r="AD333" i="46"/>
  <c r="Y333" i="46"/>
  <c r="T333" i="46"/>
  <c r="Q333" i="46"/>
  <c r="P333" i="46"/>
  <c r="O333" i="46"/>
  <c r="M333" i="46"/>
  <c r="L333" i="46"/>
  <c r="K333" i="46"/>
  <c r="J333" i="46"/>
  <c r="H333" i="46"/>
  <c r="G333" i="46"/>
  <c r="F333" i="46"/>
  <c r="E333" i="46"/>
  <c r="I332" i="46"/>
  <c r="N332" i="46"/>
  <c r="S332" i="46"/>
  <c r="X332" i="46" s="1"/>
  <c r="AC332" i="46" s="1"/>
  <c r="AH332" i="46" s="1"/>
  <c r="AM332" i="46" s="1"/>
  <c r="AR332" i="46" s="1"/>
  <c r="AW332" i="46" s="1"/>
  <c r="BB332" i="46" s="1"/>
  <c r="BG332" i="46" s="1"/>
  <c r="BL332" i="46" s="1"/>
  <c r="BQ332" i="46" s="1"/>
  <c r="F332" i="46"/>
  <c r="G332" i="46"/>
  <c r="H332" i="46" s="1"/>
  <c r="J332" i="46" s="1"/>
  <c r="K332" i="46" s="1"/>
  <c r="L332" i="46" s="1"/>
  <c r="M332" i="46" s="1"/>
  <c r="O332" i="46" s="1"/>
  <c r="P332" i="46" s="1"/>
  <c r="Q332" i="46" s="1"/>
  <c r="R332" i="46" s="1"/>
  <c r="T332" i="46" s="1"/>
  <c r="U332" i="46" s="1"/>
  <c r="V332" i="46" s="1"/>
  <c r="W332" i="46" s="1"/>
  <c r="Y332" i="46" s="1"/>
  <c r="Z332" i="46" s="1"/>
  <c r="AA332" i="46" s="1"/>
  <c r="AB332" i="46" s="1"/>
  <c r="AD332" i="46" s="1"/>
  <c r="AE332" i="46" s="1"/>
  <c r="AF332" i="46" s="1"/>
  <c r="AG332" i="46" s="1"/>
  <c r="AI332" i="46" s="1"/>
  <c r="AJ332" i="46" s="1"/>
  <c r="AK332" i="46" s="1"/>
  <c r="AL332" i="46" s="1"/>
  <c r="AN332" i="46" s="1"/>
  <c r="AO332" i="46" s="1"/>
  <c r="AP332" i="46" s="1"/>
  <c r="AQ332" i="46" s="1"/>
  <c r="AS332" i="46" s="1"/>
  <c r="AT332" i="46" s="1"/>
  <c r="AU332" i="46" s="1"/>
  <c r="AV332" i="46" s="1"/>
  <c r="AX332" i="46" s="1"/>
  <c r="AY332" i="46" s="1"/>
  <c r="AU331" i="46"/>
  <c r="AT331" i="46"/>
  <c r="BB331" i="46" s="1"/>
  <c r="AS331" i="46"/>
  <c r="AQ331" i="46"/>
  <c r="AP331" i="46"/>
  <c r="AO331" i="46"/>
  <c r="AW331" i="46" s="1"/>
  <c r="AN331" i="46"/>
  <c r="AL331" i="46"/>
  <c r="AK331" i="46"/>
  <c r="AJ331" i="46"/>
  <c r="AR331" i="46"/>
  <c r="AI331" i="46"/>
  <c r="AG331" i="46"/>
  <c r="AF331" i="46"/>
  <c r="AE331" i="46"/>
  <c r="AM331" i="46" s="1"/>
  <c r="AD331" i="46"/>
  <c r="AH331" i="46"/>
  <c r="AB331" i="46"/>
  <c r="AC331" i="46" s="1"/>
  <c r="AA331" i="46"/>
  <c r="Z331" i="46"/>
  <c r="Y331" i="46"/>
  <c r="W331" i="46"/>
  <c r="X331" i="46" s="1"/>
  <c r="V331" i="46"/>
  <c r="U331" i="46"/>
  <c r="T331" i="46"/>
  <c r="R331" i="46"/>
  <c r="S331" i="46"/>
  <c r="Q331" i="46"/>
  <c r="P331" i="46"/>
  <c r="O331" i="46"/>
  <c r="M331" i="46"/>
  <c r="N331" i="46"/>
  <c r="L331" i="46"/>
  <c r="K331" i="46"/>
  <c r="J331" i="46"/>
  <c r="H331" i="46"/>
  <c r="I331" i="46" s="1"/>
  <c r="G331" i="46"/>
  <c r="F331" i="46"/>
  <c r="E331" i="46"/>
  <c r="BN330" i="46"/>
  <c r="BO330" i="46" s="1"/>
  <c r="BP330" i="46" s="1"/>
  <c r="BI330" i="46"/>
  <c r="BJ330" i="46" s="1"/>
  <c r="BK330" i="46" s="1"/>
  <c r="BD330" i="46"/>
  <c r="BE330" i="46"/>
  <c r="BF330" i="46" s="1"/>
  <c r="AY330" i="46"/>
  <c r="BA330" i="46"/>
  <c r="AT330" i="46"/>
  <c r="AU330" i="46" s="1"/>
  <c r="AV330" i="46" s="1"/>
  <c r="AO330" i="46"/>
  <c r="AP330" i="46"/>
  <c r="AQ330" i="46" s="1"/>
  <c r="AJ330" i="46"/>
  <c r="AK330" i="46"/>
  <c r="AL330" i="46"/>
  <c r="AE330" i="46"/>
  <c r="AF330" i="46"/>
  <c r="AG330" i="46"/>
  <c r="Z330" i="46"/>
  <c r="AA330" i="46" s="1"/>
  <c r="AB330" i="46" s="1"/>
  <c r="U330" i="46"/>
  <c r="V330" i="46"/>
  <c r="W330" i="46" s="1"/>
  <c r="P330" i="46"/>
  <c r="Q330" i="46"/>
  <c r="R330" i="46"/>
  <c r="K330" i="46"/>
  <c r="L330" i="46"/>
  <c r="M330" i="46"/>
  <c r="I330" i="46"/>
  <c r="N330" i="46" s="1"/>
  <c r="S330" i="46" s="1"/>
  <c r="X330" i="46" s="1"/>
  <c r="AC330" i="46" s="1"/>
  <c r="AH330" i="46" s="1"/>
  <c r="AM330" i="46" s="1"/>
  <c r="AR330" i="46" s="1"/>
  <c r="AW330" i="46" s="1"/>
  <c r="BB330" i="46" s="1"/>
  <c r="BG330" i="46" s="1"/>
  <c r="BL330" i="46" s="1"/>
  <c r="BQ330" i="46" s="1"/>
  <c r="F330" i="46"/>
  <c r="G330" i="46"/>
  <c r="H330" i="46"/>
  <c r="AR215" i="46"/>
  <c r="AM215" i="46"/>
  <c r="AH215" i="46"/>
  <c r="AC215" i="46"/>
  <c r="X215" i="46"/>
  <c r="S215" i="46"/>
  <c r="N215" i="46"/>
  <c r="I215" i="46"/>
  <c r="AU211" i="46"/>
  <c r="AT211" i="46"/>
  <c r="AT212" i="46"/>
  <c r="AS211" i="46"/>
  <c r="AQ211" i="46"/>
  <c r="AQ212" i="46" s="1"/>
  <c r="AP211" i="46"/>
  <c r="AO211" i="46"/>
  <c r="AN211" i="46"/>
  <c r="AL211" i="46"/>
  <c r="Q211" i="46"/>
  <c r="Q212" i="46" s="1"/>
  <c r="P211" i="46"/>
  <c r="O211" i="46"/>
  <c r="M211" i="46"/>
  <c r="M212" i="46" s="1"/>
  <c r="L211" i="46"/>
  <c r="K211" i="46"/>
  <c r="J211" i="46"/>
  <c r="H211" i="46"/>
  <c r="H212" i="46"/>
  <c r="G211" i="46"/>
  <c r="F211" i="46"/>
  <c r="F212" i="46" s="1"/>
  <c r="E211" i="46"/>
  <c r="E212" i="46" s="1"/>
  <c r="AU194" i="46"/>
  <c r="AT194" i="46"/>
  <c r="AS194" i="46"/>
  <c r="AQ194" i="46"/>
  <c r="AO194" i="46"/>
  <c r="AN194" i="46"/>
  <c r="AL194" i="46"/>
  <c r="AK194" i="46"/>
  <c r="AJ194" i="46"/>
  <c r="AI194" i="46"/>
  <c r="AG194" i="46"/>
  <c r="AF194" i="46"/>
  <c r="AE194" i="46"/>
  <c r="AD194" i="46"/>
  <c r="AB194" i="46"/>
  <c r="AA194" i="46"/>
  <c r="Z194" i="46"/>
  <c r="Y194" i="46"/>
  <c r="W194" i="46"/>
  <c r="CO15" i="71" s="1"/>
  <c r="V194" i="46"/>
  <c r="U194" i="46"/>
  <c r="T194" i="46"/>
  <c r="CL15" i="71" s="1"/>
  <c r="R194" i="46"/>
  <c r="Q194" i="46"/>
  <c r="P194" i="46"/>
  <c r="O194" i="46"/>
  <c r="CG15" i="71"/>
  <c r="M194" i="46"/>
  <c r="L194" i="46"/>
  <c r="K194" i="46"/>
  <c r="J194" i="46"/>
  <c r="H194" i="46"/>
  <c r="G194" i="46"/>
  <c r="F194" i="46"/>
  <c r="E194" i="46"/>
  <c r="AU190" i="46"/>
  <c r="AT190" i="46"/>
  <c r="AS190" i="46"/>
  <c r="AQ190" i="46"/>
  <c r="AP190" i="46"/>
  <c r="AO190" i="46"/>
  <c r="AN190" i="46"/>
  <c r="AL190" i="46"/>
  <c r="Q190" i="46"/>
  <c r="P190" i="46"/>
  <c r="P191" i="46" s="1"/>
  <c r="O190" i="46"/>
  <c r="M190" i="46"/>
  <c r="L190" i="46"/>
  <c r="K190" i="46"/>
  <c r="J190" i="46"/>
  <c r="H190" i="46"/>
  <c r="G190" i="46"/>
  <c r="F190" i="46"/>
  <c r="E190" i="46"/>
  <c r="AU189" i="46"/>
  <c r="AT189" i="46"/>
  <c r="AS189" i="46"/>
  <c r="AQ189" i="46"/>
  <c r="AP189" i="46"/>
  <c r="AO189" i="46"/>
  <c r="AN189" i="46"/>
  <c r="AL189" i="46"/>
  <c r="AK189" i="46"/>
  <c r="AJ189" i="46"/>
  <c r="AI189" i="46"/>
  <c r="AG189" i="46"/>
  <c r="AF189" i="46"/>
  <c r="AE189" i="46"/>
  <c r="AD189" i="46"/>
  <c r="AB189" i="46"/>
  <c r="AA189" i="46"/>
  <c r="Z189" i="46"/>
  <c r="Y189" i="46"/>
  <c r="W189" i="46"/>
  <c r="V189" i="46"/>
  <c r="CN11" i="71"/>
  <c r="U189" i="46"/>
  <c r="CM11" i="71" s="1"/>
  <c r="T189" i="46"/>
  <c r="R189" i="46"/>
  <c r="Q189" i="46"/>
  <c r="CI11" i="71" s="1"/>
  <c r="P189" i="46"/>
  <c r="O189" i="46"/>
  <c r="CG11" i="71" s="1"/>
  <c r="M189" i="46"/>
  <c r="L189" i="46"/>
  <c r="L191" i="46"/>
  <c r="K189" i="46"/>
  <c r="J189" i="46"/>
  <c r="H189" i="46"/>
  <c r="G189" i="46"/>
  <c r="G191" i="46" s="1"/>
  <c r="F189" i="46"/>
  <c r="F191" i="46"/>
  <c r="E189" i="46"/>
  <c r="AU187" i="46"/>
  <c r="AT187" i="46"/>
  <c r="AS187" i="46"/>
  <c r="AQ187" i="46"/>
  <c r="AP187" i="46"/>
  <c r="AO187" i="46"/>
  <c r="AN187" i="46"/>
  <c r="AL187" i="46"/>
  <c r="AK187" i="46"/>
  <c r="AJ187" i="46"/>
  <c r="AI187" i="46"/>
  <c r="AG187" i="46"/>
  <c r="AF187" i="46"/>
  <c r="AE187" i="46"/>
  <c r="AD187" i="46"/>
  <c r="AB187" i="46"/>
  <c r="AA187" i="46"/>
  <c r="Z187" i="46"/>
  <c r="Y187" i="46"/>
  <c r="W187" i="46"/>
  <c r="V187" i="46"/>
  <c r="U187" i="46"/>
  <c r="CM9" i="71"/>
  <c r="T187" i="46"/>
  <c r="CL9" i="71"/>
  <c r="R187" i="46"/>
  <c r="Q187" i="46"/>
  <c r="P187" i="46"/>
  <c r="CH9" i="71"/>
  <c r="O187" i="46"/>
  <c r="CG9" i="71"/>
  <c r="M187" i="46"/>
  <c r="L187" i="46"/>
  <c r="K187" i="46"/>
  <c r="J187" i="46"/>
  <c r="H187" i="46"/>
  <c r="G187" i="46"/>
  <c r="F187" i="46"/>
  <c r="E187" i="46"/>
  <c r="AU179" i="46"/>
  <c r="AT179" i="46"/>
  <c r="AT197" i="46" s="1"/>
  <c r="AS179" i="46"/>
  <c r="AS219" i="46" s="1"/>
  <c r="AQ179" i="46"/>
  <c r="AP179" i="46"/>
  <c r="AO179" i="46"/>
  <c r="AO197" i="46" s="1"/>
  <c r="AN179" i="46"/>
  <c r="AN197" i="46" s="1"/>
  <c r="AN200" i="46" s="1"/>
  <c r="AL179" i="46"/>
  <c r="AK179" i="46"/>
  <c r="AJ179" i="46"/>
  <c r="AJ197" i="46" s="1"/>
  <c r="AI179" i="46"/>
  <c r="AI197" i="46" s="1"/>
  <c r="AG179" i="46"/>
  <c r="AG197" i="46" s="1"/>
  <c r="AF179" i="46"/>
  <c r="AF197" i="46" s="1"/>
  <c r="AF200" i="46" s="1"/>
  <c r="AE179" i="46"/>
  <c r="AD179" i="46"/>
  <c r="AD197" i="46"/>
  <c r="AB179" i="46"/>
  <c r="AB197" i="46"/>
  <c r="AA179" i="46"/>
  <c r="AA197" i="46"/>
  <c r="Z179" i="46"/>
  <c r="Y179" i="46"/>
  <c r="Y197" i="46" s="1"/>
  <c r="W179" i="46"/>
  <c r="V179" i="46"/>
  <c r="V197" i="46"/>
  <c r="CN16" i="71"/>
  <c r="U179" i="46"/>
  <c r="T179" i="46"/>
  <c r="T197" i="46"/>
  <c r="CL16" i="71"/>
  <c r="R179" i="46"/>
  <c r="R197" i="46" s="1"/>
  <c r="CJ16" i="71" s="1"/>
  <c r="Q179" i="46"/>
  <c r="Q197" i="46"/>
  <c r="P179" i="46"/>
  <c r="O179" i="46"/>
  <c r="M179" i="46"/>
  <c r="L179" i="46"/>
  <c r="L197" i="46"/>
  <c r="K179" i="46"/>
  <c r="J179" i="46"/>
  <c r="J197" i="46" s="1"/>
  <c r="H179" i="46"/>
  <c r="G179" i="46"/>
  <c r="F179" i="46"/>
  <c r="F197" i="46" s="1"/>
  <c r="E179" i="46"/>
  <c r="AR178" i="46"/>
  <c r="AR177" i="46"/>
  <c r="AR176" i="46"/>
  <c r="AR175" i="46"/>
  <c r="AR174" i="46"/>
  <c r="AR194" i="46"/>
  <c r="DJ15" i="71" s="1"/>
  <c r="AR173" i="46"/>
  <c r="AM178" i="46"/>
  <c r="AM177" i="46"/>
  <c r="AM176" i="46"/>
  <c r="AM175" i="46"/>
  <c r="AM174" i="46"/>
  <c r="AM194" i="46"/>
  <c r="DE15" i="71" s="1"/>
  <c r="AM173" i="46"/>
  <c r="AH178" i="46"/>
  <c r="AH177" i="46"/>
  <c r="AH176" i="46"/>
  <c r="AH175" i="46"/>
  <c r="AH174" i="46"/>
  <c r="AH194" i="46"/>
  <c r="CZ15" i="71" s="1"/>
  <c r="AH173" i="46"/>
  <c r="AC178" i="46"/>
  <c r="AC177" i="46"/>
  <c r="AC176" i="46"/>
  <c r="AC175" i="46"/>
  <c r="AC174" i="46"/>
  <c r="AC194" i="46"/>
  <c r="CU15" i="71" s="1"/>
  <c r="AC173" i="46"/>
  <c r="X178" i="46"/>
  <c r="X177" i="46"/>
  <c r="X176" i="46"/>
  <c r="X175" i="46"/>
  <c r="X174" i="46"/>
  <c r="X194" i="46"/>
  <c r="X173" i="46"/>
  <c r="S178" i="46"/>
  <c r="S177" i="46"/>
  <c r="S176" i="46"/>
  <c r="S175" i="46"/>
  <c r="S174" i="46"/>
  <c r="S194" i="46"/>
  <c r="CK15" i="71"/>
  <c r="N178" i="46"/>
  <c r="N177" i="46"/>
  <c r="N176" i="46"/>
  <c r="N175" i="46"/>
  <c r="N174" i="46"/>
  <c r="N194" i="46"/>
  <c r="CF15" i="71"/>
  <c r="N173" i="46"/>
  <c r="I178" i="46"/>
  <c r="I177" i="46"/>
  <c r="I176" i="46"/>
  <c r="I175" i="46"/>
  <c r="I174" i="46"/>
  <c r="I194" i="46"/>
  <c r="CA15" i="71"/>
  <c r="I173" i="46"/>
  <c r="DO15" i="71"/>
  <c r="R173" i="46"/>
  <c r="S173" i="46"/>
  <c r="AU169" i="46"/>
  <c r="AT169" i="46"/>
  <c r="AS169" i="46"/>
  <c r="AQ169" i="46"/>
  <c r="AR169" i="46"/>
  <c r="AP169" i="46"/>
  <c r="AO169" i="46"/>
  <c r="AN169" i="46"/>
  <c r="AL169" i="46"/>
  <c r="AM169" i="46" s="1"/>
  <c r="AK169" i="46"/>
  <c r="AJ169" i="46"/>
  <c r="AI169" i="46"/>
  <c r="AG169" i="46"/>
  <c r="AH169" i="46" s="1"/>
  <c r="AF169" i="46"/>
  <c r="AE169" i="46"/>
  <c r="AD169" i="46"/>
  <c r="AB169" i="46"/>
  <c r="AC169" i="46"/>
  <c r="AA169" i="46"/>
  <c r="Z169" i="46"/>
  <c r="Y169" i="46"/>
  <c r="W169" i="46"/>
  <c r="X169" i="46"/>
  <c r="V169" i="46"/>
  <c r="U169" i="46"/>
  <c r="T169" i="46"/>
  <c r="R169" i="46"/>
  <c r="S169" i="46" s="1"/>
  <c r="Q169" i="46"/>
  <c r="N169" i="46"/>
  <c r="N168" i="46"/>
  <c r="N167" i="46"/>
  <c r="N166" i="46"/>
  <c r="I169" i="46"/>
  <c r="I168" i="46"/>
  <c r="I167" i="46"/>
  <c r="I166" i="46"/>
  <c r="BQ168" i="46"/>
  <c r="BL168" i="46"/>
  <c r="BG168" i="46"/>
  <c r="AR168" i="46"/>
  <c r="AR167" i="46"/>
  <c r="AR166" i="46"/>
  <c r="AM168" i="46"/>
  <c r="AM167" i="46"/>
  <c r="AM166" i="46"/>
  <c r="AH168" i="46"/>
  <c r="AH167" i="46"/>
  <c r="AC168" i="46"/>
  <c r="AC167" i="46"/>
  <c r="X168" i="46"/>
  <c r="X167" i="46"/>
  <c r="S168" i="46"/>
  <c r="S167" i="46"/>
  <c r="AJ166" i="46"/>
  <c r="AI166" i="46"/>
  <c r="AG166" i="46"/>
  <c r="AH166" i="46" s="1"/>
  <c r="AF166" i="46"/>
  <c r="AE166" i="46"/>
  <c r="AD166" i="46"/>
  <c r="AB166" i="46"/>
  <c r="AC166" i="46"/>
  <c r="AA166" i="46"/>
  <c r="Z166" i="46"/>
  <c r="Y166" i="46"/>
  <c r="W166" i="46"/>
  <c r="X166" i="46" s="1"/>
  <c r="V166" i="46"/>
  <c r="U166" i="46"/>
  <c r="T166" i="46"/>
  <c r="R166" i="46"/>
  <c r="S166" i="46"/>
  <c r="Q166" i="46"/>
  <c r="AR164" i="46"/>
  <c r="AM164" i="46"/>
  <c r="AH164" i="46"/>
  <c r="AF164" i="46"/>
  <c r="AE164" i="46"/>
  <c r="AD164" i="46"/>
  <c r="AB164" i="46"/>
  <c r="AC164" i="46"/>
  <c r="AA164" i="46"/>
  <c r="Z164" i="46"/>
  <c r="Y164" i="46"/>
  <c r="W164" i="46"/>
  <c r="V164" i="46"/>
  <c r="U164" i="46"/>
  <c r="T164" i="46"/>
  <c r="R164" i="46"/>
  <c r="N164" i="46"/>
  <c r="I164" i="46"/>
  <c r="P162" i="46"/>
  <c r="P171" i="46" s="1"/>
  <c r="O162" i="46"/>
  <c r="O171" i="46" s="1"/>
  <c r="O181" i="46" s="1"/>
  <c r="O183" i="46" s="1"/>
  <c r="M162" i="46"/>
  <c r="M171" i="46" s="1"/>
  <c r="M181" i="46" s="1"/>
  <c r="L162" i="46"/>
  <c r="L171" i="46" s="1"/>
  <c r="K162" i="46"/>
  <c r="K171" i="46" s="1"/>
  <c r="K181" i="46" s="1"/>
  <c r="J162" i="46"/>
  <c r="J171" i="46"/>
  <c r="H162" i="46"/>
  <c r="H171" i="46"/>
  <c r="G162" i="46"/>
  <c r="G171" i="46"/>
  <c r="G181" i="46" s="1"/>
  <c r="G183" i="46" s="1"/>
  <c r="F162" i="46"/>
  <c r="F171" i="46" s="1"/>
  <c r="F181" i="46" s="1"/>
  <c r="E162" i="46"/>
  <c r="E171" i="46" s="1"/>
  <c r="AU161" i="46"/>
  <c r="AT161" i="46"/>
  <c r="AS161" i="46"/>
  <c r="AQ161" i="46"/>
  <c r="AR161" i="46"/>
  <c r="AP161" i="46"/>
  <c r="AO161" i="46"/>
  <c r="AN161" i="46"/>
  <c r="AL161" i="46"/>
  <c r="AM161" i="46" s="1"/>
  <c r="AM162" i="46" s="1"/>
  <c r="AM171" i="46" s="1"/>
  <c r="AM181" i="46" s="1"/>
  <c r="AK161" i="46"/>
  <c r="AJ161" i="46"/>
  <c r="AI161" i="46"/>
  <c r="AG161" i="46"/>
  <c r="AH161" i="46"/>
  <c r="AF161" i="46"/>
  <c r="AE161" i="46"/>
  <c r="AD161" i="46"/>
  <c r="AB161" i="46"/>
  <c r="AC161" i="46" s="1"/>
  <c r="AA161" i="46"/>
  <c r="Z161" i="46"/>
  <c r="Y161" i="46"/>
  <c r="W161" i="46"/>
  <c r="X161" i="46"/>
  <c r="V161" i="46"/>
  <c r="U161" i="46"/>
  <c r="T161" i="46"/>
  <c r="R161" i="46"/>
  <c r="S161" i="46" s="1"/>
  <c r="Q161" i="46"/>
  <c r="Q162" i="46" s="1"/>
  <c r="Q171" i="46" s="1"/>
  <c r="Q181" i="46" s="1"/>
  <c r="N161" i="46"/>
  <c r="N160" i="46"/>
  <c r="N159" i="46"/>
  <c r="N189" i="46" s="1"/>
  <c r="N158" i="46"/>
  <c r="I161" i="46"/>
  <c r="I160" i="46"/>
  <c r="I159" i="46"/>
  <c r="I189" i="46" s="1"/>
  <c r="CA11" i="71" s="1"/>
  <c r="I158" i="46"/>
  <c r="AU160" i="46"/>
  <c r="AT160" i="46"/>
  <c r="AS160" i="46"/>
  <c r="AQ160" i="46"/>
  <c r="AR160" i="46"/>
  <c r="AP160" i="46"/>
  <c r="AO160" i="46"/>
  <c r="AN160" i="46"/>
  <c r="AL160" i="46"/>
  <c r="AK160" i="46"/>
  <c r="AJ160" i="46"/>
  <c r="AI160" i="46"/>
  <c r="AG160" i="46"/>
  <c r="AH160" i="46"/>
  <c r="AF160" i="46"/>
  <c r="AE160" i="46"/>
  <c r="AD160" i="46"/>
  <c r="AB160" i="46"/>
  <c r="AC160" i="46" s="1"/>
  <c r="AC162" i="46" s="1"/>
  <c r="AC171" i="46" s="1"/>
  <c r="AA160" i="46"/>
  <c r="Z160" i="46"/>
  <c r="Y160" i="46"/>
  <c r="W160" i="46"/>
  <c r="X160" i="46"/>
  <c r="V160" i="46"/>
  <c r="U160" i="46"/>
  <c r="T160" i="46"/>
  <c r="R160" i="46"/>
  <c r="S160" i="46" s="1"/>
  <c r="AR159" i="46"/>
  <c r="AR189" i="46"/>
  <c r="AR158" i="46"/>
  <c r="AR162" i="46" s="1"/>
  <c r="AM159" i="46"/>
  <c r="AM189" i="46" s="1"/>
  <c r="AM158" i="46"/>
  <c r="AH159" i="46"/>
  <c r="AH189" i="46"/>
  <c r="CZ11" i="71" s="1"/>
  <c r="CZ13" i="71" s="1"/>
  <c r="AC159" i="46"/>
  <c r="AC189" i="46" s="1"/>
  <c r="CU11" i="71" s="1"/>
  <c r="X159" i="46"/>
  <c r="X189" i="46" s="1"/>
  <c r="S159" i="46"/>
  <c r="S189" i="46"/>
  <c r="CK11" i="71" s="1"/>
  <c r="AK158" i="46"/>
  <c r="AJ158" i="46"/>
  <c r="AI158" i="46"/>
  <c r="AG158" i="46"/>
  <c r="AH158" i="46"/>
  <c r="AF158" i="46"/>
  <c r="AE158" i="46"/>
  <c r="AD158" i="46"/>
  <c r="AB158" i="46"/>
  <c r="AA158" i="46"/>
  <c r="Z158" i="46"/>
  <c r="Y158" i="46"/>
  <c r="W158" i="46"/>
  <c r="V158" i="46"/>
  <c r="U158" i="46"/>
  <c r="T158" i="46"/>
  <c r="T211" i="46"/>
  <c r="T219" i="46" s="1"/>
  <c r="CL22" i="71" s="1"/>
  <c r="R158" i="46"/>
  <c r="AU155" i="46"/>
  <c r="AT155" i="46"/>
  <c r="AS155" i="46"/>
  <c r="AQ155" i="46"/>
  <c r="AR155" i="46" s="1"/>
  <c r="AP155" i="46"/>
  <c r="AO155" i="46"/>
  <c r="AN155" i="46"/>
  <c r="AL155" i="46"/>
  <c r="AM155" i="46" s="1"/>
  <c r="AK155" i="46"/>
  <c r="AJ155" i="46"/>
  <c r="AI155" i="46"/>
  <c r="AG155" i="46"/>
  <c r="AH155" i="46"/>
  <c r="AF155" i="46"/>
  <c r="AE155" i="46"/>
  <c r="AD155" i="46"/>
  <c r="AB155" i="46"/>
  <c r="AC155" i="46" s="1"/>
  <c r="AA155" i="46"/>
  <c r="Z155" i="46"/>
  <c r="Y155" i="46"/>
  <c r="W155" i="46"/>
  <c r="X155" i="46"/>
  <c r="V155" i="46"/>
  <c r="U155" i="46"/>
  <c r="T155" i="46"/>
  <c r="R155" i="46"/>
  <c r="S155" i="46" s="1"/>
  <c r="Q155" i="46"/>
  <c r="N155" i="46"/>
  <c r="N154" i="46"/>
  <c r="N153" i="46"/>
  <c r="N152" i="46"/>
  <c r="N151" i="46"/>
  <c r="N150" i="46"/>
  <c r="I155" i="46"/>
  <c r="I154" i="46"/>
  <c r="I153" i="46"/>
  <c r="I152" i="46"/>
  <c r="I151" i="46"/>
  <c r="I150" i="46"/>
  <c r="AR154" i="46"/>
  <c r="AR153" i="46"/>
  <c r="AR152" i="46"/>
  <c r="AM154" i="46"/>
  <c r="AM153" i="46"/>
  <c r="AM152" i="46"/>
  <c r="AH154" i="46"/>
  <c r="AH153" i="46"/>
  <c r="AH152" i="46"/>
  <c r="AC154" i="46"/>
  <c r="AC153" i="46"/>
  <c r="X154" i="46"/>
  <c r="X153" i="46"/>
  <c r="S154" i="46"/>
  <c r="S153" i="46"/>
  <c r="AF152" i="46"/>
  <c r="AE152" i="46"/>
  <c r="AD152" i="46"/>
  <c r="R152" i="46"/>
  <c r="S152" i="46"/>
  <c r="Q152" i="46"/>
  <c r="R151" i="46"/>
  <c r="S151" i="46" s="1"/>
  <c r="R150" i="46"/>
  <c r="S150" i="46"/>
  <c r="AU151" i="46"/>
  <c r="AT151" i="46"/>
  <c r="AS151" i="46"/>
  <c r="AU150" i="46"/>
  <c r="AT150" i="46"/>
  <c r="AS150" i="46"/>
  <c r="AQ151" i="46"/>
  <c r="AR151" i="46"/>
  <c r="AP151" i="46"/>
  <c r="AO151" i="46"/>
  <c r="AN151" i="46"/>
  <c r="AQ150" i="46"/>
  <c r="AR150" i="46"/>
  <c r="AP150" i="46"/>
  <c r="AO150" i="46"/>
  <c r="AN150" i="46"/>
  <c r="AL151" i="46"/>
  <c r="AM151" i="46" s="1"/>
  <c r="AK151" i="46"/>
  <c r="AJ151" i="46"/>
  <c r="AI151" i="46"/>
  <c r="AL150" i="46"/>
  <c r="AM150" i="46"/>
  <c r="AK150" i="46"/>
  <c r="AJ150" i="46"/>
  <c r="AI150" i="46"/>
  <c r="AG151" i="46"/>
  <c r="AH151" i="46" s="1"/>
  <c r="AF151" i="46"/>
  <c r="AE151" i="46"/>
  <c r="AD151" i="46"/>
  <c r="AG150" i="46"/>
  <c r="AH150" i="46"/>
  <c r="AF150" i="46"/>
  <c r="AE150" i="46"/>
  <c r="AD150" i="46"/>
  <c r="AB152" i="46"/>
  <c r="AC152" i="46" s="1"/>
  <c r="AA152" i="46"/>
  <c r="Z152" i="46"/>
  <c r="Y152" i="46"/>
  <c r="AB151" i="46"/>
  <c r="AC151" i="46"/>
  <c r="AA151" i="46"/>
  <c r="Z151" i="46"/>
  <c r="Y151" i="46"/>
  <c r="AB150" i="46"/>
  <c r="AC150" i="46"/>
  <c r="AA150" i="46"/>
  <c r="Z150" i="46"/>
  <c r="Y150" i="46"/>
  <c r="W152" i="46"/>
  <c r="X152" i="46"/>
  <c r="V152" i="46"/>
  <c r="U152" i="46"/>
  <c r="T152" i="46"/>
  <c r="W151" i="46"/>
  <c r="X151" i="46" s="1"/>
  <c r="V151" i="46"/>
  <c r="U151" i="46"/>
  <c r="T151" i="46"/>
  <c r="W150" i="46"/>
  <c r="X150" i="46"/>
  <c r="V150" i="46"/>
  <c r="U150" i="46"/>
  <c r="T150" i="46"/>
  <c r="Q150" i="46"/>
  <c r="AU148" i="46"/>
  <c r="AT148" i="46"/>
  <c r="AS148" i="46"/>
  <c r="AQ148" i="46"/>
  <c r="AP148" i="46"/>
  <c r="AO148" i="46"/>
  <c r="AN148" i="46"/>
  <c r="AL148" i="46"/>
  <c r="AK148" i="46"/>
  <c r="AJ148" i="46"/>
  <c r="AI148" i="46"/>
  <c r="AG148" i="46"/>
  <c r="AF148" i="46"/>
  <c r="AE148" i="46"/>
  <c r="AD148" i="46"/>
  <c r="AB148" i="46"/>
  <c r="AA148" i="46"/>
  <c r="Z148" i="46"/>
  <c r="Y148" i="46"/>
  <c r="W148" i="46"/>
  <c r="V148" i="46"/>
  <c r="U148" i="46"/>
  <c r="T148" i="46"/>
  <c r="R148" i="46"/>
  <c r="Q148" i="46"/>
  <c r="P148" i="46"/>
  <c r="P156" i="46" s="1"/>
  <c r="O148" i="46"/>
  <c r="M148" i="46"/>
  <c r="L148" i="46"/>
  <c r="K148" i="46"/>
  <c r="J148" i="46"/>
  <c r="H148" i="46"/>
  <c r="G148" i="46"/>
  <c r="F148" i="46"/>
  <c r="F156" i="46" s="1"/>
  <c r="F183" i="46" s="1"/>
  <c r="E148" i="46"/>
  <c r="AR147" i="46"/>
  <c r="AR146" i="46"/>
  <c r="AM147" i="46"/>
  <c r="AM146" i="46"/>
  <c r="AH147" i="46"/>
  <c r="AH146" i="46"/>
  <c r="AH148" i="46" s="1"/>
  <c r="AC147" i="46"/>
  <c r="AC146" i="46"/>
  <c r="X147" i="46"/>
  <c r="X146" i="46"/>
  <c r="S147" i="46"/>
  <c r="S146" i="46"/>
  <c r="S148" i="46"/>
  <c r="N147" i="46"/>
  <c r="N148" i="46" s="1"/>
  <c r="N146" i="46"/>
  <c r="I147" i="46"/>
  <c r="I146" i="46"/>
  <c r="I148" i="46" s="1"/>
  <c r="P144" i="46"/>
  <c r="O144" i="46"/>
  <c r="M144" i="46"/>
  <c r="L144" i="46"/>
  <c r="L156" i="46"/>
  <c r="K144" i="46"/>
  <c r="K156" i="46" s="1"/>
  <c r="J144" i="46"/>
  <c r="H144" i="46"/>
  <c r="G144" i="46"/>
  <c r="F144" i="46"/>
  <c r="E144" i="46"/>
  <c r="N143" i="46"/>
  <c r="N142" i="46"/>
  <c r="N141" i="46"/>
  <c r="N140" i="46"/>
  <c r="N187" i="46"/>
  <c r="CF9" i="71" s="1"/>
  <c r="I143" i="46"/>
  <c r="I142" i="46"/>
  <c r="I141" i="46"/>
  <c r="I140" i="46"/>
  <c r="I187" i="46"/>
  <c r="AU143" i="46"/>
  <c r="AT143" i="46"/>
  <c r="AS143" i="46"/>
  <c r="AQ143" i="46"/>
  <c r="AR143" i="46"/>
  <c r="AP143" i="46"/>
  <c r="AO143" i="46"/>
  <c r="AN143" i="46"/>
  <c r="AL143" i="46"/>
  <c r="AM143" i="46"/>
  <c r="AK143" i="46"/>
  <c r="AJ143" i="46"/>
  <c r="AI143" i="46"/>
  <c r="AG143" i="46"/>
  <c r="AH143" i="46" s="1"/>
  <c r="AF143" i="46"/>
  <c r="AE143" i="46"/>
  <c r="AD143" i="46"/>
  <c r="AB143" i="46"/>
  <c r="AC143" i="46"/>
  <c r="AA143" i="46"/>
  <c r="Z143" i="46"/>
  <c r="Y143" i="46"/>
  <c r="W143" i="46"/>
  <c r="X143" i="46"/>
  <c r="V143" i="46"/>
  <c r="U143" i="46"/>
  <c r="T143" i="46"/>
  <c r="R143" i="46"/>
  <c r="S143" i="46"/>
  <c r="Q143" i="46"/>
  <c r="AU142" i="46"/>
  <c r="AT142" i="46"/>
  <c r="AS142" i="46"/>
  <c r="AQ142" i="46"/>
  <c r="AR142" i="46"/>
  <c r="AP142" i="46"/>
  <c r="AO142" i="46"/>
  <c r="AN142" i="46"/>
  <c r="AL142" i="46"/>
  <c r="AM142" i="46"/>
  <c r="AK142" i="46"/>
  <c r="AJ142" i="46"/>
  <c r="AI142" i="46"/>
  <c r="AG142" i="46"/>
  <c r="AH142" i="46"/>
  <c r="AF142" i="46"/>
  <c r="AE142" i="46"/>
  <c r="AD142" i="46"/>
  <c r="AB142" i="46"/>
  <c r="AC142" i="46" s="1"/>
  <c r="AA142" i="46"/>
  <c r="Z142" i="46"/>
  <c r="Y142" i="46"/>
  <c r="W142" i="46"/>
  <c r="V142" i="46"/>
  <c r="U142" i="46"/>
  <c r="T142" i="46"/>
  <c r="R142" i="46"/>
  <c r="S142" i="46"/>
  <c r="Q142" i="46"/>
  <c r="AU141" i="46"/>
  <c r="AT141" i="46"/>
  <c r="AS141" i="46"/>
  <c r="AQ141" i="46"/>
  <c r="AP141" i="46"/>
  <c r="AO141" i="46"/>
  <c r="AN141" i="46"/>
  <c r="AL141" i="46"/>
  <c r="AM141" i="46"/>
  <c r="AK141" i="46"/>
  <c r="AJ141" i="46"/>
  <c r="AI141" i="46"/>
  <c r="AG141" i="46"/>
  <c r="AH141" i="46" s="1"/>
  <c r="AH144" i="46" s="1"/>
  <c r="AH156" i="46" s="1"/>
  <c r="AF141" i="46"/>
  <c r="AE141" i="46"/>
  <c r="AD141" i="46"/>
  <c r="AB141" i="46"/>
  <c r="AC141" i="46"/>
  <c r="AA141" i="46"/>
  <c r="Z141" i="46"/>
  <c r="Y141" i="46"/>
  <c r="W141" i="46"/>
  <c r="T141" i="46"/>
  <c r="R141" i="46"/>
  <c r="S141" i="46" s="1"/>
  <c r="S144" i="46" s="1"/>
  <c r="S156" i="46" s="1"/>
  <c r="AR140" i="46"/>
  <c r="AR187" i="46"/>
  <c r="AM140" i="46"/>
  <c r="AM144" i="46" s="1"/>
  <c r="AM156" i="46" s="1"/>
  <c r="AM183" i="46" s="1"/>
  <c r="AH140" i="46"/>
  <c r="AH187" i="46" s="1"/>
  <c r="CZ9" i="71" s="1"/>
  <c r="AC140" i="46"/>
  <c r="AC187" i="46"/>
  <c r="X140" i="46"/>
  <c r="X187" i="46"/>
  <c r="CP9" i="71"/>
  <c r="S140" i="46"/>
  <c r="S187" i="46" s="1"/>
  <c r="CK9" i="71" s="1"/>
  <c r="AM134" i="46"/>
  <c r="AH134" i="46"/>
  <c r="AC134" i="46"/>
  <c r="X134" i="46"/>
  <c r="S134" i="46"/>
  <c r="N134" i="46"/>
  <c r="I134" i="46"/>
  <c r="CA62" i="71"/>
  <c r="I133" i="46"/>
  <c r="AS129" i="46"/>
  <c r="AN129" i="46"/>
  <c r="AI129" i="46"/>
  <c r="AD129" i="46"/>
  <c r="Y129" i="46"/>
  <c r="Q129" i="46"/>
  <c r="P129" i="46"/>
  <c r="O129" i="46"/>
  <c r="M129" i="46"/>
  <c r="L129" i="46"/>
  <c r="K129" i="46"/>
  <c r="J129" i="46"/>
  <c r="H129" i="46"/>
  <c r="G129" i="46"/>
  <c r="F129" i="46"/>
  <c r="E129" i="46"/>
  <c r="BQ128" i="46"/>
  <c r="BQ125" i="46"/>
  <c r="BQ124" i="46"/>
  <c r="BL128" i="46"/>
  <c r="BL125" i="46"/>
  <c r="BL124" i="46"/>
  <c r="BG128" i="46"/>
  <c r="BG125" i="46"/>
  <c r="BG124" i="46"/>
  <c r="AT128" i="46"/>
  <c r="AJ128" i="46"/>
  <c r="AJ66" i="51"/>
  <c r="AJ127" i="46"/>
  <c r="AE128" i="46"/>
  <c r="AE127" i="46"/>
  <c r="AE65" i="51"/>
  <c r="BP126" i="46"/>
  <c r="BP336" i="46" s="1"/>
  <c r="BO126" i="46"/>
  <c r="BO336" i="46"/>
  <c r="BN126" i="46"/>
  <c r="BN64" i="51" s="1"/>
  <c r="BM126" i="46"/>
  <c r="BK126" i="46"/>
  <c r="BK100" i="46"/>
  <c r="BJ126" i="46"/>
  <c r="BJ336" i="46" s="1"/>
  <c r="BI126" i="46"/>
  <c r="BI100" i="46"/>
  <c r="BH126" i="46"/>
  <c r="BF126" i="46"/>
  <c r="BF336" i="46"/>
  <c r="BE126" i="46"/>
  <c r="BE336" i="46" s="1"/>
  <c r="BD126" i="46"/>
  <c r="BC126" i="46"/>
  <c r="BC100" i="46"/>
  <c r="BA336" i="46"/>
  <c r="AY336" i="46"/>
  <c r="AT127" i="46"/>
  <c r="AT103" i="46"/>
  <c r="AT126" i="46"/>
  <c r="AT336" i="46"/>
  <c r="AT125" i="46"/>
  <c r="AT124" i="46"/>
  <c r="AU124" i="46" s="1"/>
  <c r="AJ124" i="46"/>
  <c r="AJ62" i="51"/>
  <c r="AJ123" i="46"/>
  <c r="AJ61" i="51" s="1"/>
  <c r="AJ43" i="51" s="1"/>
  <c r="AJ122" i="46"/>
  <c r="AJ60" i="51"/>
  <c r="AJ42" i="51" s="1"/>
  <c r="AJ102" i="46" s="1"/>
  <c r="AE124" i="46"/>
  <c r="AE123" i="46"/>
  <c r="AE61" i="51" s="1"/>
  <c r="AE43" i="51" s="1"/>
  <c r="AE122" i="46"/>
  <c r="AE82" i="46"/>
  <c r="R128" i="46"/>
  <c r="S128" i="46" s="1"/>
  <c r="R127" i="46"/>
  <c r="R126" i="46"/>
  <c r="R100" i="46" s="1"/>
  <c r="S100" i="46" s="1"/>
  <c r="R125" i="46"/>
  <c r="R63" i="51"/>
  <c r="R124" i="46"/>
  <c r="R62" i="51" s="1"/>
  <c r="T123" i="46"/>
  <c r="T61" i="51"/>
  <c r="T43" i="51" s="1"/>
  <c r="T102" i="46" s="1"/>
  <c r="R123" i="46"/>
  <c r="S123" i="46" s="1"/>
  <c r="CK61" i="71" s="1"/>
  <c r="AT123" i="46"/>
  <c r="AT83" i="46"/>
  <c r="AT122" i="46"/>
  <c r="AO128" i="46"/>
  <c r="AP128" i="46" s="1"/>
  <c r="AO127" i="46"/>
  <c r="AO65" i="51"/>
  <c r="AO126" i="46"/>
  <c r="AP126" i="46"/>
  <c r="AO125" i="46"/>
  <c r="AO63" i="51"/>
  <c r="AO124" i="46"/>
  <c r="AP124" i="46"/>
  <c r="AO123" i="46"/>
  <c r="AO122" i="46"/>
  <c r="AO82" i="46" s="1"/>
  <c r="AR82" i="46" s="1"/>
  <c r="AK126" i="46"/>
  <c r="AK125" i="46"/>
  <c r="AK63" i="51"/>
  <c r="AK122" i="46"/>
  <c r="AL122" i="46"/>
  <c r="AL82" i="46" s="1"/>
  <c r="AF126" i="46"/>
  <c r="AF125" i="46"/>
  <c r="AF63" i="51"/>
  <c r="Z128" i="46"/>
  <c r="Z66" i="51"/>
  <c r="Z127" i="46"/>
  <c r="Z65" i="51"/>
  <c r="Z126" i="46"/>
  <c r="Z125" i="46"/>
  <c r="Z124" i="46"/>
  <c r="AA124" i="46"/>
  <c r="Z123" i="46"/>
  <c r="Z122" i="46"/>
  <c r="Z60" i="51" s="1"/>
  <c r="U128" i="46"/>
  <c r="V128" i="46" s="1"/>
  <c r="U127" i="46"/>
  <c r="U333" i="46" s="1"/>
  <c r="U126" i="46"/>
  <c r="V126" i="46"/>
  <c r="U125" i="46"/>
  <c r="V125" i="46"/>
  <c r="W125" i="46" s="1"/>
  <c r="U124" i="46"/>
  <c r="U122" i="46"/>
  <c r="CM60" i="71"/>
  <c r="R122" i="46"/>
  <c r="Q120" i="46"/>
  <c r="P120" i="46"/>
  <c r="O120" i="46"/>
  <c r="L120" i="46"/>
  <c r="K120" i="46"/>
  <c r="J120" i="46"/>
  <c r="G120" i="46"/>
  <c r="F120" i="46"/>
  <c r="E120" i="46"/>
  <c r="BQ119" i="46"/>
  <c r="BQ118" i="46"/>
  <c r="EI54" i="71" s="1"/>
  <c r="BL119" i="46"/>
  <c r="BL118" i="46"/>
  <c r="BG119" i="46"/>
  <c r="BG118" i="46"/>
  <c r="DY54" i="71" s="1"/>
  <c r="AJ119" i="46"/>
  <c r="AK119" i="46"/>
  <c r="AL119" i="46" s="1"/>
  <c r="AE119" i="46"/>
  <c r="Z119" i="46"/>
  <c r="U119" i="46"/>
  <c r="R119" i="46"/>
  <c r="S119" i="46" s="1"/>
  <c r="M119" i="46"/>
  <c r="M77" i="46" s="1"/>
  <c r="M76" i="46" s="1"/>
  <c r="AS119" i="46"/>
  <c r="AS77" i="46" s="1"/>
  <c r="AS76" i="46" s="1"/>
  <c r="AO119" i="46"/>
  <c r="AP119" i="46" s="1"/>
  <c r="AP77" i="46" s="1"/>
  <c r="AS118" i="46"/>
  <c r="AT118" i="46" s="1"/>
  <c r="AN118" i="46"/>
  <c r="AI118" i="46"/>
  <c r="AI56" i="51" s="1"/>
  <c r="AD118" i="46"/>
  <c r="AD56" i="51" s="1"/>
  <c r="AD58" i="51" s="1"/>
  <c r="Y118" i="46"/>
  <c r="Y56" i="51" s="1"/>
  <c r="Y58" i="51" s="1"/>
  <c r="T118" i="46"/>
  <c r="CL54" i="71" s="1"/>
  <c r="CL56" i="71" s="1"/>
  <c r="R118" i="46"/>
  <c r="S118" i="46" s="1"/>
  <c r="CK54" i="71" s="1"/>
  <c r="N118" i="46"/>
  <c r="N120" i="46" s="1"/>
  <c r="I119" i="46"/>
  <c r="I118" i="46"/>
  <c r="H118" i="46"/>
  <c r="AT117" i="46"/>
  <c r="AO117" i="46"/>
  <c r="AJ117" i="46"/>
  <c r="AJ55" i="51"/>
  <c r="AE117" i="46"/>
  <c r="AE55" i="51"/>
  <c r="Z117" i="46"/>
  <c r="Z77" i="46" s="1"/>
  <c r="Z76" i="46" s="1"/>
  <c r="AA117" i="46"/>
  <c r="AA55" i="51" s="1"/>
  <c r="U117" i="46"/>
  <c r="U55" i="51" s="1"/>
  <c r="R117" i="46"/>
  <c r="P115" i="46"/>
  <c r="CH41" i="71"/>
  <c r="O115" i="46"/>
  <c r="N115" i="46"/>
  <c r="M115" i="46"/>
  <c r="L115" i="46"/>
  <c r="K115" i="46"/>
  <c r="K131" i="46"/>
  <c r="J115" i="46"/>
  <c r="I115" i="46"/>
  <c r="CA41" i="71" s="1"/>
  <c r="H115" i="46"/>
  <c r="G115" i="46"/>
  <c r="F115" i="46"/>
  <c r="E115" i="46"/>
  <c r="BM114" i="46"/>
  <c r="BI114" i="46"/>
  <c r="BI52" i="51"/>
  <c r="BH114" i="46"/>
  <c r="BH52" i="51"/>
  <c r="BC114" i="46"/>
  <c r="BC52" i="51"/>
  <c r="AS114" i="46"/>
  <c r="AN114" i="46"/>
  <c r="AN52" i="51" s="1"/>
  <c r="AI114" i="46"/>
  <c r="AI52" i="51" s="1"/>
  <c r="AD114" i="46"/>
  <c r="AD52" i="51" s="1"/>
  <c r="AD53" i="51" s="1"/>
  <c r="Y114" i="46"/>
  <c r="Y52" i="51" s="1"/>
  <c r="Y53" i="51" s="1"/>
  <c r="T114" i="46"/>
  <c r="U114" i="46" s="1"/>
  <c r="R114" i="46"/>
  <c r="S114" i="46"/>
  <c r="BM113" i="46"/>
  <c r="BI113" i="46"/>
  <c r="BH113" i="46"/>
  <c r="BC113" i="46"/>
  <c r="BC51" i="51" s="1"/>
  <c r="BG51" i="51" s="1"/>
  <c r="AS113" i="46"/>
  <c r="AT113" i="46" s="1"/>
  <c r="AT51" i="51" s="1"/>
  <c r="AN113" i="46"/>
  <c r="AI113" i="46"/>
  <c r="AI51" i="51" s="1"/>
  <c r="AI53" i="51" s="1"/>
  <c r="AD113" i="46"/>
  <c r="AE113" i="46" s="1"/>
  <c r="Y113" i="46"/>
  <c r="T113" i="46"/>
  <c r="Q113" i="46"/>
  <c r="BM112" i="46"/>
  <c r="BH112" i="46"/>
  <c r="BH50" i="51" s="1"/>
  <c r="AT112" i="46"/>
  <c r="AU112" i="46" s="1"/>
  <c r="AT111" i="46"/>
  <c r="AT110" i="46"/>
  <c r="AO112" i="46"/>
  <c r="AO50" i="51"/>
  <c r="AO111" i="46"/>
  <c r="AP111" i="46" s="1"/>
  <c r="AP49" i="51" s="1"/>
  <c r="AO110" i="46"/>
  <c r="AO48" i="51"/>
  <c r="AJ112" i="46"/>
  <c r="AJ50" i="51" s="1"/>
  <c r="AJ111" i="46"/>
  <c r="AJ49" i="51"/>
  <c r="AJ110" i="46"/>
  <c r="AJ48" i="51" s="1"/>
  <c r="AE112" i="46"/>
  <c r="AE50" i="51"/>
  <c r="AE111" i="46"/>
  <c r="AE49" i="51" s="1"/>
  <c r="AE110" i="46"/>
  <c r="AE48" i="51"/>
  <c r="Z112" i="46"/>
  <c r="Z50" i="51" s="1"/>
  <c r="Z111" i="46"/>
  <c r="Z49" i="51"/>
  <c r="Z110" i="46"/>
  <c r="Z48" i="51" s="1"/>
  <c r="U112" i="46"/>
  <c r="U50" i="51"/>
  <c r="U111" i="46"/>
  <c r="U49" i="51" s="1"/>
  <c r="U110" i="46"/>
  <c r="U48" i="51"/>
  <c r="R112" i="46"/>
  <c r="S112" i="46" s="1"/>
  <c r="R111" i="46"/>
  <c r="S111" i="46"/>
  <c r="R110" i="46"/>
  <c r="S110" i="46" s="1"/>
  <c r="BQ104" i="46"/>
  <c r="BL104" i="46"/>
  <c r="BG104" i="46"/>
  <c r="BB104" i="46"/>
  <c r="AR104" i="46"/>
  <c r="AM104" i="46"/>
  <c r="X104" i="46"/>
  <c r="S104" i="46"/>
  <c r="N104" i="46"/>
  <c r="I104" i="46"/>
  <c r="BN99" i="46"/>
  <c r="BM99" i="46"/>
  <c r="BO98" i="46"/>
  <c r="BN98" i="46"/>
  <c r="BM98" i="46"/>
  <c r="BH100" i="46"/>
  <c r="BH99" i="46"/>
  <c r="BH98" i="46"/>
  <c r="BF100" i="46"/>
  <c r="BD99" i="46"/>
  <c r="BC99" i="46"/>
  <c r="BC98" i="46"/>
  <c r="BA100" i="46"/>
  <c r="AY100" i="46"/>
  <c r="AX100" i="46"/>
  <c r="AY99" i="46"/>
  <c r="AX99" i="46"/>
  <c r="AS103" i="46"/>
  <c r="AS100" i="46"/>
  <c r="AU99" i="46"/>
  <c r="AT99" i="46"/>
  <c r="AS99" i="46"/>
  <c r="AT98" i="46"/>
  <c r="AS98" i="46"/>
  <c r="AN103" i="46"/>
  <c r="AN100" i="46"/>
  <c r="AP99" i="46"/>
  <c r="AO99" i="46"/>
  <c r="AN99" i="46"/>
  <c r="AO98" i="46"/>
  <c r="AN98" i="46"/>
  <c r="AI103" i="46"/>
  <c r="AD103" i="46"/>
  <c r="Z103" i="46"/>
  <c r="Y103" i="46"/>
  <c r="AJ100" i="46"/>
  <c r="AI100" i="46"/>
  <c r="AE100" i="46"/>
  <c r="AD100" i="46"/>
  <c r="Z100" i="46"/>
  <c r="Y100" i="46"/>
  <c r="AJ99" i="46"/>
  <c r="AI99" i="46"/>
  <c r="AE99" i="46"/>
  <c r="AD99" i="46"/>
  <c r="Z99" i="46"/>
  <c r="Y99" i="46"/>
  <c r="AL98" i="46"/>
  <c r="AK98" i="46"/>
  <c r="AJ98" i="46"/>
  <c r="AI98" i="46"/>
  <c r="AH98" i="46"/>
  <c r="AF98" i="46"/>
  <c r="AE98" i="46"/>
  <c r="AD98" i="46"/>
  <c r="AC98" i="46"/>
  <c r="Z98" i="46"/>
  <c r="Y98" i="46"/>
  <c r="T103" i="46"/>
  <c r="V100" i="46"/>
  <c r="T100" i="46"/>
  <c r="U99" i="46"/>
  <c r="T99" i="46"/>
  <c r="V98" i="46"/>
  <c r="U98" i="46"/>
  <c r="T98" i="46"/>
  <c r="Q103" i="46"/>
  <c r="P103" i="46"/>
  <c r="O103" i="46"/>
  <c r="Q100" i="46"/>
  <c r="P100" i="46"/>
  <c r="O100" i="46"/>
  <c r="Q99" i="46"/>
  <c r="P99" i="46"/>
  <c r="O99" i="46"/>
  <c r="R98" i="46"/>
  <c r="Q98" i="46"/>
  <c r="P98" i="46"/>
  <c r="O98" i="46"/>
  <c r="M103" i="46"/>
  <c r="L103" i="46"/>
  <c r="K103" i="46"/>
  <c r="J103" i="46"/>
  <c r="M100" i="46"/>
  <c r="L100" i="46"/>
  <c r="K100" i="46"/>
  <c r="J100" i="46"/>
  <c r="L99" i="46"/>
  <c r="K99" i="46"/>
  <c r="J99" i="46"/>
  <c r="M98" i="46"/>
  <c r="L98" i="46"/>
  <c r="K98" i="46"/>
  <c r="J98" i="46"/>
  <c r="H103" i="46"/>
  <c r="G103" i="46"/>
  <c r="F103" i="46"/>
  <c r="E103" i="46"/>
  <c r="H100" i="46"/>
  <c r="G100" i="46"/>
  <c r="F100" i="46"/>
  <c r="E100" i="46"/>
  <c r="E99" i="46"/>
  <c r="H98" i="46"/>
  <c r="G98" i="46"/>
  <c r="F98" i="46"/>
  <c r="E98" i="46"/>
  <c r="BP94" i="46"/>
  <c r="BO94" i="46" s="1"/>
  <c r="BN94" i="46" s="1"/>
  <c r="BM94" i="46" s="1"/>
  <c r="BK94" i="46"/>
  <c r="BJ94" i="46" s="1"/>
  <c r="BI94" i="46" s="1"/>
  <c r="BH94" i="46" s="1"/>
  <c r="BF94" i="46"/>
  <c r="BE94" i="46" s="1"/>
  <c r="BD94" i="46" s="1"/>
  <c r="BC94" i="46" s="1"/>
  <c r="BA94" i="46"/>
  <c r="AZ94" i="46" s="1"/>
  <c r="AY94" i="46" s="1"/>
  <c r="AX94" i="46" s="1"/>
  <c r="AS83" i="46"/>
  <c r="AN83" i="46"/>
  <c r="AI83" i="46"/>
  <c r="AE83" i="46"/>
  <c r="AD83" i="46"/>
  <c r="Y83" i="46"/>
  <c r="Q83" i="46"/>
  <c r="P83" i="46"/>
  <c r="O83" i="46"/>
  <c r="M83" i="46"/>
  <c r="L83" i="46"/>
  <c r="K83" i="46"/>
  <c r="J83" i="46"/>
  <c r="H83" i="46"/>
  <c r="G83" i="46"/>
  <c r="F83" i="46"/>
  <c r="E83" i="46"/>
  <c r="AS82" i="46"/>
  <c r="AN82" i="46"/>
  <c r="AI82" i="46"/>
  <c r="AD82" i="46"/>
  <c r="Y82" i="46"/>
  <c r="T82" i="46"/>
  <c r="R82" i="46"/>
  <c r="Q82" i="46"/>
  <c r="P82" i="46"/>
  <c r="O82" i="46"/>
  <c r="M82" i="46"/>
  <c r="L82" i="46"/>
  <c r="K82" i="46"/>
  <c r="J82" i="46"/>
  <c r="H82" i="46"/>
  <c r="G82" i="46"/>
  <c r="F82" i="46"/>
  <c r="E82" i="46"/>
  <c r="AN77" i="46"/>
  <c r="AI77" i="46"/>
  <c r="AD77" i="46"/>
  <c r="Y77" i="46"/>
  <c r="T77" i="46"/>
  <c r="Q77" i="46"/>
  <c r="P77" i="46"/>
  <c r="O77" i="46"/>
  <c r="N77" i="46"/>
  <c r="L77" i="46"/>
  <c r="K77" i="46"/>
  <c r="J77" i="46"/>
  <c r="G77" i="46"/>
  <c r="F77" i="46"/>
  <c r="E77" i="46"/>
  <c r="BM76" i="46"/>
  <c r="BN76" i="46"/>
  <c r="BH76" i="46"/>
  <c r="BI76" i="46"/>
  <c r="BC76" i="46"/>
  <c r="AX76" i="46"/>
  <c r="BQ75" i="46"/>
  <c r="BL75" i="46"/>
  <c r="ED44" i="71" s="1"/>
  <c r="BG75" i="46"/>
  <c r="DY44" i="71"/>
  <c r="BB75" i="46"/>
  <c r="DT44" i="71"/>
  <c r="AT75" i="46"/>
  <c r="AS75" i="46"/>
  <c r="AR75" i="46"/>
  <c r="AP75" i="46"/>
  <c r="AO75" i="46"/>
  <c r="AN75" i="46"/>
  <c r="AM75" i="46"/>
  <c r="DE44" i="71"/>
  <c r="AK75" i="46"/>
  <c r="AJ75" i="46"/>
  <c r="AI75" i="46"/>
  <c r="AH75" i="46"/>
  <c r="CZ44" i="71" s="1"/>
  <c r="AE75" i="46"/>
  <c r="AD75" i="46"/>
  <c r="AC75" i="46"/>
  <c r="CU44" i="71" s="1"/>
  <c r="CU50" i="71" s="1"/>
  <c r="AA75" i="46"/>
  <c r="Z75" i="46"/>
  <c r="Y75" i="46"/>
  <c r="X75" i="46"/>
  <c r="CP44" i="71"/>
  <c r="U75" i="46"/>
  <c r="CM44" i="71"/>
  <c r="T75" i="46"/>
  <c r="CL44" i="71"/>
  <c r="S75" i="46"/>
  <c r="CK44" i="71"/>
  <c r="R75" i="46"/>
  <c r="CJ44" i="71"/>
  <c r="Q75" i="46"/>
  <c r="CI44" i="71"/>
  <c r="P75" i="46"/>
  <c r="CH44" i="71"/>
  <c r="O75" i="46"/>
  <c r="CG44" i="71"/>
  <c r="N75" i="46"/>
  <c r="CF44" i="71"/>
  <c r="M75" i="46"/>
  <c r="L75" i="46"/>
  <c r="K75" i="46"/>
  <c r="J75" i="46"/>
  <c r="I75" i="46"/>
  <c r="CA44" i="71"/>
  <c r="H75" i="46"/>
  <c r="G75" i="46"/>
  <c r="F75" i="46"/>
  <c r="E75" i="46"/>
  <c r="BQ74" i="46"/>
  <c r="EI45" i="71"/>
  <c r="BL74" i="46"/>
  <c r="BH74" i="46"/>
  <c r="BG74" i="46"/>
  <c r="BB74" i="46"/>
  <c r="AT74" i="46"/>
  <c r="AS74" i="46"/>
  <c r="AN74" i="46"/>
  <c r="AJ74" i="46"/>
  <c r="AI74" i="46"/>
  <c r="AE74" i="46"/>
  <c r="AD74" i="46"/>
  <c r="Z74" i="46"/>
  <c r="Y74" i="46"/>
  <c r="Y76" i="46"/>
  <c r="T74" i="46"/>
  <c r="O74" i="46"/>
  <c r="K74" i="46"/>
  <c r="J74" i="46"/>
  <c r="J76" i="46" s="1"/>
  <c r="F74" i="46"/>
  <c r="E74" i="46"/>
  <c r="BQ63" i="46"/>
  <c r="BQ62" i="46"/>
  <c r="BL63" i="46"/>
  <c r="BL62" i="46"/>
  <c r="BG63" i="46"/>
  <c r="BG62" i="46"/>
  <c r="BB63" i="46"/>
  <c r="BB62" i="46"/>
  <c r="AU55" i="46"/>
  <c r="AT55" i="46"/>
  <c r="AS55" i="46"/>
  <c r="AP55" i="46"/>
  <c r="AO55" i="46"/>
  <c r="AN55" i="46"/>
  <c r="AK55" i="46"/>
  <c r="AJ55" i="46"/>
  <c r="AI55" i="46"/>
  <c r="AF55" i="46"/>
  <c r="AE55" i="46"/>
  <c r="AD55" i="46"/>
  <c r="AA55" i="46"/>
  <c r="Z55" i="46"/>
  <c r="Y55" i="46"/>
  <c r="V55" i="46"/>
  <c r="U55" i="46"/>
  <c r="T55" i="46"/>
  <c r="R55" i="46"/>
  <c r="Q55" i="46"/>
  <c r="P55" i="46"/>
  <c r="O55" i="46"/>
  <c r="M55" i="46"/>
  <c r="L55" i="46"/>
  <c r="K55" i="46"/>
  <c r="J55" i="46"/>
  <c r="AQ54" i="46"/>
  <c r="AL54" i="46"/>
  <c r="AG54" i="46"/>
  <c r="AB54" i="46"/>
  <c r="AC54" i="46"/>
  <c r="W54" i="46"/>
  <c r="W55" i="46" s="1"/>
  <c r="S54" i="46"/>
  <c r="S37" i="71"/>
  <c r="N54" i="46"/>
  <c r="I54" i="46"/>
  <c r="I37" i="71"/>
  <c r="AU44" i="46"/>
  <c r="AU40" i="72" s="1"/>
  <c r="AT44" i="46"/>
  <c r="AT40" i="72"/>
  <c r="AS44" i="46"/>
  <c r="AS40" i="72" s="1"/>
  <c r="AQ44" i="46"/>
  <c r="AQ40" i="72"/>
  <c r="AP44" i="46"/>
  <c r="AP40" i="72" s="1"/>
  <c r="AO44" i="46"/>
  <c r="AO40" i="72"/>
  <c r="AN44" i="46"/>
  <c r="AN40" i="72" s="1"/>
  <c r="AL44" i="46"/>
  <c r="AL40" i="72"/>
  <c r="AK44" i="46"/>
  <c r="AK40" i="72" s="1"/>
  <c r="AJ44" i="46"/>
  <c r="AJ40" i="72"/>
  <c r="AI44" i="46"/>
  <c r="AI40" i="72" s="1"/>
  <c r="AG44" i="46"/>
  <c r="AG40" i="72"/>
  <c r="AF44" i="46"/>
  <c r="AF40" i="72" s="1"/>
  <c r="AE44" i="46"/>
  <c r="AE40" i="72"/>
  <c r="AD44" i="46"/>
  <c r="AD40" i="72" s="1"/>
  <c r="AB44" i="46"/>
  <c r="AB40" i="72"/>
  <c r="AA44" i="46"/>
  <c r="AA40" i="72" s="1"/>
  <c r="Z44" i="46"/>
  <c r="Z40" i="72"/>
  <c r="Y44" i="46"/>
  <c r="Y40" i="72" s="1"/>
  <c r="W44" i="46"/>
  <c r="V44" i="46"/>
  <c r="V40" i="72"/>
  <c r="U44" i="46"/>
  <c r="U40" i="72"/>
  <c r="T44" i="46"/>
  <c r="T40" i="72"/>
  <c r="R44" i="46"/>
  <c r="R40" i="72"/>
  <c r="Q44" i="46"/>
  <c r="Q40" i="72"/>
  <c r="P44" i="46"/>
  <c r="P40" i="72"/>
  <c r="O44" i="46"/>
  <c r="O40" i="72"/>
  <c r="M44" i="46"/>
  <c r="M40" i="72"/>
  <c r="L44" i="46"/>
  <c r="L40" i="72"/>
  <c r="K44" i="46"/>
  <c r="K40" i="72"/>
  <c r="J44" i="46"/>
  <c r="J40" i="72"/>
  <c r="H44" i="46"/>
  <c r="H40" i="72"/>
  <c r="G44" i="46"/>
  <c r="G40" i="72"/>
  <c r="F44" i="46"/>
  <c r="F40" i="72"/>
  <c r="E44" i="46"/>
  <c r="E40" i="72"/>
  <c r="R41" i="46"/>
  <c r="R30" i="51"/>
  <c r="Q41" i="46"/>
  <c r="P41" i="46"/>
  <c r="P30" i="51" s="1"/>
  <c r="O41" i="46"/>
  <c r="J41" i="46"/>
  <c r="J30" i="51"/>
  <c r="F41" i="46"/>
  <c r="F30" i="51"/>
  <c r="F337" i="46"/>
  <c r="E41" i="46"/>
  <c r="E30" i="51" s="1"/>
  <c r="BP41" i="46"/>
  <c r="BO41" i="46"/>
  <c r="BN41" i="46"/>
  <c r="BM41" i="46"/>
  <c r="BK41" i="46"/>
  <c r="BJ41" i="46"/>
  <c r="BI41" i="46"/>
  <c r="BH41" i="46"/>
  <c r="BF41" i="46"/>
  <c r="BE41" i="46"/>
  <c r="BD41" i="46"/>
  <c r="BC41" i="46"/>
  <c r="BA41" i="46"/>
  <c r="AY41" i="46"/>
  <c r="AX41" i="46"/>
  <c r="AU41" i="46"/>
  <c r="AU30" i="51"/>
  <c r="AT41" i="46"/>
  <c r="AT30" i="51"/>
  <c r="AS41" i="46"/>
  <c r="AS30" i="51"/>
  <c r="AR41" i="46"/>
  <c r="AP41" i="46"/>
  <c r="AO41" i="46"/>
  <c r="AO30" i="51"/>
  <c r="AN41" i="46"/>
  <c r="AN337" i="46"/>
  <c r="AM41" i="46"/>
  <c r="AM337" i="46"/>
  <c r="AK41" i="46"/>
  <c r="AK30" i="51"/>
  <c r="AJ41" i="46"/>
  <c r="AJ30" i="51"/>
  <c r="AI41" i="46"/>
  <c r="AH41" i="46"/>
  <c r="AF41" i="46"/>
  <c r="AF30" i="51"/>
  <c r="AE41" i="46"/>
  <c r="AE30" i="51"/>
  <c r="AD41" i="46"/>
  <c r="AC41" i="46"/>
  <c r="AC337" i="46" s="1"/>
  <c r="AA41" i="46"/>
  <c r="Z41" i="46"/>
  <c r="Z30" i="51"/>
  <c r="Y41" i="46"/>
  <c r="Y30" i="51"/>
  <c r="X41" i="46"/>
  <c r="X337" i="46"/>
  <c r="V41" i="46"/>
  <c r="U41" i="46"/>
  <c r="U30" i="51" s="1"/>
  <c r="T41" i="46"/>
  <c r="BP38" i="46"/>
  <c r="BO38" i="46"/>
  <c r="BN38" i="46"/>
  <c r="BM38" i="46"/>
  <c r="BM337" i="46" s="1"/>
  <c r="BK38" i="46"/>
  <c r="BJ38" i="46"/>
  <c r="BI38" i="46"/>
  <c r="BH38" i="46"/>
  <c r="BL38" i="46"/>
  <c r="BF38" i="46"/>
  <c r="BE38" i="46"/>
  <c r="BD38" i="46"/>
  <c r="BD337" i="46"/>
  <c r="BC38" i="46"/>
  <c r="BC337" i="46"/>
  <c r="BA38" i="46"/>
  <c r="AY38" i="46"/>
  <c r="AX38" i="46"/>
  <c r="AQ38" i="46"/>
  <c r="AL38" i="46"/>
  <c r="AG38" i="46"/>
  <c r="AB38" i="46"/>
  <c r="W38" i="46"/>
  <c r="R38" i="46"/>
  <c r="H38" i="46"/>
  <c r="AQ34" i="46"/>
  <c r="AQ27" i="51"/>
  <c r="AL34" i="46"/>
  <c r="AL27" i="51"/>
  <c r="AG34" i="46"/>
  <c r="AG27" i="51"/>
  <c r="AB34" i="46"/>
  <c r="AB27" i="51"/>
  <c r="W34" i="46"/>
  <c r="W27" i="51"/>
  <c r="R34" i="46"/>
  <c r="R27" i="51"/>
  <c r="M34" i="46"/>
  <c r="M27" i="51"/>
  <c r="H34" i="46"/>
  <c r="H27" i="51"/>
  <c r="AQ30" i="46"/>
  <c r="AQ23" i="51"/>
  <c r="AL30" i="46"/>
  <c r="AN208" i="46"/>
  <c r="AG30" i="46"/>
  <c r="AG23" i="51"/>
  <c r="AB30" i="46"/>
  <c r="W30" i="46"/>
  <c r="AA208" i="46" s="1"/>
  <c r="R30" i="46"/>
  <c r="M30" i="46"/>
  <c r="H30" i="46"/>
  <c r="AU25" i="46"/>
  <c r="AU18" i="51"/>
  <c r="AZ18" i="51" s="1"/>
  <c r="BE18" i="51" s="1"/>
  <c r="BJ18" i="51" s="1"/>
  <c r="AT25" i="46"/>
  <c r="AT18" i="51"/>
  <c r="AY18" i="51" s="1"/>
  <c r="BD18" i="51" s="1"/>
  <c r="BI18" i="51" s="1"/>
  <c r="AS25" i="46"/>
  <c r="AR25" i="46"/>
  <c r="AP25" i="46"/>
  <c r="AP18" i="51"/>
  <c r="AO25" i="46"/>
  <c r="AO18" i="51"/>
  <c r="AN25" i="46"/>
  <c r="AN18" i="51"/>
  <c r="AM25" i="46"/>
  <c r="AK25" i="46"/>
  <c r="AK18" i="51" s="1"/>
  <c r="AJ25" i="46"/>
  <c r="AJ18" i="51" s="1"/>
  <c r="AI25" i="46"/>
  <c r="AI18" i="51" s="1"/>
  <c r="AH25" i="46"/>
  <c r="AF25" i="46"/>
  <c r="AF18" i="51"/>
  <c r="AE25" i="46"/>
  <c r="AE18" i="51"/>
  <c r="AD25" i="46"/>
  <c r="AD18" i="51"/>
  <c r="AC25" i="46"/>
  <c r="AC18" i="51"/>
  <c r="AA25" i="46"/>
  <c r="AA18" i="51"/>
  <c r="Z25" i="46"/>
  <c r="Z18" i="51"/>
  <c r="Y25" i="46"/>
  <c r="Y18" i="51"/>
  <c r="X25" i="46"/>
  <c r="X18" i="51"/>
  <c r="V25" i="46"/>
  <c r="V18" i="51"/>
  <c r="U25" i="46"/>
  <c r="U18" i="51"/>
  <c r="T25" i="46"/>
  <c r="T18" i="51"/>
  <c r="R25" i="46"/>
  <c r="M25" i="46"/>
  <c r="H25" i="46"/>
  <c r="S17" i="46"/>
  <c r="S22" i="46" s="1"/>
  <c r="S27" i="46" s="1"/>
  <c r="Q17" i="46"/>
  <c r="Q22" i="46"/>
  <c r="Q27" i="46" s="1"/>
  <c r="P17" i="46"/>
  <c r="P22" i="46" s="1"/>
  <c r="P27" i="46" s="1"/>
  <c r="O17" i="46"/>
  <c r="O22" i="46"/>
  <c r="O27" i="46" s="1"/>
  <c r="N17" i="46"/>
  <c r="N22" i="46"/>
  <c r="N27" i="46" s="1"/>
  <c r="L17" i="46"/>
  <c r="L22" i="46" s="1"/>
  <c r="L27" i="46" s="1"/>
  <c r="K17" i="46"/>
  <c r="K22" i="46"/>
  <c r="J17" i="46"/>
  <c r="J22" i="46"/>
  <c r="J27" i="46" s="1"/>
  <c r="I17" i="46"/>
  <c r="I22" i="46" s="1"/>
  <c r="I27" i="46" s="1"/>
  <c r="G17" i="46"/>
  <c r="G22" i="46"/>
  <c r="G27" i="46" s="1"/>
  <c r="F17" i="46"/>
  <c r="F22" i="46" s="1"/>
  <c r="F27" i="46" s="1"/>
  <c r="E17" i="46"/>
  <c r="E22" i="46"/>
  <c r="E27" i="46" s="1"/>
  <c r="E28" i="46" s="1"/>
  <c r="AQ16" i="46"/>
  <c r="AQ15" i="46"/>
  <c r="AQ13" i="51" s="1"/>
  <c r="AQ14" i="46"/>
  <c r="AL16" i="46"/>
  <c r="AL15" i="46"/>
  <c r="AL13" i="51" s="1"/>
  <c r="AL14" i="46"/>
  <c r="AG16" i="46"/>
  <c r="AG15" i="46"/>
  <c r="AG13" i="51" s="1"/>
  <c r="AG14" i="46"/>
  <c r="AB16" i="46"/>
  <c r="AB15" i="46"/>
  <c r="AB13" i="51" s="1"/>
  <c r="AB14" i="46"/>
  <c r="W16" i="46"/>
  <c r="W15" i="46"/>
  <c r="W14" i="46"/>
  <c r="R16" i="46"/>
  <c r="R15" i="46"/>
  <c r="R13" i="51"/>
  <c r="R14" i="46"/>
  <c r="M16" i="46"/>
  <c r="M15" i="46"/>
  <c r="M14" i="46"/>
  <c r="M12" i="51" s="1"/>
  <c r="H16" i="46"/>
  <c r="H15" i="46"/>
  <c r="H13" i="51"/>
  <c r="H14" i="46"/>
  <c r="S12" i="46"/>
  <c r="Q12" i="46"/>
  <c r="P12" i="46"/>
  <c r="O12" i="46"/>
  <c r="N12" i="46"/>
  <c r="L12" i="46"/>
  <c r="K12" i="46"/>
  <c r="J12" i="46"/>
  <c r="I12" i="46"/>
  <c r="G12" i="46"/>
  <c r="F12" i="46"/>
  <c r="E12" i="46"/>
  <c r="AQ11" i="46"/>
  <c r="AL11" i="46"/>
  <c r="AG11" i="46"/>
  <c r="AB11" i="46"/>
  <c r="W11" i="46"/>
  <c r="R11" i="46"/>
  <c r="R10" i="46"/>
  <c r="M11" i="46"/>
  <c r="M10" i="46"/>
  <c r="H11" i="46"/>
  <c r="H10" i="46"/>
  <c r="AU10" i="46"/>
  <c r="AU12" i="46"/>
  <c r="AT10" i="46"/>
  <c r="AS10" i="46"/>
  <c r="AV10" i="46"/>
  <c r="AR10" i="46"/>
  <c r="AP10" i="46"/>
  <c r="AP12" i="46"/>
  <c r="AO10" i="46"/>
  <c r="AN10" i="46"/>
  <c r="AM10" i="46"/>
  <c r="AK10" i="46"/>
  <c r="AK17" i="46"/>
  <c r="AK22" i="46"/>
  <c r="AK27" i="46" s="1"/>
  <c r="AJ10" i="46"/>
  <c r="AI10" i="46"/>
  <c r="AH10" i="46"/>
  <c r="AF10" i="46"/>
  <c r="AE10" i="46"/>
  <c r="AD10" i="46"/>
  <c r="AC10" i="46"/>
  <c r="AA10" i="46"/>
  <c r="Z10" i="46"/>
  <c r="Y10" i="46"/>
  <c r="Y12" i="46" s="1"/>
  <c r="X10" i="46"/>
  <c r="V10" i="46"/>
  <c r="U10" i="46"/>
  <c r="T10" i="46"/>
  <c r="AQ8" i="46"/>
  <c r="AQ8" i="51" s="1"/>
  <c r="AL8" i="46"/>
  <c r="AG8" i="46"/>
  <c r="AG8" i="51"/>
  <c r="AB8" i="46"/>
  <c r="AB8" i="51"/>
  <c r="W8" i="46"/>
  <c r="W8" i="51"/>
  <c r="R8" i="46"/>
  <c r="M8" i="46"/>
  <c r="H8" i="46"/>
  <c r="B2" i="46"/>
  <c r="ED63" i="71"/>
  <c r="DY63" i="71"/>
  <c r="DT63" i="71"/>
  <c r="CF63" i="71"/>
  <c r="CF62" i="71"/>
  <c r="CF61" i="71"/>
  <c r="CF60" i="71"/>
  <c r="CF59" i="71"/>
  <c r="CA63" i="71"/>
  <c r="CA61" i="71"/>
  <c r="CA60" i="71"/>
  <c r="CA59" i="71"/>
  <c r="BQ61" i="71"/>
  <c r="BL61" i="71"/>
  <c r="BG61" i="71"/>
  <c r="BB61" i="71"/>
  <c r="AW61" i="71"/>
  <c r="AR61" i="71"/>
  <c r="AM61" i="71" s="1"/>
  <c r="AH61" i="71" s="1"/>
  <c r="AC61" i="71" s="1"/>
  <c r="X61" i="71" s="1"/>
  <c r="CM63" i="71"/>
  <c r="CL63" i="71"/>
  <c r="CM62" i="71"/>
  <c r="CL62" i="71"/>
  <c r="CL61" i="71"/>
  <c r="CL60" i="71"/>
  <c r="CM59" i="71"/>
  <c r="CL59" i="71"/>
  <c r="CJ63" i="71"/>
  <c r="CI63" i="71"/>
  <c r="CH63" i="71"/>
  <c r="CG63" i="71"/>
  <c r="CI62" i="71"/>
  <c r="CH62" i="71"/>
  <c r="CG62" i="71"/>
  <c r="CJ61" i="71"/>
  <c r="CI61" i="71"/>
  <c r="CH61" i="71"/>
  <c r="CG61" i="71"/>
  <c r="CJ60" i="71"/>
  <c r="CI60" i="71"/>
  <c r="CH60" i="71"/>
  <c r="CG60" i="71"/>
  <c r="CJ59" i="71"/>
  <c r="CI59" i="71"/>
  <c r="CH59" i="71"/>
  <c r="CG59" i="71"/>
  <c r="DT54" i="71"/>
  <c r="BZ56" i="71"/>
  <c r="BY56" i="71"/>
  <c r="BX56" i="71"/>
  <c r="BW56" i="71"/>
  <c r="CA55" i="71"/>
  <c r="CM55" i="71"/>
  <c r="CL55" i="71"/>
  <c r="CJ55" i="71"/>
  <c r="CI55" i="71"/>
  <c r="CH55" i="71"/>
  <c r="CG55" i="71"/>
  <c r="CF55" i="71"/>
  <c r="CJ54" i="71"/>
  <c r="CI54" i="71"/>
  <c r="CH54" i="71"/>
  <c r="CG54" i="71"/>
  <c r="CF54" i="71"/>
  <c r="CO53" i="71"/>
  <c r="CN53" i="71"/>
  <c r="CM53" i="71"/>
  <c r="CL53" i="71"/>
  <c r="CJ53" i="71"/>
  <c r="CI53" i="71"/>
  <c r="CH53" i="71"/>
  <c r="CG53" i="71"/>
  <c r="CG56" i="71"/>
  <c r="EI44" i="71"/>
  <c r="DJ44" i="71"/>
  <c r="CA47" i="71"/>
  <c r="CM47" i="71"/>
  <c r="CL47" i="71"/>
  <c r="CI47" i="71"/>
  <c r="CH47" i="71"/>
  <c r="CG47" i="71"/>
  <c r="CF47" i="71"/>
  <c r="AR44" i="71"/>
  <c r="AR43" i="71"/>
  <c r="AM44" i="71"/>
  <c r="AM43" i="71"/>
  <c r="AH44" i="71"/>
  <c r="AH43" i="71"/>
  <c r="AC44" i="71"/>
  <c r="AC43" i="71"/>
  <c r="X44" i="71"/>
  <c r="X43" i="71"/>
  <c r="S44" i="71"/>
  <c r="S43" i="71"/>
  <c r="N44" i="71"/>
  <c r="N43" i="71"/>
  <c r="I44" i="71"/>
  <c r="I43" i="71"/>
  <c r="CU38" i="71"/>
  <c r="AC37" i="71"/>
  <c r="N37" i="71"/>
  <c r="S40" i="71"/>
  <c r="CF41" i="71"/>
  <c r="CP38" i="71"/>
  <c r="CI38" i="71"/>
  <c r="CH38" i="71"/>
  <c r="CG38" i="71"/>
  <c r="CO28" i="71"/>
  <c r="CN28" i="71"/>
  <c r="CM28" i="71"/>
  <c r="CL28" i="71"/>
  <c r="CJ28" i="71"/>
  <c r="CI28" i="71"/>
  <c r="CH28" i="71"/>
  <c r="CG28" i="71"/>
  <c r="CO27" i="71"/>
  <c r="CN27" i="71"/>
  <c r="CM27" i="71"/>
  <c r="CL27" i="71"/>
  <c r="CJ27" i="71"/>
  <c r="CI27" i="71"/>
  <c r="CH27" i="71"/>
  <c r="CG27" i="71"/>
  <c r="H25" i="71"/>
  <c r="G25" i="71"/>
  <c r="F25" i="71"/>
  <c r="E25" i="71"/>
  <c r="CO24" i="71"/>
  <c r="CN24" i="71"/>
  <c r="CM24" i="71"/>
  <c r="CL24" i="71"/>
  <c r="CJ24" i="71"/>
  <c r="CI24" i="71"/>
  <c r="CH24" i="71"/>
  <c r="CG24" i="71"/>
  <c r="CO23" i="71"/>
  <c r="CN23" i="71"/>
  <c r="CM23" i="71"/>
  <c r="CL23" i="71"/>
  <c r="CJ23" i="71"/>
  <c r="CI23" i="71"/>
  <c r="CH23" i="71"/>
  <c r="CG23" i="71"/>
  <c r="CI16" i="71"/>
  <c r="CP15" i="71"/>
  <c r="CN15" i="71"/>
  <c r="CM15" i="71"/>
  <c r="CJ15" i="71"/>
  <c r="CI15" i="71"/>
  <c r="CH15" i="71"/>
  <c r="DJ11" i="71"/>
  <c r="CO11" i="71"/>
  <c r="CL11" i="71"/>
  <c r="CI12" i="71"/>
  <c r="CH12" i="71"/>
  <c r="CG12" i="71"/>
  <c r="CJ11" i="71"/>
  <c r="CH11" i="71"/>
  <c r="DJ9" i="71"/>
  <c r="CU9" i="71"/>
  <c r="CO9" i="71"/>
  <c r="CN9" i="71"/>
  <c r="CJ9" i="71"/>
  <c r="CI9" i="71"/>
  <c r="CA9" i="71"/>
  <c r="CF5" i="71"/>
  <c r="CK5" i="71" s="1"/>
  <c r="CP5" i="71" s="1"/>
  <c r="CU5" i="71" s="1"/>
  <c r="CZ5" i="71" s="1"/>
  <c r="DE5" i="71" s="1"/>
  <c r="DJ5" i="71" s="1"/>
  <c r="DO5" i="71" s="1"/>
  <c r="DT5" i="71" s="1"/>
  <c r="DY5" i="71" s="1"/>
  <c r="ED5" i="71" s="1"/>
  <c r="EI5" i="71" s="1"/>
  <c r="N5" i="71"/>
  <c r="S5" i="71" s="1"/>
  <c r="X5" i="71" s="1"/>
  <c r="AC5" i="71" s="1"/>
  <c r="AH5" i="71" s="1"/>
  <c r="AM5" i="71" s="1"/>
  <c r="AR5" i="71" s="1"/>
  <c r="AW5" i="71" s="1"/>
  <c r="BB5" i="71" s="1"/>
  <c r="BG5" i="71" s="1"/>
  <c r="BL5" i="71" s="1"/>
  <c r="BQ5" i="71" s="1"/>
  <c r="B2" i="71"/>
  <c r="N18" i="59"/>
  <c r="AD20" i="59"/>
  <c r="W28" i="59"/>
  <c r="S28" i="59"/>
  <c r="M45" i="59"/>
  <c r="P49" i="59"/>
  <c r="BB49" i="59"/>
  <c r="AI45" i="59"/>
  <c r="AR46" i="59"/>
  <c r="AT48" i="59"/>
  <c r="AR48" i="59"/>
  <c r="AJ49" i="59"/>
  <c r="AI49" i="59"/>
  <c r="AH49" i="59"/>
  <c r="AT44" i="59"/>
  <c r="X46" i="59"/>
  <c r="P47" i="59"/>
  <c r="O47" i="59"/>
  <c r="N47" i="59"/>
  <c r="BD47" i="59"/>
  <c r="BC47" i="59"/>
  <c r="BB47" i="59"/>
  <c r="W50" i="59"/>
  <c r="AR54" i="59"/>
  <c r="AR56" i="59"/>
  <c r="X58" i="59"/>
  <c r="AD66" i="59"/>
  <c r="AH66" i="59"/>
  <c r="R69" i="59"/>
  <c r="T70" i="59"/>
  <c r="R71" i="59"/>
  <c r="AC48" i="59"/>
  <c r="S49" i="59"/>
  <c r="AI53" i="59"/>
  <c r="AS54" i="59"/>
  <c r="BC55" i="59"/>
  <c r="S57" i="59"/>
  <c r="AI57" i="59"/>
  <c r="AM57" i="59"/>
  <c r="AS58" i="59"/>
  <c r="S60" i="59"/>
  <c r="AM60" i="59"/>
  <c r="AM64" i="59"/>
  <c r="AC65" i="59"/>
  <c r="O66" i="59"/>
  <c r="S69" i="59"/>
  <c r="AL69" i="59"/>
  <c r="U70" i="59"/>
  <c r="T69" i="59"/>
  <c r="T71" i="59"/>
  <c r="U71" i="59"/>
  <c r="AE59" i="59"/>
  <c r="AD78" i="59"/>
  <c r="BA78" i="59"/>
  <c r="AD80" i="59"/>
  <c r="AC59" i="59"/>
  <c r="BC78" i="59"/>
  <c r="BB78" i="59"/>
  <c r="AI78" i="59"/>
  <c r="AH78" i="59"/>
  <c r="AJ82" i="59"/>
  <c r="AI82" i="59"/>
  <c r="AH82" i="59"/>
  <c r="T81" i="59"/>
  <c r="T83" i="59"/>
  <c r="AN83" i="59"/>
  <c r="L102" i="59"/>
  <c r="U95" i="59"/>
  <c r="T95" i="59"/>
  <c r="Y99" i="59"/>
  <c r="CV96" i="59"/>
  <c r="CX96" i="59"/>
  <c r="CW96" i="59"/>
  <c r="CY96" i="59"/>
  <c r="AE94" i="59"/>
  <c r="AD94" i="59"/>
  <c r="AL95" i="59"/>
  <c r="AB96" i="59"/>
  <c r="AR97" i="59"/>
  <c r="AF102" i="59"/>
  <c r="AO95" i="59"/>
  <c r="AN95" i="59"/>
  <c r="O96" i="59"/>
  <c r="AE96" i="59"/>
  <c r="AD96" i="59"/>
  <c r="V102" i="59"/>
  <c r="AN97" i="59"/>
  <c r="AD98" i="59"/>
  <c r="T99" i="59"/>
  <c r="AN99" i="59"/>
  <c r="AD100" i="59"/>
  <c r="X105" i="59"/>
  <c r="AD106" i="59"/>
  <c r="AG107" i="59"/>
  <c r="BB107" i="59"/>
  <c r="BD107" i="59"/>
  <c r="BC107" i="59"/>
  <c r="AR108" i="59"/>
  <c r="AE106" i="59"/>
  <c r="BC106" i="59"/>
  <c r="BC110" i="59" s="1"/>
  <c r="BO490" i="15" s="1"/>
  <c r="BO515" i="15" s="1"/>
  <c r="AH107" i="59"/>
  <c r="AI107" i="59"/>
  <c r="X108" i="59"/>
  <c r="Z108" i="59"/>
  <c r="Y108" i="59"/>
  <c r="BD14" i="51"/>
  <c r="BI9" i="51"/>
  <c r="BB13" i="51"/>
  <c r="BO9" i="51"/>
  <c r="BM12" i="51"/>
  <c r="BH13" i="51"/>
  <c r="H14" i="15"/>
  <c r="AO105" i="15"/>
  <c r="AO106" i="15"/>
  <c r="AJ512" i="15"/>
  <c r="AK512" i="15"/>
  <c r="M457" i="15"/>
  <c r="W456" i="15"/>
  <c r="W457" i="15"/>
  <c r="AG457" i="15"/>
  <c r="AG456" i="15"/>
  <c r="AQ456" i="15"/>
  <c r="AQ457" i="15"/>
  <c r="U512" i="15"/>
  <c r="T513" i="15"/>
  <c r="R456" i="15"/>
  <c r="S456" i="15" s="1"/>
  <c r="AB457" i="15"/>
  <c r="AB456" i="15"/>
  <c r="AC456" i="15"/>
  <c r="AL457" i="15"/>
  <c r="AL456" i="15"/>
  <c r="AM456" i="15" s="1"/>
  <c r="CO226" i="15"/>
  <c r="CJ209" i="15"/>
  <c r="Z247" i="15"/>
  <c r="AA247" i="15" s="1"/>
  <c r="Y248" i="15"/>
  <c r="AB14" i="15"/>
  <c r="AB16" i="15"/>
  <c r="BE105" i="15"/>
  <c r="AM135" i="15"/>
  <c r="AW133" i="15"/>
  <c r="AJ111" i="15"/>
  <c r="AU204" i="15"/>
  <c r="AT204" i="15"/>
  <c r="AV204" i="15"/>
  <c r="BX203" i="15"/>
  <c r="BX205" i="15" s="1"/>
  <c r="BX208" i="15" s="1"/>
  <c r="Y186" i="15"/>
  <c r="Y178" i="15"/>
  <c r="CO248" i="15"/>
  <c r="CK207" i="15"/>
  <c r="AK109" i="15"/>
  <c r="AY203" i="15"/>
  <c r="CC223" i="15"/>
  <c r="BA203" i="15"/>
  <c r="AL203" i="15"/>
  <c r="AK203" i="15"/>
  <c r="AI203" i="15"/>
  <c r="BZ223" i="15"/>
  <c r="Z225" i="15"/>
  <c r="CO257" i="15"/>
  <c r="CJ206" i="15"/>
  <c r="CA202" i="15"/>
  <c r="CA203" i="15" s="1"/>
  <c r="BE203" i="15"/>
  <c r="AF204" i="15"/>
  <c r="AD278" i="15"/>
  <c r="Y278" i="15"/>
  <c r="AI280" i="15"/>
  <c r="AU293" i="15"/>
  <c r="AZ293" i="15"/>
  <c r="AV203" i="15"/>
  <c r="AD264" i="15"/>
  <c r="Y264" i="15"/>
  <c r="AF275" i="15"/>
  <c r="AA342" i="15"/>
  <c r="AL281" i="15"/>
  <c r="Z318" i="15"/>
  <c r="G447" i="15"/>
  <c r="AA331" i="15"/>
  <c r="BJ438" i="15"/>
  <c r="BA289" i="15"/>
  <c r="AE331" i="15"/>
  <c r="Y360" i="15"/>
  <c r="Z357" i="15"/>
  <c r="Z391" i="15"/>
  <c r="AE357" i="15"/>
  <c r="AF391" i="15"/>
  <c r="R467" i="15"/>
  <c r="S467" i="15" s="1"/>
  <c r="S465" i="15"/>
  <c r="L469" i="15"/>
  <c r="L465" i="15" s="1"/>
  <c r="L467" i="15" s="1"/>
  <c r="M465" i="15"/>
  <c r="AY432" i="15"/>
  <c r="BA432" i="15"/>
  <c r="AX432" i="15"/>
  <c r="AF480" i="15"/>
  <c r="AF74" i="46" s="1"/>
  <c r="AK438" i="15"/>
  <c r="AR456" i="15"/>
  <c r="AM472" i="15"/>
  <c r="BF371" i="15"/>
  <c r="AF438" i="15"/>
  <c r="AQ467" i="15"/>
  <c r="AR467" i="15"/>
  <c r="AS473" i="15" s="1"/>
  <c r="AR465" i="15"/>
  <c r="F473" i="15"/>
  <c r="G503" i="15"/>
  <c r="G48" i="51" s="1"/>
  <c r="L504" i="15"/>
  <c r="L49" i="51" s="1"/>
  <c r="M504" i="15"/>
  <c r="M49" i="51" s="1"/>
  <c r="Q505" i="15"/>
  <c r="Q50" i="51" s="1"/>
  <c r="S50" i="51" s="1"/>
  <c r="R505" i="15"/>
  <c r="R50" i="51" s="1"/>
  <c r="AA503" i="15"/>
  <c r="AF504" i="15"/>
  <c r="AL505" i="15"/>
  <c r="AK505" i="15"/>
  <c r="AU506" i="15"/>
  <c r="BE438" i="15"/>
  <c r="AH456" i="15"/>
  <c r="BH513" i="15"/>
  <c r="AE431" i="15"/>
  <c r="AP438" i="15"/>
  <c r="X456" i="15"/>
  <c r="K473" i="15"/>
  <c r="N472" i="15"/>
  <c r="BB566" i="15"/>
  <c r="AX480" i="15"/>
  <c r="AY480" i="15"/>
  <c r="F507" i="15"/>
  <c r="F508" i="15" s="1"/>
  <c r="L517" i="15"/>
  <c r="L62" i="51"/>
  <c r="AO432" i="15"/>
  <c r="BI432" i="15"/>
  <c r="H445" i="15"/>
  <c r="H450" i="15"/>
  <c r="H451" i="15" s="1"/>
  <c r="L503" i="15"/>
  <c r="M503" i="15" s="1"/>
  <c r="L48" i="51"/>
  <c r="Q504" i="15"/>
  <c r="Q49" i="51" s="1"/>
  <c r="V505" i="15"/>
  <c r="AF503" i="15"/>
  <c r="AK504" i="15"/>
  <c r="AU503" i="15"/>
  <c r="AJ507" i="15"/>
  <c r="AI508" i="15"/>
  <c r="AA480" i="15"/>
  <c r="AA74" i="46" s="1"/>
  <c r="AP510" i="15"/>
  <c r="AO480" i="15"/>
  <c r="AO74" i="46"/>
  <c r="P512" i="15"/>
  <c r="P57" i="51"/>
  <c r="AE512" i="15"/>
  <c r="U521" i="15"/>
  <c r="V515" i="15"/>
  <c r="W515" i="15"/>
  <c r="U490" i="15"/>
  <c r="AU438" i="15"/>
  <c r="AT438" i="15" s="1"/>
  <c r="AS438" i="15" s="1"/>
  <c r="BO438" i="15"/>
  <c r="F440" i="15"/>
  <c r="AE440" i="15"/>
  <c r="BN440" i="15"/>
  <c r="G473" i="15"/>
  <c r="G504" i="15"/>
  <c r="H504" i="15"/>
  <c r="H49" i="51" s="1"/>
  <c r="I49" i="51" s="1"/>
  <c r="G49" i="51"/>
  <c r="L505" i="15"/>
  <c r="M505" i="15"/>
  <c r="M50" i="51" s="1"/>
  <c r="N50" i="51" s="1"/>
  <c r="L50" i="51"/>
  <c r="V503" i="15"/>
  <c r="AA504" i="15"/>
  <c r="AF505" i="15"/>
  <c r="AG505" i="15"/>
  <c r="K507" i="15"/>
  <c r="Y508" i="15"/>
  <c r="Z507" i="15"/>
  <c r="V510" i="15"/>
  <c r="U480" i="15"/>
  <c r="U74" i="46"/>
  <c r="AO512" i="15"/>
  <c r="AP512" i="15"/>
  <c r="AN513" i="15"/>
  <c r="H517" i="15"/>
  <c r="H62" i="51" s="1"/>
  <c r="I62" i="51" s="1"/>
  <c r="G505" i="15"/>
  <c r="G50" i="51"/>
  <c r="Q503" i="15"/>
  <c r="Q48" i="51"/>
  <c r="V504" i="15"/>
  <c r="W504" i="15"/>
  <c r="X504" i="15" s="1"/>
  <c r="AA505" i="15"/>
  <c r="AK503" i="15"/>
  <c r="AP506" i="15"/>
  <c r="P507" i="15"/>
  <c r="P52" i="51"/>
  <c r="AD508" i="15"/>
  <c r="AE507" i="15"/>
  <c r="AT507" i="15"/>
  <c r="L480" i="15"/>
  <c r="K512" i="15"/>
  <c r="K57" i="51"/>
  <c r="AB510" i="15"/>
  <c r="M516" i="15"/>
  <c r="S515" i="15"/>
  <c r="W548" i="15"/>
  <c r="W534" i="15"/>
  <c r="X533" i="15"/>
  <c r="G556" i="15"/>
  <c r="G549" i="15"/>
  <c r="O513" i="15"/>
  <c r="P511" i="15"/>
  <c r="P56" i="51" s="1"/>
  <c r="AI513" i="15"/>
  <c r="AJ511" i="15"/>
  <c r="K521" i="15"/>
  <c r="AG518" i="15"/>
  <c r="M520" i="15"/>
  <c r="M66" i="51" s="1"/>
  <c r="N66" i="51" s="1"/>
  <c r="N520" i="15"/>
  <c r="AG544" i="15"/>
  <c r="AG541" i="15"/>
  <c r="AG538" i="15"/>
  <c r="AQ504" i="15"/>
  <c r="AR504" i="15" s="1"/>
  <c r="AP505" i="15"/>
  <c r="E508" i="15"/>
  <c r="J508" i="15"/>
  <c r="J523" i="15" s="1"/>
  <c r="O508" i="15"/>
  <c r="M510" i="15"/>
  <c r="M55" i="51"/>
  <c r="N55" i="51" s="1"/>
  <c r="Q510" i="15"/>
  <c r="Q55" i="51" s="1"/>
  <c r="AG510" i="15"/>
  <c r="AK510" i="15"/>
  <c r="F511" i="15"/>
  <c r="F56" i="51" s="1"/>
  <c r="K511" i="15"/>
  <c r="Z511" i="15"/>
  <c r="AA511" i="15"/>
  <c r="AE511" i="15"/>
  <c r="AK511" i="15"/>
  <c r="AT511" i="15"/>
  <c r="AS513" i="15"/>
  <c r="L515" i="15"/>
  <c r="L60" i="51" s="1"/>
  <c r="AG516" i="15"/>
  <c r="V543" i="15"/>
  <c r="V535" i="15"/>
  <c r="AL543" i="15"/>
  <c r="AL535" i="15"/>
  <c r="S518" i="15"/>
  <c r="R520" i="15"/>
  <c r="R66" i="51" s="1"/>
  <c r="S66" i="51" s="1"/>
  <c r="AB548" i="15"/>
  <c r="AC533" i="15"/>
  <c r="AG535" i="15"/>
  <c r="T549" i="15"/>
  <c r="AJ548" i="15"/>
  <c r="AJ534" i="15"/>
  <c r="AO548" i="15"/>
  <c r="AO534" i="15"/>
  <c r="E543" i="15"/>
  <c r="E535" i="15" s="1"/>
  <c r="M543" i="15"/>
  <c r="M535" i="15" s="1"/>
  <c r="Q543" i="15"/>
  <c r="Q535" i="15" s="1"/>
  <c r="L555" i="15"/>
  <c r="L544" i="15"/>
  <c r="L541" i="15"/>
  <c r="L538" i="15"/>
  <c r="AL517" i="15"/>
  <c r="AQ517" i="15"/>
  <c r="AU517" i="15"/>
  <c r="I520" i="15"/>
  <c r="M519" i="15"/>
  <c r="M64" i="51" s="1"/>
  <c r="N64" i="51" s="1"/>
  <c r="U543" i="15"/>
  <c r="U535" i="15"/>
  <c r="AF548" i="15"/>
  <c r="AF534" i="15"/>
  <c r="AK543" i="15"/>
  <c r="AK535" i="15"/>
  <c r="AB543" i="15"/>
  <c r="AQ555" i="15"/>
  <c r="AQ541" i="15"/>
  <c r="AQ538" i="15"/>
  <c r="AQ535" i="15"/>
  <c r="I541" i="15"/>
  <c r="I543" i="15"/>
  <c r="I544" i="15"/>
  <c r="AU518" i="15"/>
  <c r="AE521" i="15"/>
  <c r="AN555" i="15"/>
  <c r="AN548" i="15"/>
  <c r="AR549" i="15"/>
  <c r="BZ78" i="73"/>
  <c r="AR548" i="15"/>
  <c r="Z543" i="15"/>
  <c r="Z535" i="15"/>
  <c r="AT543" i="15"/>
  <c r="AT535" i="15" s="1"/>
  <c r="H535" i="15"/>
  <c r="AN535" i="15"/>
  <c r="AS535" i="15"/>
  <c r="H544" i="15"/>
  <c r="AN544" i="15"/>
  <c r="I549" i="15"/>
  <c r="I548" i="15"/>
  <c r="I556" i="15" s="1"/>
  <c r="S549" i="15"/>
  <c r="S548" i="15"/>
  <c r="AG555" i="15"/>
  <c r="AG548" i="15"/>
  <c r="AK548" i="15"/>
  <c r="F543" i="15"/>
  <c r="F535" i="15"/>
  <c r="J543" i="15"/>
  <c r="J535" i="15" s="1"/>
  <c r="R543" i="15"/>
  <c r="R556" i="15"/>
  <c r="AN538" i="15"/>
  <c r="O555" i="15"/>
  <c r="O541" i="15"/>
  <c r="O538" i="15"/>
  <c r="O544" i="15"/>
  <c r="U548" i="15"/>
  <c r="U555" i="15"/>
  <c r="Y548" i="15"/>
  <c r="AD548" i="15"/>
  <c r="AH533" i="15"/>
  <c r="AH534" i="15"/>
  <c r="AH543" i="15" s="1"/>
  <c r="AL555" i="15"/>
  <c r="AL548" i="15"/>
  <c r="AM533" i="15"/>
  <c r="K556" i="15"/>
  <c r="K541" i="15"/>
  <c r="K538" i="15"/>
  <c r="Y534" i="15"/>
  <c r="AD534" i="15"/>
  <c r="AS555" i="15"/>
  <c r="AS544" i="15"/>
  <c r="AS538" i="15"/>
  <c r="S543" i="15"/>
  <c r="H541" i="15"/>
  <c r="G555" i="15"/>
  <c r="G541" i="15"/>
  <c r="G544" i="15"/>
  <c r="G538" i="15"/>
  <c r="M556" i="15"/>
  <c r="N548" i="15"/>
  <c r="N549" i="15"/>
  <c r="V555" i="15"/>
  <c r="AA548" i="15"/>
  <c r="AE549" i="15"/>
  <c r="AI548" i="15"/>
  <c r="AA534" i="15"/>
  <c r="AE534" i="15"/>
  <c r="AI534" i="15"/>
  <c r="H556" i="15"/>
  <c r="H549" i="15"/>
  <c r="AQ556" i="15"/>
  <c r="N543" i="15"/>
  <c r="N556" i="15" s="1"/>
  <c r="J549" i="15"/>
  <c r="Q556" i="15"/>
  <c r="V548" i="15"/>
  <c r="E556" i="15"/>
  <c r="E549" i="15"/>
  <c r="L556" i="15"/>
  <c r="O556" i="15"/>
  <c r="O549" i="15"/>
  <c r="AS556" i="15"/>
  <c r="M549" i="15"/>
  <c r="R549" i="15"/>
  <c r="AQ549" i="15"/>
  <c r="M9" i="72"/>
  <c r="AG9" i="72"/>
  <c r="U13" i="72"/>
  <c r="U9" i="51"/>
  <c r="U14" i="51" s="1"/>
  <c r="U16" i="51" s="1"/>
  <c r="U129" i="72"/>
  <c r="U130" i="72"/>
  <c r="Z13" i="72"/>
  <c r="Z129" i="72" s="1"/>
  <c r="AE93" i="72"/>
  <c r="AE94" i="72"/>
  <c r="AE13" i="72"/>
  <c r="AE129" i="72" s="1"/>
  <c r="AJ13" i="72"/>
  <c r="AJ129" i="72"/>
  <c r="AJ130" i="72" s="1"/>
  <c r="AO13" i="72"/>
  <c r="AO129" i="72" s="1"/>
  <c r="AT13" i="72"/>
  <c r="AG13" i="72"/>
  <c r="AG129" i="72" s="1"/>
  <c r="AG130" i="72" s="1"/>
  <c r="M16" i="72"/>
  <c r="AG16" i="72"/>
  <c r="R143" i="72"/>
  <c r="R63" i="72" s="1"/>
  <c r="T237" i="72"/>
  <c r="R237" i="72"/>
  <c r="V237" i="72"/>
  <c r="U237" i="72"/>
  <c r="AN237" i="72"/>
  <c r="AL237" i="72"/>
  <c r="AP237" i="72"/>
  <c r="AO237" i="72"/>
  <c r="BD60" i="72"/>
  <c r="BE60" i="72"/>
  <c r="X88" i="72"/>
  <c r="AF88" i="72"/>
  <c r="AP96" i="72"/>
  <c r="AU96" i="72"/>
  <c r="U107" i="72"/>
  <c r="AU107" i="72"/>
  <c r="V13" i="72"/>
  <c r="V129" i="72"/>
  <c r="AA13" i="72"/>
  <c r="AA129" i="72" s="1"/>
  <c r="AA9" i="51"/>
  <c r="AF13" i="72"/>
  <c r="AF9" i="51"/>
  <c r="AF129" i="72"/>
  <c r="AF130" i="72" s="1"/>
  <c r="AK13" i="72"/>
  <c r="AK129" i="72"/>
  <c r="AP13" i="72"/>
  <c r="AP129" i="72" s="1"/>
  <c r="AU13" i="72"/>
  <c r="AU129" i="72"/>
  <c r="N142" i="72"/>
  <c r="AA237" i="72"/>
  <c r="W237" i="72"/>
  <c r="Z237" i="72"/>
  <c r="Y237" i="72"/>
  <c r="AU237" i="72"/>
  <c r="AQ237" i="72"/>
  <c r="AT237" i="72"/>
  <c r="AS237" i="72"/>
  <c r="BD56" i="72"/>
  <c r="BE56" i="72"/>
  <c r="BD59" i="72"/>
  <c r="BE59" i="72"/>
  <c r="BA60" i="72"/>
  <c r="T88" i="72"/>
  <c r="T96" i="72"/>
  <c r="AR88" i="72"/>
  <c r="AA107" i="72"/>
  <c r="AT107" i="72"/>
  <c r="X12" i="72"/>
  <c r="AC12" i="72"/>
  <c r="AH12" i="72"/>
  <c r="AM12" i="72"/>
  <c r="AR12" i="72"/>
  <c r="W13" i="72"/>
  <c r="W129" i="72"/>
  <c r="AQ13" i="72"/>
  <c r="AQ129" i="72"/>
  <c r="AQ130" i="72"/>
  <c r="W16" i="72"/>
  <c r="AQ16" i="72"/>
  <c r="L237" i="72"/>
  <c r="H237" i="72"/>
  <c r="J237" i="72"/>
  <c r="K237" i="72"/>
  <c r="AF237" i="72"/>
  <c r="AB237" i="72"/>
  <c r="AE237" i="72"/>
  <c r="AD237" i="72"/>
  <c r="BA56" i="72"/>
  <c r="BG118" i="72"/>
  <c r="BD58" i="72"/>
  <c r="BD118" i="72" s="1"/>
  <c r="BE58" i="72"/>
  <c r="BE118" i="72"/>
  <c r="P88" i="72"/>
  <c r="P96" i="72"/>
  <c r="AN88" i="72"/>
  <c r="T13" i="72"/>
  <c r="Y93" i="72"/>
  <c r="Y94" i="72" s="1"/>
  <c r="Y107" i="72"/>
  <c r="Y13" i="72"/>
  <c r="AD93" i="72"/>
  <c r="AD94" i="72" s="1"/>
  <c r="AD13" i="72"/>
  <c r="AI13" i="72"/>
  <c r="AN93" i="72"/>
  <c r="AN94" i="72" s="1"/>
  <c r="AN107" i="72"/>
  <c r="AN13" i="72"/>
  <c r="AS93" i="72"/>
  <c r="AS96" i="72" s="1"/>
  <c r="AS97" i="72" s="1"/>
  <c r="AS107" i="72"/>
  <c r="AS13" i="72"/>
  <c r="AS9" i="51"/>
  <c r="AL13" i="72"/>
  <c r="AL129" i="72"/>
  <c r="AL130" i="72" s="1"/>
  <c r="P237" i="72"/>
  <c r="M237" i="72"/>
  <c r="O237" i="72"/>
  <c r="Q237" i="72"/>
  <c r="AJ237" i="72"/>
  <c r="AG237" i="72"/>
  <c r="AK237" i="72"/>
  <c r="AI237" i="72"/>
  <c r="BC56" i="72"/>
  <c r="AZ56" i="72"/>
  <c r="BB118" i="72"/>
  <c r="BA58" i="72"/>
  <c r="BA118" i="72" s="1"/>
  <c r="BA115" i="72" s="1"/>
  <c r="BA112" i="72" s="1"/>
  <c r="BA120" i="72" s="1"/>
  <c r="BA9" i="72" s="1"/>
  <c r="BC59" i="72"/>
  <c r="AZ59" i="72" s="1"/>
  <c r="AX60" i="72"/>
  <c r="L88" i="72"/>
  <c r="L96" i="72"/>
  <c r="L97" i="72" s="1"/>
  <c r="AE96" i="72"/>
  <c r="AJ88" i="72"/>
  <c r="AT96" i="72"/>
  <c r="BD54" i="72"/>
  <c r="BD90" i="72"/>
  <c r="BI58" i="72"/>
  <c r="BI118" i="72" s="1"/>
  <c r="AX84" i="72"/>
  <c r="Q88" i="72"/>
  <c r="U88" i="72"/>
  <c r="Y88" i="72"/>
  <c r="AC88" i="72"/>
  <c r="AK88" i="72"/>
  <c r="AO88" i="72"/>
  <c r="AS88" i="72"/>
  <c r="AG120" i="72"/>
  <c r="H126" i="72"/>
  <c r="H116" i="72" s="1"/>
  <c r="I116" i="72" s="1"/>
  <c r="Q116" i="72"/>
  <c r="Q127" i="72"/>
  <c r="Q52" i="72"/>
  <c r="W126" i="72"/>
  <c r="U116" i="72"/>
  <c r="U127" i="72"/>
  <c r="U52" i="72"/>
  <c r="AE127" i="72"/>
  <c r="AT140" i="72"/>
  <c r="AT62" i="72" s="1"/>
  <c r="AU140" i="72"/>
  <c r="AU62" i="72" s="1"/>
  <c r="S142" i="72"/>
  <c r="S143" i="72" s="1"/>
  <c r="S63" i="72" s="1"/>
  <c r="O86" i="72"/>
  <c r="O49" i="72"/>
  <c r="S86" i="72"/>
  <c r="S49" i="72"/>
  <c r="AA86" i="72"/>
  <c r="AA49" i="72"/>
  <c r="AE86" i="72"/>
  <c r="AE49" i="72"/>
  <c r="AI86" i="72"/>
  <c r="AM86" i="72"/>
  <c r="AM49" i="72" s="1"/>
  <c r="AM42" i="73" s="1"/>
  <c r="AU86" i="72"/>
  <c r="AU49" i="72"/>
  <c r="R120" i="72"/>
  <c r="R116" i="72"/>
  <c r="S116" i="72" s="1"/>
  <c r="AL120" i="72"/>
  <c r="AL132" i="72"/>
  <c r="AL116" i="72"/>
  <c r="AM116" i="72"/>
  <c r="H120" i="72"/>
  <c r="L132" i="72"/>
  <c r="S115" i="72"/>
  <c r="E132" i="72"/>
  <c r="Q132" i="72"/>
  <c r="Q133" i="72"/>
  <c r="AA127" i="72"/>
  <c r="AD140" i="72"/>
  <c r="AD62" i="72" s="1"/>
  <c r="AQ116" i="72"/>
  <c r="AF132" i="72"/>
  <c r="AJ132" i="72"/>
  <c r="AB126" i="72"/>
  <c r="AB127" i="72"/>
  <c r="Y116" i="72"/>
  <c r="Y127" i="72"/>
  <c r="V127" i="72"/>
  <c r="V52" i="72"/>
  <c r="AD127" i="72"/>
  <c r="AQ127" i="72"/>
  <c r="AX116" i="72"/>
  <c r="AC138" i="72"/>
  <c r="Q143" i="72"/>
  <c r="Q63" i="72" s="1"/>
  <c r="U143" i="72"/>
  <c r="U63" i="72"/>
  <c r="Y143" i="72"/>
  <c r="Y63" i="72" s="1"/>
  <c r="AN143" i="72"/>
  <c r="AN63" i="72"/>
  <c r="AT143" i="72"/>
  <c r="AT63" i="72" s="1"/>
  <c r="AI148" i="72"/>
  <c r="AO148" i="72"/>
  <c r="AO150" i="72" s="1"/>
  <c r="AL148" i="72"/>
  <c r="AL150" i="72"/>
  <c r="Z152" i="72"/>
  <c r="AM154" i="72"/>
  <c r="AE143" i="72"/>
  <c r="AE63" i="72"/>
  <c r="H148" i="72"/>
  <c r="H150" i="72" s="1"/>
  <c r="R148" i="72"/>
  <c r="R150" i="72"/>
  <c r="AG190" i="72"/>
  <c r="H194" i="72"/>
  <c r="AN140" i="72"/>
  <c r="AN62" i="72"/>
  <c r="AK143" i="72"/>
  <c r="AK63" i="72" s="1"/>
  <c r="AO143" i="72"/>
  <c r="AO63" i="72"/>
  <c r="AS143" i="72"/>
  <c r="AS63" i="72" s="1"/>
  <c r="AQ148" i="72"/>
  <c r="AQ150" i="72"/>
  <c r="S159" i="72"/>
  <c r="T152" i="72"/>
  <c r="AJ152" i="72"/>
  <c r="AP159" i="72"/>
  <c r="AP148" i="72"/>
  <c r="AR156" i="72" s="1"/>
  <c r="AR158" i="72" s="1"/>
  <c r="AU148" i="72"/>
  <c r="V168" i="72"/>
  <c r="V75" i="46"/>
  <c r="CN44" i="71" s="1"/>
  <c r="AN150" i="72"/>
  <c r="AT148" i="72"/>
  <c r="AT150" i="72"/>
  <c r="AE152" i="72"/>
  <c r="BQ178" i="72"/>
  <c r="AM274" i="72"/>
  <c r="AM253" i="72"/>
  <c r="BG253" i="72"/>
  <c r="BG274" i="72"/>
  <c r="Q177" i="72"/>
  <c r="AA189" i="72"/>
  <c r="AB190" i="72"/>
  <c r="AK191" i="72"/>
  <c r="AQ189" i="72"/>
  <c r="AU189" i="72"/>
  <c r="AU190" i="72"/>
  <c r="AJ192" i="72"/>
  <c r="AK192" i="72"/>
  <c r="AO192" i="72"/>
  <c r="AQ192" i="72" s="1"/>
  <c r="AQ194" i="72" s="1"/>
  <c r="AU192" i="72"/>
  <c r="AA193" i="72"/>
  <c r="AB193" i="72"/>
  <c r="AQ193" i="72"/>
  <c r="F211" i="72"/>
  <c r="G209" i="72" s="1"/>
  <c r="G211" i="72" s="1"/>
  <c r="H209" i="72" s="1"/>
  <c r="I194" i="72"/>
  <c r="AR194" i="72"/>
  <c r="AL196" i="72"/>
  <c r="AU196" i="72"/>
  <c r="S198" i="72"/>
  <c r="X198" i="72"/>
  <c r="AI198" i="72"/>
  <c r="AN198" i="72"/>
  <c r="AN208" i="72" s="1"/>
  <c r="AF200" i="72"/>
  <c r="AU200" i="72"/>
  <c r="AK201" i="72"/>
  <c r="AD206" i="72"/>
  <c r="AG204" i="72"/>
  <c r="AG98" i="46" s="1"/>
  <c r="BP204" i="72"/>
  <c r="BP98" i="46" s="1"/>
  <c r="BQ98" i="46" s="1"/>
  <c r="X206" i="72"/>
  <c r="X208" i="72" s="1"/>
  <c r="AE266" i="72"/>
  <c r="AE229" i="72"/>
  <c r="AE220" i="72" s="1"/>
  <c r="AR253" i="72"/>
  <c r="AR274" i="72"/>
  <c r="S194" i="72"/>
  <c r="R192" i="72"/>
  <c r="R194" i="72"/>
  <c r="AU193" i="72"/>
  <c r="N194" i="72"/>
  <c r="AS194" i="72"/>
  <c r="AS208" i="72"/>
  <c r="AQ196" i="72"/>
  <c r="BG196" i="72"/>
  <c r="BG198" i="72" s="1"/>
  <c r="BL196" i="72"/>
  <c r="BL198" i="72"/>
  <c r="H197" i="72"/>
  <c r="H198" i="72" s="1"/>
  <c r="H208" i="72" s="1"/>
  <c r="T198" i="72"/>
  <c r="Z198" i="72"/>
  <c r="AQ202" i="72"/>
  <c r="Y206" i="72"/>
  <c r="AA266" i="72"/>
  <c r="AA229" i="72"/>
  <c r="AA242" i="72"/>
  <c r="AA230" i="72"/>
  <c r="BQ253" i="72"/>
  <c r="BQ196" i="72"/>
  <c r="BQ198" i="72"/>
  <c r="V190" i="72"/>
  <c r="W190" i="72"/>
  <c r="AA191" i="72"/>
  <c r="AB191" i="72"/>
  <c r="AG189" i="72"/>
  <c r="AK189" i="72"/>
  <c r="AL190" i="72"/>
  <c r="AP190" i="72"/>
  <c r="AQ191" i="72"/>
  <c r="AQ255" i="72"/>
  <c r="BB255" i="72"/>
  <c r="BG255" i="72"/>
  <c r="AM194" i="72"/>
  <c r="T194" i="72"/>
  <c r="Y194" i="72"/>
  <c r="AO194" i="72"/>
  <c r="M201" i="72"/>
  <c r="M61" i="51"/>
  <c r="M43" i="51"/>
  <c r="R201" i="72"/>
  <c r="AQ159" i="72"/>
  <c r="BB274" i="72"/>
  <c r="BB253" i="72"/>
  <c r="V189" i="72"/>
  <c r="AF191" i="72"/>
  <c r="AF255" i="72"/>
  <c r="AX191" i="72"/>
  <c r="BC191" i="72"/>
  <c r="BD191" i="72"/>
  <c r="U192" i="72"/>
  <c r="U194" i="72"/>
  <c r="AA192" i="72"/>
  <c r="AB192" i="72"/>
  <c r="AI208" i="72"/>
  <c r="AP192" i="72"/>
  <c r="BD192" i="72"/>
  <c r="BD113" i="46"/>
  <c r="BD51" i="51"/>
  <c r="W196" i="72"/>
  <c r="AH198" i="72"/>
  <c r="V200" i="72"/>
  <c r="AB200" i="72"/>
  <c r="AO206" i="72"/>
  <c r="AP201" i="72"/>
  <c r="AP174" i="72"/>
  <c r="AT206" i="72"/>
  <c r="AU201" i="72"/>
  <c r="AU174" i="72"/>
  <c r="AA201" i="72"/>
  <c r="AA174" i="72" s="1"/>
  <c r="AG201" i="72"/>
  <c r="AG174" i="72"/>
  <c r="W205" i="72"/>
  <c r="AB205" i="72"/>
  <c r="AL202" i="72"/>
  <c r="AK205" i="72"/>
  <c r="AL205" i="72"/>
  <c r="Y266" i="72"/>
  <c r="Y229" i="72"/>
  <c r="Y230" i="72" s="1"/>
  <c r="H201" i="72"/>
  <c r="H174" i="72"/>
  <c r="AL219" i="72"/>
  <c r="AL266" i="72" s="1"/>
  <c r="AB218" i="72"/>
  <c r="H219" i="72"/>
  <c r="L266" i="72"/>
  <c r="L229" i="72"/>
  <c r="L230" i="72"/>
  <c r="P266" i="72"/>
  <c r="P229" i="72"/>
  <c r="P220" i="72" s="1"/>
  <c r="U266" i="72"/>
  <c r="U229" i="72"/>
  <c r="U242" i="72"/>
  <c r="AJ266" i="72"/>
  <c r="AJ229" i="72"/>
  <c r="AJ230" i="72" s="1"/>
  <c r="AO266" i="72"/>
  <c r="AO229" i="72"/>
  <c r="AO230" i="72"/>
  <c r="AS266" i="72"/>
  <c r="AS229" i="72"/>
  <c r="AS220" i="72" s="1"/>
  <c r="Y241" i="72"/>
  <c r="AD219" i="72"/>
  <c r="AH219" i="72"/>
  <c r="E266" i="72"/>
  <c r="E242" i="72"/>
  <c r="E229" i="72"/>
  <c r="E230" i="72"/>
  <c r="I266" i="72"/>
  <c r="I229" i="72"/>
  <c r="I230" i="72" s="1"/>
  <c r="Q266" i="72"/>
  <c r="Q229" i="72"/>
  <c r="Q230" i="72" s="1"/>
  <c r="AF266" i="72"/>
  <c r="AF229" i="72"/>
  <c r="AF220" i="72" s="1"/>
  <c r="AK266" i="72"/>
  <c r="AK229" i="72"/>
  <c r="AK241" i="72"/>
  <c r="Z219" i="72"/>
  <c r="AE241" i="72"/>
  <c r="AT219" i="72"/>
  <c r="S266" i="72"/>
  <c r="S229" i="72"/>
  <c r="S220" i="72"/>
  <c r="AM219" i="72"/>
  <c r="AQ219" i="72"/>
  <c r="E220" i="72"/>
  <c r="AA241" i="72"/>
  <c r="G266" i="72"/>
  <c r="G229" i="72"/>
  <c r="G220" i="72" s="1"/>
  <c r="K266" i="72"/>
  <c r="K229" i="72"/>
  <c r="K230" i="72"/>
  <c r="O266" i="72"/>
  <c r="O229" i="72"/>
  <c r="O230" i="72" s="1"/>
  <c r="T266" i="72"/>
  <c r="T229" i="72"/>
  <c r="T220" i="72"/>
  <c r="X266" i="72"/>
  <c r="X229" i="72"/>
  <c r="X242" i="72" s="1"/>
  <c r="X230" i="72"/>
  <c r="AC266" i="72"/>
  <c r="AC229" i="72"/>
  <c r="AC220" i="72"/>
  <c r="AI219" i="72"/>
  <c r="AN266" i="72"/>
  <c r="AN229" i="72"/>
  <c r="AN220" i="72" s="1"/>
  <c r="AN230" i="72"/>
  <c r="AR266" i="72"/>
  <c r="AR229" i="72"/>
  <c r="Q220" i="72"/>
  <c r="X241" i="72"/>
  <c r="AO241" i="72"/>
  <c r="AU219" i="72"/>
  <c r="F266" i="72"/>
  <c r="F242" i="72"/>
  <c r="F230" i="72"/>
  <c r="F220" i="72"/>
  <c r="J266" i="72"/>
  <c r="N266" i="72"/>
  <c r="N242" i="72"/>
  <c r="N230" i="72"/>
  <c r="N220" i="72"/>
  <c r="V266" i="72"/>
  <c r="V242" i="72"/>
  <c r="V230" i="72"/>
  <c r="V220" i="72"/>
  <c r="AP266" i="72"/>
  <c r="N223" i="72"/>
  <c r="R266" i="72"/>
  <c r="J229" i="72"/>
  <c r="J230" i="72" s="1"/>
  <c r="AP229" i="72"/>
  <c r="AP230" i="72"/>
  <c r="H266" i="72"/>
  <c r="N226" i="72"/>
  <c r="M229" i="72"/>
  <c r="M230" i="72"/>
  <c r="M266" i="72"/>
  <c r="AG266" i="72"/>
  <c r="U12" i="46"/>
  <c r="AI17" i="46"/>
  <c r="AI22" i="46"/>
  <c r="AI27" i="46" s="1"/>
  <c r="R12" i="46"/>
  <c r="V12" i="46"/>
  <c r="Z12" i="46"/>
  <c r="AN12" i="46"/>
  <c r="AS12" i="46"/>
  <c r="AE12" i="46"/>
  <c r="AJ12" i="46"/>
  <c r="K27" i="46"/>
  <c r="K32" i="46" s="1"/>
  <c r="AF12" i="46"/>
  <c r="M208" i="46"/>
  <c r="N208" i="46"/>
  <c r="Q208" i="46"/>
  <c r="AJ208" i="46"/>
  <c r="AI208" i="46"/>
  <c r="AG208" i="46"/>
  <c r="AH208" i="46"/>
  <c r="AK208" i="46"/>
  <c r="X54" i="46"/>
  <c r="AC55" i="46"/>
  <c r="AH54" i="46"/>
  <c r="AH37" i="71" s="1"/>
  <c r="AY54" i="46"/>
  <c r="V208" i="46"/>
  <c r="R337" i="46"/>
  <c r="W208" i="46"/>
  <c r="X208" i="46" s="1"/>
  <c r="AS208" i="46"/>
  <c r="H208" i="46"/>
  <c r="I208" i="46" s="1"/>
  <c r="K208" i="46"/>
  <c r="J208" i="46"/>
  <c r="AB208" i="46"/>
  <c r="AC208" i="46" s="1"/>
  <c r="AD208" i="46"/>
  <c r="AE208" i="46"/>
  <c r="AX55" i="46"/>
  <c r="AB117" i="46"/>
  <c r="S122" i="46"/>
  <c r="CK60" i="71" s="1"/>
  <c r="T129" i="46"/>
  <c r="U123" i="46"/>
  <c r="U61" i="51"/>
  <c r="U43" i="51" s="1"/>
  <c r="AF122" i="46"/>
  <c r="AJ129" i="46"/>
  <c r="AX336" i="46"/>
  <c r="BL126" i="46"/>
  <c r="AE333" i="46"/>
  <c r="AK128" i="46"/>
  <c r="AK66" i="51"/>
  <c r="AI120" i="46"/>
  <c r="AJ118" i="46"/>
  <c r="AK118" i="46"/>
  <c r="AK56" i="51"/>
  <c r="AA119" i="46"/>
  <c r="AP122" i="46"/>
  <c r="AO129" i="46"/>
  <c r="AO336" i="46"/>
  <c r="AJ113" i="46"/>
  <c r="AK113" i="46"/>
  <c r="AJ114" i="46"/>
  <c r="Y115" i="46"/>
  <c r="R120" i="46"/>
  <c r="W126" i="46"/>
  <c r="W336" i="46"/>
  <c r="AK124" i="46"/>
  <c r="BC336" i="46"/>
  <c r="BG126" i="46"/>
  <c r="DY59" i="71" s="1"/>
  <c r="BM336" i="46"/>
  <c r="AF128" i="46"/>
  <c r="AG128" i="46"/>
  <c r="V117" i="46"/>
  <c r="V55" i="51" s="1"/>
  <c r="AF117" i="46"/>
  <c r="AE118" i="46"/>
  <c r="V119" i="46"/>
  <c r="W119" i="46" s="1"/>
  <c r="AG125" i="46"/>
  <c r="AG63" i="51"/>
  <c r="AO333" i="46"/>
  <c r="AP127" i="46"/>
  <c r="AP65" i="51"/>
  <c r="AU122" i="46"/>
  <c r="AU82" i="46" s="1"/>
  <c r="AT333" i="46"/>
  <c r="AU127" i="46"/>
  <c r="AK127" i="46"/>
  <c r="AK65" i="51" s="1"/>
  <c r="U118" i="46"/>
  <c r="AO118" i="46"/>
  <c r="AT119" i="46"/>
  <c r="T120" i="46"/>
  <c r="AN120" i="46"/>
  <c r="AL126" i="46"/>
  <c r="AL100" i="46"/>
  <c r="S126" i="46"/>
  <c r="S336" i="46" s="1"/>
  <c r="AU126" i="46"/>
  <c r="AU100" i="46"/>
  <c r="AB144" i="46"/>
  <c r="AB156" i="46" s="1"/>
  <c r="V211" i="46"/>
  <c r="V218" i="46"/>
  <c r="CN21" i="71" s="1"/>
  <c r="V162" i="46"/>
  <c r="V171" i="46"/>
  <c r="V181" i="46"/>
  <c r="AA211" i="46"/>
  <c r="AA218" i="46" s="1"/>
  <c r="AA162" i="46"/>
  <c r="AA171" i="46"/>
  <c r="AA181" i="46" s="1"/>
  <c r="AK211" i="46"/>
  <c r="AK212" i="46"/>
  <c r="AK190" i="46"/>
  <c r="AK162" i="46"/>
  <c r="AK171" i="46" s="1"/>
  <c r="AK181" i="46" s="1"/>
  <c r="AL162" i="46"/>
  <c r="AL171" i="46" s="1"/>
  <c r="AL181" i="46" s="1"/>
  <c r="AM160" i="46"/>
  <c r="I144" i="46"/>
  <c r="I156" i="46" s="1"/>
  <c r="AG144" i="46"/>
  <c r="AG156" i="46" s="1"/>
  <c r="AG183" i="46" s="1"/>
  <c r="R211" i="46"/>
  <c r="R219" i="46" s="1"/>
  <c r="CJ22" i="71" s="1"/>
  <c r="R162" i="46"/>
  <c r="R171" i="46" s="1"/>
  <c r="R181" i="46" s="1"/>
  <c r="S158" i="46"/>
  <c r="S162" i="46" s="1"/>
  <c r="S171" i="46" s="1"/>
  <c r="S181" i="46" s="1"/>
  <c r="W211" i="46"/>
  <c r="W212" i="46" s="1"/>
  <c r="W162" i="46"/>
  <c r="W171" i="46" s="1"/>
  <c r="W181" i="46" s="1"/>
  <c r="AB211" i="46"/>
  <c r="AB212" i="46" s="1"/>
  <c r="AC158" i="46"/>
  <c r="AG211" i="46"/>
  <c r="AG212" i="46" s="1"/>
  <c r="AG190" i="46"/>
  <c r="AG191" i="46" s="1"/>
  <c r="AG162" i="46"/>
  <c r="AG171" i="46"/>
  <c r="X158" i="46"/>
  <c r="X162" i="46"/>
  <c r="X171" i="46" s="1"/>
  <c r="X181" i="46" s="1"/>
  <c r="I162" i="46"/>
  <c r="N162" i="46"/>
  <c r="AB162" i="46"/>
  <c r="AB171" i="46" s="1"/>
  <c r="AB181" i="46" s="1"/>
  <c r="X142" i="46"/>
  <c r="O156" i="46"/>
  <c r="Z211" i="46"/>
  <c r="Z219" i="46" s="1"/>
  <c r="AE211" i="46"/>
  <c r="AJ211" i="46"/>
  <c r="AJ219" i="46"/>
  <c r="AJ190" i="46"/>
  <c r="AJ191" i="46"/>
  <c r="AJ200" i="46" s="1"/>
  <c r="AE162" i="46"/>
  <c r="AE171" i="46" s="1"/>
  <c r="AE181" i="46" s="1"/>
  <c r="AQ162" i="46"/>
  <c r="AQ171" i="46"/>
  <c r="AU162" i="46"/>
  <c r="AU171" i="46"/>
  <c r="AU181" i="46" s="1"/>
  <c r="Y190" i="46"/>
  <c r="Y191" i="46" s="1"/>
  <c r="AM179" i="46"/>
  <c r="AM197" i="46" s="1"/>
  <c r="DE16" i="71" s="1"/>
  <c r="AM54" i="71" s="1"/>
  <c r="G197" i="46"/>
  <c r="K197" i="46"/>
  <c r="AK197" i="46"/>
  <c r="AP197" i="46"/>
  <c r="AU197" i="46"/>
  <c r="U190" i="46"/>
  <c r="V190" i="46"/>
  <c r="CN12" i="71" s="1"/>
  <c r="AD190" i="46"/>
  <c r="AM190" i="46"/>
  <c r="DE12" i="71"/>
  <c r="U197" i="46"/>
  <c r="CM16" i="71"/>
  <c r="Z197" i="46"/>
  <c r="Y162" i="46"/>
  <c r="Y171" i="46" s="1"/>
  <c r="Y181" i="46" s="1"/>
  <c r="S164" i="46"/>
  <c r="W190" i="46"/>
  <c r="CO12" i="71"/>
  <c r="AA190" i="46"/>
  <c r="AE190" i="46"/>
  <c r="AE191" i="46" s="1"/>
  <c r="N179" i="46"/>
  <c r="N197" i="46" s="1"/>
  <c r="CF16" i="71" s="1"/>
  <c r="X179" i="46"/>
  <c r="AR179" i="46"/>
  <c r="Z190" i="46"/>
  <c r="Z191" i="46"/>
  <c r="AI211" i="46"/>
  <c r="AI190" i="46"/>
  <c r="AI191" i="46" s="1"/>
  <c r="AD162" i="46"/>
  <c r="AD171" i="46" s="1"/>
  <c r="AD181" i="46" s="1"/>
  <c r="T190" i="46"/>
  <c r="X164" i="46"/>
  <c r="AB190" i="46"/>
  <c r="AB191" i="46"/>
  <c r="AB200" i="46" s="1"/>
  <c r="O197" i="46"/>
  <c r="CG16" i="71" s="1"/>
  <c r="W197" i="46"/>
  <c r="R190" i="46"/>
  <c r="CJ12" i="71" s="1"/>
  <c r="J191" i="46"/>
  <c r="AE197" i="46"/>
  <c r="AT219" i="46"/>
  <c r="F218" i="46"/>
  <c r="F219" i="46"/>
  <c r="AU219" i="46"/>
  <c r="M219" i="46"/>
  <c r="M218" i="46"/>
  <c r="H219" i="46"/>
  <c r="H218" i="46"/>
  <c r="Q219" i="46"/>
  <c r="CI22" i="71" s="1"/>
  <c r="AL219" i="46"/>
  <c r="AL212" i="46"/>
  <c r="E219" i="46"/>
  <c r="J212" i="46"/>
  <c r="O212" i="46"/>
  <c r="K218" i="46"/>
  <c r="K212" i="46"/>
  <c r="P212" i="46"/>
  <c r="AQ219" i="46"/>
  <c r="AS218" i="46"/>
  <c r="AS212" i="46"/>
  <c r="N333" i="46"/>
  <c r="AT218" i="46"/>
  <c r="BM13" i="51"/>
  <c r="BN9" i="51"/>
  <c r="W490" i="15"/>
  <c r="X515" i="15"/>
  <c r="Y549" i="15"/>
  <c r="AB544" i="15"/>
  <c r="AB541" i="15"/>
  <c r="AB538" i="15"/>
  <c r="AF549" i="15"/>
  <c r="L521" i="15"/>
  <c r="L490" i="15"/>
  <c r="BG371" i="15"/>
  <c r="BH371" i="15" s="1"/>
  <c r="AE264" i="15"/>
  <c r="V556" i="15"/>
  <c r="V549" i="15"/>
  <c r="N541" i="15"/>
  <c r="AA543" i="15"/>
  <c r="AA535" i="15"/>
  <c r="AL556" i="15"/>
  <c r="AL549" i="15"/>
  <c r="U549" i="15"/>
  <c r="U556" i="15"/>
  <c r="F555" i="15"/>
  <c r="F556" i="15"/>
  <c r="F541" i="15"/>
  <c r="F544" i="15"/>
  <c r="F538" i="15"/>
  <c r="AK555" i="15"/>
  <c r="I555" i="15"/>
  <c r="AB535" i="15"/>
  <c r="AF543" i="15"/>
  <c r="U544" i="15"/>
  <c r="U538" i="15"/>
  <c r="U541" i="15"/>
  <c r="S520" i="15"/>
  <c r="Q555" i="15"/>
  <c r="Q544" i="15"/>
  <c r="Q541" i="15"/>
  <c r="Q538" i="15"/>
  <c r="E555" i="15"/>
  <c r="E544" i="15"/>
  <c r="E538" i="15"/>
  <c r="E541" i="15"/>
  <c r="AJ543" i="15"/>
  <c r="AJ535" i="15" s="1"/>
  <c r="AR517" i="15"/>
  <c r="V541" i="15"/>
  <c r="V544" i="15"/>
  <c r="V538" i="15"/>
  <c r="M515" i="15"/>
  <c r="M60" i="51" s="1"/>
  <c r="M42" i="51" s="1"/>
  <c r="M102" i="46" s="1"/>
  <c r="Q511" i="15"/>
  <c r="AG480" i="15"/>
  <c r="AQ505" i="15"/>
  <c r="X548" i="15"/>
  <c r="X549" i="15"/>
  <c r="X534" i="15"/>
  <c r="S535" i="15"/>
  <c r="AB480" i="15"/>
  <c r="I535" i="15"/>
  <c r="Q507" i="15"/>
  <c r="Q52" i="51" s="1"/>
  <c r="AQ512" i="15"/>
  <c r="I504" i="15"/>
  <c r="Q512" i="15"/>
  <c r="Q57" i="51" s="1"/>
  <c r="S57" i="51" s="1"/>
  <c r="AP480" i="15"/>
  <c r="AP74" i="46" s="1"/>
  <c r="AC510" i="15"/>
  <c r="AI523" i="15"/>
  <c r="G507" i="15"/>
  <c r="G52" i="51" s="1"/>
  <c r="AE447" i="15"/>
  <c r="N504" i="15"/>
  <c r="AJ438" i="15"/>
  <c r="AF357" i="15"/>
  <c r="AA391" i="15"/>
  <c r="Z194" i="15"/>
  <c r="AA357" i="15"/>
  <c r="Z264" i="15"/>
  <c r="AQ280" i="15"/>
  <c r="AV280" i="15"/>
  <c r="BA280" i="15" s="1"/>
  <c r="AA556" i="15"/>
  <c r="AA549" i="15"/>
  <c r="AG556" i="15"/>
  <c r="AG549" i="15"/>
  <c r="Z555" i="15"/>
  <c r="Z556" i="15"/>
  <c r="Z544" i="15"/>
  <c r="Z538" i="15"/>
  <c r="Z541" i="15"/>
  <c r="N519" i="15"/>
  <c r="AG491" i="15"/>
  <c r="AH491" i="15"/>
  <c r="O523" i="15"/>
  <c r="P513" i="15"/>
  <c r="W543" i="15"/>
  <c r="W535" i="15"/>
  <c r="M491" i="15"/>
  <c r="N516" i="15"/>
  <c r="AA318" i="15"/>
  <c r="N544" i="15"/>
  <c r="N538" i="15"/>
  <c r="AI543" i="15"/>
  <c r="N555" i="15"/>
  <c r="AD543" i="15"/>
  <c r="AH548" i="15"/>
  <c r="AH556" i="15" s="1"/>
  <c r="AH549" i="15"/>
  <c r="BX78" i="73"/>
  <c r="R535" i="15"/>
  <c r="J555" i="15"/>
  <c r="J544" i="15"/>
  <c r="J538" i="15"/>
  <c r="J541" i="15"/>
  <c r="I538" i="15"/>
  <c r="M555" i="15"/>
  <c r="M544" i="15"/>
  <c r="M538" i="15"/>
  <c r="M541" i="15"/>
  <c r="AJ549" i="15"/>
  <c r="AJ556" i="15"/>
  <c r="AB556" i="15"/>
  <c r="AB549" i="15"/>
  <c r="AL541" i="15"/>
  <c r="AL544" i="15"/>
  <c r="AL538" i="15"/>
  <c r="AM517" i="15"/>
  <c r="F513" i="15"/>
  <c r="Q513" i="15"/>
  <c r="Q480" i="15"/>
  <c r="AF511" i="15"/>
  <c r="R510" i="15"/>
  <c r="W549" i="15"/>
  <c r="L512" i="15"/>
  <c r="L57" i="51" s="1"/>
  <c r="L58" i="51" s="1"/>
  <c r="P508" i="15"/>
  <c r="BM440" i="15"/>
  <c r="BM442" i="15"/>
  <c r="BN442" i="15"/>
  <c r="E440" i="15"/>
  <c r="V490" i="15"/>
  <c r="X490" i="15"/>
  <c r="M517" i="15"/>
  <c r="M62" i="51" s="1"/>
  <c r="N62" i="51" s="1"/>
  <c r="AO438" i="15"/>
  <c r="H503" i="15"/>
  <c r="H48" i="51" s="1"/>
  <c r="AE438" i="15"/>
  <c r="N465" i="15"/>
  <c r="M467" i="15"/>
  <c r="N467" i="15" s="1"/>
  <c r="AG391" i="15"/>
  <c r="AF194" i="15"/>
  <c r="AF331" i="15"/>
  <c r="AG331" i="15" s="1"/>
  <c r="AH331" i="15" s="1"/>
  <c r="AI331" i="15" s="1"/>
  <c r="AJ331" i="15" s="1"/>
  <c r="AK331" i="15" s="1"/>
  <c r="AL331" i="15" s="1"/>
  <c r="AM331" i="15" s="1"/>
  <c r="AN331" i="15" s="1"/>
  <c r="AO331" i="15" s="1"/>
  <c r="AP331" i="15" s="1"/>
  <c r="AQ331" i="15" s="1"/>
  <c r="AR331" i="15" s="1"/>
  <c r="AS331" i="15" s="1"/>
  <c r="AT331" i="15" s="1"/>
  <c r="AU331" i="15" s="1"/>
  <c r="AV331" i="15" s="1"/>
  <c r="AW331" i="15" s="1"/>
  <c r="AX331" i="15" s="1"/>
  <c r="AY331" i="15" s="1"/>
  <c r="AB342" i="15"/>
  <c r="AG275" i="15"/>
  <c r="Y281" i="15"/>
  <c r="Y284" i="15" s="1"/>
  <c r="Z278" i="15"/>
  <c r="BZ202" i="15"/>
  <c r="BZ203" i="15" s="1"/>
  <c r="AI549" i="15"/>
  <c r="AC548" i="15"/>
  <c r="V480" i="15"/>
  <c r="V74" i="46" s="1"/>
  <c r="AD440" i="15"/>
  <c r="Z178" i="15"/>
  <c r="AA225" i="15"/>
  <c r="AE543" i="15"/>
  <c r="AE535" i="15" s="1"/>
  <c r="Y543" i="15"/>
  <c r="AM549" i="15"/>
  <c r="BY78" i="73" s="1"/>
  <c r="R555" i="15"/>
  <c r="R544" i="15"/>
  <c r="R541" i="15"/>
  <c r="R538" i="15"/>
  <c r="AK556" i="15"/>
  <c r="AK549" i="15"/>
  <c r="AT555" i="15"/>
  <c r="AT541" i="15"/>
  <c r="AT556" i="15"/>
  <c r="AT544" i="15"/>
  <c r="AT538" i="15"/>
  <c r="AN556" i="15"/>
  <c r="AN549" i="15"/>
  <c r="AK544" i="15"/>
  <c r="AK538" i="15"/>
  <c r="AK541" i="15"/>
  <c r="AO549" i="15"/>
  <c r="AB555" i="15"/>
  <c r="AK480" i="15"/>
  <c r="AK513" i="15"/>
  <c r="M480" i="15"/>
  <c r="AB511" i="15"/>
  <c r="L511" i="15"/>
  <c r="AL503" i="15"/>
  <c r="AR512" i="15"/>
  <c r="W510" i="15"/>
  <c r="X510" i="15"/>
  <c r="W503" i="15"/>
  <c r="BN438" i="15"/>
  <c r="AX510" i="15"/>
  <c r="AX513" i="15"/>
  <c r="AX74" i="46"/>
  <c r="BD438" i="15"/>
  <c r="AT513" i="15"/>
  <c r="AB503" i="15"/>
  <c r="BB411" i="15"/>
  <c r="BC411" i="15" s="1"/>
  <c r="BD411" i="15" s="1"/>
  <c r="BE411" i="15" s="1"/>
  <c r="BF411" i="15" s="1"/>
  <c r="BG411" i="15" s="1"/>
  <c r="BH411" i="15" s="1"/>
  <c r="BI411" i="15" s="1"/>
  <c r="BJ411" i="15" s="1"/>
  <c r="BK411" i="15" s="1"/>
  <c r="BL411" i="15" s="1"/>
  <c r="BM411" i="15" s="1"/>
  <c r="BN411" i="15" s="1"/>
  <c r="BO411" i="15" s="1"/>
  <c r="BP411" i="15" s="1"/>
  <c r="BQ411" i="15" s="1"/>
  <c r="AH510" i="15"/>
  <c r="BI438" i="15"/>
  <c r="AB331" i="15"/>
  <c r="AC331" i="15" s="1"/>
  <c r="AD281" i="15"/>
  <c r="AD284" i="15"/>
  <c r="AE278" i="15"/>
  <c r="AE281" i="15" s="1"/>
  <c r="AE284" i="15" s="1"/>
  <c r="AK110" i="15"/>
  <c r="AK112" i="15"/>
  <c r="AL109" i="15"/>
  <c r="AM109" i="15" s="1"/>
  <c r="AK111" i="15"/>
  <c r="BZ204" i="15"/>
  <c r="CA204" i="15"/>
  <c r="CJ38" i="71"/>
  <c r="AU266" i="72"/>
  <c r="AU229" i="72"/>
  <c r="AU220" i="72" s="1"/>
  <c r="AF241" i="72"/>
  <c r="T230" i="72"/>
  <c r="AK242" i="72"/>
  <c r="AB173" i="72"/>
  <c r="AQ190" i="72"/>
  <c r="R206" i="72"/>
  <c r="R174" i="72"/>
  <c r="Y208" i="72"/>
  <c r="AM208" i="72"/>
  <c r="DE38" i="71"/>
  <c r="AA223" i="72"/>
  <c r="AA226" i="72"/>
  <c r="H206" i="72"/>
  <c r="N208" i="72"/>
  <c r="CF38" i="71"/>
  <c r="S208" i="72"/>
  <c r="CK38" i="71"/>
  <c r="CK50" i="71" s="1"/>
  <c r="AF173" i="72"/>
  <c r="AG200" i="72"/>
  <c r="I208" i="72"/>
  <c r="I211" i="72" s="1"/>
  <c r="CA38" i="71"/>
  <c r="CA50" i="71"/>
  <c r="AI150" i="72"/>
  <c r="AG127" i="72"/>
  <c r="AX86" i="72"/>
  <c r="AN129" i="72"/>
  <c r="AR13" i="72"/>
  <c r="AR93" i="72" s="1"/>
  <c r="AD129" i="72"/>
  <c r="AH13" i="72"/>
  <c r="AH93" i="72"/>
  <c r="AH94" i="72"/>
  <c r="M226" i="72"/>
  <c r="M223" i="72"/>
  <c r="AP241" i="72"/>
  <c r="AP223" i="72"/>
  <c r="AP227" i="72"/>
  <c r="AP226" i="72"/>
  <c r="AP242" i="72"/>
  <c r="AR241" i="72"/>
  <c r="AQ229" i="72"/>
  <c r="AQ242" i="72" s="1"/>
  <c r="AR227" i="72"/>
  <c r="AR46" i="73"/>
  <c r="AR55" i="73" s="1"/>
  <c r="AR223" i="72"/>
  <c r="AR226" i="72"/>
  <c r="AC227" i="72"/>
  <c r="AC46" i="73" s="1"/>
  <c r="AC55" i="73" s="1"/>
  <c r="AC226" i="72"/>
  <c r="AB229" i="72"/>
  <c r="AB241" i="72" s="1"/>
  <c r="AC223" i="72"/>
  <c r="T241" i="72"/>
  <c r="T226" i="72"/>
  <c r="T223" i="72"/>
  <c r="O241" i="72"/>
  <c r="O226" i="72"/>
  <c r="O223" i="72"/>
  <c r="AK227" i="72"/>
  <c r="AK226" i="72"/>
  <c r="AK223" i="72"/>
  <c r="M242" i="72"/>
  <c r="AH266" i="72"/>
  <c r="AH229" i="72"/>
  <c r="AH242" i="72"/>
  <c r="AS241" i="72"/>
  <c r="AS227" i="72"/>
  <c r="AS226" i="72"/>
  <c r="AS223" i="72"/>
  <c r="U241" i="72"/>
  <c r="U223" i="72"/>
  <c r="U226" i="72"/>
  <c r="AB219" i="72"/>
  <c r="Y226" i="72"/>
  <c r="Y223" i="72"/>
  <c r="V206" i="72"/>
  <c r="V173" i="72"/>
  <c r="BC255" i="72"/>
  <c r="BC112" i="46"/>
  <c r="O220" i="72"/>
  <c r="T208" i="72"/>
  <c r="CL38" i="71"/>
  <c r="AR220" i="72"/>
  <c r="AQ168" i="72"/>
  <c r="AK174" i="72"/>
  <c r="AL201" i="72"/>
  <c r="AL174" i="72" s="1"/>
  <c r="AU168" i="72"/>
  <c r="AK255" i="72"/>
  <c r="AL191" i="72"/>
  <c r="AL255" i="72" s="1"/>
  <c r="AQ201" i="72"/>
  <c r="AU150" i="72"/>
  <c r="AJ159" i="72"/>
  <c r="AK152" i="72"/>
  <c r="AJ148" i="72"/>
  <c r="AJ150" i="72" s="1"/>
  <c r="Z159" i="72"/>
  <c r="Z148" i="72"/>
  <c r="AA152" i="72"/>
  <c r="AA148" i="72" s="1"/>
  <c r="BC116" i="72"/>
  <c r="AS129" i="72"/>
  <c r="J241" i="72"/>
  <c r="J226" i="72"/>
  <c r="J223" i="72"/>
  <c r="J242" i="72"/>
  <c r="M241" i="72"/>
  <c r="AR230" i="72"/>
  <c r="AC230" i="72"/>
  <c r="T242" i="72"/>
  <c r="O242" i="72"/>
  <c r="K241" i="72"/>
  <c r="K223" i="72"/>
  <c r="K226" i="72"/>
  <c r="G241" i="72"/>
  <c r="G223" i="72"/>
  <c r="G226" i="72"/>
  <c r="AQ220" i="72"/>
  <c r="AQ230" i="72"/>
  <c r="S241" i="72"/>
  <c r="S226" i="72"/>
  <c r="S223" i="72"/>
  <c r="R229" i="72"/>
  <c r="S227" i="72"/>
  <c r="AT266" i="72"/>
  <c r="AT229" i="72"/>
  <c r="AT242" i="72"/>
  <c r="AK230" i="72"/>
  <c r="AF227" i="72"/>
  <c r="AF223" i="72"/>
  <c r="AF226" i="72"/>
  <c r="AS230" i="72"/>
  <c r="AO227" i="72"/>
  <c r="AO226" i="72"/>
  <c r="AO223" i="72"/>
  <c r="AJ227" i="72"/>
  <c r="AJ223" i="72"/>
  <c r="AJ220" i="72"/>
  <c r="AJ226" i="72"/>
  <c r="U230" i="72"/>
  <c r="P241" i="72"/>
  <c r="P226" i="72"/>
  <c r="P223" i="72"/>
  <c r="AC241" i="72"/>
  <c r="Y242" i="72"/>
  <c r="W168" i="72"/>
  <c r="W75" i="46"/>
  <c r="CO44" i="71"/>
  <c r="AX255" i="72"/>
  <c r="BE192" i="72"/>
  <c r="BE113" i="46"/>
  <c r="AE223" i="72"/>
  <c r="AE227" i="72"/>
  <c r="AE226" i="72"/>
  <c r="AB201" i="72"/>
  <c r="AB174" i="72" s="1"/>
  <c r="W200" i="72"/>
  <c r="AL168" i="72"/>
  <c r="AA194" i="72"/>
  <c r="AB189" i="72"/>
  <c r="AB194" i="72" s="1"/>
  <c r="AE159" i="72"/>
  <c r="AE148" i="72"/>
  <c r="AF152" i="72"/>
  <c r="BF192" i="72"/>
  <c r="BF113" i="46"/>
  <c r="T159" i="72"/>
  <c r="U152" i="72"/>
  <c r="T148" i="72"/>
  <c r="AY191" i="72"/>
  <c r="BA126" i="72"/>
  <c r="BA127" i="72"/>
  <c r="AB116" i="72"/>
  <c r="AC116" i="72"/>
  <c r="T129" i="72"/>
  <c r="T130" i="72"/>
  <c r="X13" i="72"/>
  <c r="X129" i="72"/>
  <c r="AD96" i="72"/>
  <c r="AD97" i="72"/>
  <c r="AR116" i="72"/>
  <c r="Y96" i="72"/>
  <c r="Y97" i="72"/>
  <c r="AQ266" i="72"/>
  <c r="AP220" i="72"/>
  <c r="AJ241" i="72"/>
  <c r="AR242" i="72"/>
  <c r="AN241" i="72"/>
  <c r="AN226" i="72"/>
  <c r="AN227" i="72"/>
  <c r="AN223" i="72"/>
  <c r="AI266" i="72"/>
  <c r="AI229" i="72"/>
  <c r="AI220" i="72" s="1"/>
  <c r="AI230" i="72"/>
  <c r="AC242" i="72"/>
  <c r="W229" i="72"/>
  <c r="X227" i="72"/>
  <c r="X46" i="73" s="1"/>
  <c r="X55" i="73" s="1"/>
  <c r="X226" i="72"/>
  <c r="X223" i="72"/>
  <c r="K242" i="72"/>
  <c r="G242" i="72"/>
  <c r="AM266" i="72"/>
  <c r="AM229" i="72"/>
  <c r="AM220" i="72" s="1"/>
  <c r="S242" i="72"/>
  <c r="Z266" i="72"/>
  <c r="Z229" i="72"/>
  <c r="Z242" i="72" s="1"/>
  <c r="Z230" i="72"/>
  <c r="AK220" i="72"/>
  <c r="AF230" i="72"/>
  <c r="Q241" i="72"/>
  <c r="Q226" i="72"/>
  <c r="Q223" i="72"/>
  <c r="M220" i="72"/>
  <c r="I241" i="72"/>
  <c r="I226" i="72"/>
  <c r="H229" i="72"/>
  <c r="H242" i="72"/>
  <c r="I227" i="72"/>
  <c r="I223" i="72"/>
  <c r="E241" i="72"/>
  <c r="E226" i="72"/>
  <c r="E223" i="72"/>
  <c r="AD266" i="72"/>
  <c r="AD229" i="72"/>
  <c r="AD230" i="72" s="1"/>
  <c r="AD220" i="72"/>
  <c r="AO220" i="72"/>
  <c r="AS242" i="72"/>
  <c r="AO242" i="72"/>
  <c r="AJ242" i="72"/>
  <c r="U220" i="72"/>
  <c r="P230" i="72"/>
  <c r="L241" i="72"/>
  <c r="L223" i="72"/>
  <c r="L220" i="72"/>
  <c r="L226" i="72"/>
  <c r="Y220" i="72"/>
  <c r="M206" i="72"/>
  <c r="I220" i="72"/>
  <c r="AE242" i="72"/>
  <c r="AU173" i="72"/>
  <c r="AR208" i="72"/>
  <c r="DJ38" i="71"/>
  <c r="AU194" i="72"/>
  <c r="AG191" i="72"/>
  <c r="AG255" i="72" s="1"/>
  <c r="W189" i="72"/>
  <c r="AL189" i="72"/>
  <c r="S156" i="72"/>
  <c r="S155" i="72" s="1"/>
  <c r="Q155" i="72" s="1"/>
  <c r="Q156" i="72" s="1"/>
  <c r="Q158" i="72" s="1"/>
  <c r="BE191" i="72"/>
  <c r="BE112" i="46" s="1"/>
  <c r="BE50" i="51" s="1"/>
  <c r="AI104" i="72"/>
  <c r="AI107" i="72"/>
  <c r="AI49" i="72"/>
  <c r="W116" i="72"/>
  <c r="W127" i="72"/>
  <c r="W52" i="72" s="1"/>
  <c r="BA123" i="72"/>
  <c r="BA124" i="72" s="1"/>
  <c r="AS94" i="72"/>
  <c r="AX94" i="72" s="1"/>
  <c r="AI129" i="72"/>
  <c r="AI130" i="72" s="1"/>
  <c r="AM13" i="72"/>
  <c r="AM93" i="72" s="1"/>
  <c r="AM96" i="72" s="1"/>
  <c r="AM97" i="72" s="1"/>
  <c r="Y129" i="72"/>
  <c r="Y130" i="72" s="1"/>
  <c r="AN96" i="72"/>
  <c r="AL336" i="46"/>
  <c r="AO120" i="46"/>
  <c r="AP118" i="46"/>
  <c r="AQ118" i="46" s="1"/>
  <c r="AR118" i="46" s="1"/>
  <c r="AU333" i="46"/>
  <c r="AU103" i="46"/>
  <c r="W100" i="46"/>
  <c r="CO59" i="71"/>
  <c r="U129" i="46"/>
  <c r="X55" i="46"/>
  <c r="X37" i="71"/>
  <c r="X40" i="71" s="1"/>
  <c r="CO16" i="71"/>
  <c r="CL12" i="71"/>
  <c r="AR197" i="46"/>
  <c r="DJ16" i="71" s="1"/>
  <c r="AR54" i="71" s="1"/>
  <c r="X126" i="46"/>
  <c r="CP59" i="71" s="1"/>
  <c r="AW43" i="71"/>
  <c r="AP333" i="46"/>
  <c r="AP103" i="46"/>
  <c r="AG122" i="46"/>
  <c r="AG82" i="46"/>
  <c r="AF82" i="46"/>
  <c r="AA219" i="46"/>
  <c r="CK59" i="71"/>
  <c r="AU119" i="46"/>
  <c r="V77" i="46"/>
  <c r="V76" i="46" s="1"/>
  <c r="AE120" i="46"/>
  <c r="AQ122" i="46"/>
  <c r="AR122" i="46"/>
  <c r="DJ60" i="71" s="1"/>
  <c r="AP82" i="46"/>
  <c r="BM438" i="15"/>
  <c r="AI541" i="15"/>
  <c r="AI538" i="15"/>
  <c r="AI544" i="15"/>
  <c r="AI555" i="15"/>
  <c r="M521" i="15"/>
  <c r="M490" i="15"/>
  <c r="AF278" i="15"/>
  <c r="AF281" i="15"/>
  <c r="AF284" i="15" s="1"/>
  <c r="BH438" i="15"/>
  <c r="AC503" i="15"/>
  <c r="X503" i="15"/>
  <c r="N515" i="15"/>
  <c r="M74" i="46"/>
  <c r="Y544" i="15"/>
  <c r="Y541" i="15"/>
  <c r="Y538" i="15"/>
  <c r="Y555" i="15"/>
  <c r="AB225" i="15"/>
  <c r="AA178" i="15"/>
  <c r="Z281" i="15"/>
  <c r="Z284" i="15" s="1"/>
  <c r="AA278" i="15"/>
  <c r="AH391" i="15"/>
  <c r="AG194" i="15"/>
  <c r="S510" i="15"/>
  <c r="AI535" i="15"/>
  <c r="W541" i="15"/>
  <c r="W544" i="15"/>
  <c r="W538" i="15"/>
  <c r="W555" i="15"/>
  <c r="AS280" i="15"/>
  <c r="X543" i="15"/>
  <c r="X544" i="15" s="1"/>
  <c r="X535" i="15"/>
  <c r="Y556" i="15"/>
  <c r="AM503" i="15"/>
  <c r="AN438" i="15"/>
  <c r="AJ541" i="15"/>
  <c r="AJ544" i="15"/>
  <c r="AJ538" i="15"/>
  <c r="AJ555" i="15"/>
  <c r="AL110" i="15"/>
  <c r="AL111" i="15"/>
  <c r="AN109" i="15"/>
  <c r="AO109" i="15" s="1"/>
  <c r="AL112" i="15"/>
  <c r="BC438" i="15"/>
  <c r="AC342" i="15"/>
  <c r="AD342" i="15" s="1"/>
  <c r="Q74" i="46"/>
  <c r="AD555" i="15"/>
  <c r="AB357" i="15"/>
  <c r="AB74" i="46"/>
  <c r="AC480" i="15"/>
  <c r="X556" i="15"/>
  <c r="AG74" i="46"/>
  <c r="AH480" i="15"/>
  <c r="M512" i="15"/>
  <c r="W480" i="15"/>
  <c r="W74" i="46" s="1"/>
  <c r="AG511" i="15"/>
  <c r="AI438" i="15"/>
  <c r="H507" i="15"/>
  <c r="I503" i="15"/>
  <c r="AK74" i="46"/>
  <c r="Y535" i="15"/>
  <c r="AE541" i="15"/>
  <c r="AE538" i="15"/>
  <c r="AE544" i="15"/>
  <c r="AE555" i="15"/>
  <c r="AE556" i="15"/>
  <c r="AI556" i="15"/>
  <c r="AH275" i="15"/>
  <c r="AI275" i="15" s="1"/>
  <c r="AJ275" i="15" s="1"/>
  <c r="AK275" i="15" s="1"/>
  <c r="AD438" i="15"/>
  <c r="AD448" i="15" s="1"/>
  <c r="AD429" i="15" s="1"/>
  <c r="W556" i="15"/>
  <c r="AB318" i="15"/>
  <c r="AB391" i="15"/>
  <c r="AA194" i="15"/>
  <c r="X480" i="15"/>
  <c r="X470" i="15"/>
  <c r="AF555" i="15"/>
  <c r="AA541" i="15"/>
  <c r="AA538" i="15"/>
  <c r="AA544" i="15"/>
  <c r="AA555" i="15"/>
  <c r="AF264" i="15"/>
  <c r="N490" i="15"/>
  <c r="Y132" i="72"/>
  <c r="X93" i="72"/>
  <c r="X94" i="72"/>
  <c r="U159" i="72"/>
  <c r="V152" i="72"/>
  <c r="U148" i="72"/>
  <c r="U150" i="72"/>
  <c r="AA159" i="72"/>
  <c r="AB152" i="72"/>
  <c r="AB159" i="72" s="1"/>
  <c r="AB230" i="72"/>
  <c r="AB220" i="72"/>
  <c r="AB266" i="72"/>
  <c r="AQ223" i="72"/>
  <c r="AQ241" i="72"/>
  <c r="AQ226" i="72"/>
  <c r="AQ227" i="72"/>
  <c r="H223" i="72"/>
  <c r="H241" i="72"/>
  <c r="H226" i="72"/>
  <c r="AL253" i="72"/>
  <c r="AL75" i="46"/>
  <c r="R223" i="72"/>
  <c r="R226" i="72"/>
  <c r="R230" i="72"/>
  <c r="R220" i="72"/>
  <c r="R241" i="72"/>
  <c r="R242" i="72"/>
  <c r="Z150" i="72"/>
  <c r="AL152" i="72"/>
  <c r="AL159" i="72"/>
  <c r="AK148" i="72"/>
  <c r="AK150" i="72"/>
  <c r="AK159" i="72"/>
  <c r="AH227" i="72"/>
  <c r="AH46" i="73" s="1"/>
  <c r="AH55" i="73" s="1"/>
  <c r="AG229" i="72"/>
  <c r="AG223" i="72"/>
  <c r="AH226" i="72"/>
  <c r="AH223" i="72"/>
  <c r="AH241" i="72"/>
  <c r="AN130" i="72"/>
  <c r="AN132" i="72"/>
  <c r="AN133" i="72"/>
  <c r="AM129" i="72"/>
  <c r="AM132" i="72"/>
  <c r="AI132" i="72"/>
  <c r="BE255" i="72"/>
  <c r="H220" i="72"/>
  <c r="Z223" i="72"/>
  <c r="Z226" i="72"/>
  <c r="AM223" i="72"/>
  <c r="AM227" i="72"/>
  <c r="AM46" i="73"/>
  <c r="AM55" i="73" s="1"/>
  <c r="AL229" i="72"/>
  <c r="AL223" i="72"/>
  <c r="AM226" i="72"/>
  <c r="AM241" i="72"/>
  <c r="AF159" i="72"/>
  <c r="AG152" i="72"/>
  <c r="AG159" i="72" s="1"/>
  <c r="AF148" i="72"/>
  <c r="AF150" i="72"/>
  <c r="W173" i="72"/>
  <c r="AS130" i="72"/>
  <c r="AX130" i="72" s="1"/>
  <c r="BC130" i="72" s="1"/>
  <c r="BH130" i="72" s="1"/>
  <c r="BM130" i="72" s="1"/>
  <c r="AS132" i="72"/>
  <c r="BH116" i="72"/>
  <c r="AU253" i="72"/>
  <c r="AU75" i="46"/>
  <c r="AH220" i="72"/>
  <c r="AB223" i="72"/>
  <c r="AB226" i="72"/>
  <c r="AH96" i="72"/>
  <c r="AM156" i="72"/>
  <c r="AG173" i="72"/>
  <c r="AU223" i="72"/>
  <c r="AU227" i="72"/>
  <c r="AU226" i="72"/>
  <c r="AU241" i="72"/>
  <c r="H230" i="72"/>
  <c r="AD223" i="72"/>
  <c r="AD227" i="72"/>
  <c r="AD241" i="72"/>
  <c r="AM242" i="72"/>
  <c r="W223" i="72"/>
  <c r="W226" i="72"/>
  <c r="AI223" i="72"/>
  <c r="AI226" i="72"/>
  <c r="AI227" i="72"/>
  <c r="AI241" i="72"/>
  <c r="AY255" i="72"/>
  <c r="T150" i="72"/>
  <c r="AE150" i="72"/>
  <c r="AT223" i="72"/>
  <c r="AT227" i="72"/>
  <c r="AT241" i="72"/>
  <c r="AQ174" i="72"/>
  <c r="AQ253" i="72"/>
  <c r="AQ75" i="46"/>
  <c r="AH230" i="72"/>
  <c r="AD130" i="72"/>
  <c r="AD132" i="72"/>
  <c r="AI133" i="72" s="1"/>
  <c r="AU242" i="72"/>
  <c r="AV331" i="46"/>
  <c r="AW44" i="71"/>
  <c r="AC318" i="15"/>
  <c r="AC470" i="15"/>
  <c r="AC74" i="46"/>
  <c r="AB178" i="15"/>
  <c r="AI391" i="15"/>
  <c r="AI194" i="15" s="1"/>
  <c r="AH194" i="15"/>
  <c r="AG264" i="15"/>
  <c r="AC391" i="15"/>
  <c r="AC194" i="15" s="1"/>
  <c r="AB194" i="15"/>
  <c r="AN112" i="15"/>
  <c r="AN111" i="15"/>
  <c r="AN110" i="15"/>
  <c r="AX280" i="15"/>
  <c r="X538" i="15"/>
  <c r="X541" i="15"/>
  <c r="X555" i="15"/>
  <c r="AM158" i="72"/>
  <c r="AM155" i="72"/>
  <c r="AI155" i="72" s="1"/>
  <c r="AS133" i="72"/>
  <c r="AL226" i="72"/>
  <c r="AL230" i="72"/>
  <c r="V159" i="72"/>
  <c r="V148" i="72"/>
  <c r="V150" i="72" s="1"/>
  <c r="W152" i="72"/>
  <c r="W159" i="72" s="1"/>
  <c r="BM116" i="72"/>
  <c r="X96" i="72"/>
  <c r="AG220" i="72"/>
  <c r="AG241" i="72"/>
  <c r="AG226" i="72"/>
  <c r="AG227" i="72"/>
  <c r="AG230" i="72"/>
  <c r="AH264" i="15"/>
  <c r="AJ391" i="15"/>
  <c r="AK391" i="15" s="1"/>
  <c r="AK178" i="15" s="1"/>
  <c r="W148" i="72"/>
  <c r="X156" i="72" s="1"/>
  <c r="AM254" i="72"/>
  <c r="AL155" i="72"/>
  <c r="AL254" i="72"/>
  <c r="AJ155" i="72"/>
  <c r="AK155" i="72"/>
  <c r="AK254" i="72" s="1"/>
  <c r="AI264" i="15"/>
  <c r="AJ264" i="15" s="1"/>
  <c r="AK264" i="15" s="1"/>
  <c r="AL264" i="15" s="1"/>
  <c r="AM264" i="15" s="1"/>
  <c r="AN264" i="15" s="1"/>
  <c r="AL156" i="72"/>
  <c r="AL158" i="72" s="1"/>
  <c r="AK156" i="72"/>
  <c r="AK158" i="72" s="1"/>
  <c r="AJ156" i="72"/>
  <c r="AJ158" i="72" s="1"/>
  <c r="AJ254" i="72"/>
  <c r="E20" i="15"/>
  <c r="E21" i="15"/>
  <c r="E19" i="46"/>
  <c r="L19" i="46"/>
  <c r="L20" i="15"/>
  <c r="AA20" i="15"/>
  <c r="AA19" i="46"/>
  <c r="AI19" i="46"/>
  <c r="AM25" i="15"/>
  <c r="AT19" i="46"/>
  <c r="BB247" i="15"/>
  <c r="AO278" i="15"/>
  <c r="AN281" i="15"/>
  <c r="AD294" i="15"/>
  <c r="AD169" i="15" s="1"/>
  <c r="AD177" i="15"/>
  <c r="AE291" i="15"/>
  <c r="AE294" i="15"/>
  <c r="F20" i="15"/>
  <c r="F19" i="46"/>
  <c r="N20" i="15"/>
  <c r="N21" i="15" s="1"/>
  <c r="X21" i="15"/>
  <c r="AJ19" i="46"/>
  <c r="AU20" i="15"/>
  <c r="AU21" i="15" s="1"/>
  <c r="AX138" i="15"/>
  <c r="AY138" i="15" s="1"/>
  <c r="BG138" i="15"/>
  <c r="BL138" i="15" s="1"/>
  <c r="BQ138" i="15" s="1"/>
  <c r="BM138" i="15" s="1"/>
  <c r="BN138" i="15" s="1"/>
  <c r="BO138" i="15" s="1"/>
  <c r="BP138" i="15" s="1"/>
  <c r="G20" i="15"/>
  <c r="G25" i="15" s="1"/>
  <c r="G29" i="15" s="1"/>
  <c r="G33" i="15" s="1"/>
  <c r="O20" i="15"/>
  <c r="O19" i="46"/>
  <c r="U19" i="46"/>
  <c r="Y19" i="46"/>
  <c r="Y20" i="15"/>
  <c r="Y21" i="15"/>
  <c r="AR25" i="15"/>
  <c r="BY205" i="15"/>
  <c r="BY220" i="15"/>
  <c r="CC204" i="15"/>
  <c r="CD204" i="15"/>
  <c r="CB204" i="15"/>
  <c r="AD178" i="15"/>
  <c r="AE225" i="15"/>
  <c r="AU247" i="15"/>
  <c r="BE247" i="15"/>
  <c r="BF247" i="15" s="1"/>
  <c r="BG247" i="15" s="1"/>
  <c r="AF306" i="15"/>
  <c r="AK306" i="15"/>
  <c r="AP306" i="15" s="1"/>
  <c r="AU306" i="15" s="1"/>
  <c r="AZ306" i="15" s="1"/>
  <c r="AB306" i="15"/>
  <c r="AG306" i="15" s="1"/>
  <c r="H52" i="51"/>
  <c r="I507" i="15"/>
  <c r="K19" i="46"/>
  <c r="Z19" i="46"/>
  <c r="AH25" i="15"/>
  <c r="AO19" i="46"/>
  <c r="AS19" i="46"/>
  <c r="AG247" i="15"/>
  <c r="AJ280" i="15"/>
  <c r="AO280" i="15"/>
  <c r="AF289" i="15"/>
  <c r="AM289" i="15"/>
  <c r="AG289" i="15"/>
  <c r="N517" i="15"/>
  <c r="N521" i="15" s="1"/>
  <c r="R512" i="15"/>
  <c r="J556" i="15"/>
  <c r="AH516" i="15"/>
  <c r="N510" i="15"/>
  <c r="AH518" i="15"/>
  <c r="AJ513" i="15"/>
  <c r="AU507" i="15"/>
  <c r="G511" i="15"/>
  <c r="AB504" i="15"/>
  <c r="N505" i="15"/>
  <c r="AF512" i="15"/>
  <c r="AH512" i="15" s="1"/>
  <c r="AG512" i="15"/>
  <c r="AQ510" i="15"/>
  <c r="AK507" i="15"/>
  <c r="W505" i="15"/>
  <c r="S505" i="15"/>
  <c r="R472" i="15"/>
  <c r="AG472" i="15"/>
  <c r="H18" i="15"/>
  <c r="H18" i="51"/>
  <c r="R18" i="15"/>
  <c r="R18" i="51"/>
  <c r="W18" i="15"/>
  <c r="AB18" i="15"/>
  <c r="AL18" i="15"/>
  <c r="AQ18" i="15"/>
  <c r="BG552" i="15"/>
  <c r="AJ110" i="15"/>
  <c r="AG203" i="15"/>
  <c r="CB223" i="15"/>
  <c r="AQ204" i="15"/>
  <c r="BK204" i="15"/>
  <c r="AO247" i="15"/>
  <c r="AP247" i="15"/>
  <c r="AV253" i="15"/>
  <c r="AB289" i="15"/>
  <c r="Y291" i="15"/>
  <c r="AK469" i="15"/>
  <c r="AJ465" i="15"/>
  <c r="AJ467" i="15"/>
  <c r="W511" i="15"/>
  <c r="L491" i="15"/>
  <c r="L61" i="51"/>
  <c r="AR505" i="15"/>
  <c r="H505" i="15"/>
  <c r="I505" i="15" s="1"/>
  <c r="I508" i="15" s="1"/>
  <c r="AT508" i="15"/>
  <c r="AM505" i="15"/>
  <c r="AL512" i="15"/>
  <c r="H10" i="15"/>
  <c r="M14" i="15"/>
  <c r="R14" i="15"/>
  <c r="R16" i="15"/>
  <c r="R20" i="15" s="1"/>
  <c r="AB10" i="15"/>
  <c r="AG14" i="15"/>
  <c r="AG16" i="15"/>
  <c r="BY223" i="15"/>
  <c r="BY226" i="15"/>
  <c r="U465" i="15"/>
  <c r="U467" i="15"/>
  <c r="V469" i="15"/>
  <c r="W469" i="15"/>
  <c r="W465" i="15" s="1"/>
  <c r="AO465" i="15"/>
  <c r="AO467" i="15" s="1"/>
  <c r="AP469" i="15"/>
  <c r="AP465" i="15" s="1"/>
  <c r="AP467" i="15" s="1"/>
  <c r="AQ520" i="15"/>
  <c r="N512" i="15"/>
  <c r="N535" i="15"/>
  <c r="M99" i="46"/>
  <c r="N99" i="46" s="1"/>
  <c r="AU511" i="15"/>
  <c r="H511" i="15"/>
  <c r="H56" i="51"/>
  <c r="AE513" i="15"/>
  <c r="AF507" i="15"/>
  <c r="R503" i="15"/>
  <c r="S503" i="15"/>
  <c r="AL504" i="15"/>
  <c r="R504" i="15"/>
  <c r="AM512" i="15"/>
  <c r="AQ14" i="15"/>
  <c r="AQ16" i="15" s="1"/>
  <c r="AQ472" i="15"/>
  <c r="AQ473" i="15" s="1"/>
  <c r="AX289" i="15"/>
  <c r="AN431" i="15"/>
  <c r="BJ442" i="15"/>
  <c r="BI440" i="15"/>
  <c r="AA469" i="15"/>
  <c r="Z465" i="15"/>
  <c r="Z467" i="15" s="1"/>
  <c r="Z473" i="15" s="1"/>
  <c r="AA473" i="15" s="1"/>
  <c r="F51" i="51"/>
  <c r="G506" i="15"/>
  <c r="G508" i="15"/>
  <c r="AR543" i="15"/>
  <c r="AR535" i="15" s="1"/>
  <c r="AH511" i="15"/>
  <c r="AC511" i="15"/>
  <c r="AA507" i="15"/>
  <c r="AB507" i="15" s="1"/>
  <c r="AC507" i="15" s="1"/>
  <c r="M16" i="15"/>
  <c r="M20" i="15" s="1"/>
  <c r="M19" i="46"/>
  <c r="W10" i="15"/>
  <c r="M18" i="15"/>
  <c r="M18" i="51" s="1"/>
  <c r="AG18" i="15"/>
  <c r="AF469" i="15"/>
  <c r="AE465" i="15"/>
  <c r="AE467" i="15" s="1"/>
  <c r="AE473" i="15" s="1"/>
  <c r="R490" i="15"/>
  <c r="S490" i="15" s="1"/>
  <c r="R60" i="51"/>
  <c r="R42" i="51" s="1"/>
  <c r="R102" i="46" s="1"/>
  <c r="AL432" i="15"/>
  <c r="AP432" i="15"/>
  <c r="BE432" i="15"/>
  <c r="BK432" i="15"/>
  <c r="BO432" i="15"/>
  <c r="AO440" i="15"/>
  <c r="AU440" i="15"/>
  <c r="AT440" i="15" s="1"/>
  <c r="BA442" i="15"/>
  <c r="BE440" i="15"/>
  <c r="BD440" i="15"/>
  <c r="BD442" i="15" s="1"/>
  <c r="BK442" i="15"/>
  <c r="H467" i="15"/>
  <c r="I467" i="15"/>
  <c r="AO507" i="15"/>
  <c r="Z512" i="15"/>
  <c r="E513" i="15"/>
  <c r="AQ519" i="15"/>
  <c r="AF520" i="15"/>
  <c r="AH520" i="15" s="1"/>
  <c r="AG520" i="15"/>
  <c r="P521" i="15"/>
  <c r="P523" i="15" s="1"/>
  <c r="L535" i="15"/>
  <c r="O535" i="15"/>
  <c r="K544" i="15"/>
  <c r="AT50" i="51"/>
  <c r="P51" i="51"/>
  <c r="T52" i="51"/>
  <c r="AN56" i="51"/>
  <c r="Q60" i="51"/>
  <c r="Q42" i="51"/>
  <c r="AO60" i="51"/>
  <c r="AO42" i="51"/>
  <c r="Z63" i="51"/>
  <c r="E64" i="51"/>
  <c r="AO64" i="51"/>
  <c r="BM64" i="51"/>
  <c r="G66" i="51"/>
  <c r="AE66" i="51"/>
  <c r="Z105" i="59"/>
  <c r="P107" i="59"/>
  <c r="BI480" i="15"/>
  <c r="BJ480" i="15"/>
  <c r="BJ74" i="46"/>
  <c r="AP503" i="15"/>
  <c r="AQ503" i="15"/>
  <c r="AU505" i="15"/>
  <c r="K506" i="15"/>
  <c r="L506" i="15" s="1"/>
  <c r="AJ506" i="15"/>
  <c r="AL506" i="15" s="1"/>
  <c r="V507" i="15"/>
  <c r="W507" i="15"/>
  <c r="AS508" i="15"/>
  <c r="AS523" i="15"/>
  <c r="G510" i="15"/>
  <c r="G480" i="15"/>
  <c r="G74" i="46" s="1"/>
  <c r="G76" i="46" s="1"/>
  <c r="AU510" i="15"/>
  <c r="Y513" i="15"/>
  <c r="Y523" i="15"/>
  <c r="AO511" i="15"/>
  <c r="AU512" i="15"/>
  <c r="V516" i="15"/>
  <c r="W520" i="15"/>
  <c r="AA516" i="15"/>
  <c r="AB516" i="15"/>
  <c r="AA517" i="15"/>
  <c r="AA518" i="15"/>
  <c r="AB518" i="15" s="1"/>
  <c r="AC518" i="15" s="1"/>
  <c r="AA519" i="15"/>
  <c r="AA520" i="15"/>
  <c r="AG515" i="15"/>
  <c r="AG490" i="15" s="1"/>
  <c r="AG517" i="15"/>
  <c r="AL516" i="15"/>
  <c r="AL491" i="15"/>
  <c r="AM491" i="15" s="1"/>
  <c r="AP515" i="15"/>
  <c r="AP518" i="15"/>
  <c r="Q516" i="15"/>
  <c r="Q491" i="15" s="1"/>
  <c r="S491" i="15" s="1"/>
  <c r="Q521" i="15"/>
  <c r="AL520" i="15"/>
  <c r="BE519" i="15"/>
  <c r="BO519" i="15"/>
  <c r="AJ521" i="15"/>
  <c r="P543" i="15"/>
  <c r="P538" i="15"/>
  <c r="T543" i="15"/>
  <c r="T538" i="15"/>
  <c r="T56" i="51"/>
  <c r="AS57" i="51"/>
  <c r="K61" i="51"/>
  <c r="K43" i="51"/>
  <c r="Z61" i="51"/>
  <c r="Z64" i="51"/>
  <c r="BD432" i="15"/>
  <c r="BH432" i="15"/>
  <c r="G535" i="15"/>
  <c r="AO49" i="51"/>
  <c r="E51" i="51"/>
  <c r="Z55" i="51"/>
  <c r="AO62" i="51"/>
  <c r="BC64" i="51"/>
  <c r="U66" i="51"/>
  <c r="AO66" i="51"/>
  <c r="AU504" i="15"/>
  <c r="AU508" i="15" s="1"/>
  <c r="AK506" i="15"/>
  <c r="AD513" i="15"/>
  <c r="AD523" i="15"/>
  <c r="AA512" i="15"/>
  <c r="W516" i="15"/>
  <c r="X516" i="15" s="1"/>
  <c r="AB515" i="15"/>
  <c r="AB490" i="15" s="1"/>
  <c r="AB520" i="15"/>
  <c r="AL518" i="15"/>
  <c r="R519" i="15"/>
  <c r="S519" i="15" s="1"/>
  <c r="BI519" i="15"/>
  <c r="BJ519" i="15" s="1"/>
  <c r="BJ99" i="46" s="1"/>
  <c r="R99" i="46"/>
  <c r="S99" i="46" s="1"/>
  <c r="W491" i="15"/>
  <c r="T555" i="15"/>
  <c r="AQ99" i="46"/>
  <c r="AR519" i="15"/>
  <c r="AP507" i="15"/>
  <c r="AO508" i="15"/>
  <c r="BE442" i="15"/>
  <c r="AR556" i="15"/>
  <c r="AR544" i="15"/>
  <c r="AR555" i="15"/>
  <c r="AR538" i="15"/>
  <c r="AR472" i="15"/>
  <c r="R48" i="51"/>
  <c r="V465" i="15"/>
  <c r="V467" i="15" s="1"/>
  <c r="H50" i="51"/>
  <c r="AH472" i="15"/>
  <c r="AM507" i="15"/>
  <c r="AL507" i="15"/>
  <c r="AC504" i="15"/>
  <c r="AH551" i="15"/>
  <c r="AH562" i="15" s="1"/>
  <c r="O21" i="15"/>
  <c r="O25" i="15"/>
  <c r="AP278" i="15"/>
  <c r="AI25" i="15"/>
  <c r="AM518" i="15"/>
  <c r="P541" i="15"/>
  <c r="P555" i="15"/>
  <c r="P544" i="15"/>
  <c r="P556" i="15"/>
  <c r="BE99" i="46"/>
  <c r="Q61" i="51"/>
  <c r="Q43" i="51"/>
  <c r="AH517" i="15"/>
  <c r="V491" i="15"/>
  <c r="X491" i="15" s="1"/>
  <c r="AJ51" i="51"/>
  <c r="AJ508" i="15"/>
  <c r="AJ523" i="15"/>
  <c r="BI74" i="46"/>
  <c r="AF66" i="51"/>
  <c r="X520" i="15"/>
  <c r="AG469" i="15"/>
  <c r="AG465" i="15"/>
  <c r="AG467" i="15" s="1"/>
  <c r="AH467" i="15" s="1"/>
  <c r="AF465" i="15"/>
  <c r="AF467" i="15"/>
  <c r="T535" i="15"/>
  <c r="X511" i="15"/>
  <c r="Y191" i="15"/>
  <c r="Y185" i="15"/>
  <c r="Y193" i="15"/>
  <c r="Y177" i="15"/>
  <c r="Z291" i="15"/>
  <c r="Z185" i="15" s="1"/>
  <c r="AQ247" i="15"/>
  <c r="S472" i="15"/>
  <c r="R473" i="15"/>
  <c r="AR510" i="15"/>
  <c r="AQ480" i="15"/>
  <c r="G56" i="51"/>
  <c r="I511" i="15"/>
  <c r="R57" i="51"/>
  <c r="S512" i="15"/>
  <c r="AT280" i="15"/>
  <c r="AY280" i="15" s="1"/>
  <c r="AH247" i="15"/>
  <c r="AJ247" i="15" s="1"/>
  <c r="AO21" i="15"/>
  <c r="AU248" i="15"/>
  <c r="AV247" i="15"/>
  <c r="AW247" i="15"/>
  <c r="AV248" i="15"/>
  <c r="AR29" i="15"/>
  <c r="AR33" i="15" s="1"/>
  <c r="G21" i="15"/>
  <c r="AR247" i="15"/>
  <c r="AT21" i="15"/>
  <c r="E25" i="15"/>
  <c r="E29" i="15"/>
  <c r="E33" i="15"/>
  <c r="E35" i="15" s="1"/>
  <c r="E41" i="15" s="1"/>
  <c r="E68" i="46" s="1"/>
  <c r="BI99" i="46"/>
  <c r="AP537" i="15"/>
  <c r="AQ518" i="15"/>
  <c r="AG60" i="51"/>
  <c r="AG42" i="51"/>
  <c r="AH515" i="15"/>
  <c r="G55" i="51"/>
  <c r="H510" i="15"/>
  <c r="I510" i="15"/>
  <c r="K51" i="51"/>
  <c r="K508" i="15"/>
  <c r="BF519" i="15"/>
  <c r="E523" i="15"/>
  <c r="E526" i="15" s="1"/>
  <c r="F524" i="15" s="1"/>
  <c r="H473" i="15"/>
  <c r="AU442" i="15"/>
  <c r="AA465" i="15"/>
  <c r="AA467" i="15" s="1"/>
  <c r="AB469" i="15"/>
  <c r="AB465" i="15" s="1"/>
  <c r="AO431" i="15"/>
  <c r="AP431" i="15" s="1"/>
  <c r="AN447" i="15"/>
  <c r="AG507" i="15"/>
  <c r="AJ473" i="15"/>
  <c r="AA289" i="15"/>
  <c r="X505" i="15"/>
  <c r="AF513" i="15"/>
  <c r="AK289" i="15"/>
  <c r="AR289" i="15"/>
  <c r="AL289" i="15"/>
  <c r="AJ289" i="15"/>
  <c r="AI289" i="15"/>
  <c r="BY208" i="15"/>
  <c r="BY229" i="15"/>
  <c r="AR557" i="15"/>
  <c r="U25" i="15"/>
  <c r="U29" i="15"/>
  <c r="U33" i="15" s="1"/>
  <c r="BC138" i="15"/>
  <c r="BD138" i="15" s="1"/>
  <c r="BE138" i="15" s="1"/>
  <c r="BF138" i="15" s="1"/>
  <c r="AJ21" i="15"/>
  <c r="X484" i="15"/>
  <c r="X551" i="15"/>
  <c r="X562" i="15"/>
  <c r="F21" i="15"/>
  <c r="F25" i="15"/>
  <c r="F29" i="15"/>
  <c r="F33" i="15"/>
  <c r="AM557" i="15"/>
  <c r="L21" i="15"/>
  <c r="L25" i="15"/>
  <c r="AK508" i="15"/>
  <c r="BO64" i="51"/>
  <c r="AM520" i="15"/>
  <c r="AP490" i="15"/>
  <c r="AQ515" i="15"/>
  <c r="AR515" i="15" s="1"/>
  <c r="AC520" i="15"/>
  <c r="AA491" i="15"/>
  <c r="AO56" i="51"/>
  <c r="AP511" i="15"/>
  <c r="AQ511" i="15" s="1"/>
  <c r="AO513" i="15"/>
  <c r="R516" i="15"/>
  <c r="R521" i="15" s="1"/>
  <c r="Z57" i="51"/>
  <c r="AB512" i="15"/>
  <c r="AC512" i="15"/>
  <c r="AC513" i="15" s="1"/>
  <c r="Z513" i="15"/>
  <c r="AN440" i="15"/>
  <c r="AN442" i="15"/>
  <c r="AN445" i="15" s="1"/>
  <c r="AO442" i="15"/>
  <c r="G51" i="51"/>
  <c r="H506" i="15"/>
  <c r="H51" i="51" s="1"/>
  <c r="I51" i="51" s="1"/>
  <c r="BI442" i="15"/>
  <c r="BH440" i="15"/>
  <c r="BH442" i="15"/>
  <c r="AM504" i="15"/>
  <c r="AA513" i="15"/>
  <c r="AB517" i="15"/>
  <c r="AK465" i="15"/>
  <c r="AK467" i="15" s="1"/>
  <c r="AL469" i="15"/>
  <c r="AL465" i="15"/>
  <c r="AE289" i="15"/>
  <c r="AE297" i="15" s="1"/>
  <c r="AS21" i="15"/>
  <c r="AH23" i="71"/>
  <c r="Z21" i="15"/>
  <c r="K25" i="15"/>
  <c r="AF225" i="15"/>
  <c r="AE178" i="15"/>
  <c r="AU25" i="15"/>
  <c r="AU484" i="15"/>
  <c r="N25" i="15"/>
  <c r="AE177" i="15"/>
  <c r="AF291" i="15"/>
  <c r="AG291" i="15"/>
  <c r="AM484" i="15"/>
  <c r="AE169" i="15"/>
  <c r="R491" i="15"/>
  <c r="R61" i="51"/>
  <c r="U484" i="15"/>
  <c r="AH507" i="15"/>
  <c r="AC517" i="15"/>
  <c r="BC440" i="15"/>
  <c r="BC442" i="15" s="1"/>
  <c r="AU29" i="15"/>
  <c r="AU33" i="15"/>
  <c r="AQ490" i="15"/>
  <c r="AN289" i="15"/>
  <c r="AQ289" i="15"/>
  <c r="AO289" i="15"/>
  <c r="AP289" i="15"/>
  <c r="J473" i="15"/>
  <c r="I473" i="15"/>
  <c r="AR518" i="15"/>
  <c r="AQ74" i="46"/>
  <c r="AR480" i="15"/>
  <c r="H508" i="15"/>
  <c r="AP508" i="15"/>
  <c r="X507" i="15"/>
  <c r="AF177" i="15"/>
  <c r="Z29" i="15"/>
  <c r="Z33" i="15"/>
  <c r="I506" i="15"/>
  <c r="AB513" i="15"/>
  <c r="AR490" i="15"/>
  <c r="Z289" i="15"/>
  <c r="AO447" i="15"/>
  <c r="AO445" i="15"/>
  <c r="Z177" i="15"/>
  <c r="AA291" i="15"/>
  <c r="AB291" i="15"/>
  <c r="Y152" i="15"/>
  <c r="S516" i="15"/>
  <c r="AQ278" i="15"/>
  <c r="AR280" i="15"/>
  <c r="O29" i="15"/>
  <c r="O33" i="15" s="1"/>
  <c r="O484" i="15"/>
  <c r="AF178" i="15"/>
  <c r="AG225" i="15"/>
  <c r="AS29" i="15"/>
  <c r="AS33" i="15"/>
  <c r="L29" i="15"/>
  <c r="L33" i="15" s="1"/>
  <c r="L484" i="15"/>
  <c r="BH138" i="15"/>
  <c r="BI138" i="15"/>
  <c r="BJ138" i="15" s="1"/>
  <c r="BK138" i="15" s="1"/>
  <c r="AG513" i="15"/>
  <c r="BF99" i="46"/>
  <c r="H55" i="51"/>
  <c r="H480" i="15"/>
  <c r="H74" i="46" s="1"/>
  <c r="AO29" i="15"/>
  <c r="AO33" i="15"/>
  <c r="AO35" i="15" s="1"/>
  <c r="AO41" i="15" s="1"/>
  <c r="AO68" i="46" s="1"/>
  <c r="AO281" i="15"/>
  <c r="AQ507" i="15"/>
  <c r="AR507" i="15"/>
  <c r="AQ281" i="15"/>
  <c r="AA177" i="15"/>
  <c r="AR470" i="15"/>
  <c r="AR74" i="46"/>
  <c r="AR566" i="15"/>
  <c r="BQ82" i="59"/>
  <c r="BV82" i="59" s="1"/>
  <c r="CA82" i="59" s="1"/>
  <c r="CF82" i="59" s="1"/>
  <c r="CK82" i="59" s="1"/>
  <c r="CP82" i="59" s="1"/>
  <c r="CU82" i="59" s="1"/>
  <c r="AM82" i="59"/>
  <c r="Y29" i="59"/>
  <c r="BP60" i="72"/>
  <c r="BJ60" i="72"/>
  <c r="BK60" i="72"/>
  <c r="BN60" i="72"/>
  <c r="AY74" i="46"/>
  <c r="AY510" i="15"/>
  <c r="AY513" i="15" s="1"/>
  <c r="BC510" i="15"/>
  <c r="BC74" i="46"/>
  <c r="BD480" i="15"/>
  <c r="BE480" i="15" s="1"/>
  <c r="BM59" i="72"/>
  <c r="BA59" i="72"/>
  <c r="BC253" i="72"/>
  <c r="BD168" i="72"/>
  <c r="BC196" i="72"/>
  <c r="BC198" i="72" s="1"/>
  <c r="BC75" i="46"/>
  <c r="BE168" i="72"/>
  <c r="BN168" i="72"/>
  <c r="BM253" i="72"/>
  <c r="BM75" i="46"/>
  <c r="BM196" i="72"/>
  <c r="BM198" i="72"/>
  <c r="BC54" i="72"/>
  <c r="BJ56" i="72"/>
  <c r="BF59" i="72"/>
  <c r="BK59" i="72"/>
  <c r="BN59" i="72"/>
  <c r="BE54" i="72"/>
  <c r="BK56" i="72"/>
  <c r="AY59" i="72"/>
  <c r="BI59" i="72"/>
  <c r="BO59" i="72"/>
  <c r="BP59" i="72"/>
  <c r="AH225" i="15"/>
  <c r="AG178" i="15"/>
  <c r="AH465" i="15"/>
  <c r="AA185" i="15"/>
  <c r="N29" i="15"/>
  <c r="N33" i="15"/>
  <c r="U473" i="15"/>
  <c r="AB491" i="15"/>
  <c r="AC516" i="15"/>
  <c r="Y289" i="15"/>
  <c r="AF294" i="15"/>
  <c r="AC491" i="15"/>
  <c r="AH470" i="15"/>
  <c r="AH74" i="46"/>
  <c r="BE51" i="51"/>
  <c r="R55" i="51"/>
  <c r="R480" i="15"/>
  <c r="R74" i="46"/>
  <c r="AG357" i="15"/>
  <c r="Q56" i="51"/>
  <c r="R511" i="15"/>
  <c r="AF544" i="15"/>
  <c r="AF556" i="15"/>
  <c r="AF538" i="15"/>
  <c r="AF541" i="15"/>
  <c r="H8" i="51"/>
  <c r="H16" i="15"/>
  <c r="R10" i="15"/>
  <c r="R8" i="51"/>
  <c r="W14" i="15"/>
  <c r="W16" i="15" s="1"/>
  <c r="AG10" i="15"/>
  <c r="W13" i="51"/>
  <c r="W472" i="15"/>
  <c r="I19" i="46"/>
  <c r="I20" i="15"/>
  <c r="I25" i="15"/>
  <c r="I551" i="15" s="1"/>
  <c r="I562" i="15" s="1"/>
  <c r="AD538" i="15"/>
  <c r="AD535" i="15"/>
  <c r="AD541" i="15"/>
  <c r="AD544" i="15"/>
  <c r="L74" i="46"/>
  <c r="L76" i="46"/>
  <c r="N480" i="15"/>
  <c r="AG504" i="15"/>
  <c r="AH504" i="15" s="1"/>
  <c r="AC357" i="15"/>
  <c r="AA281" i="15"/>
  <c r="AB278" i="15"/>
  <c r="L56" i="51"/>
  <c r="L513" i="15"/>
  <c r="AM534" i="15"/>
  <c r="AM548" i="15"/>
  <c r="AD549" i="15"/>
  <c r="AD556" i="15"/>
  <c r="AF535" i="15"/>
  <c r="AO543" i="15"/>
  <c r="AO535" i="15" s="1"/>
  <c r="AC549" i="15"/>
  <c r="AC534" i="15"/>
  <c r="AC543" i="15" s="1"/>
  <c r="AL511" i="15"/>
  <c r="K56" i="51"/>
  <c r="K58" i="51"/>
  <c r="M511" i="15"/>
  <c r="K513" i="15"/>
  <c r="AS18" i="51"/>
  <c r="AX18" i="51" s="1"/>
  <c r="AC225" i="15"/>
  <c r="AA264" i="15"/>
  <c r="AB505" i="15"/>
  <c r="AK19" i="46"/>
  <c r="AK20" i="15"/>
  <c r="AK25" i="15" s="1"/>
  <c r="AL510" i="15"/>
  <c r="V512" i="15"/>
  <c r="U513" i="15"/>
  <c r="AW337" i="46"/>
  <c r="M8" i="51"/>
  <c r="M10" i="15"/>
  <c r="AL14" i="15"/>
  <c r="AL16" i="15" s="1"/>
  <c r="J20" i="15"/>
  <c r="J21" i="15" s="1"/>
  <c r="J19" i="46"/>
  <c r="AP19" i="46"/>
  <c r="AP20" i="15"/>
  <c r="AP21" i="15" s="1"/>
  <c r="S541" i="15"/>
  <c r="S555" i="15"/>
  <c r="S556" i="15"/>
  <c r="S538" i="15"/>
  <c r="S544" i="15"/>
  <c r="AQ506" i="15"/>
  <c r="AH505" i="15"/>
  <c r="AG503" i="15"/>
  <c r="AH503" i="15" s="1"/>
  <c r="O76" i="46"/>
  <c r="CG45" i="71"/>
  <c r="CG46" i="71" s="1"/>
  <c r="AN19" i="46"/>
  <c r="AN20" i="15"/>
  <c r="K52" i="51"/>
  <c r="L507" i="15"/>
  <c r="N507" i="15" s="1"/>
  <c r="AL10" i="15"/>
  <c r="AL8" i="51"/>
  <c r="M456" i="15"/>
  <c r="N456" i="15"/>
  <c r="R457" i="15"/>
  <c r="AU49" i="15"/>
  <c r="AU46" i="15"/>
  <c r="AU223" i="15"/>
  <c r="M13" i="51"/>
  <c r="CO237" i="15"/>
  <c r="Z245" i="15"/>
  <c r="Z181" i="15"/>
  <c r="Y181" i="15"/>
  <c r="AJ432" i="15"/>
  <c r="AK432" i="15"/>
  <c r="AI432" i="15"/>
  <c r="AI431" i="15" s="1"/>
  <c r="AU537" i="15"/>
  <c r="AB34" i="15"/>
  <c r="AQ34" i="15"/>
  <c r="AN30" i="51"/>
  <c r="BB139" i="15"/>
  <c r="AS139" i="15"/>
  <c r="AT139" i="15"/>
  <c r="AU139" i="15" s="1"/>
  <c r="AV139" i="15" s="1"/>
  <c r="CO215" i="15"/>
  <c r="CO204" i="15"/>
  <c r="CO205" i="15" s="1"/>
  <c r="AE203" i="15"/>
  <c r="AD203" i="15"/>
  <c r="AF203" i="15"/>
  <c r="AO204" i="15"/>
  <c r="AP204" i="15"/>
  <c r="AD344" i="15"/>
  <c r="AD195" i="15"/>
  <c r="Y344" i="15"/>
  <c r="BG289" i="15"/>
  <c r="BL289" i="15" s="1"/>
  <c r="BE289" i="15"/>
  <c r="AY289" i="15"/>
  <c r="CJ210" i="15"/>
  <c r="CE202" i="15" s="1"/>
  <c r="CE203" i="15" s="1"/>
  <c r="AP203" i="15"/>
  <c r="AS203" i="15"/>
  <c r="AD204" i="15"/>
  <c r="F447" i="15"/>
  <c r="AT432" i="15"/>
  <c r="BF432" i="15"/>
  <c r="BC432" i="15"/>
  <c r="AZ432" i="15"/>
  <c r="AF442" i="15"/>
  <c r="AE441" i="15"/>
  <c r="AD441" i="15" s="1"/>
  <c r="AD442" i="15" s="1"/>
  <c r="AD445" i="15" s="1"/>
  <c r="G442" i="15"/>
  <c r="G445" i="15" s="1"/>
  <c r="G450" i="15" s="1"/>
  <c r="G451" i="15" s="1"/>
  <c r="F441" i="15"/>
  <c r="AD318" i="15"/>
  <c r="AD185" i="15"/>
  <c r="AQ432" i="15"/>
  <c r="G438" i="15"/>
  <c r="AD51" i="51"/>
  <c r="AE506" i="15"/>
  <c r="U63" i="51"/>
  <c r="V518" i="15"/>
  <c r="V63" i="51" s="1"/>
  <c r="AF490" i="15"/>
  <c r="AF60" i="51"/>
  <c r="AF42" i="51" s="1"/>
  <c r="AL515" i="15"/>
  <c r="AO61" i="51"/>
  <c r="AO491" i="15"/>
  <c r="AP516" i="15"/>
  <c r="AQ516" i="15" s="1"/>
  <c r="AO106" i="59"/>
  <c r="AN106" i="59"/>
  <c r="AM106" i="59"/>
  <c r="AL106" i="59"/>
  <c r="AU106" i="59"/>
  <c r="AQ106" i="59" s="1"/>
  <c r="AK440" i="15"/>
  <c r="P469" i="15"/>
  <c r="P465" i="15"/>
  <c r="P467" i="15" s="1"/>
  <c r="O465" i="15"/>
  <c r="O467" i="15" s="1"/>
  <c r="BM480" i="15"/>
  <c r="P55" i="51"/>
  <c r="P480" i="15"/>
  <c r="S480" i="15" s="1"/>
  <c r="U64" i="51"/>
  <c r="V519" i="15"/>
  <c r="F491" i="15"/>
  <c r="F61" i="51"/>
  <c r="G516" i="15"/>
  <c r="BF442" i="15"/>
  <c r="AU465" i="15"/>
  <c r="AU467" i="15" s="1"/>
  <c r="AT465" i="15"/>
  <c r="AT467" i="15" s="1"/>
  <c r="T51" i="51"/>
  <c r="T53" i="51" s="1"/>
  <c r="U506" i="15"/>
  <c r="X506" i="15" s="1"/>
  <c r="T508" i="15"/>
  <c r="AA490" i="15"/>
  <c r="AC490" i="15" s="1"/>
  <c r="AO521" i="15"/>
  <c r="AO523" i="15" s="1"/>
  <c r="Q62" i="51"/>
  <c r="S62" i="51" s="1"/>
  <c r="S517" i="15"/>
  <c r="Y51" i="51"/>
  <c r="Z506" i="15"/>
  <c r="E57" i="51"/>
  <c r="G512" i="15"/>
  <c r="H512" i="15"/>
  <c r="U62" i="51"/>
  <c r="V517" i="15"/>
  <c r="AU516" i="15"/>
  <c r="AT521" i="15"/>
  <c r="AT523" i="15" s="1"/>
  <c r="AT61" i="51"/>
  <c r="AT43" i="51" s="1"/>
  <c r="AT491" i="15"/>
  <c r="H538" i="15"/>
  <c r="H555" i="15"/>
  <c r="AD42" i="51"/>
  <c r="AT66" i="51"/>
  <c r="AU520" i="15"/>
  <c r="P108" i="59"/>
  <c r="O108" i="59"/>
  <c r="N108" i="59"/>
  <c r="CD207" i="15"/>
  <c r="CC207" i="15"/>
  <c r="S108" i="59"/>
  <c r="CV206" i="15"/>
  <c r="X106" i="59"/>
  <c r="AT107" i="59"/>
  <c r="AS107" i="59"/>
  <c r="AR107" i="59"/>
  <c r="CP106" i="59"/>
  <c r="CM106" i="59"/>
  <c r="Z107" i="59"/>
  <c r="AJ108" i="59"/>
  <c r="BI203" i="15"/>
  <c r="BJ203" i="15"/>
  <c r="BD203" i="15"/>
  <c r="BF168" i="72"/>
  <c r="BF75" i="46" s="1"/>
  <c r="BD74" i="46"/>
  <c r="BD510" i="15"/>
  <c r="BD513" i="15" s="1"/>
  <c r="BC513" i="15"/>
  <c r="BK90" i="72"/>
  <c r="BE75" i="46"/>
  <c r="BE253" i="72"/>
  <c r="BE196" i="72"/>
  <c r="BD196" i="72"/>
  <c r="BD198" i="72" s="1"/>
  <c r="BD253" i="72"/>
  <c r="BD75" i="46"/>
  <c r="BN253" i="72"/>
  <c r="BN75" i="46"/>
  <c r="BN196" i="72"/>
  <c r="BN198" i="72"/>
  <c r="BF196" i="72"/>
  <c r="BO168" i="72"/>
  <c r="BP168" i="72"/>
  <c r="AF506" i="15"/>
  <c r="AG506" i="15"/>
  <c r="AH506" i="15" s="1"/>
  <c r="AE508" i="15"/>
  <c r="AE523" i="15" s="1"/>
  <c r="BC289" i="15"/>
  <c r="AZ289" i="15" s="1"/>
  <c r="BD289" i="15"/>
  <c r="BF289" i="15"/>
  <c r="BG139" i="15"/>
  <c r="BL139" i="15" s="1"/>
  <c r="BQ139" i="15" s="1"/>
  <c r="BM139" i="15" s="1"/>
  <c r="BN139" i="15" s="1"/>
  <c r="BO139" i="15" s="1"/>
  <c r="BP139" i="15" s="1"/>
  <c r="AX139" i="15"/>
  <c r="AY139" i="15"/>
  <c r="M513" i="15"/>
  <c r="N513" i="15"/>
  <c r="G57" i="51"/>
  <c r="G513" i="15"/>
  <c r="T523" i="15"/>
  <c r="P74" i="46"/>
  <c r="P76" i="46" s="1"/>
  <c r="CH45" i="71" s="1"/>
  <c r="CH46" i="71" s="1"/>
  <c r="E441" i="15"/>
  <c r="E442" i="15" s="1"/>
  <c r="E445" i="15" s="1"/>
  <c r="E450" i="15" s="1"/>
  <c r="E451" i="15" s="1"/>
  <c r="F442" i="15"/>
  <c r="F445" i="15"/>
  <c r="F450" i="15" s="1"/>
  <c r="F451" i="15" s="1"/>
  <c r="CD202" i="15"/>
  <c r="CD203" i="15"/>
  <c r="CD220" i="15" s="1"/>
  <c r="CD226" i="15" s="1"/>
  <c r="AG508" i="15"/>
  <c r="AR506" i="15"/>
  <c r="AQ508" i="15"/>
  <c r="AC505" i="15"/>
  <c r="AM543" i="15"/>
  <c r="AM535" i="15"/>
  <c r="AA284" i="15"/>
  <c r="X472" i="15"/>
  <c r="H19" i="46"/>
  <c r="H20" i="15"/>
  <c r="H21" i="15"/>
  <c r="R56" i="51"/>
  <c r="S511" i="15"/>
  <c r="S513" i="15" s="1"/>
  <c r="R513" i="15"/>
  <c r="AF169" i="15"/>
  <c r="AF297" i="15"/>
  <c r="G491" i="15"/>
  <c r="G61" i="51"/>
  <c r="G43" i="51" s="1"/>
  <c r="BM510" i="15"/>
  <c r="BM74" i="46"/>
  <c r="AE318" i="15"/>
  <c r="AE185" i="15" s="1"/>
  <c r="AE442" i="15"/>
  <c r="AE445" i="15" s="1"/>
  <c r="AE344" i="15"/>
  <c r="AE179" i="15" s="1"/>
  <c r="AD347" i="15"/>
  <c r="AD179" i="15"/>
  <c r="AP25" i="15"/>
  <c r="AP484" i="15" s="1"/>
  <c r="AM556" i="15"/>
  <c r="AB281" i="15"/>
  <c r="AB284" i="15"/>
  <c r="AC278" i="15"/>
  <c r="AU491" i="15"/>
  <c r="U508" i="15"/>
  <c r="V506" i="15"/>
  <c r="W506" i="15" s="1"/>
  <c r="W508" i="15" s="1"/>
  <c r="W523" i="15" s="1"/>
  <c r="AP491" i="15"/>
  <c r="AP521" i="15"/>
  <c r="AL490" i="15"/>
  <c r="AM490" i="15"/>
  <c r="AM515" i="15"/>
  <c r="W518" i="15"/>
  <c r="X518" i="15" s="1"/>
  <c r="G448" i="15"/>
  <c r="F438" i="15"/>
  <c r="AA245" i="15"/>
  <c r="AA248" i="15" s="1"/>
  <c r="Z186" i="15"/>
  <c r="Z248" i="15"/>
  <c r="L52" i="51"/>
  <c r="M507" i="15"/>
  <c r="M52" i="51" s="1"/>
  <c r="N52" i="51" s="1"/>
  <c r="W512" i="15"/>
  <c r="X512" i="15" s="1"/>
  <c r="X513" i="15" s="1"/>
  <c r="V513" i="15"/>
  <c r="AK21" i="15"/>
  <c r="AC178" i="15"/>
  <c r="K523" i="15"/>
  <c r="AM511" i="15"/>
  <c r="AH357" i="15"/>
  <c r="W517" i="15"/>
  <c r="X517" i="15"/>
  <c r="V521" i="15"/>
  <c r="AA506" i="15"/>
  <c r="Z508" i="15"/>
  <c r="H516" i="15"/>
  <c r="I516" i="15"/>
  <c r="V64" i="51"/>
  <c r="W519" i="15"/>
  <c r="X519" i="15" s="1"/>
  <c r="V99" i="46"/>
  <c r="BN480" i="15"/>
  <c r="BO480" i="15"/>
  <c r="AJ440" i="15"/>
  <c r="AJ442" i="15"/>
  <c r="AK442" i="15"/>
  <c r="Y195" i="15"/>
  <c r="Z344" i="15"/>
  <c r="AA344" i="15" s="1"/>
  <c r="AA347" i="15" s="1"/>
  <c r="AA350" i="15" s="1"/>
  <c r="Y187" i="15"/>
  <c r="Y188" i="15" s="1"/>
  <c r="Y179" i="15"/>
  <c r="Y347" i="15"/>
  <c r="Y350" i="15"/>
  <c r="AV49" i="15"/>
  <c r="AV46" i="15"/>
  <c r="J25" i="15"/>
  <c r="J484" i="15"/>
  <c r="AM510" i="15"/>
  <c r="AL480" i="15"/>
  <c r="AL74" i="46" s="1"/>
  <c r="AL513" i="15"/>
  <c r="AB264" i="15"/>
  <c r="N511" i="15"/>
  <c r="AO556" i="15"/>
  <c r="AO544" i="15"/>
  <c r="AO538" i="15"/>
  <c r="AO555" i="15"/>
  <c r="AO541" i="15"/>
  <c r="N470" i="15"/>
  <c r="N74" i="46"/>
  <c r="I21" i="15"/>
  <c r="I557" i="15"/>
  <c r="AH178" i="15"/>
  <c r="AI225" i="15"/>
  <c r="AI178" i="15" s="1"/>
  <c r="BP196" i="72"/>
  <c r="BP75" i="46"/>
  <c r="BP253" i="72"/>
  <c r="BO253" i="72"/>
  <c r="BO196" i="72"/>
  <c r="BO75" i="46"/>
  <c r="AM480" i="15"/>
  <c r="AM566" i="15" s="1"/>
  <c r="AA508" i="15"/>
  <c r="AE195" i="15"/>
  <c r="AF344" i="15"/>
  <c r="AG344" i="15" s="1"/>
  <c r="AG347" i="15" s="1"/>
  <c r="AF318" i="15"/>
  <c r="AG318" i="15" s="1"/>
  <c r="I23" i="71"/>
  <c r="Y196" i="15"/>
  <c r="AA181" i="15"/>
  <c r="AA186" i="15"/>
  <c r="AB245" i="15"/>
  <c r="AC245" i="15"/>
  <c r="AM541" i="15"/>
  <c r="AM538" i="15"/>
  <c r="AM544" i="15"/>
  <c r="I29" i="15"/>
  <c r="I33" i="15"/>
  <c r="AI440" i="15"/>
  <c r="AI442" i="15"/>
  <c r="W99" i="46"/>
  <c r="AI357" i="15"/>
  <c r="W513" i="15"/>
  <c r="E438" i="15"/>
  <c r="F448" i="15"/>
  <c r="AP29" i="15"/>
  <c r="AP33" i="15"/>
  <c r="BM513" i="15"/>
  <c r="AX537" i="15"/>
  <c r="AY537" i="15" s="1"/>
  <c r="CD205" i="15"/>
  <c r="CD208" i="15" s="1"/>
  <c r="CD229" i="15"/>
  <c r="AF508" i="15"/>
  <c r="AC264" i="15"/>
  <c r="BN510" i="15"/>
  <c r="BN513" i="15"/>
  <c r="U523" i="15"/>
  <c r="BK289" i="15"/>
  <c r="BH289" i="15"/>
  <c r="BI289" i="15"/>
  <c r="BJ289" i="15"/>
  <c r="AM513" i="15"/>
  <c r="J29" i="15"/>
  <c r="J33" i="15"/>
  <c r="Z347" i="15"/>
  <c r="Z350" i="15"/>
  <c r="Z195" i="15"/>
  <c r="Z179" i="15"/>
  <c r="H61" i="51"/>
  <c r="H43" i="51"/>
  <c r="H491" i="15"/>
  <c r="I491" i="15"/>
  <c r="AB506" i="15"/>
  <c r="AC506" i="15" s="1"/>
  <c r="AC508" i="15" s="1"/>
  <c r="W521" i="15"/>
  <c r="V508" i="15"/>
  <c r="H25" i="15"/>
  <c r="H29" i="15"/>
  <c r="H33" i="15" s="1"/>
  <c r="AI360" i="15"/>
  <c r="AJ357" i="15"/>
  <c r="AK357" i="15"/>
  <c r="AF185" i="15"/>
  <c r="AF195" i="15"/>
  <c r="AF179" i="15"/>
  <c r="AB181" i="15"/>
  <c r="AB186" i="15"/>
  <c r="V523" i="15"/>
  <c r="AM470" i="15"/>
  <c r="AM74" i="46"/>
  <c r="BO14" i="51"/>
  <c r="AW190" i="46"/>
  <c r="AD129" i="77"/>
  <c r="AF129" i="77"/>
  <c r="AP129" i="77"/>
  <c r="AA129" i="77"/>
  <c r="AI129" i="77"/>
  <c r="AH129" i="77"/>
  <c r="AJ129" i="77"/>
  <c r="AR129" i="77"/>
  <c r="BG110" i="59"/>
  <c r="CN105" i="59"/>
  <c r="R31" i="59"/>
  <c r="AQ105" i="15"/>
  <c r="AQ106" i="15" s="1"/>
  <c r="AQ316" i="15" s="1"/>
  <c r="AQ102" i="15"/>
  <c r="AQ243" i="15" s="1"/>
  <c r="BD102" i="15"/>
  <c r="BK156" i="15"/>
  <c r="BU45" i="15"/>
  <c r="BQ46" i="15" s="1"/>
  <c r="AR56" i="15"/>
  <c r="BC46" i="15"/>
  <c r="Y100" i="15"/>
  <c r="AD100" i="15"/>
  <c r="AI100" i="15"/>
  <c r="AN100" i="15"/>
  <c r="AS100" i="15"/>
  <c r="AW100" i="15" s="1"/>
  <c r="AX100" i="15"/>
  <c r="BH100" i="15"/>
  <c r="BL100" i="15" s="1"/>
  <c r="AI104" i="15"/>
  <c r="AI53" i="15"/>
  <c r="AI55" i="15"/>
  <c r="AM55" i="15"/>
  <c r="Y101" i="15"/>
  <c r="AI101" i="15"/>
  <c r="AS101" i="15"/>
  <c r="AX101" i="15"/>
  <c r="BC101" i="15"/>
  <c r="BH101" i="15"/>
  <c r="BL101" i="15" s="1"/>
  <c r="AD90" i="15"/>
  <c r="AH90" i="15" s="1"/>
  <c r="AI90" i="15"/>
  <c r="AS90" i="15"/>
  <c r="AX90" i="15"/>
  <c r="BC90" i="15"/>
  <c r="BG90" i="15"/>
  <c r="BH90" i="15"/>
  <c r="BL90" i="15" s="1"/>
  <c r="BF102" i="15"/>
  <c r="AH56" i="15"/>
  <c r="BB56" i="15"/>
  <c r="AH80" i="15"/>
  <c r="AH89" i="15"/>
  <c r="BC47" i="15"/>
  <c r="BE47" i="15"/>
  <c r="BJ47" i="15"/>
  <c r="AD104" i="15"/>
  <c r="AH104" i="15" s="1"/>
  <c r="AN104" i="15"/>
  <c r="AR104" i="15"/>
  <c r="AX104" i="15"/>
  <c r="BH104" i="15"/>
  <c r="BL104" i="15" s="1"/>
  <c r="AN101" i="15"/>
  <c r="AN105" i="15"/>
  <c r="AF102" i="15"/>
  <c r="AF243" i="15"/>
  <c r="BF157" i="15"/>
  <c r="AU102" i="15"/>
  <c r="AU243" i="15" s="1"/>
  <c r="W46" i="15"/>
  <c r="X46" i="15"/>
  <c r="X24" i="73"/>
  <c r="BH46" i="15"/>
  <c r="BL46" i="15" s="1"/>
  <c r="Y53" i="15"/>
  <c r="AC53" i="15" s="1"/>
  <c r="AD53" i="15"/>
  <c r="AH53" i="15"/>
  <c r="AN53" i="15"/>
  <c r="AS53" i="15"/>
  <c r="AW53" i="15" s="1"/>
  <c r="AX53" i="15"/>
  <c r="BH53" i="15"/>
  <c r="BL53" i="15" s="1"/>
  <c r="Y55" i="15"/>
  <c r="AD55" i="15"/>
  <c r="AH55" i="15"/>
  <c r="AN55" i="15"/>
  <c r="AR55" i="15" s="1"/>
  <c r="AS55" i="15"/>
  <c r="AX55" i="15"/>
  <c r="BH55" i="15"/>
  <c r="BL55" i="15" s="1"/>
  <c r="AC54" i="15"/>
  <c r="AH54" i="15"/>
  <c r="AM54" i="15"/>
  <c r="AW54" i="15"/>
  <c r="BB54" i="15"/>
  <c r="BG54" i="15"/>
  <c r="AW56" i="15"/>
  <c r="BG56" i="15"/>
  <c r="AC80" i="15"/>
  <c r="AM80" i="15"/>
  <c r="AW80" i="15"/>
  <c r="BG80" i="15"/>
  <c r="AH83" i="15"/>
  <c r="AR83" i="15"/>
  <c r="AW83" i="15"/>
  <c r="BG83" i="15"/>
  <c r="AR84" i="15"/>
  <c r="BG86" i="15"/>
  <c r="AW87" i="15"/>
  <c r="AR89" i="15"/>
  <c r="BG89" i="15"/>
  <c r="AH93" i="15"/>
  <c r="BG93" i="15"/>
  <c r="AM95" i="15"/>
  <c r="AM97" i="15"/>
  <c r="AJ102" i="15"/>
  <c r="AJ355" i="15"/>
  <c r="AO102" i="15"/>
  <c r="AO243" i="15" s="1"/>
  <c r="BI63" i="15"/>
  <c r="BI59" i="15"/>
  <c r="BI328" i="15" s="1"/>
  <c r="Y276" i="15"/>
  <c r="AN276" i="15"/>
  <c r="AS276" i="15"/>
  <c r="BH276" i="15"/>
  <c r="BC156" i="15"/>
  <c r="BC157" i="15"/>
  <c r="BG97" i="15"/>
  <c r="BG156" i="15" s="1"/>
  <c r="BL156" i="15" s="1"/>
  <c r="BQ156" i="15" s="1"/>
  <c r="AT102" i="15"/>
  <c r="Z105" i="15"/>
  <c r="Z106" i="15"/>
  <c r="Z316" i="15" s="1"/>
  <c r="Z324" i="15" s="1"/>
  <c r="Z102" i="15"/>
  <c r="Z355" i="15"/>
  <c r="AB102" i="15"/>
  <c r="AB243" i="15" s="1"/>
  <c r="AV102" i="15"/>
  <c r="AV243" i="15"/>
  <c r="AY105" i="15"/>
  <c r="BI102" i="15"/>
  <c r="BI64" i="15"/>
  <c r="BI105" i="15"/>
  <c r="BI47" i="15"/>
  <c r="AT262" i="15"/>
  <c r="BE106" i="15"/>
  <c r="S55" i="15"/>
  <c r="S56" i="15"/>
  <c r="BB80" i="15"/>
  <c r="V110" i="59"/>
  <c r="V112" i="59"/>
  <c r="AF110" i="59"/>
  <c r="AF112" i="59"/>
  <c r="L85" i="59"/>
  <c r="AP85" i="59"/>
  <c r="BK102" i="59"/>
  <c r="BP102" i="59"/>
  <c r="BS102" i="59"/>
  <c r="AE105" i="59"/>
  <c r="BB105" i="59"/>
  <c r="BD105" i="59"/>
  <c r="BC100" i="59"/>
  <c r="Q102" i="59"/>
  <c r="Q112" i="59" s="1"/>
  <c r="BE85" i="59"/>
  <c r="AU85" i="59"/>
  <c r="BC80" i="59"/>
  <c r="BB64" i="59"/>
  <c r="AQ29" i="59"/>
  <c r="AT29" i="59"/>
  <c r="P43" i="59"/>
  <c r="M43" i="59"/>
  <c r="O80" i="59"/>
  <c r="N80" i="59"/>
  <c r="AG80" i="59"/>
  <c r="AI80" i="59"/>
  <c r="W81" i="59"/>
  <c r="Z81" i="59"/>
  <c r="X81" i="59"/>
  <c r="T82" i="59"/>
  <c r="S82" i="59"/>
  <c r="AC82" i="59"/>
  <c r="AD82" i="59"/>
  <c r="BA82" i="59"/>
  <c r="BD82" i="59"/>
  <c r="W83" i="59"/>
  <c r="Z83" i="59"/>
  <c r="X83" i="59"/>
  <c r="AQ83" i="59"/>
  <c r="AS83" i="59"/>
  <c r="CY83" i="59"/>
  <c r="CW83" i="59"/>
  <c r="AQ81" i="59"/>
  <c r="AT81" i="59"/>
  <c r="AR81" i="59"/>
  <c r="P94" i="59"/>
  <c r="P102" i="59" s="1"/>
  <c r="O94" i="59"/>
  <c r="Y94" i="59"/>
  <c r="AA102" i="59"/>
  <c r="AJ94" i="59"/>
  <c r="AH94" i="59"/>
  <c r="AK102" i="59"/>
  <c r="BD94" i="59"/>
  <c r="BA94" i="59"/>
  <c r="BB94" i="59"/>
  <c r="Z95" i="59"/>
  <c r="X95" i="59"/>
  <c r="AT95" i="59"/>
  <c r="AS95" i="59"/>
  <c r="P96" i="59"/>
  <c r="N96" i="59"/>
  <c r="AJ96" i="59"/>
  <c r="AG96" i="59"/>
  <c r="AI96" i="59"/>
  <c r="BA96" i="59"/>
  <c r="BC96" i="59"/>
  <c r="W97" i="59"/>
  <c r="Y97" i="59"/>
  <c r="AQ97" i="59"/>
  <c r="AS97" i="59"/>
  <c r="M98" i="59"/>
  <c r="P98" i="59"/>
  <c r="N98" i="59"/>
  <c r="AG98" i="59"/>
  <c r="AJ98" i="59"/>
  <c r="AH98" i="59"/>
  <c r="BA98" i="59"/>
  <c r="BC98" i="59"/>
  <c r="W99" i="59"/>
  <c r="Z99" i="59"/>
  <c r="X99" i="59"/>
  <c r="AT99" i="59"/>
  <c r="AR99" i="59"/>
  <c r="AS99" i="59"/>
  <c r="AJ100" i="59"/>
  <c r="AI100" i="59"/>
  <c r="BL95" i="59"/>
  <c r="BQ95" i="59"/>
  <c r="BV95" i="59"/>
  <c r="CA95" i="59" s="1"/>
  <c r="CF95" i="59" s="1"/>
  <c r="CK95" i="59" s="1"/>
  <c r="CP95" i="59" s="1"/>
  <c r="CU95" i="59" s="1"/>
  <c r="BG102" i="59"/>
  <c r="R105" i="59"/>
  <c r="T105" i="59"/>
  <c r="U105" i="59"/>
  <c r="AQ105" i="59"/>
  <c r="AR105" i="59"/>
  <c r="M106" i="59"/>
  <c r="W106" i="59"/>
  <c r="AA110" i="59"/>
  <c r="Z106" i="59"/>
  <c r="AB107" i="59"/>
  <c r="AE107" i="59"/>
  <c r="AN107" i="59"/>
  <c r="T108" i="59"/>
  <c r="R108" i="59"/>
  <c r="AB108" i="59"/>
  <c r="AE108" i="59"/>
  <c r="AL108" i="59"/>
  <c r="AO108" i="59"/>
  <c r="CG105" i="59"/>
  <c r="CG110" i="59" s="1"/>
  <c r="AX495" i="15" s="1"/>
  <c r="CJ105" i="59"/>
  <c r="CI105" i="59"/>
  <c r="CL105" i="59"/>
  <c r="AD46" i="59"/>
  <c r="AC46" i="59"/>
  <c r="O62" i="59"/>
  <c r="N62" i="59"/>
  <c r="BD62" i="59"/>
  <c r="BC62" i="59"/>
  <c r="AJ70" i="59"/>
  <c r="AI70" i="59"/>
  <c r="BB70" i="59"/>
  <c r="BD29" i="59"/>
  <c r="CH105" i="59"/>
  <c r="CH110" i="59" s="1"/>
  <c r="AY495" i="15" s="1"/>
  <c r="CM105" i="59"/>
  <c r="CO105" i="59"/>
  <c r="CO110" i="59" s="1"/>
  <c r="BF495" i="15" s="1"/>
  <c r="AH106" i="59"/>
  <c r="O100" i="59"/>
  <c r="AH100" i="59"/>
  <c r="N100" i="59"/>
  <c r="AI98" i="59"/>
  <c r="Z97" i="59"/>
  <c r="Y95" i="59"/>
  <c r="AR95" i="59"/>
  <c r="BB98" i="59"/>
  <c r="O98" i="59"/>
  <c r="AT97" i="59"/>
  <c r="M96" i="59"/>
  <c r="W95" i="59"/>
  <c r="BB96" i="59"/>
  <c r="AQ95" i="59"/>
  <c r="AH80" i="59"/>
  <c r="BB82" i="59"/>
  <c r="AS81" i="59"/>
  <c r="AA85" i="59"/>
  <c r="V85" i="59"/>
  <c r="Q85" i="59"/>
  <c r="CV83" i="59"/>
  <c r="Y61" i="59"/>
  <c r="X52" i="59"/>
  <c r="AJ80" i="59"/>
  <c r="AR83" i="59"/>
  <c r="AT83" i="59"/>
  <c r="BC82" i="59"/>
  <c r="BB80" i="59"/>
  <c r="BD80" i="59"/>
  <c r="Z69" i="59"/>
  <c r="P70" i="59"/>
  <c r="O68" i="59"/>
  <c r="AG70" i="59"/>
  <c r="X63" i="59"/>
  <c r="BB60" i="59"/>
  <c r="CN106" i="59"/>
  <c r="CN110" i="59"/>
  <c r="BE495" i="15" s="1"/>
  <c r="AH70" i="59"/>
  <c r="AI68" i="59"/>
  <c r="AS67" i="59"/>
  <c r="AS65" i="59"/>
  <c r="Y65" i="59"/>
  <c r="AI62" i="59"/>
  <c r="AS61" i="59"/>
  <c r="AI60" i="59"/>
  <c r="O60" i="59"/>
  <c r="AS52" i="59"/>
  <c r="N70" i="59"/>
  <c r="BD68" i="59"/>
  <c r="N64" i="59"/>
  <c r="AH62" i="59"/>
  <c r="AI51" i="59"/>
  <c r="BB45" i="59"/>
  <c r="X44" i="59"/>
  <c r="AT46" i="59"/>
  <c r="Z44" i="59"/>
  <c r="AH30" i="59"/>
  <c r="O58" i="51"/>
  <c r="AD102" i="46"/>
  <c r="E58" i="51"/>
  <c r="AR29" i="59"/>
  <c r="AS29" i="59"/>
  <c r="N30" i="59"/>
  <c r="BT34" i="59"/>
  <c r="BG13" i="51"/>
  <c r="AA10" i="51"/>
  <c r="AF10" i="51"/>
  <c r="N40" i="15"/>
  <c r="N35" i="15"/>
  <c r="N551" i="15"/>
  <c r="N562" i="15" s="1"/>
  <c r="N484" i="15"/>
  <c r="AI29" i="15"/>
  <c r="AI33" i="15"/>
  <c r="AI484" i="15"/>
  <c r="K67" i="51"/>
  <c r="AH29" i="15"/>
  <c r="AH33" i="15"/>
  <c r="AH35" i="15" s="1"/>
  <c r="AH41" i="15" s="1"/>
  <c r="AH68" i="46" s="1"/>
  <c r="AH10" i="71" s="1"/>
  <c r="AH7" i="73" s="1"/>
  <c r="AH484" i="15"/>
  <c r="AA21" i="15"/>
  <c r="AA25" i="15"/>
  <c r="DT45" i="71"/>
  <c r="BB77" i="46"/>
  <c r="AN21" i="15"/>
  <c r="AN25" i="15"/>
  <c r="Y25" i="15"/>
  <c r="K484" i="15"/>
  <c r="K29" i="15"/>
  <c r="K33" i="15"/>
  <c r="K35" i="15" s="1"/>
  <c r="K41" i="15" s="1"/>
  <c r="K68" i="46" s="1"/>
  <c r="AJ225" i="15"/>
  <c r="AR484" i="15"/>
  <c r="AR551" i="15"/>
  <c r="AR562" i="15" s="1"/>
  <c r="X23" i="71"/>
  <c r="X557" i="15"/>
  <c r="AM551" i="15"/>
  <c r="AM562" i="15" s="1"/>
  <c r="AM29" i="15"/>
  <c r="AM33" i="15"/>
  <c r="AM35" i="15"/>
  <c r="AR99" i="46"/>
  <c r="AH557" i="15"/>
  <c r="AJ29" i="15"/>
  <c r="AJ33" i="15"/>
  <c r="AJ484" i="15"/>
  <c r="AR23" i="71"/>
  <c r="AT484" i="15"/>
  <c r="AT29" i="15"/>
  <c r="AT33" i="15" s="1"/>
  <c r="BG38" i="46"/>
  <c r="AB19" i="46"/>
  <c r="AB20" i="15"/>
  <c r="BK50" i="15"/>
  <c r="BJ60" i="15"/>
  <c r="BJ368" i="15"/>
  <c r="BJ72" i="15"/>
  <c r="BJ302" i="15"/>
  <c r="BJ63" i="15"/>
  <c r="BJ387" i="15"/>
  <c r="BJ59" i="15"/>
  <c r="BJ328" i="15"/>
  <c r="BJ75" i="15"/>
  <c r="BJ221" i="15" s="1"/>
  <c r="S53" i="15"/>
  <c r="X53" i="15"/>
  <c r="S54" i="15"/>
  <c r="BB86" i="15"/>
  <c r="AV262" i="15"/>
  <c r="Z35" i="15"/>
  <c r="Z41" i="15" s="1"/>
  <c r="Z68" i="46" s="1"/>
  <c r="Z40" i="15"/>
  <c r="Q19" i="46"/>
  <c r="Q20" i="15"/>
  <c r="V19" i="46"/>
  <c r="V20" i="15"/>
  <c r="AD19" i="46"/>
  <c r="AD20" i="15"/>
  <c r="AI35" i="15"/>
  <c r="P20" i="15"/>
  <c r="P19" i="46"/>
  <c r="S20" i="15"/>
  <c r="S19" i="46"/>
  <c r="AC25" i="15"/>
  <c r="AC21" i="15"/>
  <c r="AE20" i="15"/>
  <c r="AE19" i="46"/>
  <c r="AC56" i="15"/>
  <c r="J35" i="15"/>
  <c r="J41" i="15" s="1"/>
  <c r="J68" i="46" s="1"/>
  <c r="J40" i="15"/>
  <c r="AP35" i="15"/>
  <c r="AP41" i="15" s="1"/>
  <c r="AP68" i="46" s="1"/>
  <c r="AP40" i="15"/>
  <c r="I40" i="15"/>
  <c r="I35" i="15"/>
  <c r="AS40" i="15"/>
  <c r="AS35" i="15"/>
  <c r="AS41" i="15"/>
  <c r="AS68" i="46" s="1"/>
  <c r="F35" i="15"/>
  <c r="F41" i="15"/>
  <c r="F68" i="46"/>
  <c r="F40" i="15"/>
  <c r="X40" i="15"/>
  <c r="X35" i="15"/>
  <c r="AG19" i="46"/>
  <c r="AG20" i="15"/>
  <c r="T19" i="46"/>
  <c r="T20" i="15"/>
  <c r="AF19" i="46"/>
  <c r="AF20" i="15"/>
  <c r="BQ77" i="46"/>
  <c r="E40" i="15"/>
  <c r="AO40" i="15"/>
  <c r="S94" i="72"/>
  <c r="S96" i="72"/>
  <c r="T132" i="72"/>
  <c r="BF126" i="72"/>
  <c r="U132" i="72"/>
  <c r="W130" i="72"/>
  <c r="F76" i="46"/>
  <c r="I98" i="46"/>
  <c r="AM98" i="46"/>
  <c r="AO94" i="72"/>
  <c r="N88" i="72"/>
  <c r="S88" i="72"/>
  <c r="Z88" i="72"/>
  <c r="AE88" i="72"/>
  <c r="AH88" i="72"/>
  <c r="AM88" i="72"/>
  <c r="L94" i="72"/>
  <c r="O94" i="72"/>
  <c r="AS14" i="51"/>
  <c r="BE63" i="72"/>
  <c r="BJ62" i="72"/>
  <c r="BJ140" i="72" s="1"/>
  <c r="BI63" i="72"/>
  <c r="BO63" i="72"/>
  <c r="N86" i="72"/>
  <c r="Y133" i="72"/>
  <c r="L27" i="72"/>
  <c r="L20" i="46"/>
  <c r="BM77" i="46"/>
  <c r="BM117" i="46"/>
  <c r="AD133" i="72"/>
  <c r="T20" i="46"/>
  <c r="BI62" i="72"/>
  <c r="K88" i="72"/>
  <c r="Q86" i="72"/>
  <c r="Q49" i="72" s="1"/>
  <c r="T86" i="72"/>
  <c r="T49" i="72"/>
  <c r="AP86" i="72"/>
  <c r="AP49" i="72" s="1"/>
  <c r="AO140" i="72"/>
  <c r="AO62" i="72" s="1"/>
  <c r="BB12" i="51"/>
  <c r="P86" i="72"/>
  <c r="P49" i="72" s="1"/>
  <c r="Z86" i="72"/>
  <c r="Z49" i="72"/>
  <c r="AH86" i="72"/>
  <c r="AH49" i="72" s="1"/>
  <c r="AH42" i="73" s="1"/>
  <c r="J94" i="72"/>
  <c r="Q94" i="72"/>
  <c r="AP140" i="72"/>
  <c r="AP62" i="72"/>
  <c r="I20" i="46"/>
  <c r="K27" i="72"/>
  <c r="K20" i="46"/>
  <c r="Z27" i="72"/>
  <c r="Z20" i="46"/>
  <c r="AN27" i="72"/>
  <c r="AN20" i="46"/>
  <c r="J20" i="46"/>
  <c r="J27" i="72"/>
  <c r="L28" i="72"/>
  <c r="L32" i="72"/>
  <c r="U27" i="72"/>
  <c r="U20" i="46"/>
  <c r="Y27" i="72"/>
  <c r="Y20" i="46"/>
  <c r="AA20" i="46"/>
  <c r="AA27" i="72"/>
  <c r="AD27" i="72"/>
  <c r="AD20" i="46"/>
  <c r="AU97" i="72"/>
  <c r="AE140" i="72"/>
  <c r="AE62" i="72"/>
  <c r="AS140" i="72"/>
  <c r="AS62" i="72"/>
  <c r="O96" i="72"/>
  <c r="U86" i="72"/>
  <c r="U49" i="72"/>
  <c r="V86" i="72"/>
  <c r="V49" i="72"/>
  <c r="AF86" i="72"/>
  <c r="AF49" i="72" s="1"/>
  <c r="AN86" i="72"/>
  <c r="AN49" i="72"/>
  <c r="AO86" i="72"/>
  <c r="AO49" i="72" s="1"/>
  <c r="P94" i="72"/>
  <c r="X86" i="72"/>
  <c r="X49" i="72" s="1"/>
  <c r="X42" i="73" s="1"/>
  <c r="Y86" i="72"/>
  <c r="Y49" i="72"/>
  <c r="BN337" i="46"/>
  <c r="E14" i="51"/>
  <c r="L43" i="51"/>
  <c r="BM50" i="51"/>
  <c r="BM51" i="51"/>
  <c r="AY52" i="51"/>
  <c r="L10" i="51"/>
  <c r="K42" i="51"/>
  <c r="BM52" i="51"/>
  <c r="AI42" i="51"/>
  <c r="AI102" i="46"/>
  <c r="K76" i="46"/>
  <c r="Q10" i="51"/>
  <c r="AX10" i="51"/>
  <c r="AS43" i="51"/>
  <c r="DE50" i="71"/>
  <c r="DJ50" i="71"/>
  <c r="CP50" i="71"/>
  <c r="CH56" i="71"/>
  <c r="CJ56" i="71"/>
  <c r="CI56" i="71"/>
  <c r="BD50" i="15"/>
  <c r="BE50" i="15" s="1"/>
  <c r="BC63" i="15"/>
  <c r="BC387" i="15" s="1"/>
  <c r="AE49" i="15"/>
  <c r="AE46" i="15" s="1"/>
  <c r="AD46" i="15"/>
  <c r="AG97" i="59"/>
  <c r="AB47" i="59"/>
  <c r="AM105" i="59"/>
  <c r="AN105" i="59"/>
  <c r="AN110" i="59" s="1"/>
  <c r="AZ490" i="15" s="1"/>
  <c r="AZ515" i="15" s="1"/>
  <c r="AO105" i="59"/>
  <c r="AO110" i="59" s="1"/>
  <c r="BA490" i="15" s="1"/>
  <c r="BA515" i="15" s="1"/>
  <c r="S64" i="59"/>
  <c r="AC56" i="59"/>
  <c r="AC52" i="59"/>
  <c r="AM51" i="59"/>
  <c r="AM47" i="59"/>
  <c r="X48" i="59"/>
  <c r="AD44" i="59"/>
  <c r="AS48" i="59"/>
  <c r="X22" i="59"/>
  <c r="AO47" i="59"/>
  <c r="M48" i="59"/>
  <c r="BA69" i="59"/>
  <c r="AQ96" i="59"/>
  <c r="AD47" i="59"/>
  <c r="M81" i="59"/>
  <c r="W82" i="59"/>
  <c r="AS96" i="59"/>
  <c r="M97" i="59"/>
  <c r="AI97" i="59"/>
  <c r="AM97" i="59"/>
  <c r="CL106" i="59"/>
  <c r="W62" i="59"/>
  <c r="R63" i="59"/>
  <c r="AQ69" i="59"/>
  <c r="AB80" i="59"/>
  <c r="AQ80" i="59"/>
  <c r="O81" i="59"/>
  <c r="S81" i="59"/>
  <c r="AG81" i="59"/>
  <c r="BA81" i="59"/>
  <c r="AG83" i="59"/>
  <c r="W32" i="59"/>
  <c r="O97" i="59"/>
  <c r="S97" i="59"/>
  <c r="AF34" i="59"/>
  <c r="AQ32" i="59"/>
  <c r="AC47" i="59"/>
  <c r="AL47" i="59"/>
  <c r="AQ47" i="59"/>
  <c r="O48" i="59"/>
  <c r="AE48" i="59"/>
  <c r="AG48" i="59"/>
  <c r="BC81" i="59"/>
  <c r="AQ82" i="59"/>
  <c r="BH85" i="59"/>
  <c r="BJ85" i="59"/>
  <c r="BR85" i="59"/>
  <c r="BT85" i="59"/>
  <c r="M95" i="59"/>
  <c r="AR96" i="59"/>
  <c r="N97" i="59"/>
  <c r="R97" i="59"/>
  <c r="AH97" i="59"/>
  <c r="AL97" i="59"/>
  <c r="R98" i="59"/>
  <c r="M99" i="59"/>
  <c r="AB99" i="59"/>
  <c r="W100" i="59"/>
  <c r="CP100" i="59"/>
  <c r="AC108" i="59"/>
  <c r="CS106" i="59"/>
  <c r="CQ106" i="59"/>
  <c r="CU106" i="59"/>
  <c r="CZ106" i="59" s="1"/>
  <c r="AA112" i="59"/>
  <c r="M105" i="59"/>
  <c r="S105" i="59"/>
  <c r="AS106" i="59"/>
  <c r="BG34" i="59"/>
  <c r="BN42" i="51"/>
  <c r="Z46" i="59"/>
  <c r="AS46" i="59"/>
  <c r="Z43" i="59"/>
  <c r="Y44" i="59"/>
  <c r="Y43" i="59"/>
  <c r="M32" i="59"/>
  <c r="AS32" i="59"/>
  <c r="AG71" i="59"/>
  <c r="AG105" i="59"/>
  <c r="AI19" i="59"/>
  <c r="AI108" i="59"/>
  <c r="BA22" i="59"/>
  <c r="AD28" i="59"/>
  <c r="AB28" i="59"/>
  <c r="AJ31" i="59"/>
  <c r="AG31" i="59"/>
  <c r="BB44" i="59"/>
  <c r="BA44" i="59"/>
  <c r="BD48" i="59"/>
  <c r="BC48" i="59"/>
  <c r="AN49" i="59"/>
  <c r="AL49" i="59"/>
  <c r="T50" i="59"/>
  <c r="R50" i="59"/>
  <c r="AJ58" i="59"/>
  <c r="AG58" i="59"/>
  <c r="T18" i="59"/>
  <c r="V24" i="59"/>
  <c r="AO20" i="59"/>
  <c r="AN20" i="59"/>
  <c r="M28" i="59"/>
  <c r="X28" i="59"/>
  <c r="Z28" i="59"/>
  <c r="Y28" i="59"/>
  <c r="AO44" i="59"/>
  <c r="AL44" i="59"/>
  <c r="U46" i="59"/>
  <c r="R46" i="59"/>
  <c r="BA48" i="59"/>
  <c r="T49" i="59"/>
  <c r="U49" i="59"/>
  <c r="AE49" i="59"/>
  <c r="AO49" i="59"/>
  <c r="AT49" i="59"/>
  <c r="AQ49" i="59"/>
  <c r="Y53" i="59"/>
  <c r="W53" i="59"/>
  <c r="AG57" i="59"/>
  <c r="T61" i="59"/>
  <c r="R61" i="59"/>
  <c r="BP24" i="59"/>
  <c r="BM24" i="59"/>
  <c r="W66" i="59"/>
  <c r="AL66" i="59"/>
  <c r="AQ66" i="59"/>
  <c r="W78" i="59"/>
  <c r="AE99" i="59"/>
  <c r="BA99" i="59"/>
  <c r="BT110" i="59"/>
  <c r="BW24" i="59"/>
  <c r="BZ24" i="59"/>
  <c r="AM59" i="59"/>
  <c r="AO59" i="59"/>
  <c r="Z18" i="59"/>
  <c r="W18" i="59"/>
  <c r="W24" i="59" s="1"/>
  <c r="AI18" i="59"/>
  <c r="AT18" i="59"/>
  <c r="AR18" i="59"/>
  <c r="BC18" i="59"/>
  <c r="BD18" i="59"/>
  <c r="S19" i="59"/>
  <c r="R19" i="59"/>
  <c r="T19" i="59"/>
  <c r="AC19" i="59"/>
  <c r="AB19" i="59"/>
  <c r="AM19" i="59"/>
  <c r="AN19" i="59"/>
  <c r="AO19" i="59"/>
  <c r="S22" i="59"/>
  <c r="T22" i="59"/>
  <c r="AE22" i="59"/>
  <c r="AM22" i="59"/>
  <c r="AL22" i="59"/>
  <c r="AN22" i="59"/>
  <c r="AO22" i="59"/>
  <c r="S29" i="59"/>
  <c r="T29" i="59"/>
  <c r="AB30" i="59"/>
  <c r="AE30" i="59"/>
  <c r="BC31" i="59"/>
  <c r="BA31" i="59"/>
  <c r="AB32" i="59"/>
  <c r="AD32" i="59"/>
  <c r="CO106" i="59"/>
  <c r="CT106" i="59"/>
  <c r="CR106" i="59"/>
  <c r="R29" i="59"/>
  <c r="AC29" i="59"/>
  <c r="L112" i="59"/>
  <c r="CO48" i="59"/>
  <c r="AI64" i="59"/>
  <c r="O64" i="59"/>
  <c r="BC57" i="59"/>
  <c r="AM55" i="59"/>
  <c r="AM45" i="59"/>
  <c r="CS50" i="59"/>
  <c r="X65" i="59"/>
  <c r="BB62" i="59"/>
  <c r="AH51" i="59"/>
  <c r="AJ51" i="59"/>
  <c r="Y46" i="59"/>
  <c r="AC44" i="59"/>
  <c r="W43" i="59"/>
  <c r="AR50" i="59"/>
  <c r="O43" i="59"/>
  <c r="N43" i="59"/>
  <c r="U22" i="59"/>
  <c r="U19" i="59"/>
  <c r="BB18" i="59"/>
  <c r="U18" i="59"/>
  <c r="S18" i="59"/>
  <c r="AC18" i="59"/>
  <c r="AB18" i="59"/>
  <c r="AD18" i="59"/>
  <c r="AS18" i="59"/>
  <c r="P19" i="59"/>
  <c r="O19" i="59"/>
  <c r="Z19" i="59"/>
  <c r="Z20" i="59"/>
  <c r="Y20" i="59"/>
  <c r="AD22" i="59"/>
  <c r="AJ22" i="59"/>
  <c r="AG22" i="59"/>
  <c r="BD22" i="59"/>
  <c r="BB22" i="59"/>
  <c r="BH24" i="59"/>
  <c r="BO43" i="51" s="1"/>
  <c r="BO24" i="59"/>
  <c r="BR24" i="59"/>
  <c r="BT24" i="59"/>
  <c r="AG30" i="59"/>
  <c r="AJ30" i="59"/>
  <c r="Z31" i="59"/>
  <c r="X31" i="59"/>
  <c r="AO46" i="59"/>
  <c r="AL46" i="59"/>
  <c r="AO48" i="59"/>
  <c r="AN48" i="59"/>
  <c r="AT54" i="59"/>
  <c r="AQ54" i="59"/>
  <c r="AG67" i="59"/>
  <c r="R68" i="59"/>
  <c r="AS68" i="59"/>
  <c r="AQ68" i="59"/>
  <c r="AL59" i="59"/>
  <c r="BJ75" i="59"/>
  <c r="BJ87" i="59" s="1"/>
  <c r="R80" i="59"/>
  <c r="AS80" i="59"/>
  <c r="AI81" i="59"/>
  <c r="AM81" i="59"/>
  <c r="O95" i="59"/>
  <c r="O102" i="59" s="1"/>
  <c r="AB95" i="59"/>
  <c r="O99" i="59"/>
  <c r="S99" i="59"/>
  <c r="AD99" i="59"/>
  <c r="AQ99" i="59"/>
  <c r="BC99" i="59"/>
  <c r="Y100" i="59"/>
  <c r="AC100" i="59"/>
  <c r="AT105" i="59"/>
  <c r="AG108" i="59"/>
  <c r="AM108" i="59"/>
  <c r="BA108" i="59"/>
  <c r="BU110" i="59"/>
  <c r="BK24" i="59"/>
  <c r="CZ20" i="59"/>
  <c r="CV20" i="59" s="1"/>
  <c r="CV24" i="59" s="1"/>
  <c r="BS75" i="59"/>
  <c r="AE19" i="59"/>
  <c r="BA19" i="59"/>
  <c r="X20" i="59"/>
  <c r="AB20" i="59"/>
  <c r="AJ20" i="59"/>
  <c r="AT20" i="59"/>
  <c r="AS20" i="59"/>
  <c r="BC20" i="59"/>
  <c r="BD20" i="59"/>
  <c r="AS22" i="59"/>
  <c r="P30" i="59"/>
  <c r="M30" i="59"/>
  <c r="Z32" i="59"/>
  <c r="X32" i="59"/>
  <c r="BN34" i="59"/>
  <c r="BP34" i="59"/>
  <c r="BP36" i="59"/>
  <c r="AR43" i="59"/>
  <c r="AT43" i="59"/>
  <c r="P22" i="59"/>
  <c r="O22" i="59"/>
  <c r="AJ28" i="59"/>
  <c r="AI28" i="59"/>
  <c r="Z30" i="59"/>
  <c r="Y30" i="59"/>
  <c r="AL30" i="59"/>
  <c r="BD31" i="59"/>
  <c r="BB31" i="59"/>
  <c r="AN32" i="59"/>
  <c r="AL32" i="59"/>
  <c r="AG43" i="59"/>
  <c r="U44" i="59"/>
  <c r="R44" i="59"/>
  <c r="L34" i="59"/>
  <c r="L11" i="59" s="1"/>
  <c r="T46" i="59"/>
  <c r="W47" i="59"/>
  <c r="N48" i="59"/>
  <c r="R48" i="59"/>
  <c r="AI48" i="59"/>
  <c r="BB48" i="59"/>
  <c r="R49" i="59"/>
  <c r="W49" i="59"/>
  <c r="AJ50" i="59"/>
  <c r="AG50" i="59"/>
  <c r="AI52" i="59"/>
  <c r="AG52" i="59"/>
  <c r="AN53" i="59"/>
  <c r="AO53" i="59"/>
  <c r="P54" i="59"/>
  <c r="M54" i="59"/>
  <c r="T55" i="59"/>
  <c r="U55" i="59"/>
  <c r="AT55" i="59"/>
  <c r="AQ55" i="59"/>
  <c r="U56" i="59"/>
  <c r="T56" i="59"/>
  <c r="BD56" i="59"/>
  <c r="BA56" i="59"/>
  <c r="AN57" i="59"/>
  <c r="AL57" i="59"/>
  <c r="AT58" i="59"/>
  <c r="AQ58" i="59"/>
  <c r="BD61" i="59"/>
  <c r="BC61" i="59"/>
  <c r="Z62" i="59"/>
  <c r="X62" i="59"/>
  <c r="U63" i="59"/>
  <c r="S63" i="59"/>
  <c r="AL63" i="59"/>
  <c r="AT63" i="59"/>
  <c r="AQ63" i="59"/>
  <c r="BC63" i="59"/>
  <c r="BA63" i="59"/>
  <c r="W64" i="59"/>
  <c r="R65" i="59"/>
  <c r="AT66" i="59"/>
  <c r="AR66" i="59"/>
  <c r="AJ67" i="59"/>
  <c r="AH67" i="59"/>
  <c r="U68" i="59"/>
  <c r="S68" i="59"/>
  <c r="M69" i="59"/>
  <c r="BD69" i="59"/>
  <c r="BB69" i="59"/>
  <c r="M70" i="59"/>
  <c r="S70" i="59"/>
  <c r="R70" i="59"/>
  <c r="AM70" i="59"/>
  <c r="AL70" i="59"/>
  <c r="U50" i="59"/>
  <c r="S50" i="59"/>
  <c r="Y51" i="59"/>
  <c r="U52" i="59"/>
  <c r="T52" i="59"/>
  <c r="BD52" i="59"/>
  <c r="BC52" i="59"/>
  <c r="Z53" i="59"/>
  <c r="X53" i="59"/>
  <c r="AJ53" i="59"/>
  <c r="AG53" i="59"/>
  <c r="AJ54" i="59"/>
  <c r="AI54" i="59"/>
  <c r="P55" i="59"/>
  <c r="AE55" i="59"/>
  <c r="AD55" i="59"/>
  <c r="AO56" i="59"/>
  <c r="AN56" i="59"/>
  <c r="Z57" i="59"/>
  <c r="Y57" i="59"/>
  <c r="BD57" i="59"/>
  <c r="BA57" i="59"/>
  <c r="Z63" i="59"/>
  <c r="W63" i="59"/>
  <c r="BD66" i="59"/>
  <c r="AT67" i="59"/>
  <c r="AQ67" i="59"/>
  <c r="AJ68" i="59"/>
  <c r="AG68" i="59"/>
  <c r="Y70" i="59"/>
  <c r="W70" i="59"/>
  <c r="Y59" i="59"/>
  <c r="W59" i="59"/>
  <c r="M78" i="59"/>
  <c r="R78" i="59"/>
  <c r="T80" i="59"/>
  <c r="AR80" i="59"/>
  <c r="N81" i="59"/>
  <c r="R81" i="59"/>
  <c r="AH81" i="59"/>
  <c r="AL81" i="59"/>
  <c r="BP85" i="59"/>
  <c r="M94" i="59"/>
  <c r="R94" i="59"/>
  <c r="W94" i="59"/>
  <c r="AE95" i="59"/>
  <c r="W98" i="59"/>
  <c r="AL98" i="59"/>
  <c r="BJ102" i="59"/>
  <c r="BM102" i="59"/>
  <c r="BR102" i="59"/>
  <c r="E102" i="59"/>
  <c r="AJ105" i="59"/>
  <c r="BA105" i="59"/>
  <c r="BA110" i="59" s="1"/>
  <c r="AC107" i="59"/>
  <c r="BJ110" i="59"/>
  <c r="BO110" i="59"/>
  <c r="T60" i="59"/>
  <c r="U60" i="59"/>
  <c r="AT60" i="59"/>
  <c r="AS60" i="59"/>
  <c r="Z61" i="59"/>
  <c r="W61" i="59"/>
  <c r="BA28" i="59"/>
  <c r="BC29" i="59"/>
  <c r="W31" i="59"/>
  <c r="AI31" i="59"/>
  <c r="T44" i="59"/>
  <c r="W45" i="59"/>
  <c r="AQ45" i="59"/>
  <c r="AE46" i="59"/>
  <c r="AN46" i="59"/>
  <c r="AI50" i="59"/>
  <c r="AO51" i="59"/>
  <c r="AL52" i="59"/>
  <c r="S56" i="59"/>
  <c r="AE56" i="59"/>
  <c r="AG56" i="59"/>
  <c r="M58" i="59"/>
  <c r="AI58" i="59"/>
  <c r="P60" i="59"/>
  <c r="M60" i="59"/>
  <c r="Y60" i="59"/>
  <c r="W60" i="59"/>
  <c r="AQ60" i="59"/>
  <c r="U61" i="59"/>
  <c r="S61" i="59"/>
  <c r="AD61" i="59"/>
  <c r="AE61" i="59"/>
  <c r="AJ61" i="59"/>
  <c r="AI61" i="59"/>
  <c r="AG61" i="59"/>
  <c r="AO70" i="59"/>
  <c r="W71" i="59"/>
  <c r="S80" i="59"/>
  <c r="AL80" i="59"/>
  <c r="BB81" i="59"/>
  <c r="BI85" i="59"/>
  <c r="BN85" i="59"/>
  <c r="N95" i="59"/>
  <c r="N102" i="59" s="1"/>
  <c r="R95" i="59"/>
  <c r="AD95" i="59"/>
  <c r="AO98" i="59"/>
  <c r="M100" i="59"/>
  <c r="X100" i="59"/>
  <c r="AB100" i="59"/>
  <c r="AG100" i="59"/>
  <c r="AL100" i="59"/>
  <c r="R106" i="59"/>
  <c r="AI59" i="59"/>
  <c r="O58" i="59"/>
  <c r="R58" i="59"/>
  <c r="CI28" i="59"/>
  <c r="CH28" i="59"/>
  <c r="CK28" i="59"/>
  <c r="CP28" i="59" s="1"/>
  <c r="CU28" i="59" s="1"/>
  <c r="CZ28" i="59" s="1"/>
  <c r="CG28" i="59"/>
  <c r="CE28" i="59"/>
  <c r="CD28" i="59"/>
  <c r="CC28" i="59"/>
  <c r="BM102" i="46"/>
  <c r="AA24" i="59"/>
  <c r="AF24" i="59"/>
  <c r="AF36" i="59" s="1"/>
  <c r="W19" i="59"/>
  <c r="AH19" i="59"/>
  <c r="AL19" i="59"/>
  <c r="BC19" i="59"/>
  <c r="BC24" i="59" s="1"/>
  <c r="T20" i="59"/>
  <c r="AM20" i="59"/>
  <c r="N22" i="59"/>
  <c r="R22" i="59"/>
  <c r="Z22" i="59"/>
  <c r="AI22" i="59"/>
  <c r="AH28" i="59"/>
  <c r="X30" i="59"/>
  <c r="AH31" i="59"/>
  <c r="AR32" i="59"/>
  <c r="AI43" i="59"/>
  <c r="S44" i="59"/>
  <c r="AB44" i="59"/>
  <c r="AN44" i="59"/>
  <c r="BD44" i="59"/>
  <c r="Z45" i="59"/>
  <c r="AT45" i="59"/>
  <c r="S46" i="59"/>
  <c r="AB46" i="59"/>
  <c r="AM46" i="59"/>
  <c r="Y47" i="59"/>
  <c r="AS47" i="59"/>
  <c r="T48" i="59"/>
  <c r="AH48" i="59"/>
  <c r="Y49" i="59"/>
  <c r="AS49" i="59"/>
  <c r="AH50" i="59"/>
  <c r="S52" i="59"/>
  <c r="W52" i="59"/>
  <c r="AE52" i="59"/>
  <c r="AN52" i="59"/>
  <c r="AL53" i="59"/>
  <c r="O54" i="59"/>
  <c r="AH54" i="59"/>
  <c r="AS55" i="59"/>
  <c r="AE60" i="59"/>
  <c r="AD60" i="59"/>
  <c r="AN62" i="59"/>
  <c r="AT62" i="59"/>
  <c r="AS62" i="59"/>
  <c r="AQ62" i="59"/>
  <c r="AD64" i="59"/>
  <c r="AB64" i="59"/>
  <c r="AJ65" i="59"/>
  <c r="AH65" i="59"/>
  <c r="P66" i="59"/>
  <c r="M66" i="59"/>
  <c r="BD67" i="59"/>
  <c r="BC67" i="59"/>
  <c r="AD59" i="59"/>
  <c r="AB59" i="59"/>
  <c r="BB59" i="59"/>
  <c r="BD59" i="59"/>
  <c r="BJ34" i="59"/>
  <c r="BJ11" i="59" s="1"/>
  <c r="BC56" i="59"/>
  <c r="X57" i="59"/>
  <c r="AH58" i="59"/>
  <c r="AB60" i="59"/>
  <c r="AJ60" i="59"/>
  <c r="AG60" i="59"/>
  <c r="AO61" i="59"/>
  <c r="AN61" i="59"/>
  <c r="AG62" i="59"/>
  <c r="AR62" i="59"/>
  <c r="Z64" i="59"/>
  <c r="X64" i="59"/>
  <c r="BD64" i="59"/>
  <c r="BA64" i="59"/>
  <c r="M65" i="59"/>
  <c r="AI65" i="59"/>
  <c r="AN65" i="59"/>
  <c r="AL65" i="59"/>
  <c r="BA67" i="59"/>
  <c r="AT68" i="59"/>
  <c r="AR68" i="59"/>
  <c r="BC68" i="59"/>
  <c r="BA68" i="59"/>
  <c r="P69" i="59"/>
  <c r="N69" i="59"/>
  <c r="AS69" i="59"/>
  <c r="AR69" i="59"/>
  <c r="AQ70" i="59"/>
  <c r="AC71" i="59"/>
  <c r="Z59" i="59"/>
  <c r="X59" i="59"/>
  <c r="AQ59" i="59"/>
  <c r="AO78" i="59"/>
  <c r="AM78" i="59"/>
  <c r="AO82" i="59"/>
  <c r="AL82" i="59"/>
  <c r="AE83" i="59"/>
  <c r="AC83" i="59"/>
  <c r="E75" i="59"/>
  <c r="U78" i="59"/>
  <c r="S78" i="59"/>
  <c r="AB78" i="59"/>
  <c r="AN78" i="59"/>
  <c r="P80" i="59"/>
  <c r="M80" i="59"/>
  <c r="W80" i="59"/>
  <c r="AB81" i="59"/>
  <c r="Z82" i="59"/>
  <c r="X82" i="59"/>
  <c r="AE82" i="59"/>
  <c r="AB82" i="59"/>
  <c r="AN82" i="59"/>
  <c r="AD83" i="59"/>
  <c r="BM85" i="59"/>
  <c r="BO85" i="59"/>
  <c r="BS85" i="59"/>
  <c r="BU85" i="59"/>
  <c r="Y98" i="59"/>
  <c r="AC98" i="59"/>
  <c r="AN98" i="59"/>
  <c r="BB99" i="59"/>
  <c r="AH105" i="59"/>
  <c r="AL105" i="59"/>
  <c r="U106" i="59"/>
  <c r="AC106" i="59"/>
  <c r="AI106" i="59"/>
  <c r="Y107" i="59"/>
  <c r="BD108" i="59"/>
  <c r="BQ59" i="59"/>
  <c r="BV59" i="59"/>
  <c r="CA59" i="59" s="1"/>
  <c r="CF59" i="59" s="1"/>
  <c r="CK59" i="59" s="1"/>
  <c r="CP59" i="59" s="1"/>
  <c r="CU59" i="59" s="1"/>
  <c r="CZ59" i="59" s="1"/>
  <c r="M59" i="59"/>
  <c r="AN59" i="59"/>
  <c r="BA59" i="59"/>
  <c r="CO30" i="59"/>
  <c r="CL30" i="59"/>
  <c r="CM110" i="59"/>
  <c r="BD495" i="15" s="1"/>
  <c r="AL28" i="59"/>
  <c r="AN28" i="59"/>
  <c r="S30" i="59"/>
  <c r="BD30" i="59"/>
  <c r="BA30" i="59"/>
  <c r="BB30" i="59"/>
  <c r="AM31" i="59"/>
  <c r="AO31" i="59"/>
  <c r="AL31" i="59"/>
  <c r="U32" i="59"/>
  <c r="S32" i="59"/>
  <c r="T32" i="59"/>
  <c r="AC43" i="59"/>
  <c r="AH44" i="59"/>
  <c r="AI44" i="59"/>
  <c r="AJ44" i="59"/>
  <c r="U45" i="59"/>
  <c r="T45" i="59"/>
  <c r="P50" i="59"/>
  <c r="O50" i="59"/>
  <c r="M50" i="59"/>
  <c r="Z50" i="59"/>
  <c r="X50" i="59"/>
  <c r="BD50" i="59"/>
  <c r="BB50" i="59"/>
  <c r="BC50" i="59"/>
  <c r="M51" i="59"/>
  <c r="O51" i="59"/>
  <c r="AT51" i="59"/>
  <c r="AR51" i="59"/>
  <c r="AS51" i="59"/>
  <c r="BA51" i="59"/>
  <c r="BD51" i="59"/>
  <c r="BB51" i="59"/>
  <c r="T53" i="59"/>
  <c r="U53" i="59"/>
  <c r="U54" i="59"/>
  <c r="S54" i="59"/>
  <c r="T54" i="59"/>
  <c r="AD54" i="59"/>
  <c r="AE54" i="59"/>
  <c r="X55" i="59"/>
  <c r="BD55" i="59"/>
  <c r="BA55" i="59"/>
  <c r="T57" i="59"/>
  <c r="U57" i="59"/>
  <c r="BZ110" i="59"/>
  <c r="AC54" i="59"/>
  <c r="BB55" i="59"/>
  <c r="N51" i="59"/>
  <c r="S45" i="59"/>
  <c r="Y50" i="59"/>
  <c r="AO28" i="59"/>
  <c r="BE34" i="59"/>
  <c r="AN31" i="59"/>
  <c r="T28" i="59"/>
  <c r="R28" i="59"/>
  <c r="AE28" i="59"/>
  <c r="AC28" i="59"/>
  <c r="AM28" i="59"/>
  <c r="AT28" i="59"/>
  <c r="AQ28" i="59"/>
  <c r="AR28" i="59"/>
  <c r="BD28" i="59"/>
  <c r="BB28" i="59"/>
  <c r="P31" i="59"/>
  <c r="N31" i="59"/>
  <c r="O31" i="59"/>
  <c r="R32" i="59"/>
  <c r="BI34" i="59"/>
  <c r="BP42" i="51"/>
  <c r="BO34" i="59"/>
  <c r="BO36" i="59"/>
  <c r="BS34" i="59"/>
  <c r="BU34" i="59"/>
  <c r="BU11" i="59" s="1"/>
  <c r="T43" i="59"/>
  <c r="S43" i="59"/>
  <c r="U43" i="59"/>
  <c r="R43" i="59"/>
  <c r="AN43" i="59"/>
  <c r="AM43" i="59"/>
  <c r="AO43" i="59"/>
  <c r="N44" i="59"/>
  <c r="P44" i="59"/>
  <c r="M44" i="59"/>
  <c r="AG44" i="59"/>
  <c r="AE45" i="59"/>
  <c r="AC45" i="59"/>
  <c r="AD45" i="59"/>
  <c r="BA45" i="59"/>
  <c r="BC45" i="59"/>
  <c r="AH46" i="59"/>
  <c r="AJ46" i="59"/>
  <c r="AG46" i="59"/>
  <c r="AO50" i="59"/>
  <c r="AN50" i="59"/>
  <c r="AL50" i="59"/>
  <c r="BA50" i="59"/>
  <c r="AE51" i="59"/>
  <c r="AD51" i="59"/>
  <c r="AB51" i="59"/>
  <c r="AQ51" i="59"/>
  <c r="AT52" i="59"/>
  <c r="AQ52" i="59"/>
  <c r="AT53" i="59"/>
  <c r="AS53" i="59"/>
  <c r="AQ53" i="59"/>
  <c r="R54" i="59"/>
  <c r="BD54" i="59"/>
  <c r="BC54" i="59"/>
  <c r="BA54" i="59"/>
  <c r="AT56" i="59"/>
  <c r="AQ56" i="59"/>
  <c r="N29" i="59"/>
  <c r="Z29" i="59"/>
  <c r="X29" i="59"/>
  <c r="AC30" i="59"/>
  <c r="AD30" i="59"/>
  <c r="AO30" i="59"/>
  <c r="S31" i="59"/>
  <c r="T31" i="59"/>
  <c r="AE31" i="59"/>
  <c r="AC31" i="59"/>
  <c r="AC32" i="59"/>
  <c r="AE32" i="59"/>
  <c r="AO32" i="59"/>
  <c r="AM32" i="59"/>
  <c r="BK34" i="59"/>
  <c r="BD32" i="59"/>
  <c r="BB32" i="59"/>
  <c r="AU75" i="59"/>
  <c r="AU87" i="59"/>
  <c r="BB43" i="59"/>
  <c r="BA43" i="59"/>
  <c r="BD43" i="59"/>
  <c r="AR44" i="59"/>
  <c r="AS44" i="59"/>
  <c r="N45" i="59"/>
  <c r="O45" i="59"/>
  <c r="AH45" i="59"/>
  <c r="AJ45" i="59"/>
  <c r="AG45" i="59"/>
  <c r="AN45" i="59"/>
  <c r="AL45" i="59"/>
  <c r="N46" i="59"/>
  <c r="P46" i="59"/>
  <c r="BB46" i="59"/>
  <c r="BD46" i="59"/>
  <c r="AD50" i="59"/>
  <c r="AE50" i="59"/>
  <c r="T51" i="59"/>
  <c r="U51" i="59"/>
  <c r="P52" i="59"/>
  <c r="O52" i="59"/>
  <c r="AJ52" i="59"/>
  <c r="AH52" i="59"/>
  <c r="P53" i="59"/>
  <c r="M53" i="59"/>
  <c r="AE53" i="59"/>
  <c r="AD53" i="59"/>
  <c r="AO54" i="59"/>
  <c r="AN55" i="59"/>
  <c r="AL55" i="59"/>
  <c r="P56" i="59"/>
  <c r="O56" i="59"/>
  <c r="AJ56" i="59"/>
  <c r="AH56" i="59"/>
  <c r="P57" i="59"/>
  <c r="M57" i="59"/>
  <c r="AE57" i="59"/>
  <c r="AD57" i="59"/>
  <c r="Z58" i="59"/>
  <c r="W58" i="59"/>
  <c r="AO58" i="59"/>
  <c r="AN58" i="59"/>
  <c r="AN60" i="59"/>
  <c r="AL60" i="59"/>
  <c r="P61" i="59"/>
  <c r="O61" i="59"/>
  <c r="T62" i="59"/>
  <c r="U62" i="59"/>
  <c r="AJ64" i="59"/>
  <c r="AG64" i="59"/>
  <c r="AT65" i="59"/>
  <c r="AQ65" i="59"/>
  <c r="P67" i="59"/>
  <c r="O67" i="59"/>
  <c r="M67" i="59"/>
  <c r="AO68" i="59"/>
  <c r="AN68" i="59"/>
  <c r="AL68" i="59"/>
  <c r="AO69" i="59"/>
  <c r="AN69" i="59"/>
  <c r="AR71" i="59"/>
  <c r="AQ71" i="59"/>
  <c r="AT71" i="59"/>
  <c r="S59" i="59"/>
  <c r="T59" i="59"/>
  <c r="U59" i="59"/>
  <c r="AT57" i="59"/>
  <c r="AS57" i="59"/>
  <c r="U58" i="59"/>
  <c r="S58" i="59"/>
  <c r="AD58" i="59"/>
  <c r="AE58" i="59"/>
  <c r="BD58" i="59"/>
  <c r="BC58" i="59"/>
  <c r="Z60" i="59"/>
  <c r="X60" i="59"/>
  <c r="BD60" i="59"/>
  <c r="BA60" i="59"/>
  <c r="AT61" i="59"/>
  <c r="AQ61" i="59"/>
  <c r="AJ63" i="59"/>
  <c r="AH63" i="59"/>
  <c r="AI63" i="59"/>
  <c r="AN64" i="59"/>
  <c r="AL64" i="59"/>
  <c r="AO64" i="59"/>
  <c r="AE67" i="59"/>
  <c r="AD67" i="59"/>
  <c r="AB67" i="59"/>
  <c r="Z68" i="59"/>
  <c r="Y68" i="59"/>
  <c r="W68" i="59"/>
  <c r="P71" i="59"/>
  <c r="O71" i="59"/>
  <c r="M71" i="59"/>
  <c r="BD71" i="59"/>
  <c r="BB71" i="59"/>
  <c r="BC71" i="59"/>
  <c r="AT78" i="59"/>
  <c r="AR78" i="59"/>
  <c r="P83" i="59"/>
  <c r="N83" i="59"/>
  <c r="U83" i="59"/>
  <c r="R83" i="59"/>
  <c r="BD83" i="59"/>
  <c r="BB83" i="59"/>
  <c r="AC94" i="59"/>
  <c r="AB94" i="59"/>
  <c r="Z96" i="59"/>
  <c r="X96" i="59"/>
  <c r="Y96" i="59"/>
  <c r="AT98" i="59"/>
  <c r="AS98" i="59"/>
  <c r="AQ98" i="59"/>
  <c r="AC105" i="59"/>
  <c r="AC110" i="59" s="1"/>
  <c r="AB105" i="59"/>
  <c r="AD105" i="59"/>
  <c r="P62" i="59"/>
  <c r="M62" i="59"/>
  <c r="AE62" i="59"/>
  <c r="AD62" i="59"/>
  <c r="AS64" i="59"/>
  <c r="AQ64" i="59"/>
  <c r="U65" i="59"/>
  <c r="S65" i="59"/>
  <c r="BC65" i="59"/>
  <c r="BA65" i="59"/>
  <c r="U67" i="59"/>
  <c r="S67" i="59"/>
  <c r="P68" i="59"/>
  <c r="M68" i="59"/>
  <c r="AE68" i="59"/>
  <c r="AC68" i="59"/>
  <c r="AJ69" i="59"/>
  <c r="AI69" i="59"/>
  <c r="Z70" i="59"/>
  <c r="X70" i="59"/>
  <c r="AT70" i="59"/>
  <c r="AR70" i="59"/>
  <c r="BD70" i="59"/>
  <c r="BA70" i="59"/>
  <c r="AJ71" i="59"/>
  <c r="AH71" i="59"/>
  <c r="AG59" i="59"/>
  <c r="AT59" i="59"/>
  <c r="AR59" i="59"/>
  <c r="BN75" i="59"/>
  <c r="AF85" i="59"/>
  <c r="Z78" i="59"/>
  <c r="X78" i="59"/>
  <c r="AJ78" i="59"/>
  <c r="AS78" i="59"/>
  <c r="Z80" i="59"/>
  <c r="X80" i="59"/>
  <c r="AO80" i="59"/>
  <c r="AM80" i="59"/>
  <c r="AE81" i="59"/>
  <c r="AC81" i="59"/>
  <c r="AC85" i="59"/>
  <c r="U82" i="59"/>
  <c r="R82" i="59"/>
  <c r="AT82" i="59"/>
  <c r="AR82" i="59"/>
  <c r="O83" i="59"/>
  <c r="S83" i="59"/>
  <c r="AJ83" i="59"/>
  <c r="AH83" i="59"/>
  <c r="AO83" i="59"/>
  <c r="AL83" i="59"/>
  <c r="BC83" i="59"/>
  <c r="BK85" i="59"/>
  <c r="AM94" i="59"/>
  <c r="AN94" i="59"/>
  <c r="AO94" i="59"/>
  <c r="W96" i="59"/>
  <c r="W102" i="59" s="1"/>
  <c r="W112" i="59" s="1"/>
  <c r="AC97" i="59"/>
  <c r="AE97" i="59"/>
  <c r="AE102" i="59" s="1"/>
  <c r="AB97" i="59"/>
  <c r="AJ99" i="59"/>
  <c r="AI99" i="59"/>
  <c r="AG99" i="59"/>
  <c r="BD100" i="59"/>
  <c r="BA100" i="59"/>
  <c r="W105" i="59"/>
  <c r="Y105" i="59"/>
  <c r="BI75" i="59"/>
  <c r="BO75" i="59"/>
  <c r="BO87" i="59" s="1"/>
  <c r="BT75" i="59"/>
  <c r="S94" i="59"/>
  <c r="T94" i="59"/>
  <c r="S98" i="59"/>
  <c r="T98" i="59"/>
  <c r="AO99" i="59"/>
  <c r="AM99" i="59"/>
  <c r="S100" i="59"/>
  <c r="U100" i="59"/>
  <c r="AM100" i="59"/>
  <c r="AN100" i="59"/>
  <c r="BI102" i="59"/>
  <c r="O105" i="59"/>
  <c r="N105" i="59"/>
  <c r="AG106" i="59"/>
  <c r="S107" i="59"/>
  <c r="W107" i="59"/>
  <c r="BB108" i="59"/>
  <c r="BN102" i="59"/>
  <c r="BU102" i="59"/>
  <c r="BU112" i="59"/>
  <c r="S106" i="59"/>
  <c r="S110" i="59" s="1"/>
  <c r="BK110" i="59"/>
  <c r="BK112" i="59" s="1"/>
  <c r="BP110" i="59"/>
  <c r="BP112" i="59" s="1"/>
  <c r="Q24" i="59"/>
  <c r="P18" i="59"/>
  <c r="Y18" i="59"/>
  <c r="BJ24" i="59"/>
  <c r="E24" i="59"/>
  <c r="CR22" i="59"/>
  <c r="CU22" i="59"/>
  <c r="CZ22" i="59" s="1"/>
  <c r="CQ22" i="59"/>
  <c r="CT22" i="59"/>
  <c r="CS22" i="59"/>
  <c r="CN22" i="59"/>
  <c r="CM22" i="59"/>
  <c r="CL22" i="59"/>
  <c r="CO22" i="59"/>
  <c r="W22" i="59"/>
  <c r="AH22" i="59"/>
  <c r="CY20" i="59"/>
  <c r="CY24" i="59"/>
  <c r="M18" i="59"/>
  <c r="X18" i="59"/>
  <c r="BA18" i="59"/>
  <c r="N19" i="59"/>
  <c r="AD19" i="59"/>
  <c r="BB19" i="59"/>
  <c r="S20" i="59"/>
  <c r="AG20" i="59"/>
  <c r="AR20" i="59"/>
  <c r="AS43" i="59"/>
  <c r="O44" i="59"/>
  <c r="AM44" i="59"/>
  <c r="BC44" i="59"/>
  <c r="Y45" i="59"/>
  <c r="AS45" i="59"/>
  <c r="O46" i="59"/>
  <c r="AI46" i="59"/>
  <c r="BC46" i="59"/>
  <c r="X47" i="59"/>
  <c r="AR47" i="59"/>
  <c r="S48" i="59"/>
  <c r="AB48" i="59"/>
  <c r="AM48" i="59"/>
  <c r="X49" i="59"/>
  <c r="AR49" i="59"/>
  <c r="N50" i="59"/>
  <c r="AB50" i="59"/>
  <c r="AM50" i="59"/>
  <c r="R51" i="59"/>
  <c r="AC51" i="59"/>
  <c r="AL51" i="59"/>
  <c r="N52" i="59"/>
  <c r="AB52" i="59"/>
  <c r="AM52" i="59"/>
  <c r="BB52" i="59"/>
  <c r="R53" i="59"/>
  <c r="AC53" i="59"/>
  <c r="AR53" i="59"/>
  <c r="N54" i="59"/>
  <c r="AB54" i="59"/>
  <c r="BB54" i="59"/>
  <c r="R55" i="59"/>
  <c r="AC55" i="59"/>
  <c r="AR55" i="59"/>
  <c r="N56" i="59"/>
  <c r="AB56" i="59"/>
  <c r="AM56" i="59"/>
  <c r="BB56" i="59"/>
  <c r="R57" i="59"/>
  <c r="AC57" i="59"/>
  <c r="AR57" i="59"/>
  <c r="N58" i="59"/>
  <c r="AB58" i="59"/>
  <c r="AM58" i="59"/>
  <c r="BB58" i="59"/>
  <c r="R60" i="59"/>
  <c r="AC60" i="59"/>
  <c r="AR60" i="59"/>
  <c r="N61" i="59"/>
  <c r="AB61" i="59"/>
  <c r="AM61" i="59"/>
  <c r="BB61" i="59"/>
  <c r="R62" i="59"/>
  <c r="AC62" i="59"/>
  <c r="BA62" i="59"/>
  <c r="AO63" i="59"/>
  <c r="AM63" i="59"/>
  <c r="BD63" i="59"/>
  <c r="BB63" i="59"/>
  <c r="M64" i="59"/>
  <c r="P65" i="59"/>
  <c r="N65" i="59"/>
  <c r="W65" i="59"/>
  <c r="Z66" i="59"/>
  <c r="X66" i="59"/>
  <c r="AE66" i="59"/>
  <c r="AB66" i="59"/>
  <c r="AM66" i="59"/>
  <c r="AN66" i="59"/>
  <c r="T64" i="59"/>
  <c r="R64" i="59"/>
  <c r="AE64" i="59"/>
  <c r="AC64" i="59"/>
  <c r="AT64" i="59"/>
  <c r="AR64" i="59"/>
  <c r="AD65" i="59"/>
  <c r="AB65" i="59"/>
  <c r="AO65" i="59"/>
  <c r="AM65" i="59"/>
  <c r="BD65" i="59"/>
  <c r="BB65" i="59"/>
  <c r="N67" i="59"/>
  <c r="R67" i="59"/>
  <c r="AC67" i="59"/>
  <c r="BB67" i="59"/>
  <c r="X68" i="59"/>
  <c r="AB68" i="59"/>
  <c r="AM68" i="59"/>
  <c r="AH69" i="59"/>
  <c r="AM69" i="59"/>
  <c r="AN70" i="59"/>
  <c r="N71" i="59"/>
  <c r="AD71" i="59"/>
  <c r="AT94" i="59"/>
  <c r="AR94" i="59"/>
  <c r="AJ95" i="59"/>
  <c r="AH95" i="59"/>
  <c r="BD95" i="59"/>
  <c r="BB95" i="59"/>
  <c r="S96" i="59"/>
  <c r="T96" i="59"/>
  <c r="AM96" i="59"/>
  <c r="AN96" i="59"/>
  <c r="Z94" i="59"/>
  <c r="X94" i="59"/>
  <c r="AG94" i="59"/>
  <c r="AS94" i="59"/>
  <c r="AI95" i="59"/>
  <c r="BC95" i="59"/>
  <c r="U96" i="59"/>
  <c r="AO96" i="59"/>
  <c r="AD97" i="59"/>
  <c r="X98" i="59"/>
  <c r="AB98" i="59"/>
  <c r="AR98" i="59"/>
  <c r="N99" i="59"/>
  <c r="R99" i="59"/>
  <c r="AH99" i="59"/>
  <c r="AL99" i="59"/>
  <c r="T100" i="59"/>
  <c r="AX21" i="46"/>
  <c r="AX20" i="51"/>
  <c r="AX21" i="51" s="1"/>
  <c r="BK12" i="51"/>
  <c r="BG12" i="51"/>
  <c r="AY8" i="51"/>
  <c r="AZ8" i="51" s="1"/>
  <c r="AU432" i="15"/>
  <c r="AS432" i="15"/>
  <c r="BG85" i="59"/>
  <c r="AW116" i="72"/>
  <c r="BA116" i="72"/>
  <c r="AV120" i="72"/>
  <c r="AV115" i="72"/>
  <c r="AV103" i="72"/>
  <c r="AV84" i="72"/>
  <c r="AV77" i="72"/>
  <c r="AV21" i="72"/>
  <c r="AV23" i="72"/>
  <c r="AV16" i="72"/>
  <c r="AW179" i="46"/>
  <c r="AW197" i="46"/>
  <c r="DO16" i="71"/>
  <c r="AW54" i="71" s="1"/>
  <c r="AE212" i="46"/>
  <c r="AW162" i="46"/>
  <c r="AW171" i="46"/>
  <c r="AW181" i="46" s="1"/>
  <c r="AV144" i="46"/>
  <c r="N211" i="46"/>
  <c r="N171" i="46"/>
  <c r="N190" i="46"/>
  <c r="CF12" i="71" s="1"/>
  <c r="AH190" i="46"/>
  <c r="AR211" i="46"/>
  <c r="AR212" i="46" s="1"/>
  <c r="AN212" i="46"/>
  <c r="AN218" i="46"/>
  <c r="AV162" i="46"/>
  <c r="AV171" i="46" s="1"/>
  <c r="AV181" i="46" s="1"/>
  <c r="AW37" i="71"/>
  <c r="AW44" i="46"/>
  <c r="AW42" i="71" s="1"/>
  <c r="AW12" i="46"/>
  <c r="AW17" i="46"/>
  <c r="AW22" i="46" s="1"/>
  <c r="AW27" i="46" s="1"/>
  <c r="AW28" i="46" s="1"/>
  <c r="BN87" i="59"/>
  <c r="AS262" i="15"/>
  <c r="AI102" i="15"/>
  <c r="AI355" i="15" s="1"/>
  <c r="AI363" i="15" s="1"/>
  <c r="Y105" i="15"/>
  <c r="BH105" i="15"/>
  <c r="AX102" i="15"/>
  <c r="AI105" i="15"/>
  <c r="AM101" i="15"/>
  <c r="AB106" i="15"/>
  <c r="AB316" i="15" s="1"/>
  <c r="AB324" i="15" s="1"/>
  <c r="BJ71" i="15"/>
  <c r="BJ73" i="15" s="1"/>
  <c r="BJ261" i="15"/>
  <c r="Z243" i="15"/>
  <c r="AJ243" i="15"/>
  <c r="AF355" i="15"/>
  <c r="AR101" i="15"/>
  <c r="BI75" i="15"/>
  <c r="BI341" i="15"/>
  <c r="CX43" i="59"/>
  <c r="CS51" i="59"/>
  <c r="CV51" i="59"/>
  <c r="CY51" i="59"/>
  <c r="CX51" i="59"/>
  <c r="CW51" i="59"/>
  <c r="CZ51" i="59"/>
  <c r="CR51" i="59"/>
  <c r="CQ51" i="59"/>
  <c r="CT51" i="59"/>
  <c r="AJ178" i="15"/>
  <c r="AK225" i="15"/>
  <c r="Y484" i="15"/>
  <c r="Y29" i="15"/>
  <c r="Y33" i="15" s="1"/>
  <c r="AA29" i="15"/>
  <c r="AA33" i="15" s="1"/>
  <c r="AA484" i="15"/>
  <c r="AN29" i="15"/>
  <c r="AN33" i="15"/>
  <c r="AN484" i="15"/>
  <c r="N550" i="15"/>
  <c r="N41" i="15"/>
  <c r="N68" i="46"/>
  <c r="N10" i="71" s="1"/>
  <c r="BJ407" i="15"/>
  <c r="BJ210" i="15"/>
  <c r="BJ301" i="15"/>
  <c r="BJ367" i="15"/>
  <c r="BK64" i="15"/>
  <c r="BK388" i="15"/>
  <c r="BK63" i="15"/>
  <c r="BK59" i="15"/>
  <c r="BK341" i="15" s="1"/>
  <c r="AB21" i="15"/>
  <c r="AB25" i="15"/>
  <c r="AE21" i="15"/>
  <c r="AE25" i="15"/>
  <c r="AC484" i="15"/>
  <c r="AC551" i="15"/>
  <c r="AC562" i="15" s="1"/>
  <c r="AC29" i="15"/>
  <c r="AC33" i="15"/>
  <c r="S25" i="15"/>
  <c r="S21" i="15"/>
  <c r="P25" i="15"/>
  <c r="P21" i="15"/>
  <c r="AD21" i="15"/>
  <c r="AD25" i="15"/>
  <c r="V25" i="15"/>
  <c r="V21" i="15"/>
  <c r="Q25" i="15"/>
  <c r="Q21" i="15"/>
  <c r="AC23" i="71"/>
  <c r="AC557" i="15"/>
  <c r="AF21" i="15"/>
  <c r="AF25" i="15"/>
  <c r="T25" i="15"/>
  <c r="T21" i="15"/>
  <c r="I41" i="15"/>
  <c r="I68" i="46" s="1"/>
  <c r="I10" i="71" s="1"/>
  <c r="I550" i="15"/>
  <c r="AG21" i="15"/>
  <c r="AG25" i="15"/>
  <c r="X41" i="15"/>
  <c r="X68" i="46" s="1"/>
  <c r="X10" i="71" s="1"/>
  <c r="X7" i="73" s="1"/>
  <c r="BF127" i="72"/>
  <c r="BK126" i="72"/>
  <c r="X97" i="72"/>
  <c r="BI143" i="72"/>
  <c r="BH63" i="72"/>
  <c r="BH143" i="72" s="1"/>
  <c r="BE143" i="72"/>
  <c r="BD63" i="72"/>
  <c r="BO143" i="72"/>
  <c r="BN63" i="72"/>
  <c r="BI140" i="72"/>
  <c r="BH62" i="72"/>
  <c r="BH140" i="72" s="1"/>
  <c r="AA32" i="72"/>
  <c r="AA28" i="72"/>
  <c r="U28" i="72"/>
  <c r="U32" i="72"/>
  <c r="L36" i="72"/>
  <c r="L65" i="72"/>
  <c r="J28" i="72"/>
  <c r="J32" i="72"/>
  <c r="AN32" i="72"/>
  <c r="AN28" i="72"/>
  <c r="T97" i="72"/>
  <c r="AD28" i="72"/>
  <c r="AD32" i="72"/>
  <c r="Y28" i="72"/>
  <c r="Y32" i="72"/>
  <c r="Z32" i="72"/>
  <c r="Z28" i="72"/>
  <c r="K28" i="72"/>
  <c r="K32" i="72"/>
  <c r="AF49" i="15"/>
  <c r="AF46" i="15"/>
  <c r="W110" i="59"/>
  <c r="CN100" i="59"/>
  <c r="CQ100" i="59"/>
  <c r="CT100" i="59"/>
  <c r="CS100" i="59"/>
  <c r="CR100" i="59"/>
  <c r="CU100" i="59"/>
  <c r="CM100" i="59"/>
  <c r="CL100" i="59"/>
  <c r="CO100" i="59"/>
  <c r="BJ112" i="59"/>
  <c r="AD85" i="59"/>
  <c r="AC102" i="59"/>
  <c r="X102" i="59"/>
  <c r="AY16" i="51"/>
  <c r="AY10" i="51"/>
  <c r="BP12" i="51"/>
  <c r="BF116" i="72"/>
  <c r="BA113" i="72"/>
  <c r="AW115" i="72"/>
  <c r="AX243" i="15"/>
  <c r="N561" i="15"/>
  <c r="N558" i="15"/>
  <c r="AL225" i="15"/>
  <c r="AB484" i="15"/>
  <c r="AB29" i="15"/>
  <c r="AB33" i="15" s="1"/>
  <c r="BK367" i="15"/>
  <c r="BK354" i="15"/>
  <c r="Q484" i="15"/>
  <c r="Q29" i="15"/>
  <c r="Q33" i="15"/>
  <c r="V29" i="15"/>
  <c r="V33" i="15" s="1"/>
  <c r="V484" i="15"/>
  <c r="P29" i="15"/>
  <c r="P33" i="15" s="1"/>
  <c r="P484" i="15"/>
  <c r="S29" i="15"/>
  <c r="S33" i="15"/>
  <c r="S551" i="15"/>
  <c r="S562" i="15" s="1"/>
  <c r="S484" i="15"/>
  <c r="AE29" i="15"/>
  <c r="AE33" i="15" s="1"/>
  <c r="AE484" i="15"/>
  <c r="AD484" i="15"/>
  <c r="AD29" i="15"/>
  <c r="AD33" i="15" s="1"/>
  <c r="S557" i="15"/>
  <c r="S23" i="71"/>
  <c r="T29" i="15"/>
  <c r="T33" i="15" s="1"/>
  <c r="T484" i="15"/>
  <c r="AG484" i="15"/>
  <c r="AG29" i="15"/>
  <c r="AG33" i="15" s="1"/>
  <c r="I558" i="15"/>
  <c r="I561" i="15"/>
  <c r="AF29" i="15"/>
  <c r="AF33" i="15" s="1"/>
  <c r="AF484" i="15"/>
  <c r="BK127" i="72"/>
  <c r="BP126" i="72"/>
  <c r="BM63" i="72"/>
  <c r="BM143" i="72" s="1"/>
  <c r="BN143" i="72"/>
  <c r="BC63" i="72"/>
  <c r="BC143" i="72" s="1"/>
  <c r="BD143" i="72"/>
  <c r="AA36" i="72"/>
  <c r="AA65" i="72"/>
  <c r="K36" i="72"/>
  <c r="K65" i="72"/>
  <c r="Z65" i="72"/>
  <c r="Z36" i="72"/>
  <c r="Y36" i="72"/>
  <c r="Y65" i="72"/>
  <c r="AD65" i="72"/>
  <c r="AD36" i="72"/>
  <c r="AN36" i="72"/>
  <c r="AN65" i="72"/>
  <c r="J36" i="72"/>
  <c r="J65" i="72"/>
  <c r="L38" i="72"/>
  <c r="U65" i="72"/>
  <c r="U36" i="72"/>
  <c r="AG49" i="15"/>
  <c r="AG46" i="15"/>
  <c r="BZ34" i="59"/>
  <c r="CB102" i="59"/>
  <c r="CB112" i="59" s="1"/>
  <c r="CE102" i="59"/>
  <c r="CD102" i="59"/>
  <c r="BZ102" i="59"/>
  <c r="CC102" i="59"/>
  <c r="BY102" i="59"/>
  <c r="BX102" i="59"/>
  <c r="BW102" i="59"/>
  <c r="BW112" i="59" s="1"/>
  <c r="CC75" i="59"/>
  <c r="BY75" i="59"/>
  <c r="CE75" i="59"/>
  <c r="CD75" i="59"/>
  <c r="BX75" i="59"/>
  <c r="AY20" i="51"/>
  <c r="AY21" i="51" s="1"/>
  <c r="AY21" i="46"/>
  <c r="BF113" i="72"/>
  <c r="BK116" i="72"/>
  <c r="AM225" i="15"/>
  <c r="Q35" i="15"/>
  <c r="Q41" i="15" s="1"/>
  <c r="Q68" i="46" s="1"/>
  <c r="Q40" i="15"/>
  <c r="S35" i="15"/>
  <c r="AN38" i="72"/>
  <c r="AN44" i="72" s="1"/>
  <c r="AN69" i="46" s="1"/>
  <c r="AD38" i="72"/>
  <c r="AD44" i="72"/>
  <c r="AD43" i="72"/>
  <c r="Z38" i="72"/>
  <c r="Z44" i="72" s="1"/>
  <c r="Z43" i="72"/>
  <c r="AA38" i="72"/>
  <c r="AA44" i="72" s="1"/>
  <c r="AA43" i="72"/>
  <c r="U43" i="72"/>
  <c r="U38" i="72"/>
  <c r="U44" i="72"/>
  <c r="J38" i="72"/>
  <c r="J44" i="72" s="1"/>
  <c r="J69" i="46" s="1"/>
  <c r="J43" i="72"/>
  <c r="Y43" i="72"/>
  <c r="Y38" i="72"/>
  <c r="Y44" i="72" s="1"/>
  <c r="K43" i="72"/>
  <c r="K38" i="72"/>
  <c r="K44" i="72" s="1"/>
  <c r="K69" i="46" s="1"/>
  <c r="BP116" i="72"/>
  <c r="BP113" i="72" s="1"/>
  <c r="BK113" i="72"/>
  <c r="AN225" i="15"/>
  <c r="AO225" i="15" s="1"/>
  <c r="AP225" i="15" s="1"/>
  <c r="AQ225" i="15" s="1"/>
  <c r="DO38" i="71"/>
  <c r="DO50" i="71" s="1"/>
  <c r="DO12" i="71"/>
  <c r="DO11" i="71"/>
  <c r="BA84" i="72"/>
  <c r="BF84" i="72" s="1"/>
  <c r="AX159" i="72"/>
  <c r="AY159" i="72" s="1"/>
  <c r="AX152" i="72"/>
  <c r="AU159" i="72"/>
  <c r="AT159" i="72"/>
  <c r="AS159" i="72"/>
  <c r="E85" i="59"/>
  <c r="AK85" i="59"/>
  <c r="AG85" i="59"/>
  <c r="BT274" i="72"/>
  <c r="BG275" i="72" s="1"/>
  <c r="AX494" i="15"/>
  <c r="E110" i="59"/>
  <c r="AK110" i="59"/>
  <c r="AK112" i="59"/>
  <c r="AH110" i="59"/>
  <c r="AJ110" i="59"/>
  <c r="CI110" i="59"/>
  <c r="AZ495" i="15"/>
  <c r="CJ110" i="59"/>
  <c r="BA495" i="15" s="1"/>
  <c r="CC110" i="59"/>
  <c r="CC112" i="59"/>
  <c r="AJ50" i="15"/>
  <c r="AK50" i="15" s="1"/>
  <c r="AL50" i="15" s="1"/>
  <c r="AD223" i="15"/>
  <c r="AO50" i="15"/>
  <c r="BA50" i="15"/>
  <c r="BL110" i="59"/>
  <c r="BJ341" i="15"/>
  <c r="BJ61" i="15"/>
  <c r="BJ354" i="15"/>
  <c r="BI387" i="15"/>
  <c r="BB55" i="15"/>
  <c r="AC55" i="15"/>
  <c r="BB53" i="15"/>
  <c r="BH64" i="15"/>
  <c r="BH388" i="15" s="1"/>
  <c r="BH47" i="15"/>
  <c r="BH106" i="15"/>
  <c r="BC105" i="15"/>
  <c r="BG101" i="15"/>
  <c r="AX105" i="15"/>
  <c r="BB101" i="15"/>
  <c r="AS105" i="15"/>
  <c r="AS102" i="15"/>
  <c r="AM104" i="15"/>
  <c r="AI106" i="15"/>
  <c r="AC100" i="15"/>
  <c r="Y102" i="15"/>
  <c r="BD64" i="15"/>
  <c r="BD60" i="15"/>
  <c r="BD368" i="15"/>
  <c r="BD47" i="15"/>
  <c r="BD63" i="15"/>
  <c r="AC81" i="15"/>
  <c r="AW81" i="15"/>
  <c r="Y136" i="15"/>
  <c r="AC93" i="15"/>
  <c r="AM93" i="15"/>
  <c r="Z276" i="15"/>
  <c r="AC94" i="15"/>
  <c r="AC276" i="15" s="1"/>
  <c r="AB276" i="15"/>
  <c r="AE276" i="15"/>
  <c r="AH94" i="15"/>
  <c r="AH276" i="15" s="1"/>
  <c r="AJ276" i="15"/>
  <c r="AM94" i="15"/>
  <c r="AM276" i="15" s="1"/>
  <c r="AO276" i="15"/>
  <c r="AR94" i="15"/>
  <c r="AR276" i="15"/>
  <c r="AU276" i="15"/>
  <c r="AW94" i="15"/>
  <c r="AW276" i="15" s="1"/>
  <c r="AX276" i="15"/>
  <c r="BB94" i="15"/>
  <c r="BB276" i="15" s="1"/>
  <c r="AA105" i="15"/>
  <c r="AA102" i="15"/>
  <c r="AC102" i="15" s="1"/>
  <c r="AC101" i="15"/>
  <c r="BJ105" i="15"/>
  <c r="BJ106" i="15" s="1"/>
  <c r="BH59" i="15"/>
  <c r="BL59" i="15" s="1"/>
  <c r="BD59" i="15"/>
  <c r="BD341" i="15" s="1"/>
  <c r="BG46" i="15"/>
  <c r="BG24" i="73" s="1"/>
  <c r="BB81" i="15"/>
  <c r="BG94" i="15"/>
  <c r="BG276" i="15" s="1"/>
  <c r="BJ102" i="15"/>
  <c r="BI106" i="15"/>
  <c r="BI354" i="15"/>
  <c r="BI367" i="15"/>
  <c r="AW90" i="15"/>
  <c r="AV223" i="15"/>
  <c r="AU262" i="15"/>
  <c r="AW46" i="15"/>
  <c r="AW24" i="73"/>
  <c r="BI60" i="15"/>
  <c r="BI368" i="15" s="1"/>
  <c r="AC83" i="15"/>
  <c r="Y129" i="77"/>
  <c r="AN129" i="77"/>
  <c r="AF106" i="15"/>
  <c r="AF316" i="15" s="1"/>
  <c r="AF324" i="15" s="1"/>
  <c r="Z129" i="77"/>
  <c r="BI221" i="15"/>
  <c r="BJ242" i="15"/>
  <c r="AT243" i="15"/>
  <c r="BI71" i="15"/>
  <c r="BI301" i="15" s="1"/>
  <c r="BI72" i="15"/>
  <c r="AY106" i="15"/>
  <c r="AB355" i="15"/>
  <c r="BH63" i="15"/>
  <c r="BL63" i="15" s="1"/>
  <c r="BL24" i="73"/>
  <c r="AS106" i="15"/>
  <c r="AS316" i="15" s="1"/>
  <c r="AW55" i="15"/>
  <c r="AM53" i="15"/>
  <c r="AW104" i="15"/>
  <c r="BC53" i="15"/>
  <c r="AE129" i="77"/>
  <c r="AK129" i="77"/>
  <c r="AM129" i="77"/>
  <c r="AY276" i="15"/>
  <c r="BC55" i="15"/>
  <c r="AW95" i="59"/>
  <c r="AW97" i="59"/>
  <c r="AW99" i="59"/>
  <c r="AW105" i="59"/>
  <c r="AW18" i="59"/>
  <c r="AW20" i="59"/>
  <c r="AW22" i="59"/>
  <c r="AW27" i="59"/>
  <c r="AW78" i="59"/>
  <c r="AW80" i="59"/>
  <c r="AW82" i="59"/>
  <c r="AP50" i="15"/>
  <c r="BQ110" i="59"/>
  <c r="BD61" i="15"/>
  <c r="BD367" i="15"/>
  <c r="BD387" i="15"/>
  <c r="BD65" i="15"/>
  <c r="AS243" i="15"/>
  <c r="AW243" i="15" s="1"/>
  <c r="AW102" i="15"/>
  <c r="AW262" i="15"/>
  <c r="BH328" i="15"/>
  <c r="BH354" i="15"/>
  <c r="BH341" i="15"/>
  <c r="BH367" i="15"/>
  <c r="AA243" i="15"/>
  <c r="BD68" i="15"/>
  <c r="BD71" i="15"/>
  <c r="BG47" i="15"/>
  <c r="BD72" i="15"/>
  <c r="BD302" i="15" s="1"/>
  <c r="BD67" i="15"/>
  <c r="BD75" i="15"/>
  <c r="BD76" i="15"/>
  <c r="BD222" i="15"/>
  <c r="BD388" i="15"/>
  <c r="Y355" i="15"/>
  <c r="Y363" i="15"/>
  <c r="Y243" i="15"/>
  <c r="AI316" i="15"/>
  <c r="BH68" i="15"/>
  <c r="BH76" i="15"/>
  <c r="BH72" i="15"/>
  <c r="BH302" i="15" s="1"/>
  <c r="BH75" i="15"/>
  <c r="BH71" i="15"/>
  <c r="BH67" i="15"/>
  <c r="BG55" i="15"/>
  <c r="BC72" i="15"/>
  <c r="BC67" i="15"/>
  <c r="BC71" i="15"/>
  <c r="BC76" i="15"/>
  <c r="BC77" i="15" s="1"/>
  <c r="BC75" i="15"/>
  <c r="BC68" i="15"/>
  <c r="BG53" i="15"/>
  <c r="BC60" i="15"/>
  <c r="BC59" i="15"/>
  <c r="AY316" i="15"/>
  <c r="BH387" i="15"/>
  <c r="BH65" i="15"/>
  <c r="BI242" i="15"/>
  <c r="BI408" i="15"/>
  <c r="BI302" i="15"/>
  <c r="BI274" i="15"/>
  <c r="BI241" i="15"/>
  <c r="AQ50" i="15"/>
  <c r="BH274" i="15"/>
  <c r="BH210" i="15"/>
  <c r="BH241" i="15"/>
  <c r="BH301" i="15"/>
  <c r="BH407" i="15"/>
  <c r="BH261" i="15"/>
  <c r="BH221" i="15"/>
  <c r="BH77" i="15"/>
  <c r="BH222" i="15"/>
  <c r="BD221" i="15"/>
  <c r="BD77" i="15"/>
  <c r="BD408" i="15"/>
  <c r="BH69" i="15"/>
  <c r="BH315" i="15"/>
  <c r="BD69" i="15"/>
  <c r="BD315" i="15" s="1"/>
  <c r="BD274" i="15"/>
  <c r="BD261" i="15"/>
  <c r="BD73" i="15"/>
  <c r="BD288" i="15" s="1"/>
  <c r="BD241" i="15"/>
  <c r="BD301" i="15"/>
  <c r="BD210" i="15"/>
  <c r="BD407" i="15"/>
  <c r="BC341" i="15"/>
  <c r="BC354" i="15"/>
  <c r="BC328" i="15"/>
  <c r="BC61" i="15"/>
  <c r="BC367" i="15"/>
  <c r="BC222" i="15"/>
  <c r="BC69" i="15"/>
  <c r="BC315" i="15" s="1"/>
  <c r="BC368" i="15"/>
  <c r="BC221" i="15"/>
  <c r="BC274" i="15"/>
  <c r="BC241" i="15"/>
  <c r="BC261" i="15"/>
  <c r="BC73" i="15"/>
  <c r="BC209" i="15"/>
  <c r="BC301" i="15"/>
  <c r="BC210" i="15"/>
  <c r="BC407" i="15"/>
  <c r="BC408" i="15"/>
  <c r="BC242" i="15"/>
  <c r="BC302" i="15"/>
  <c r="BC288" i="15"/>
  <c r="AX437" i="15"/>
  <c r="AX436" i="15"/>
  <c r="AX441" i="15"/>
  <c r="AX438" i="15"/>
  <c r="AX484" i="15"/>
  <c r="AV20" i="46"/>
  <c r="AW32" i="72"/>
  <c r="AW65" i="72"/>
  <c r="AW28" i="72"/>
  <c r="AW235" i="72"/>
  <c r="AW248" i="72" s="1"/>
  <c r="AW36" i="72"/>
  <c r="AW238" i="72" s="1"/>
  <c r="AW236" i="72"/>
  <c r="AW243" i="72" s="1"/>
  <c r="AW22" i="71"/>
  <c r="AW38" i="72"/>
  <c r="AW44" i="72" s="1"/>
  <c r="AN106" i="15"/>
  <c r="BD106" i="15"/>
  <c r="BG105" i="15"/>
  <c r="BJ241" i="15"/>
  <c r="BJ408" i="15"/>
  <c r="BJ274" i="15"/>
  <c r="AN102" i="15"/>
  <c r="AN355" i="15" s="1"/>
  <c r="BJ76" i="15"/>
  <c r="BJ68" i="15"/>
  <c r="BJ67" i="15"/>
  <c r="BJ69" i="15"/>
  <c r="BJ315" i="15" s="1"/>
  <c r="AS223" i="15"/>
  <c r="AW86" i="15"/>
  <c r="AW93" i="15"/>
  <c r="BB93" i="15"/>
  <c r="AT106" i="15"/>
  <c r="AT316" i="15" s="1"/>
  <c r="X129" i="77"/>
  <c r="AB129" i="77"/>
  <c r="AT129" i="77"/>
  <c r="AV129" i="77"/>
  <c r="AX129" i="77"/>
  <c r="AO316" i="15"/>
  <c r="BC64" i="15"/>
  <c r="X55" i="15"/>
  <c r="AV106" i="15"/>
  <c r="AO129" i="77"/>
  <c r="BI14" i="51"/>
  <c r="BN12" i="51"/>
  <c r="BL12" i="51"/>
  <c r="BN13" i="51"/>
  <c r="AE360" i="15"/>
  <c r="AF359" i="15"/>
  <c r="AB346" i="15"/>
  <c r="AF346" i="15"/>
  <c r="AF347" i="15" s="1"/>
  <c r="AH347" i="15" s="1"/>
  <c r="AE347" i="15"/>
  <c r="AA359" i="15"/>
  <c r="Z360" i="15"/>
  <c r="AF320" i="15"/>
  <c r="AF321" i="15" s="1"/>
  <c r="AF163" i="15" s="1"/>
  <c r="AP320" i="15"/>
  <c r="AA320" i="15"/>
  <c r="AB321" i="15"/>
  <c r="AU320" i="15"/>
  <c r="AZ320" i="15"/>
  <c r="Z304" i="15"/>
  <c r="AA304" i="15" s="1"/>
  <c r="Y180" i="15"/>
  <c r="Y182" i="15"/>
  <c r="Y307" i="15"/>
  <c r="AC281" i="15"/>
  <c r="AC284" i="15" s="1"/>
  <c r="AK280" i="15"/>
  <c r="Z293" i="15"/>
  <c r="Y294" i="15"/>
  <c r="Y297" i="15" s="1"/>
  <c r="BE293" i="15"/>
  <c r="BJ293" i="15"/>
  <c r="BO293" i="15" s="1"/>
  <c r="BD293" i="15"/>
  <c r="BI293" i="15"/>
  <c r="BN293" i="15" s="1"/>
  <c r="AE304" i="15"/>
  <c r="AD307" i="15"/>
  <c r="BB38" i="46"/>
  <c r="AO212" i="46"/>
  <c r="AO218" i="46"/>
  <c r="AO219" i="46"/>
  <c r="BB41" i="46"/>
  <c r="AX46" i="15"/>
  <c r="AX76" i="15" s="1"/>
  <c r="AX222" i="15" s="1"/>
  <c r="AY49" i="15"/>
  <c r="AZ49" i="15" s="1"/>
  <c r="AZ46" i="15" s="1"/>
  <c r="AN46" i="15"/>
  <c r="AN63" i="15"/>
  <c r="AO49" i="15"/>
  <c r="BJ77" i="15"/>
  <c r="BJ222" i="15"/>
  <c r="AV316" i="15"/>
  <c r="BN14" i="51"/>
  <c r="BQ12" i="51"/>
  <c r="Z363" i="15"/>
  <c r="AG359" i="15"/>
  <c r="AF360" i="15"/>
  <c r="AH360" i="15" s="1"/>
  <c r="AA360" i="15"/>
  <c r="AB359" i="15"/>
  <c r="AG346" i="15"/>
  <c r="AH346" i="15" s="1"/>
  <c r="AI346" i="15" s="1"/>
  <c r="AJ346" i="15" s="1"/>
  <c r="AK346" i="15" s="1"/>
  <c r="AL346" i="15" s="1"/>
  <c r="AM346" i="15" s="1"/>
  <c r="AN346" i="15" s="1"/>
  <c r="AO346" i="15" s="1"/>
  <c r="AP346" i="15" s="1"/>
  <c r="AQ346" i="15" s="1"/>
  <c r="AR346" i="15" s="1"/>
  <c r="AS346" i="15" s="1"/>
  <c r="AT346" i="15" s="1"/>
  <c r="AU346" i="15" s="1"/>
  <c r="AV346" i="15" s="1"/>
  <c r="AW346" i="15" s="1"/>
  <c r="AX346" i="15" s="1"/>
  <c r="AY346" i="15" s="1"/>
  <c r="AC346" i="15"/>
  <c r="AT320" i="15"/>
  <c r="AA321" i="15"/>
  <c r="AA163" i="15" s="1"/>
  <c r="Z320" i="15"/>
  <c r="AN320" i="15"/>
  <c r="AE320" i="15"/>
  <c r="AE321" i="15" s="1"/>
  <c r="AE163" i="15" s="1"/>
  <c r="AY320" i="15"/>
  <c r="AF304" i="15"/>
  <c r="AE180" i="15"/>
  <c r="AE187" i="15"/>
  <c r="AE307" i="15"/>
  <c r="Z294" i="15"/>
  <c r="AA293" i="15"/>
  <c r="Y172" i="15"/>
  <c r="Z307" i="15"/>
  <c r="AD172" i="15"/>
  <c r="Y169" i="15"/>
  <c r="AP280" i="15"/>
  <c r="AK281" i="15"/>
  <c r="AC280" i="15"/>
  <c r="AN389" i="15"/>
  <c r="AN262" i="15"/>
  <c r="AN266" i="15" s="1"/>
  <c r="AN68" i="15"/>
  <c r="AN67" i="15"/>
  <c r="AN71" i="15"/>
  <c r="AN223" i="15"/>
  <c r="AN64" i="15"/>
  <c r="AN75" i="15"/>
  <c r="AN221" i="15" s="1"/>
  <c r="AN227" i="15" s="1"/>
  <c r="AN329" i="15"/>
  <c r="AX68" i="15"/>
  <c r="AX75" i="15"/>
  <c r="AX77" i="15" s="1"/>
  <c r="AX262" i="15"/>
  <c r="AP49" i="15"/>
  <c r="AP46" i="15"/>
  <c r="AO46" i="15"/>
  <c r="AY46" i="15"/>
  <c r="AY64" i="15" s="1"/>
  <c r="AY388" i="15" s="1"/>
  <c r="BA49" i="15"/>
  <c r="BA46" i="15"/>
  <c r="AC359" i="15"/>
  <c r="AB360" i="15"/>
  <c r="AB363" i="15" s="1"/>
  <c r="AH359" i="15"/>
  <c r="AJ359" i="15" s="1"/>
  <c r="AG360" i="15"/>
  <c r="AF363" i="15"/>
  <c r="AX320" i="15"/>
  <c r="AD320" i="15"/>
  <c r="AD321" i="15" s="1"/>
  <c r="Z321" i="15"/>
  <c r="Y320" i="15"/>
  <c r="Y321" i="15"/>
  <c r="AS320" i="15"/>
  <c r="AB293" i="15"/>
  <c r="AB294" i="15" s="1"/>
  <c r="AA294" i="15"/>
  <c r="AE172" i="15"/>
  <c r="AF180" i="15"/>
  <c r="AF307" i="15"/>
  <c r="AG304" i="15"/>
  <c r="AF187" i="15"/>
  <c r="AU280" i="15"/>
  <c r="AZ280" i="15" s="1"/>
  <c r="AP281" i="15"/>
  <c r="Z163" i="15"/>
  <c r="Z297" i="15"/>
  <c r="Z169" i="15"/>
  <c r="AQ49" i="15"/>
  <c r="AQ46" i="15" s="1"/>
  <c r="AN301" i="15"/>
  <c r="AN274" i="15"/>
  <c r="AN283" i="15" s="1"/>
  <c r="AN210" i="15"/>
  <c r="AN261" i="15"/>
  <c r="AN241" i="15"/>
  <c r="AN69" i="15"/>
  <c r="AN315" i="15"/>
  <c r="AO68" i="15"/>
  <c r="AO262" i="15"/>
  <c r="AO67" i="15"/>
  <c r="AO223" i="15"/>
  <c r="AO71" i="15"/>
  <c r="AO261" i="15" s="1"/>
  <c r="AO75" i="15"/>
  <c r="AO221" i="15" s="1"/>
  <c r="AO60" i="15"/>
  <c r="AO64" i="15"/>
  <c r="AO388" i="15" s="1"/>
  <c r="AO63" i="15"/>
  <c r="AN388" i="15"/>
  <c r="AN396" i="15"/>
  <c r="AR281" i="15"/>
  <c r="AH304" i="15"/>
  <c r="AG180" i="15"/>
  <c r="AF172" i="15"/>
  <c r="AA169" i="15"/>
  <c r="AA297" i="15"/>
  <c r="AO241" i="15"/>
  <c r="AO301" i="15"/>
  <c r="AH180" i="15"/>
  <c r="AI304" i="15"/>
  <c r="AJ304" i="15"/>
  <c r="AI180" i="15"/>
  <c r="AJ180" i="15"/>
  <c r="AV93" i="72"/>
  <c r="AV94" i="72" s="1"/>
  <c r="BA94" i="72" s="1"/>
  <c r="AW12" i="72"/>
  <c r="AV13" i="72"/>
  <c r="BF9" i="51"/>
  <c r="BB9" i="51"/>
  <c r="BB14" i="51"/>
  <c r="BG9" i="51"/>
  <c r="BG14" i="51"/>
  <c r="BK9" i="51"/>
  <c r="BF14" i="51"/>
  <c r="BP13" i="51"/>
  <c r="BQ13" i="51"/>
  <c r="BL13" i="51"/>
  <c r="BP9" i="51"/>
  <c r="BK14" i="51"/>
  <c r="AY72" i="15"/>
  <c r="AY71" i="15"/>
  <c r="AO76" i="15"/>
  <c r="AO59" i="15"/>
  <c r="AO72" i="15"/>
  <c r="AX64" i="15"/>
  <c r="AX223" i="15"/>
  <c r="AN59" i="15"/>
  <c r="AN60" i="15"/>
  <c r="BC65" i="15"/>
  <c r="BC388" i="15"/>
  <c r="AN316" i="15"/>
  <c r="AG105" i="15"/>
  <c r="AG102" i="15"/>
  <c r="AU105" i="15"/>
  <c r="AU106" i="15"/>
  <c r="AU316" i="15"/>
  <c r="AW101" i="15"/>
  <c r="BK105" i="15"/>
  <c r="BK102" i="15"/>
  <c r="AZ105" i="15"/>
  <c r="AZ102" i="15"/>
  <c r="BF106" i="15"/>
  <c r="BK47" i="15"/>
  <c r="BK60" i="15"/>
  <c r="AK105" i="15"/>
  <c r="AK102" i="15"/>
  <c r="AP105" i="15"/>
  <c r="AO95" i="15"/>
  <c r="AV12" i="46"/>
  <c r="AH55" i="46"/>
  <c r="AT77" i="46"/>
  <c r="AA212" i="46"/>
  <c r="AQ127" i="46"/>
  <c r="AQ333" i="46"/>
  <c r="AR333" i="46" s="1"/>
  <c r="U83" i="46"/>
  <c r="AC117" i="46"/>
  <c r="CU47" i="71" s="1"/>
  <c r="AQ208" i="46"/>
  <c r="AR208" i="46" s="1"/>
  <c r="AH12" i="46"/>
  <c r="Y337" i="46"/>
  <c r="BO100" i="46"/>
  <c r="Q144" i="46"/>
  <c r="V144" i="46"/>
  <c r="AO191" i="46"/>
  <c r="AO200" i="46" s="1"/>
  <c r="AT191" i="46"/>
  <c r="BK336" i="46"/>
  <c r="AK191" i="46"/>
  <c r="G218" i="46"/>
  <c r="L218" i="46"/>
  <c r="AU218" i="46"/>
  <c r="P53" i="51"/>
  <c r="P101" i="46"/>
  <c r="P67" i="51"/>
  <c r="K10" i="51"/>
  <c r="P10" i="51"/>
  <c r="L14" i="51"/>
  <c r="L16" i="51"/>
  <c r="Q14" i="51"/>
  <c r="Q16" i="51" s="1"/>
  <c r="BL56" i="51"/>
  <c r="BQ56" i="51"/>
  <c r="AN67" i="51"/>
  <c r="J67" i="51"/>
  <c r="Y67" i="51"/>
  <c r="AS67" i="51"/>
  <c r="BG62" i="51"/>
  <c r="BL62" i="51"/>
  <c r="BQ62" i="51"/>
  <c r="I63" i="51"/>
  <c r="BL63" i="51"/>
  <c r="BQ63" i="51"/>
  <c r="AD67" i="51"/>
  <c r="I65" i="51"/>
  <c r="N65" i="51"/>
  <c r="BG66" i="51"/>
  <c r="BL66" i="51"/>
  <c r="AX86" i="46"/>
  <c r="X190" i="46"/>
  <c r="S60" i="51"/>
  <c r="AV25" i="46"/>
  <c r="W191" i="46"/>
  <c r="W117" i="46"/>
  <c r="X211" i="46"/>
  <c r="X212" i="46" s="1"/>
  <c r="AL41" i="46"/>
  <c r="AT208" i="46"/>
  <c r="X12" i="46"/>
  <c r="AS102" i="46"/>
  <c r="X117" i="46"/>
  <c r="CP47" i="71"/>
  <c r="AK333" i="46"/>
  <c r="CM61" i="71"/>
  <c r="AU208" i="46"/>
  <c r="AJ17" i="46"/>
  <c r="AJ22" i="46"/>
  <c r="AJ27" i="46" s="1"/>
  <c r="BA337" i="46"/>
  <c r="BF337" i="46"/>
  <c r="BP337" i="46"/>
  <c r="AK337" i="46"/>
  <c r="AY337" i="46"/>
  <c r="BE337" i="46"/>
  <c r="BL41" i="46"/>
  <c r="BL337" i="46" s="1"/>
  <c r="BO337" i="46"/>
  <c r="AN76" i="46"/>
  <c r="BG77" i="46"/>
  <c r="N76" i="46"/>
  <c r="CF45" i="71"/>
  <c r="R83" i="46"/>
  <c r="N98" i="46"/>
  <c r="S98" i="46"/>
  <c r="AF119" i="46"/>
  <c r="AC148" i="46"/>
  <c r="AM148" i="46"/>
  <c r="E156" i="46"/>
  <c r="AJ162" i="46"/>
  <c r="AJ171" i="46" s="1"/>
  <c r="AO162" i="46"/>
  <c r="AO171" i="46"/>
  <c r="AO181" i="46"/>
  <c r="L44" i="72"/>
  <c r="L69" i="46" s="1"/>
  <c r="N181" i="46"/>
  <c r="BQ38" i="46"/>
  <c r="BQ41" i="46"/>
  <c r="Q76" i="46"/>
  <c r="CI45" i="71"/>
  <c r="CI46" i="71" s="1"/>
  <c r="N61" i="51"/>
  <c r="N43" i="51"/>
  <c r="P14" i="51"/>
  <c r="P16" i="51" s="1"/>
  <c r="BG41" i="46"/>
  <c r="BG337" i="46"/>
  <c r="BI51" i="51"/>
  <c r="AI40" i="15"/>
  <c r="AT76" i="46"/>
  <c r="O218" i="46"/>
  <c r="CG21" i="71"/>
  <c r="E218" i="46"/>
  <c r="Q218" i="46"/>
  <c r="CI21" i="71"/>
  <c r="AU212" i="46"/>
  <c r="J181" i="46"/>
  <c r="AI76" i="46"/>
  <c r="G156" i="46"/>
  <c r="K219" i="46"/>
  <c r="BB337" i="46"/>
  <c r="DO9" i="71"/>
  <c r="AN43" i="72"/>
  <c r="AV156" i="46"/>
  <c r="DY45" i="71"/>
  <c r="U10" i="51"/>
  <c r="AK218" i="46"/>
  <c r="R212" i="46"/>
  <c r="J218" i="46"/>
  <c r="E197" i="46"/>
  <c r="H191" i="46"/>
  <c r="M191" i="46"/>
  <c r="AN219" i="46"/>
  <c r="AC40" i="71"/>
  <c r="AK219" i="46"/>
  <c r="J219" i="46"/>
  <c r="AI218" i="46"/>
  <c r="AA191" i="46"/>
  <c r="AA200" i="46" s="1"/>
  <c r="X336" i="46"/>
  <c r="AG218" i="46"/>
  <c r="BG336" i="46"/>
  <c r="AL208" i="46"/>
  <c r="AM208" i="46"/>
  <c r="AM9" i="51"/>
  <c r="AM10" i="51" s="1"/>
  <c r="AM12" i="46"/>
  <c r="H23" i="51"/>
  <c r="L208" i="46"/>
  <c r="AB23" i="51"/>
  <c r="AF208" i="46"/>
  <c r="AI30" i="51"/>
  <c r="AI337" i="46"/>
  <c r="AR337" i="46"/>
  <c r="AQ41" i="46"/>
  <c r="BP100" i="46"/>
  <c r="U113" i="46"/>
  <c r="T115" i="46"/>
  <c r="S117" i="46"/>
  <c r="CJ47" i="71"/>
  <c r="H119" i="46"/>
  <c r="I77" i="46"/>
  <c r="AE60" i="51"/>
  <c r="AE129" i="46"/>
  <c r="AE144" i="46"/>
  <c r="AE156" i="46" s="1"/>
  <c r="AI144" i="46"/>
  <c r="AI156" i="46" s="1"/>
  <c r="AN144" i="46"/>
  <c r="AN156" i="46" s="1"/>
  <c r="AS144" i="46"/>
  <c r="AS156" i="46" s="1"/>
  <c r="I55" i="51"/>
  <c r="AG219" i="46"/>
  <c r="AK114" i="46"/>
  <c r="CN47" i="71"/>
  <c r="S55" i="46"/>
  <c r="AB41" i="46"/>
  <c r="AM17" i="46"/>
  <c r="AM22" i="46" s="1"/>
  <c r="AM27" i="46" s="1"/>
  <c r="N40" i="71"/>
  <c r="CJ62" i="71"/>
  <c r="AA30" i="51"/>
  <c r="AA337" i="46"/>
  <c r="AF337" i="46"/>
  <c r="J131" i="46"/>
  <c r="AO55" i="51"/>
  <c r="AP117" i="46"/>
  <c r="R129" i="46"/>
  <c r="S129" i="46" s="1"/>
  <c r="U336" i="46"/>
  <c r="AT82" i="46"/>
  <c r="AT129" i="46"/>
  <c r="S124" i="46"/>
  <c r="CK62" i="71" s="1"/>
  <c r="BD336" i="46"/>
  <c r="BH64" i="51"/>
  <c r="BH336" i="46"/>
  <c r="AJ65" i="51"/>
  <c r="AJ103" i="46"/>
  <c r="AJ333" i="46"/>
  <c r="T144" i="46"/>
  <c r="T156" i="46" s="1"/>
  <c r="AA144" i="46"/>
  <c r="AA156" i="46"/>
  <c r="AA183" i="46" s="1"/>
  <c r="AY55" i="46"/>
  <c r="R23" i="51"/>
  <c r="T208" i="46"/>
  <c r="AL23" i="51"/>
  <c r="AO208" i="46"/>
  <c r="Q30" i="51"/>
  <c r="Q337" i="46"/>
  <c r="U60" i="51"/>
  <c r="U42" i="51" s="1"/>
  <c r="U102" i="46" s="1"/>
  <c r="U82" i="46"/>
  <c r="CN59" i="71"/>
  <c r="V336" i="46"/>
  <c r="AA126" i="46"/>
  <c r="AB126" i="46" s="1"/>
  <c r="R65" i="51"/>
  <c r="S65" i="51" s="1"/>
  <c r="S127" i="46"/>
  <c r="CK55" i="71" s="1"/>
  <c r="BM100" i="46"/>
  <c r="BQ126" i="46"/>
  <c r="AP56" i="51"/>
  <c r="AG117" i="46"/>
  <c r="AP208" i="46"/>
  <c r="R208" i="46"/>
  <c r="S208" i="46" s="1"/>
  <c r="AG10" i="46"/>
  <c r="Z17" i="46"/>
  <c r="Z22" i="46" s="1"/>
  <c r="Z27" i="46" s="1"/>
  <c r="AD9" i="51"/>
  <c r="AD14" i="51" s="1"/>
  <c r="AD16" i="51" s="1"/>
  <c r="AD12" i="46"/>
  <c r="AI9" i="51"/>
  <c r="AI12" i="46"/>
  <c r="AK9" i="51"/>
  <c r="AK14" i="51" s="1"/>
  <c r="AK16" i="51" s="1"/>
  <c r="AK20" i="51" s="1"/>
  <c r="AK12" i="46"/>
  <c r="M12" i="46"/>
  <c r="W23" i="51"/>
  <c r="Y208" i="46"/>
  <c r="Z208" i="46"/>
  <c r="AP30" i="51"/>
  <c r="AP337" i="46"/>
  <c r="AR44" i="46"/>
  <c r="AR40" i="72"/>
  <c r="AV55" i="46"/>
  <c r="AR54" i="46"/>
  <c r="AR37" i="71" s="1"/>
  <c r="AW40" i="71" s="1"/>
  <c r="AO100" i="46"/>
  <c r="AK111" i="46"/>
  <c r="AA123" i="46"/>
  <c r="AB123" i="46"/>
  <c r="AP123" i="46"/>
  <c r="AP61" i="51"/>
  <c r="AP43" i="51" s="1"/>
  <c r="AO83" i="46"/>
  <c r="AS162" i="46"/>
  <c r="AS171" i="46"/>
  <c r="AS181" i="46" s="1"/>
  <c r="I333" i="46"/>
  <c r="K53" i="51"/>
  <c r="AD10" i="51"/>
  <c r="AS10" i="51"/>
  <c r="AA14" i="51"/>
  <c r="AA16" i="51" s="1"/>
  <c r="AF14" i="51"/>
  <c r="AF16" i="51" s="1"/>
  <c r="AF20" i="51" s="1"/>
  <c r="AM14" i="51"/>
  <c r="AM16" i="51" s="1"/>
  <c r="S48" i="51"/>
  <c r="J53" i="51"/>
  <c r="J101" i="46"/>
  <c r="E53" i="51"/>
  <c r="AN58" i="51"/>
  <c r="AH63" i="51"/>
  <c r="AI67" i="51"/>
  <c r="AX174" i="46"/>
  <c r="AX194" i="46" s="1"/>
  <c r="AP162" i="46"/>
  <c r="AP171" i="46"/>
  <c r="BL77" i="46"/>
  <c r="U77" i="46"/>
  <c r="U76" i="46"/>
  <c r="CM45" i="71"/>
  <c r="CM46" i="71"/>
  <c r="ED54" i="71"/>
  <c r="EI63" i="71"/>
  <c r="I129" i="46"/>
  <c r="N129" i="46"/>
  <c r="AJ144" i="46"/>
  <c r="AJ156" i="46" s="1"/>
  <c r="BB63" i="51"/>
  <c r="BB126" i="46"/>
  <c r="S41" i="15"/>
  <c r="S68" i="46" s="1"/>
  <c r="S10" i="71" s="1"/>
  <c r="AM41" i="15"/>
  <c r="AM68" i="46"/>
  <c r="AM10" i="71" s="1"/>
  <c r="AM7" i="73" s="1"/>
  <c r="T67" i="51"/>
  <c r="P43" i="51"/>
  <c r="P102" i="46" s="1"/>
  <c r="AM40" i="15"/>
  <c r="K40" i="15"/>
  <c r="F10" i="51"/>
  <c r="X197" i="46"/>
  <c r="CP16" i="71"/>
  <c r="CF50" i="71"/>
  <c r="ED45" i="71"/>
  <c r="Q191" i="46"/>
  <c r="Q200" i="46"/>
  <c r="AP191" i="46"/>
  <c r="G212" i="46"/>
  <c r="G219" i="46"/>
  <c r="L219" i="46"/>
  <c r="L212" i="46"/>
  <c r="CF46" i="71"/>
  <c r="AJ212" i="46"/>
  <c r="AJ218" i="46"/>
  <c r="X219" i="46"/>
  <c r="CP22" i="71" s="1"/>
  <c r="AN42" i="51"/>
  <c r="AN102" i="46"/>
  <c r="E16" i="51"/>
  <c r="K14" i="51"/>
  <c r="K16" i="51"/>
  <c r="V191" i="46"/>
  <c r="T212" i="46"/>
  <c r="T218" i="46"/>
  <c r="CL21" i="71" s="1"/>
  <c r="M197" i="46"/>
  <c r="AL197" i="46"/>
  <c r="AL218" i="46"/>
  <c r="AQ197" i="46"/>
  <c r="AQ218" i="46"/>
  <c r="T191" i="46"/>
  <c r="T200" i="46" s="1"/>
  <c r="T198" i="46" s="1"/>
  <c r="O219" i="46"/>
  <c r="CG22" i="71" s="1"/>
  <c r="J102" i="46"/>
  <c r="AS16" i="51"/>
  <c r="O67" i="51"/>
  <c r="S61" i="51"/>
  <c r="I50" i="51"/>
  <c r="T58" i="51"/>
  <c r="Z218" i="46"/>
  <c r="Z212" i="46"/>
  <c r="W218" i="46"/>
  <c r="CO21" i="71" s="1"/>
  <c r="W219" i="46"/>
  <c r="CO22" i="71"/>
  <c r="AS197" i="46"/>
  <c r="P219" i="46"/>
  <c r="CH22" i="71" s="1"/>
  <c r="P218" i="46"/>
  <c r="CH21" i="71"/>
  <c r="BG56" i="51"/>
  <c r="O102" i="46"/>
  <c r="AD191" i="46"/>
  <c r="AK200" i="46"/>
  <c r="AK192" i="46"/>
  <c r="AQ181" i="46"/>
  <c r="AE218" i="46"/>
  <c r="AG181" i="46"/>
  <c r="AB219" i="46"/>
  <c r="T76" i="46"/>
  <c r="CP12" i="71"/>
  <c r="E67" i="51"/>
  <c r="AH82" i="46"/>
  <c r="AE219" i="46"/>
  <c r="V123" i="46"/>
  <c r="AH17" i="46"/>
  <c r="AH22" i="46"/>
  <c r="AH27" i="46" s="1"/>
  <c r="V30" i="51"/>
  <c r="V337" i="46"/>
  <c r="AQ103" i="46"/>
  <c r="AA17" i="46"/>
  <c r="AA22" i="46" s="1"/>
  <c r="AA27" i="46" s="1"/>
  <c r="AE17" i="46"/>
  <c r="AE22" i="46" s="1"/>
  <c r="AE27" i="46" s="1"/>
  <c r="AT17" i="46"/>
  <c r="AT22" i="46"/>
  <c r="AT27" i="46" s="1"/>
  <c r="AT12" i="46"/>
  <c r="W25" i="46"/>
  <c r="AB25" i="46"/>
  <c r="AB18" i="51" s="1"/>
  <c r="M23" i="51"/>
  <c r="P208" i="46"/>
  <c r="O208" i="46"/>
  <c r="AE56" i="51"/>
  <c r="AF118" i="46"/>
  <c r="AP9" i="51"/>
  <c r="AP17" i="46"/>
  <c r="AP22" i="46"/>
  <c r="AU9" i="51"/>
  <c r="AU17" i="46"/>
  <c r="AU22" i="46" s="1"/>
  <c r="AU27" i="46" s="1"/>
  <c r="AU28" i="46" s="1"/>
  <c r="O30" i="51"/>
  <c r="O337" i="46"/>
  <c r="BO76" i="46"/>
  <c r="W41" i="46"/>
  <c r="U208" i="46"/>
  <c r="CA54" i="71"/>
  <c r="AQ55" i="46"/>
  <c r="AO103" i="46"/>
  <c r="AR103" i="46" s="1"/>
  <c r="AT100" i="46"/>
  <c r="BJ100" i="46"/>
  <c r="BL100" i="46" s="1"/>
  <c r="BN100" i="46"/>
  <c r="AA111" i="46"/>
  <c r="AA49" i="51"/>
  <c r="AD115" i="46"/>
  <c r="I120" i="46"/>
  <c r="I131" i="46"/>
  <c r="I135" i="46"/>
  <c r="J133" i="46" s="1"/>
  <c r="N133" i="46" s="1"/>
  <c r="AJ77" i="46"/>
  <c r="AJ76" i="46"/>
  <c r="AP125" i="46"/>
  <c r="BI336" i="46"/>
  <c r="Z144" i="46"/>
  <c r="Z156" i="46"/>
  <c r="X148" i="46"/>
  <c r="AR148" i="46"/>
  <c r="AS191" i="46"/>
  <c r="AF112" i="46"/>
  <c r="E131" i="46"/>
  <c r="E135" i="46"/>
  <c r="F133" i="46"/>
  <c r="AF144" i="46"/>
  <c r="AF156" i="46" s="1"/>
  <c r="AT9" i="51"/>
  <c r="AR42" i="71"/>
  <c r="R77" i="46"/>
  <c r="R76" i="46" s="1"/>
  <c r="CJ45" i="71" s="1"/>
  <c r="CJ46" i="71" s="1"/>
  <c r="Z83" i="46"/>
  <c r="AJ83" i="46"/>
  <c r="I103" i="46"/>
  <c r="AF110" i="46"/>
  <c r="AE114" i="46"/>
  <c r="F131" i="46"/>
  <c r="H120" i="46"/>
  <c r="H131" i="46" s="1"/>
  <c r="AL125" i="46"/>
  <c r="AL63" i="51"/>
  <c r="AM63" i="51"/>
  <c r="AK144" i="46"/>
  <c r="AK156" i="46" s="1"/>
  <c r="AK183" i="46" s="1"/>
  <c r="N144" i="46"/>
  <c r="N156" i="46" s="1"/>
  <c r="AD211" i="46"/>
  <c r="AI162" i="46"/>
  <c r="AI171" i="46"/>
  <c r="AI181" i="46" s="1"/>
  <c r="AF190" i="46"/>
  <c r="AF191" i="46"/>
  <c r="I179" i="46"/>
  <c r="I197" i="46" s="1"/>
  <c r="CA16" i="71" s="1"/>
  <c r="BB62" i="51"/>
  <c r="BB56" i="51"/>
  <c r="BB66" i="51"/>
  <c r="BC178" i="46"/>
  <c r="BD178" i="46"/>
  <c r="BE178" i="46" s="1"/>
  <c r="BF178" i="46" s="1"/>
  <c r="BG178" i="46" s="1"/>
  <c r="BH178" i="46" s="1"/>
  <c r="BI178" i="46" s="1"/>
  <c r="BJ178" i="46" s="1"/>
  <c r="BK178" i="46" s="1"/>
  <c r="BL178" i="46" s="1"/>
  <c r="BM178" i="46" s="1"/>
  <c r="BN178" i="46" s="1"/>
  <c r="BO178" i="46" s="1"/>
  <c r="BP178" i="46" s="1"/>
  <c r="BQ178" i="46" s="1"/>
  <c r="BC150" i="46"/>
  <c r="BD150" i="46"/>
  <c r="BE150" i="46"/>
  <c r="BF150" i="46" s="1"/>
  <c r="BG150" i="46" s="1"/>
  <c r="BH150" i="46" s="1"/>
  <c r="BI150" i="46" s="1"/>
  <c r="BJ150" i="46" s="1"/>
  <c r="BK150" i="46" s="1"/>
  <c r="BL150" i="46" s="1"/>
  <c r="BM150" i="46" s="1"/>
  <c r="BN150" i="46" s="1"/>
  <c r="BO150" i="46" s="1"/>
  <c r="BP150" i="46" s="1"/>
  <c r="BQ150" i="46" s="1"/>
  <c r="AZ100" i="46"/>
  <c r="BB100" i="46"/>
  <c r="Z200" i="46"/>
  <c r="Z192" i="46"/>
  <c r="AK201" i="46"/>
  <c r="AK51" i="51"/>
  <c r="AL113" i="46"/>
  <c r="AH128" i="46"/>
  <c r="AS20" i="51"/>
  <c r="AS21" i="46"/>
  <c r="AH19" i="46"/>
  <c r="Z43" i="51"/>
  <c r="AL127" i="46"/>
  <c r="AM126" i="46"/>
  <c r="AI219" i="46"/>
  <c r="AH125" i="46"/>
  <c r="AJ115" i="46"/>
  <c r="AJ120" i="46"/>
  <c r="X17" i="46"/>
  <c r="X22" i="46" s="1"/>
  <c r="X27" i="46" s="1"/>
  <c r="AM18" i="51"/>
  <c r="AL25" i="46"/>
  <c r="AL18" i="51" s="1"/>
  <c r="AR18" i="51"/>
  <c r="AQ25" i="46"/>
  <c r="AQ18" i="51" s="1"/>
  <c r="AU337" i="46"/>
  <c r="J337" i="46"/>
  <c r="AB55" i="46"/>
  <c r="AM54" i="46"/>
  <c r="X99" i="46"/>
  <c r="AJ56" i="51"/>
  <c r="AD30" i="51"/>
  <c r="AD337" i="46"/>
  <c r="AG41" i="46"/>
  <c r="AT48" i="51"/>
  <c r="AU110" i="46"/>
  <c r="AV17" i="46"/>
  <c r="AV22" i="46"/>
  <c r="AV27" i="46"/>
  <c r="G58" i="51"/>
  <c r="AC19" i="46"/>
  <c r="AH122" i="46"/>
  <c r="CZ60" i="71"/>
  <c r="AI212" i="46"/>
  <c r="AB218" i="46"/>
  <c r="AN9" i="51"/>
  <c r="AN17" i="46"/>
  <c r="AN22" i="46"/>
  <c r="AN27" i="46" s="1"/>
  <c r="T30" i="51"/>
  <c r="T337" i="46"/>
  <c r="N103" i="46"/>
  <c r="AN51" i="51"/>
  <c r="AO113" i="46"/>
  <c r="DO13" i="71"/>
  <c r="K102" i="46"/>
  <c r="CH39" i="71"/>
  <c r="CH40" i="71" s="1"/>
  <c r="BG99" i="46"/>
  <c r="AK103" i="46"/>
  <c r="V9" i="51"/>
  <c r="V17" i="46"/>
  <c r="V22" i="46"/>
  <c r="V27" i="46" s="1"/>
  <c r="W40" i="72"/>
  <c r="X44" i="46"/>
  <c r="AG12" i="51"/>
  <c r="AL55" i="46"/>
  <c r="AE77" i="46"/>
  <c r="AE76" i="46"/>
  <c r="I82" i="46"/>
  <c r="S82" i="46"/>
  <c r="Z82" i="46"/>
  <c r="AK82" i="46"/>
  <c r="T83" i="46"/>
  <c r="N100" i="46"/>
  <c r="R103" i="46"/>
  <c r="S103" i="46"/>
  <c r="U100" i="46"/>
  <c r="X100" i="46"/>
  <c r="AF100" i="46"/>
  <c r="AE103" i="46"/>
  <c r="BE100" i="46"/>
  <c r="AP112" i="46"/>
  <c r="L131" i="46"/>
  <c r="Z129" i="46"/>
  <c r="AA127" i="46"/>
  <c r="AF123" i="46"/>
  <c r="R144" i="46"/>
  <c r="R156" i="46"/>
  <c r="R183" i="46" s="1"/>
  <c r="Y144" i="46"/>
  <c r="Y156" i="46" s="1"/>
  <c r="AQ144" i="46"/>
  <c r="AQ156" i="46" s="1"/>
  <c r="Q156" i="46"/>
  <c r="V156" i="46"/>
  <c r="V183" i="46"/>
  <c r="U162" i="46"/>
  <c r="U171" i="46"/>
  <c r="U181" i="46" s="1"/>
  <c r="Z162" i="46"/>
  <c r="Z171" i="46" s="1"/>
  <c r="Z181" i="46" s="1"/>
  <c r="AF162" i="46"/>
  <c r="AF171" i="46"/>
  <c r="AF181" i="46" s="1"/>
  <c r="T162" i="46"/>
  <c r="T171" i="46" s="1"/>
  <c r="T181" i="46" s="1"/>
  <c r="AN162" i="46"/>
  <c r="AN171" i="46" s="1"/>
  <c r="AN181" i="46" s="1"/>
  <c r="S179" i="46"/>
  <c r="S197" i="46" s="1"/>
  <c r="CK16" i="71" s="1"/>
  <c r="AC179" i="46"/>
  <c r="AC197" i="46"/>
  <c r="CU16" i="71" s="1"/>
  <c r="AC54" i="71" s="1"/>
  <c r="K191" i="46"/>
  <c r="K200" i="46"/>
  <c r="O191" i="46"/>
  <c r="O200" i="46"/>
  <c r="AN191" i="46"/>
  <c r="AQ191" i="46"/>
  <c r="AU191" i="46"/>
  <c r="AZ330" i="46"/>
  <c r="AW143" i="46"/>
  <c r="AX143" i="46" s="1"/>
  <c r="AY143" i="46" s="1"/>
  <c r="AZ143" i="46" s="1"/>
  <c r="BA143" i="46" s="1"/>
  <c r="BB143" i="46" s="1"/>
  <c r="AW155" i="46"/>
  <c r="AO144" i="46"/>
  <c r="AO156" i="46" s="1"/>
  <c r="AW148" i="46"/>
  <c r="BQ100" i="46"/>
  <c r="V122" i="46"/>
  <c r="AT144" i="46"/>
  <c r="AT156" i="46"/>
  <c r="AP27" i="46"/>
  <c r="AL12" i="51"/>
  <c r="AX337" i="46"/>
  <c r="N55" i="46"/>
  <c r="I100" i="46"/>
  <c r="AK100" i="46"/>
  <c r="AM100" i="46" s="1"/>
  <c r="BD100" i="46"/>
  <c r="BG100" i="46" s="1"/>
  <c r="AA112" i="46"/>
  <c r="AA50" i="51" s="1"/>
  <c r="AF111" i="46"/>
  <c r="AK110" i="46"/>
  <c r="AK112" i="46"/>
  <c r="AF124" i="46"/>
  <c r="W144" i="46"/>
  <c r="W156" i="46" s="1"/>
  <c r="W183" i="46" s="1"/>
  <c r="AP144" i="46"/>
  <c r="AP156" i="46"/>
  <c r="AU144" i="46"/>
  <c r="AU156" i="46"/>
  <c r="AU183" i="46" s="1"/>
  <c r="U144" i="46"/>
  <c r="U156" i="46" s="1"/>
  <c r="AD144" i="46"/>
  <c r="AD156" i="46" s="1"/>
  <c r="AD183" i="46" s="1"/>
  <c r="M156" i="46"/>
  <c r="M183" i="46" s="1"/>
  <c r="Y211" i="46"/>
  <c r="AF211" i="46"/>
  <c r="AT162" i="46"/>
  <c r="AT171" i="46" s="1"/>
  <c r="AT181" i="46" s="1"/>
  <c r="AH179" i="46"/>
  <c r="AH197" i="46"/>
  <c r="CZ16" i="71" s="1"/>
  <c r="AL191" i="46"/>
  <c r="AL200" i="46" s="1"/>
  <c r="AL195" i="46" s="1"/>
  <c r="CZ12" i="71"/>
  <c r="AH191" i="46"/>
  <c r="N212" i="46"/>
  <c r="N218" i="46"/>
  <c r="CF21" i="71" s="1"/>
  <c r="N219" i="46"/>
  <c r="CF22" i="71" s="1"/>
  <c r="S43" i="51"/>
  <c r="AW32" i="46"/>
  <c r="K101" i="46"/>
  <c r="K69" i="51"/>
  <c r="CL39" i="71"/>
  <c r="AV119" i="46"/>
  <c r="AW119" i="46" s="1"/>
  <c r="AO43" i="51"/>
  <c r="AO102" i="46" s="1"/>
  <c r="AO67" i="51"/>
  <c r="AW40" i="72"/>
  <c r="AX44" i="46"/>
  <c r="AP55" i="51"/>
  <c r="AQ117" i="46"/>
  <c r="AR117" i="46" s="1"/>
  <c r="AP120" i="46"/>
  <c r="AM113" i="46"/>
  <c r="AB201" i="46"/>
  <c r="AH117" i="46"/>
  <c r="BF51" i="51"/>
  <c r="BG113" i="46"/>
  <c r="BC50" i="51"/>
  <c r="E69" i="51"/>
  <c r="R58" i="51"/>
  <c r="U56" i="51"/>
  <c r="V118" i="46"/>
  <c r="W118" i="46" s="1"/>
  <c r="X118" i="46"/>
  <c r="U120" i="46"/>
  <c r="AK62" i="51"/>
  <c r="AL124" i="46"/>
  <c r="AL62" i="51" s="1"/>
  <c r="AB119" i="46"/>
  <c r="AC119" i="46" s="1"/>
  <c r="AC77" i="46" s="1"/>
  <c r="AC76" i="46" s="1"/>
  <c r="CU45" i="71" s="1"/>
  <c r="AA77" i="46"/>
  <c r="AA76" i="46" s="1"/>
  <c r="R43" i="51"/>
  <c r="F43" i="51"/>
  <c r="F102" i="46" s="1"/>
  <c r="CM54" i="71"/>
  <c r="CM56" i="71" s="1"/>
  <c r="X125" i="46"/>
  <c r="AG118" i="46"/>
  <c r="AH118" i="46"/>
  <c r="AF120" i="46"/>
  <c r="AF56" i="51"/>
  <c r="I61" i="51"/>
  <c r="AQ82" i="46"/>
  <c r="AL118" i="46"/>
  <c r="AL56" i="51"/>
  <c r="K28" i="46"/>
  <c r="AQ65" i="51"/>
  <c r="AR65" i="51"/>
  <c r="AR127" i="46"/>
  <c r="DJ55" i="71"/>
  <c r="S211" i="46"/>
  <c r="CM12" i="71"/>
  <c r="U191" i="46"/>
  <c r="AV126" i="46"/>
  <c r="AU336" i="46"/>
  <c r="AQ126" i="46"/>
  <c r="AP100" i="46"/>
  <c r="AP336" i="46"/>
  <c r="BL336" i="46"/>
  <c r="ED59" i="71"/>
  <c r="T9" i="51"/>
  <c r="T12" i="46"/>
  <c r="T17" i="46"/>
  <c r="T22" i="46" s="1"/>
  <c r="T27" i="46" s="1"/>
  <c r="W10" i="46"/>
  <c r="AC12" i="46"/>
  <c r="AC17" i="46"/>
  <c r="AC22" i="46" s="1"/>
  <c r="AC27" i="46"/>
  <c r="AB10" i="46"/>
  <c r="AR9" i="51"/>
  <c r="AQ10" i="46"/>
  <c r="AR17" i="46"/>
  <c r="AR22" i="46" s="1"/>
  <c r="AR27" i="46" s="1"/>
  <c r="AR12" i="46"/>
  <c r="E32" i="46"/>
  <c r="AG30" i="51"/>
  <c r="AH30" i="51"/>
  <c r="AG337" i="46"/>
  <c r="AM119" i="46"/>
  <c r="AP62" i="51"/>
  <c r="AQ124" i="46"/>
  <c r="AQ62" i="51" s="1"/>
  <c r="Z195" i="46"/>
  <c r="Z198" i="46"/>
  <c r="V219" i="46"/>
  <c r="CN22" i="71" s="1"/>
  <c r="V212" i="46"/>
  <c r="W30" i="51"/>
  <c r="X30" i="51"/>
  <c r="W337" i="46"/>
  <c r="AL30" i="51"/>
  <c r="AM30" i="51" s="1"/>
  <c r="AM31" i="51" s="1"/>
  <c r="AL337" i="46"/>
  <c r="G28" i="46"/>
  <c r="G32" i="46"/>
  <c r="G36" i="46" s="1"/>
  <c r="G40" i="46" s="1"/>
  <c r="AA201" i="46"/>
  <c r="AV122" i="46"/>
  <c r="AW122" i="46" s="1"/>
  <c r="DO60" i="71" s="1"/>
  <c r="Y9" i="51"/>
  <c r="Y17" i="46"/>
  <c r="Y22" i="46"/>
  <c r="Y27" i="46"/>
  <c r="AH18" i="51"/>
  <c r="AG25" i="46"/>
  <c r="AG18" i="51"/>
  <c r="AQ119" i="46"/>
  <c r="S77" i="46"/>
  <c r="AQ123" i="46"/>
  <c r="AR123" i="46"/>
  <c r="DJ61" i="71"/>
  <c r="AP83" i="46"/>
  <c r="AV127" i="46"/>
  <c r="AU65" i="51"/>
  <c r="AL128" i="46"/>
  <c r="AO9" i="51"/>
  <c r="AO12" i="46"/>
  <c r="AO17" i="46"/>
  <c r="AO22" i="46"/>
  <c r="AO27" i="46" s="1"/>
  <c r="H9" i="51"/>
  <c r="H12" i="46"/>
  <c r="H17" i="46"/>
  <c r="H22" i="46" s="1"/>
  <c r="AV124" i="46"/>
  <c r="AU62" i="51"/>
  <c r="AO183" i="46"/>
  <c r="R12" i="51"/>
  <c r="R17" i="46"/>
  <c r="R22" i="46"/>
  <c r="R27" i="46" s="1"/>
  <c r="V66" i="51"/>
  <c r="CN63" i="71"/>
  <c r="W12" i="51"/>
  <c r="AQ12" i="51"/>
  <c r="AH337" i="46"/>
  <c r="AJ337" i="46"/>
  <c r="AO337" i="46"/>
  <c r="AT337" i="46"/>
  <c r="E337" i="46"/>
  <c r="H41" i="46"/>
  <c r="M41" i="46"/>
  <c r="N44" i="46"/>
  <c r="AH44" i="46"/>
  <c r="AG55" i="46"/>
  <c r="U115" i="46"/>
  <c r="Z113" i="46"/>
  <c r="AS51" i="51"/>
  <c r="AO114" i="46"/>
  <c r="P131" i="46"/>
  <c r="AK117" i="46"/>
  <c r="AD120" i="46"/>
  <c r="AD131" i="46"/>
  <c r="W128" i="46"/>
  <c r="AB124" i="46"/>
  <c r="Z336" i="46"/>
  <c r="AF336" i="46"/>
  <c r="AT60" i="51"/>
  <c r="S125" i="46"/>
  <c r="CK63" i="71" s="1"/>
  <c r="R333" i="46"/>
  <c r="S333" i="46"/>
  <c r="BN336" i="46"/>
  <c r="AC144" i="46"/>
  <c r="AC156" i="46" s="1"/>
  <c r="J156" i="46"/>
  <c r="J183" i="46"/>
  <c r="U211" i="46"/>
  <c r="CL45" i="71"/>
  <c r="CL46" i="71"/>
  <c r="F135" i="46"/>
  <c r="G133" i="46" s="1"/>
  <c r="G135" i="46" s="1"/>
  <c r="H133" i="46" s="1"/>
  <c r="H135" i="46" s="1"/>
  <c r="Q115" i="46"/>
  <c r="G131" i="46"/>
  <c r="AS120" i="46"/>
  <c r="AT62" i="51"/>
  <c r="AW126" i="46"/>
  <c r="AT64" i="51"/>
  <c r="AL144" i="46"/>
  <c r="AL156" i="46" s="1"/>
  <c r="AL183" i="46" s="1"/>
  <c r="K183" i="46"/>
  <c r="AA12" i="46"/>
  <c r="S44" i="46"/>
  <c r="AM44" i="46"/>
  <c r="AY76" i="46"/>
  <c r="BA76" i="46"/>
  <c r="N82" i="46"/>
  <c r="I83" i="46"/>
  <c r="S83" i="46"/>
  <c r="AA110" i="46"/>
  <c r="AB110" i="46"/>
  <c r="AP110" i="46"/>
  <c r="AT49" i="51"/>
  <c r="R113" i="46"/>
  <c r="S113" i="46"/>
  <c r="S115" i="46" s="1"/>
  <c r="AI115" i="46"/>
  <c r="AI131" i="46"/>
  <c r="AU113" i="46"/>
  <c r="AS52" i="51"/>
  <c r="N131" i="46"/>
  <c r="AN115" i="46"/>
  <c r="AN131" i="46"/>
  <c r="AT55" i="51"/>
  <c r="Z118" i="46"/>
  <c r="M118" i="46"/>
  <c r="V124" i="46"/>
  <c r="W124" i="46" s="1"/>
  <c r="AA125" i="46"/>
  <c r="AM122" i="46"/>
  <c r="DE60" i="71"/>
  <c r="AU123" i="46"/>
  <c r="AT63" i="51"/>
  <c r="AT65" i="51"/>
  <c r="AW127" i="46"/>
  <c r="DO55" i="71" s="1"/>
  <c r="X141" i="46"/>
  <c r="X144" i="46"/>
  <c r="X156" i="46"/>
  <c r="AR141" i="46"/>
  <c r="AR144" i="46" s="1"/>
  <c r="AR156" i="46" s="1"/>
  <c r="AH211" i="46"/>
  <c r="BA54" i="46"/>
  <c r="AZ54" i="46"/>
  <c r="AL10" i="46"/>
  <c r="U17" i="46"/>
  <c r="U22" i="46" s="1"/>
  <c r="AD17" i="46"/>
  <c r="AD22" i="46"/>
  <c r="AF17" i="46"/>
  <c r="AF22" i="46" s="1"/>
  <c r="AS17" i="46"/>
  <c r="AS22" i="46"/>
  <c r="AS27" i="46" s="1"/>
  <c r="M17" i="46"/>
  <c r="M22" i="46" s="1"/>
  <c r="H12" i="51"/>
  <c r="AB12" i="51"/>
  <c r="BJ337" i="46"/>
  <c r="U337" i="46"/>
  <c r="Z337" i="46"/>
  <c r="AE337" i="46"/>
  <c r="BK337" i="46"/>
  <c r="P337" i="46"/>
  <c r="I44" i="46"/>
  <c r="AC44" i="46"/>
  <c r="BD76" i="46"/>
  <c r="BD77" i="46" s="1"/>
  <c r="BD117" i="46" s="1"/>
  <c r="AO77" i="46"/>
  <c r="AO76" i="46" s="1"/>
  <c r="AJ82" i="46"/>
  <c r="AM82" i="46"/>
  <c r="N83" i="46"/>
  <c r="U103" i="46"/>
  <c r="V110" i="46"/>
  <c r="V111" i="46"/>
  <c r="V49" i="51"/>
  <c r="V112" i="46"/>
  <c r="V50" i="51" s="1"/>
  <c r="AB111" i="46"/>
  <c r="AB112" i="46"/>
  <c r="AQ111" i="46"/>
  <c r="AU111" i="46"/>
  <c r="Z114" i="46"/>
  <c r="Z52" i="51"/>
  <c r="AT114" i="46"/>
  <c r="O131" i="46"/>
  <c r="AS115" i="46"/>
  <c r="AU117" i="46"/>
  <c r="AS56" i="51"/>
  <c r="AS58" i="51" s="1"/>
  <c r="AS69" i="51" s="1"/>
  <c r="Y120" i="46"/>
  <c r="Y131" i="46"/>
  <c r="V127" i="46"/>
  <c r="AA122" i="46"/>
  <c r="Z333" i="46"/>
  <c r="AA128" i="46"/>
  <c r="AG126" i="46"/>
  <c r="AK123" i="46"/>
  <c r="AK336" i="46"/>
  <c r="AU125" i="46"/>
  <c r="AF127" i="46"/>
  <c r="AU128" i="46"/>
  <c r="H156" i="46"/>
  <c r="AJ181" i="46"/>
  <c r="I211" i="46"/>
  <c r="I219" i="46" s="1"/>
  <c r="CA22" i="71" s="1"/>
  <c r="AV41" i="46"/>
  <c r="AU200" i="46"/>
  <c r="AU192" i="46" s="1"/>
  <c r="AC211" i="46"/>
  <c r="AC219" i="46"/>
  <c r="CU22" i="71" s="1"/>
  <c r="AM211" i="46"/>
  <c r="AM212" i="46"/>
  <c r="AR171" i="46"/>
  <c r="AR181" i="46" s="1"/>
  <c r="E191" i="46"/>
  <c r="E200" i="46"/>
  <c r="AW55" i="46"/>
  <c r="AW142" i="46"/>
  <c r="AX142" i="46" s="1"/>
  <c r="AY142" i="46" s="1"/>
  <c r="AZ142" i="46" s="1"/>
  <c r="BA142" i="46" s="1"/>
  <c r="BB142" i="46" s="1"/>
  <c r="BC142" i="46" s="1"/>
  <c r="BD142" i="46" s="1"/>
  <c r="BE142" i="46" s="1"/>
  <c r="BF142" i="46" s="1"/>
  <c r="BG142" i="46" s="1"/>
  <c r="BH142" i="46" s="1"/>
  <c r="BI142" i="46" s="1"/>
  <c r="BJ142" i="46" s="1"/>
  <c r="BK142" i="46" s="1"/>
  <c r="BL142" i="46" s="1"/>
  <c r="BM142" i="46" s="1"/>
  <c r="BN142" i="46" s="1"/>
  <c r="BO142" i="46" s="1"/>
  <c r="BP142" i="46" s="1"/>
  <c r="BQ142" i="46" s="1"/>
  <c r="AW151" i="46"/>
  <c r="AX151" i="46"/>
  <c r="AY151" i="46" s="1"/>
  <c r="AZ151" i="46" s="1"/>
  <c r="BA151" i="46" s="1"/>
  <c r="BB151" i="46" s="1"/>
  <c r="BC151" i="46" s="1"/>
  <c r="BD151" i="46" s="1"/>
  <c r="BE151" i="46" s="1"/>
  <c r="BF151" i="46" s="1"/>
  <c r="BG151" i="46" s="1"/>
  <c r="BH151" i="46" s="1"/>
  <c r="BI151" i="46" s="1"/>
  <c r="BJ151" i="46" s="1"/>
  <c r="BK151" i="46" s="1"/>
  <c r="BL151" i="46" s="1"/>
  <c r="BM151" i="46" s="1"/>
  <c r="BN151" i="46" s="1"/>
  <c r="BO151" i="46" s="1"/>
  <c r="BP151" i="46" s="1"/>
  <c r="BQ151" i="46" s="1"/>
  <c r="AV208" i="46"/>
  <c r="AW208" i="46" s="1"/>
  <c r="AW211" i="46"/>
  <c r="AW212" i="46"/>
  <c r="AV219" i="46"/>
  <c r="BC177" i="46"/>
  <c r="BD177" i="46"/>
  <c r="BE177" i="46"/>
  <c r="BF177" i="46" s="1"/>
  <c r="BG177" i="46" s="1"/>
  <c r="BH177" i="46" s="1"/>
  <c r="BI177" i="46" s="1"/>
  <c r="BJ177" i="46" s="1"/>
  <c r="BK177" i="46" s="1"/>
  <c r="BL177" i="46" s="1"/>
  <c r="BM177" i="46" s="1"/>
  <c r="BN177" i="46" s="1"/>
  <c r="BO177" i="46" s="1"/>
  <c r="BP177" i="46" s="1"/>
  <c r="BQ177" i="46" s="1"/>
  <c r="AR218" i="46"/>
  <c r="DJ21" i="71"/>
  <c r="AR219" i="46"/>
  <c r="DJ22" i="71" s="1"/>
  <c r="S190" i="46"/>
  <c r="I190" i="46"/>
  <c r="I171" i="46"/>
  <c r="I181" i="46"/>
  <c r="I183" i="46"/>
  <c r="AH200" i="46"/>
  <c r="AH201" i="46" s="1"/>
  <c r="AR190" i="46"/>
  <c r="AC190" i="46"/>
  <c r="AP212" i="46"/>
  <c r="AW191" i="46"/>
  <c r="BC166" i="46"/>
  <c r="BD166" i="46" s="1"/>
  <c r="BE166" i="46" s="1"/>
  <c r="BF166" i="46" s="1"/>
  <c r="BG166" i="46" s="1"/>
  <c r="BH166" i="46" s="1"/>
  <c r="BI166" i="46" s="1"/>
  <c r="BJ166" i="46" s="1"/>
  <c r="BK166" i="46" s="1"/>
  <c r="BL166" i="46" s="1"/>
  <c r="BM166" i="46" s="1"/>
  <c r="BN166" i="46" s="1"/>
  <c r="BO166" i="46" s="1"/>
  <c r="BP166" i="46" s="1"/>
  <c r="BQ166" i="46" s="1"/>
  <c r="AW63" i="71"/>
  <c r="DO18" i="71"/>
  <c r="R191" i="46"/>
  <c r="AV191" i="46"/>
  <c r="AV200" i="46" s="1"/>
  <c r="AV183" i="46"/>
  <c r="X54" i="71"/>
  <c r="S61" i="71"/>
  <c r="AV32" i="46"/>
  <c r="AV28" i="46"/>
  <c r="BM55" i="51"/>
  <c r="BM120" i="46"/>
  <c r="U21" i="46"/>
  <c r="U20" i="51"/>
  <c r="BC175" i="46"/>
  <c r="BD175" i="46"/>
  <c r="BE175" i="46"/>
  <c r="BF175" i="46" s="1"/>
  <c r="BG175" i="46" s="1"/>
  <c r="BH175" i="46" s="1"/>
  <c r="BI175" i="46" s="1"/>
  <c r="BJ175" i="46" s="1"/>
  <c r="BK175" i="46" s="1"/>
  <c r="BL175" i="46" s="1"/>
  <c r="BM175" i="46" s="1"/>
  <c r="BN175" i="46" s="1"/>
  <c r="BO175" i="46" s="1"/>
  <c r="BP175" i="46" s="1"/>
  <c r="BQ175" i="46" s="1"/>
  <c r="AJ195" i="46"/>
  <c r="AJ192" i="46"/>
  <c r="AJ201" i="46"/>
  <c r="AJ198" i="46"/>
  <c r="T201" i="46"/>
  <c r="AK198" i="46"/>
  <c r="G94" i="46"/>
  <c r="AK195" i="46"/>
  <c r="CN45" i="71"/>
  <c r="CN46" i="71"/>
  <c r="AE183" i="46"/>
  <c r="Y183" i="46"/>
  <c r="Q183" i="46"/>
  <c r="BA332" i="46"/>
  <c r="BC332" i="46" s="1"/>
  <c r="BD332" i="46" s="1"/>
  <c r="BE332" i="46" s="1"/>
  <c r="BF332" i="46" s="1"/>
  <c r="BH332" i="46" s="1"/>
  <c r="BI332" i="46" s="1"/>
  <c r="BJ332" i="46" s="1"/>
  <c r="BK332" i="46" s="1"/>
  <c r="BM332" i="46" s="1"/>
  <c r="BN332" i="46" s="1"/>
  <c r="BO332" i="46" s="1"/>
  <c r="BP332" i="46" s="1"/>
  <c r="AZ332" i="46"/>
  <c r="AO201" i="46"/>
  <c r="AO195" i="46"/>
  <c r="AO198" i="46"/>
  <c r="AD200" i="46"/>
  <c r="AD201" i="46"/>
  <c r="Y200" i="46"/>
  <c r="Y192" i="46" s="1"/>
  <c r="AQ183" i="46"/>
  <c r="T195" i="46"/>
  <c r="AO192" i="46"/>
  <c r="AI200" i="46"/>
  <c r="AI192" i="46"/>
  <c r="BC154" i="46"/>
  <c r="BD154" i="46" s="1"/>
  <c r="BE154" i="46" s="1"/>
  <c r="BF154" i="46" s="1"/>
  <c r="BG154" i="46" s="1"/>
  <c r="BH154" i="46" s="1"/>
  <c r="BI154" i="46" s="1"/>
  <c r="BJ154" i="46" s="1"/>
  <c r="BK154" i="46" s="1"/>
  <c r="BL154" i="46" s="1"/>
  <c r="BM154" i="46" s="1"/>
  <c r="BN154" i="46" s="1"/>
  <c r="BO154" i="46" s="1"/>
  <c r="BP154" i="46" s="1"/>
  <c r="BQ154" i="46" s="1"/>
  <c r="AN192" i="46"/>
  <c r="CG41" i="71"/>
  <c r="E76" i="46"/>
  <c r="P197" i="46"/>
  <c r="P181" i="46"/>
  <c r="P183" i="46" s="1"/>
  <c r="BC141" i="46"/>
  <c r="BD141" i="46"/>
  <c r="BE141" i="46"/>
  <c r="BF141" i="46" s="1"/>
  <c r="BG141" i="46" s="1"/>
  <c r="BH141" i="46" s="1"/>
  <c r="BI141" i="46" s="1"/>
  <c r="BJ141" i="46" s="1"/>
  <c r="BK141" i="46" s="1"/>
  <c r="BL141" i="46" s="1"/>
  <c r="BM141" i="46" s="1"/>
  <c r="BN141" i="46" s="1"/>
  <c r="BO141" i="46" s="1"/>
  <c r="BP141" i="46" s="1"/>
  <c r="BQ141" i="46" s="1"/>
  <c r="BC153" i="46"/>
  <c r="BD153" i="46" s="1"/>
  <c r="BE153" i="46" s="1"/>
  <c r="BF153" i="46" s="1"/>
  <c r="BG153" i="46" s="1"/>
  <c r="BH153" i="46" s="1"/>
  <c r="BI153" i="46" s="1"/>
  <c r="BJ153" i="46" s="1"/>
  <c r="BK153" i="46" s="1"/>
  <c r="BL153" i="46" s="1"/>
  <c r="BM153" i="46" s="1"/>
  <c r="BN153" i="46" s="1"/>
  <c r="BO153" i="46" s="1"/>
  <c r="BP153" i="46" s="1"/>
  <c r="BQ153" i="46" s="1"/>
  <c r="BC161" i="46"/>
  <c r="BD161" i="46" s="1"/>
  <c r="BE161" i="46" s="1"/>
  <c r="BF161" i="46" s="1"/>
  <c r="BG161" i="46" s="1"/>
  <c r="BH161" i="46" s="1"/>
  <c r="BI161" i="46" s="1"/>
  <c r="BJ161" i="46" s="1"/>
  <c r="BK161" i="46" s="1"/>
  <c r="BL161" i="46" s="1"/>
  <c r="BM161" i="46" s="1"/>
  <c r="BN161" i="46" s="1"/>
  <c r="BO161" i="46" s="1"/>
  <c r="BP161" i="46" s="1"/>
  <c r="BQ161" i="46" s="1"/>
  <c r="BC173" i="46"/>
  <c r="BD173" i="46"/>
  <c r="BE173" i="46" s="1"/>
  <c r="BF173" i="46" s="1"/>
  <c r="BG173" i="46" s="1"/>
  <c r="BH173" i="46" s="1"/>
  <c r="BI173" i="46" s="1"/>
  <c r="BJ173" i="46" s="1"/>
  <c r="BK173" i="46" s="1"/>
  <c r="BL173" i="46" s="1"/>
  <c r="BM173" i="46" s="1"/>
  <c r="BN173" i="46" s="1"/>
  <c r="BO173" i="46" s="1"/>
  <c r="BP173" i="46" s="1"/>
  <c r="BQ173" i="46" s="1"/>
  <c r="BI337" i="46"/>
  <c r="L181" i="46"/>
  <c r="L183" i="46"/>
  <c r="H181" i="46"/>
  <c r="H183" i="46" s="1"/>
  <c r="AS200" i="46"/>
  <c r="H197" i="46"/>
  <c r="AZ337" i="46"/>
  <c r="AD76" i="46"/>
  <c r="BC152" i="46"/>
  <c r="BD152" i="46"/>
  <c r="BE152" i="46" s="1"/>
  <c r="BF152" i="46" s="1"/>
  <c r="BG152" i="46" s="1"/>
  <c r="BH152" i="46" s="1"/>
  <c r="BI152" i="46" s="1"/>
  <c r="BJ152" i="46" s="1"/>
  <c r="BK152" i="46" s="1"/>
  <c r="BL152" i="46" s="1"/>
  <c r="BM152" i="46" s="1"/>
  <c r="BN152" i="46" s="1"/>
  <c r="BO152" i="46" s="1"/>
  <c r="BP152" i="46" s="1"/>
  <c r="BQ152" i="46" s="1"/>
  <c r="BG63" i="51"/>
  <c r="BC160" i="46"/>
  <c r="BD160" i="46"/>
  <c r="BE160" i="46" s="1"/>
  <c r="BF160" i="46" s="1"/>
  <c r="BG160" i="46" s="1"/>
  <c r="BH160" i="46" s="1"/>
  <c r="BI160" i="46" s="1"/>
  <c r="BJ160" i="46" s="1"/>
  <c r="BK160" i="46" s="1"/>
  <c r="BL160" i="46" s="1"/>
  <c r="BM160" i="46" s="1"/>
  <c r="BN160" i="46" s="1"/>
  <c r="BO160" i="46" s="1"/>
  <c r="BP160" i="46" s="1"/>
  <c r="BQ160" i="46" s="1"/>
  <c r="AV218" i="46"/>
  <c r="BQ66" i="51"/>
  <c r="AV212" i="46"/>
  <c r="BF86" i="72"/>
  <c r="BA86" i="72"/>
  <c r="BA93" i="72"/>
  <c r="BA12" i="72"/>
  <c r="BF94" i="72"/>
  <c r="AA69" i="46"/>
  <c r="Y69" i="46"/>
  <c r="AD69" i="46"/>
  <c r="AD45" i="72"/>
  <c r="U69" i="46"/>
  <c r="Z45" i="72"/>
  <c r="Z69" i="46"/>
  <c r="AX25" i="72"/>
  <c r="BK84" i="72"/>
  <c r="X139" i="72"/>
  <c r="W140" i="72"/>
  <c r="W62" i="72"/>
  <c r="BC94" i="72"/>
  <c r="AX93" i="72"/>
  <c r="AX12" i="72"/>
  <c r="AU20" i="46"/>
  <c r="AU27" i="72"/>
  <c r="BP127" i="72"/>
  <c r="AV88" i="72"/>
  <c r="AP27" i="72"/>
  <c r="AP20" i="46"/>
  <c r="AS27" i="72"/>
  <c r="AS20" i="46"/>
  <c r="BE140" i="72"/>
  <c r="BD62" i="72"/>
  <c r="AZ62" i="72"/>
  <c r="BA140" i="72"/>
  <c r="BF140" i="72"/>
  <c r="BO62" i="72"/>
  <c r="AC86" i="72"/>
  <c r="AC49" i="72"/>
  <c r="AC42" i="73"/>
  <c r="AZ123" i="72"/>
  <c r="AY51" i="72"/>
  <c r="BA143" i="72"/>
  <c r="BA142" i="72" s="1"/>
  <c r="Q96" i="72"/>
  <c r="AU88" i="72"/>
  <c r="S30" i="51"/>
  <c r="AW86" i="72"/>
  <c r="AW49" i="72"/>
  <c r="AW42" i="73" s="1"/>
  <c r="E101" i="46"/>
  <c r="AZ143" i="72"/>
  <c r="AZ142" i="72"/>
  <c r="AZ20" i="72" s="1"/>
  <c r="AZ16" i="46" s="1"/>
  <c r="AY63" i="72"/>
  <c r="AT97" i="72"/>
  <c r="AR139" i="72"/>
  <c r="AI85" i="59"/>
  <c r="Z85" i="59"/>
  <c r="BH75" i="59"/>
  <c r="BH87" i="59"/>
  <c r="BM75" i="59"/>
  <c r="BM10" i="59" s="1"/>
  <c r="BM12" i="59" s="1"/>
  <c r="BR75" i="59"/>
  <c r="BW75" i="59"/>
  <c r="BW10" i="59" s="1"/>
  <c r="BW12" i="59" s="1"/>
  <c r="CB75" i="59"/>
  <c r="AM72" i="59"/>
  <c r="AV72" i="59"/>
  <c r="AL72" i="59"/>
  <c r="T72" i="59"/>
  <c r="AW72" i="59"/>
  <c r="BS87" i="59"/>
  <c r="BI87" i="59"/>
  <c r="AT100" i="59"/>
  <c r="AT102" i="59"/>
  <c r="BF491" i="15" s="1"/>
  <c r="BF516" i="15" s="1"/>
  <c r="AQ100" i="59"/>
  <c r="AQ102" i="59"/>
  <c r="AR100" i="59"/>
  <c r="AR102" i="59" s="1"/>
  <c r="AS100" i="59"/>
  <c r="AU102" i="59"/>
  <c r="BD97" i="59"/>
  <c r="BD102" i="59" s="1"/>
  <c r="BA97" i="59"/>
  <c r="BA102" i="59" s="1"/>
  <c r="BC97" i="59"/>
  <c r="BC102" i="59" s="1"/>
  <c r="BB97" i="59"/>
  <c r="BB102" i="59"/>
  <c r="BE102" i="59"/>
  <c r="BJ10" i="59"/>
  <c r="AI102" i="59"/>
  <c r="CI18" i="59"/>
  <c r="CI24" i="59"/>
  <c r="CB18" i="59"/>
  <c r="CB24" i="59" s="1"/>
  <c r="CH18" i="59"/>
  <c r="CH24" i="59"/>
  <c r="AM102" i="59"/>
  <c r="S34" i="59"/>
  <c r="AU110" i="59"/>
  <c r="AN21" i="59"/>
  <c r="X27" i="59"/>
  <c r="X34" i="59" s="1"/>
  <c r="X11" i="59" s="1"/>
  <c r="M27" i="59"/>
  <c r="W27" i="59"/>
  <c r="BD27" i="59"/>
  <c r="BD34" i="59" s="1"/>
  <c r="AV32" i="59"/>
  <c r="AW85" i="59"/>
  <c r="BI173" i="72" s="1"/>
  <c r="BI200" i="72" s="1"/>
  <c r="U102" i="59"/>
  <c r="CD18" i="59"/>
  <c r="CD24" i="59" s="1"/>
  <c r="BT36" i="59"/>
  <c r="AD24" i="59"/>
  <c r="U24" i="59"/>
  <c r="X110" i="59"/>
  <c r="L24" i="59"/>
  <c r="L36" i="59" s="1"/>
  <c r="BI24" i="59"/>
  <c r="BN24" i="59"/>
  <c r="BS24" i="59"/>
  <c r="BX24" i="59"/>
  <c r="BX10" i="59"/>
  <c r="BE75" i="59"/>
  <c r="BK75" i="59"/>
  <c r="BK10" i="59"/>
  <c r="BP75" i="59"/>
  <c r="BP87" i="59" s="1"/>
  <c r="BU75" i="59"/>
  <c r="BU87" i="59"/>
  <c r="BZ75" i="59"/>
  <c r="BZ10" i="59" s="1"/>
  <c r="BZ12" i="59" s="1"/>
  <c r="AT85" i="59"/>
  <c r="BF173" i="72"/>
  <c r="BF200" i="72"/>
  <c r="BO102" i="59"/>
  <c r="BO10" i="59" s="1"/>
  <c r="BO12" i="59" s="1"/>
  <c r="AX24" i="59"/>
  <c r="BJ43" i="51"/>
  <c r="Y102" i="59"/>
  <c r="R102" i="59"/>
  <c r="AY491" i="15"/>
  <c r="AY516" i="15"/>
  <c r="CA110" i="59"/>
  <c r="L10" i="59"/>
  <c r="L12" i="59"/>
  <c r="X112" i="59"/>
  <c r="CW43" i="59"/>
  <c r="AD102" i="59"/>
  <c r="Z102" i="59"/>
  <c r="S102" i="59"/>
  <c r="AJ102" i="59"/>
  <c r="P63" i="59"/>
  <c r="CX20" i="59"/>
  <c r="CX24" i="59" s="1"/>
  <c r="AN54" i="59"/>
  <c r="N59" i="59"/>
  <c r="AL62" i="59"/>
  <c r="AP75" i="59"/>
  <c r="AP87" i="59" s="1"/>
  <c r="W56" i="59"/>
  <c r="M55" i="59"/>
  <c r="Y56" i="59"/>
  <c r="BG112" i="59"/>
  <c r="BL19" i="59"/>
  <c r="BG24" i="59"/>
  <c r="BG36" i="59" s="1"/>
  <c r="O28" i="59"/>
  <c r="P28" i="59"/>
  <c r="N28" i="59"/>
  <c r="AE29" i="59"/>
  <c r="AD29" i="59"/>
  <c r="AB29" i="59"/>
  <c r="N32" i="59"/>
  <c r="O32" i="59"/>
  <c r="P32" i="59"/>
  <c r="AI32" i="59"/>
  <c r="AH32" i="59"/>
  <c r="O49" i="59"/>
  <c r="M49" i="59"/>
  <c r="N49" i="59"/>
  <c r="N57" i="59"/>
  <c r="N75" i="59" s="1"/>
  <c r="N87" i="59" s="1"/>
  <c r="O57" i="59"/>
  <c r="AJ57" i="59"/>
  <c r="AH57" i="59"/>
  <c r="AR63" i="59"/>
  <c r="AR75" i="59" s="1"/>
  <c r="AS63" i="59"/>
  <c r="AR22" i="59"/>
  <c r="AT22" i="59"/>
  <c r="AS31" i="59"/>
  <c r="AR31" i="59"/>
  <c r="U47" i="59"/>
  <c r="T47" i="59"/>
  <c r="AG47" i="59"/>
  <c r="AH47" i="59"/>
  <c r="AI47" i="59"/>
  <c r="AJ47" i="59"/>
  <c r="BB53" i="59"/>
  <c r="BD53" i="59"/>
  <c r="BC53" i="59"/>
  <c r="AH55" i="59"/>
  <c r="AI55" i="59"/>
  <c r="AE63" i="59"/>
  <c r="AC63" i="59"/>
  <c r="BB66" i="59"/>
  <c r="BC66" i="59"/>
  <c r="Y67" i="59"/>
  <c r="X67" i="59"/>
  <c r="AM67" i="59"/>
  <c r="AN67" i="59"/>
  <c r="AL71" i="59"/>
  <c r="AM71" i="59"/>
  <c r="AO71" i="59"/>
  <c r="AN71" i="59"/>
  <c r="CG78" i="59"/>
  <c r="CI78" i="59"/>
  <c r="CH78" i="59"/>
  <c r="CC78" i="59"/>
  <c r="CE78" i="59"/>
  <c r="CK78" i="59"/>
  <c r="CP78" i="59"/>
  <c r="CU78" i="59" s="1"/>
  <c r="CZ78" i="59" s="1"/>
  <c r="CB78" i="59"/>
  <c r="BV110" i="59"/>
  <c r="BG11" i="59"/>
  <c r="CV43" i="59"/>
  <c r="AH102" i="59"/>
  <c r="AH112" i="59"/>
  <c r="AM54" i="59"/>
  <c r="AM75" i="59" s="1"/>
  <c r="AH43" i="59"/>
  <c r="CW20" i="59"/>
  <c r="CW24" i="59" s="1"/>
  <c r="BG75" i="59"/>
  <c r="BG87" i="59"/>
  <c r="AH59" i="59"/>
  <c r="M63" i="59"/>
  <c r="W54" i="59"/>
  <c r="Q75" i="59"/>
  <c r="AK75" i="59"/>
  <c r="AK87" i="59" s="1"/>
  <c r="AO62" i="59"/>
  <c r="AL67" i="59"/>
  <c r="AL75" i="59"/>
  <c r="R47" i="59"/>
  <c r="W67" i="59"/>
  <c r="X56" i="59"/>
  <c r="AG66" i="59"/>
  <c r="CJ78" i="59"/>
  <c r="O55" i="59"/>
  <c r="X54" i="59"/>
  <c r="AO18" i="59"/>
  <c r="AO24" i="59" s="1"/>
  <c r="AP24" i="59"/>
  <c r="AC22" i="59"/>
  <c r="AB22" i="59"/>
  <c r="AB24" i="59" s="1"/>
  <c r="AB31" i="59"/>
  <c r="AD31" i="59"/>
  <c r="AZ31" i="59"/>
  <c r="O53" i="59"/>
  <c r="N53" i="59"/>
  <c r="S66" i="59"/>
  <c r="R66" i="59"/>
  <c r="R75" i="59" s="1"/>
  <c r="AE70" i="59"/>
  <c r="AC70" i="59"/>
  <c r="AB70" i="59"/>
  <c r="AD70" i="59"/>
  <c r="Z71" i="59"/>
  <c r="X71" i="59"/>
  <c r="Y71" i="59"/>
  <c r="BQ97" i="59"/>
  <c r="BL102" i="59"/>
  <c r="BL112" i="59"/>
  <c r="N63" i="59"/>
  <c r="AB63" i="59"/>
  <c r="Z54" i="59"/>
  <c r="Z34" i="59"/>
  <c r="V75" i="59"/>
  <c r="V87" i="59" s="1"/>
  <c r="P59" i="59"/>
  <c r="BA53" i="59"/>
  <c r="AO67" i="59"/>
  <c r="AG55" i="59"/>
  <c r="AQ31" i="59"/>
  <c r="Z67" i="59"/>
  <c r="CD78" i="59"/>
  <c r="AI66" i="59"/>
  <c r="S47" i="59"/>
  <c r="AH20" i="59"/>
  <c r="AI20" i="59"/>
  <c r="W30" i="59"/>
  <c r="AA34" i="59"/>
  <c r="AA11" i="59" s="1"/>
  <c r="AA12" i="59" s="1"/>
  <c r="AB49" i="59"/>
  <c r="AD49" i="59"/>
  <c r="AC49" i="59"/>
  <c r="BD49" i="59"/>
  <c r="BC49" i="59"/>
  <c r="BA49" i="59"/>
  <c r="AQ50" i="59"/>
  <c r="AS50" i="59"/>
  <c r="AT50" i="59"/>
  <c r="AT75" i="59"/>
  <c r="Z52" i="59"/>
  <c r="Y52" i="59"/>
  <c r="Y69" i="59"/>
  <c r="W69" i="59"/>
  <c r="X69" i="59"/>
  <c r="AL94" i="59"/>
  <c r="AL102" i="59"/>
  <c r="AP102" i="59"/>
  <c r="CK94" i="59"/>
  <c r="N72" i="59"/>
  <c r="R21" i="59"/>
  <c r="AG110" i="59"/>
  <c r="CL110" i="59"/>
  <c r="BC495" i="15"/>
  <c r="AZ24" i="59"/>
  <c r="CW82" i="59"/>
  <c r="CW85" i="59" s="1"/>
  <c r="CZ82" i="59"/>
  <c r="CV82" i="59"/>
  <c r="CV85" i="59" s="1"/>
  <c r="CY82" i="59"/>
  <c r="CY85" i="59" s="1"/>
  <c r="CR82" i="59"/>
  <c r="AR19" i="59"/>
  <c r="AT19" i="59"/>
  <c r="AT24" i="59" s="1"/>
  <c r="AQ19" i="59"/>
  <c r="AQ24" i="59"/>
  <c r="BC43" i="51"/>
  <c r="AS19" i="59"/>
  <c r="AS24" i="59" s="1"/>
  <c r="AU24" i="59"/>
  <c r="BQ32" i="59"/>
  <c r="AW24" i="59"/>
  <c r="AB102" i="59"/>
  <c r="AR85" i="59"/>
  <c r="BD173" i="72" s="1"/>
  <c r="BD200" i="72" s="1"/>
  <c r="R20" i="59"/>
  <c r="R24" i="59"/>
  <c r="Y34" i="59"/>
  <c r="AI24" i="59"/>
  <c r="AO85" i="59"/>
  <c r="AS102" i="59"/>
  <c r="BB85" i="59"/>
  <c r="BN173" i="72"/>
  <c r="BN200" i="72"/>
  <c r="AO75" i="59"/>
  <c r="BT102" i="59"/>
  <c r="AQ27" i="59"/>
  <c r="AQ34" i="59" s="1"/>
  <c r="AB85" i="59"/>
  <c r="AD110" i="59"/>
  <c r="BH102" i="59"/>
  <c r="BH112" i="59" s="1"/>
  <c r="AT27" i="59"/>
  <c r="AJ79" i="59"/>
  <c r="AJ85" i="59" s="1"/>
  <c r="AJ87" i="59" s="1"/>
  <c r="AQ79" i="59"/>
  <c r="AQ85" i="59"/>
  <c r="AL85" i="59"/>
  <c r="AX173" i="72" s="1"/>
  <c r="AX200" i="72" s="1"/>
  <c r="AV24" i="59"/>
  <c r="BH43" i="51" s="1"/>
  <c r="CZ108" i="59"/>
  <c r="AH79" i="59"/>
  <c r="AH85" i="59" s="1"/>
  <c r="AH11" i="59" s="1"/>
  <c r="R79" i="59"/>
  <c r="R85" i="59"/>
  <c r="BA27" i="59"/>
  <c r="BC79" i="59"/>
  <c r="BZ36" i="59"/>
  <c r="BY34" i="59"/>
  <c r="CZ100" i="59"/>
  <c r="BI36" i="59"/>
  <c r="AH18" i="59"/>
  <c r="AH24" i="59"/>
  <c r="AJ18" i="59"/>
  <c r="AK24" i="59"/>
  <c r="AG18" i="59"/>
  <c r="AG24" i="59"/>
  <c r="AR30" i="59"/>
  <c r="AT30" i="59"/>
  <c r="AU34" i="59"/>
  <c r="AS30" i="59"/>
  <c r="AQ30" i="59"/>
  <c r="CA44" i="59"/>
  <c r="BQ46" i="59"/>
  <c r="BL75" i="59"/>
  <c r="CR49" i="59"/>
  <c r="CQ49" i="59"/>
  <c r="CN49" i="59"/>
  <c r="CM49" i="59"/>
  <c r="CS49" i="59"/>
  <c r="CU49" i="59"/>
  <c r="CZ49" i="59" s="1"/>
  <c r="CT49" i="59"/>
  <c r="CO49" i="59"/>
  <c r="CL49" i="59"/>
  <c r="CY52" i="59"/>
  <c r="CW52" i="59"/>
  <c r="CV52" i="59"/>
  <c r="CX52" i="59"/>
  <c r="BD75" i="59"/>
  <c r="BC85" i="59"/>
  <c r="S85" i="59"/>
  <c r="P75" i="59"/>
  <c r="AJ75" i="59"/>
  <c r="BX34" i="59"/>
  <c r="BX36" i="59"/>
  <c r="AM85" i="59"/>
  <c r="AY173" i="72" s="1"/>
  <c r="AY200" i="72" s="1"/>
  <c r="BN43" i="51"/>
  <c r="BN102" i="46" s="1"/>
  <c r="CE110" i="59"/>
  <c r="CE112" i="59"/>
  <c r="BY110" i="59"/>
  <c r="BY112" i="59" s="1"/>
  <c r="CD110" i="59"/>
  <c r="CD112" i="59"/>
  <c r="BB20" i="59"/>
  <c r="BB24" i="59" s="1"/>
  <c r="BE24" i="59"/>
  <c r="BA20" i="59"/>
  <c r="BA24" i="59"/>
  <c r="AE34" i="59"/>
  <c r="Z24" i="59"/>
  <c r="CT82" i="59"/>
  <c r="CS82" i="59"/>
  <c r="CQ82" i="59"/>
  <c r="CX82" i="59"/>
  <c r="CX85" i="59"/>
  <c r="CJ28" i="59"/>
  <c r="CB28" i="59"/>
  <c r="BA32" i="59"/>
  <c r="BC32" i="59"/>
  <c r="BC34" i="59"/>
  <c r="BC36" i="59" s="1"/>
  <c r="CR48" i="59"/>
  <c r="CM48" i="59"/>
  <c r="CU48" i="59"/>
  <c r="CZ48" i="59" s="1"/>
  <c r="CQ48" i="59"/>
  <c r="CN48" i="59"/>
  <c r="CT48" i="59"/>
  <c r="CS48" i="59"/>
  <c r="CL48" i="59"/>
  <c r="CQ50" i="59"/>
  <c r="CQ75" i="59" s="1"/>
  <c r="CX50" i="59"/>
  <c r="CX75" i="59" s="1"/>
  <c r="CW50" i="59"/>
  <c r="CZ50" i="59"/>
  <c r="CY50" i="59"/>
  <c r="CV50" i="59"/>
  <c r="CR50" i="59"/>
  <c r="CT50" i="59"/>
  <c r="AJ19" i="59"/>
  <c r="O20" i="59"/>
  <c r="O24" i="59"/>
  <c r="AE110" i="59"/>
  <c r="AE112" i="59" s="1"/>
  <c r="M20" i="59"/>
  <c r="M24" i="59"/>
  <c r="AY50" i="59"/>
  <c r="AX50" i="59"/>
  <c r="AW50" i="59"/>
  <c r="AV50" i="59"/>
  <c r="CH79" i="59"/>
  <c r="CG79" i="59"/>
  <c r="CD79" i="59"/>
  <c r="CD85" i="59" s="1"/>
  <c r="CE79" i="59"/>
  <c r="CB79" i="59"/>
  <c r="CC79" i="59"/>
  <c r="CJ79" i="59"/>
  <c r="CK79" i="59"/>
  <c r="CI79" i="59"/>
  <c r="AY51" i="59"/>
  <c r="AX51" i="59"/>
  <c r="AW51" i="59"/>
  <c r="AV51" i="59"/>
  <c r="AX82" i="59"/>
  <c r="AV82" i="59"/>
  <c r="AY82" i="59"/>
  <c r="AY85" i="59" s="1"/>
  <c r="BI110" i="59"/>
  <c r="BI112" i="59"/>
  <c r="CH27" i="59"/>
  <c r="CG27" i="59"/>
  <c r="CD27" i="59"/>
  <c r="CD34" i="59"/>
  <c r="CE27" i="59"/>
  <c r="CE34" i="59" s="1"/>
  <c r="CE11" i="59" s="1"/>
  <c r="CB27" i="59"/>
  <c r="CC27" i="59"/>
  <c r="CC34" i="59"/>
  <c r="CJ27" i="59"/>
  <c r="CK27" i="59"/>
  <c r="CP27" i="59"/>
  <c r="CU27" i="59"/>
  <c r="CZ27" i="59" s="1"/>
  <c r="CI27" i="59"/>
  <c r="AX95" i="59"/>
  <c r="AV95" i="59"/>
  <c r="AY95" i="59"/>
  <c r="R72" i="59"/>
  <c r="BC72" i="59"/>
  <c r="AC72" i="59"/>
  <c r="M79" i="59"/>
  <c r="BD79" i="59"/>
  <c r="BD85" i="59" s="1"/>
  <c r="AZ75" i="59"/>
  <c r="BA72" i="59"/>
  <c r="BB72" i="59"/>
  <c r="AD72" i="59"/>
  <c r="X79" i="59"/>
  <c r="X85" i="59" s="1"/>
  <c r="Y79" i="59"/>
  <c r="Y85" i="59"/>
  <c r="W79" i="59"/>
  <c r="W85" i="59" s="1"/>
  <c r="W11" i="59" s="1"/>
  <c r="O79" i="59"/>
  <c r="AZ102" i="59"/>
  <c r="AN72" i="59"/>
  <c r="S72" i="59"/>
  <c r="S75" i="59" s="1"/>
  <c r="AZ85" i="59"/>
  <c r="AB110" i="59"/>
  <c r="AB112" i="59" s="1"/>
  <c r="AU473" i="15"/>
  <c r="AT473" i="15"/>
  <c r="BB178" i="72"/>
  <c r="AZ159" i="72"/>
  <c r="AZ152" i="72"/>
  <c r="AZ25" i="72" s="1"/>
  <c r="BA159" i="72"/>
  <c r="AY152" i="72"/>
  <c r="AY25" i="72" s="1"/>
  <c r="AM275" i="72"/>
  <c r="AW156" i="72"/>
  <c r="AW158" i="72"/>
  <c r="AX158" i="72" s="1"/>
  <c r="AS150" i="72"/>
  <c r="BA139" i="72"/>
  <c r="AV140" i="72"/>
  <c r="AV62" i="72"/>
  <c r="AW139" i="72"/>
  <c r="AW140" i="72" s="1"/>
  <c r="AW62" i="72" s="1"/>
  <c r="AW43" i="73" s="1"/>
  <c r="AW69" i="46"/>
  <c r="AZ12" i="72"/>
  <c r="AU132" i="72"/>
  <c r="AU130" i="72"/>
  <c r="AZ130" i="72" s="1"/>
  <c r="AZ129" i="72" s="1"/>
  <c r="AZ13" i="72" s="1"/>
  <c r="BD94" i="72"/>
  <c r="BE94" i="72"/>
  <c r="AY93" i="72"/>
  <c r="AT129" i="72"/>
  <c r="AG243" i="15"/>
  <c r="AG355" i="15"/>
  <c r="AY301" i="15"/>
  <c r="AY210" i="15"/>
  <c r="AN228" i="15"/>
  <c r="AP106" i="15"/>
  <c r="AR105" i="15"/>
  <c r="BK368" i="15"/>
  <c r="BK61" i="15"/>
  <c r="AZ243" i="15"/>
  <c r="AX388" i="15"/>
  <c r="BK75" i="15"/>
  <c r="BK71" i="15"/>
  <c r="AZ106" i="15"/>
  <c r="AN328" i="15"/>
  <c r="AN341" i="15"/>
  <c r="AN61" i="15"/>
  <c r="AN354" i="15"/>
  <c r="AO242" i="15"/>
  <c r="AO302" i="15"/>
  <c r="AO73" i="15"/>
  <c r="AY242" i="15"/>
  <c r="AY250" i="15" s="1"/>
  <c r="AY251" i="15" s="1"/>
  <c r="AY302" i="15"/>
  <c r="AY408" i="15"/>
  <c r="AW105" i="15"/>
  <c r="AW106" i="15"/>
  <c r="AX230" i="15"/>
  <c r="AO354" i="15"/>
  <c r="AO61" i="15"/>
  <c r="AO328" i="15"/>
  <c r="AO341" i="15"/>
  <c r="AO227" i="15"/>
  <c r="AO228" i="15" s="1"/>
  <c r="AF21" i="46"/>
  <c r="AG119" i="46"/>
  <c r="AF77" i="46"/>
  <c r="Z183" i="46"/>
  <c r="W55" i="51"/>
  <c r="X55" i="51"/>
  <c r="CO47" i="71"/>
  <c r="AW220" i="46"/>
  <c r="DO23" i="71"/>
  <c r="AU32" i="46"/>
  <c r="CZ63" i="71"/>
  <c r="J135" i="46"/>
  <c r="K133" i="46"/>
  <c r="K135" i="46"/>
  <c r="L133" i="46" s="1"/>
  <c r="L135" i="46" s="1"/>
  <c r="M133" i="46" s="1"/>
  <c r="AF21" i="51"/>
  <c r="AF25" i="51"/>
  <c r="AF29" i="51"/>
  <c r="AF31" i="51" s="1"/>
  <c r="AF37" i="51" s="1"/>
  <c r="AF70" i="46" s="1"/>
  <c r="AA192" i="46"/>
  <c r="AA195" i="46"/>
  <c r="AA198" i="46"/>
  <c r="BQ337" i="46"/>
  <c r="AL198" i="46"/>
  <c r="AK21" i="51"/>
  <c r="AK25" i="51"/>
  <c r="AK29" i="51" s="1"/>
  <c r="AW218" i="46"/>
  <c r="DO21" i="71"/>
  <c r="AM125" i="46"/>
  <c r="AF201" i="46"/>
  <c r="AK21" i="46"/>
  <c r="AA83" i="46"/>
  <c r="AA61" i="51"/>
  <c r="AC123" i="46"/>
  <c r="CU61" i="71"/>
  <c r="AA100" i="46"/>
  <c r="AA336" i="46"/>
  <c r="AC126" i="46"/>
  <c r="AE42" i="51"/>
  <c r="AE102" i="46"/>
  <c r="AH60" i="51"/>
  <c r="AH42" i="51" s="1"/>
  <c r="N135" i="46"/>
  <c r="O133" i="46" s="1"/>
  <c r="AL111" i="46"/>
  <c r="AK49" i="51"/>
  <c r="AM28" i="46"/>
  <c r="AM220" i="46" s="1"/>
  <c r="DE23" i="71" s="1"/>
  <c r="AM32" i="46"/>
  <c r="AL114" i="46"/>
  <c r="CK47" i="71"/>
  <c r="S120" i="46"/>
  <c r="AJ183" i="46"/>
  <c r="AB337" i="46"/>
  <c r="AB30" i="51"/>
  <c r="AC30" i="51" s="1"/>
  <c r="CL41" i="71"/>
  <c r="CL40" i="71"/>
  <c r="T131" i="46"/>
  <c r="AQ337" i="46"/>
  <c r="AQ30" i="51"/>
  <c r="AR30" i="51"/>
  <c r="AM218" i="46"/>
  <c r="DE21" i="71" s="1"/>
  <c r="AF192" i="46"/>
  <c r="AB83" i="46"/>
  <c r="AB61" i="51"/>
  <c r="AB43" i="51" s="1"/>
  <c r="AB102" i="46" s="1"/>
  <c r="AI10" i="51"/>
  <c r="AI14" i="51"/>
  <c r="AI16" i="51" s="1"/>
  <c r="AG17" i="46"/>
  <c r="AG22" i="46"/>
  <c r="AG12" i="46"/>
  <c r="AG9" i="51"/>
  <c r="EI59" i="71"/>
  <c r="BQ336" i="46"/>
  <c r="AB336" i="46"/>
  <c r="AB100" i="46"/>
  <c r="H77" i="46"/>
  <c r="H76" i="46"/>
  <c r="H57" i="51"/>
  <c r="V113" i="46"/>
  <c r="U51" i="51"/>
  <c r="Z201" i="46"/>
  <c r="AL192" i="46"/>
  <c r="AL201" i="46"/>
  <c r="M200" i="46"/>
  <c r="V200" i="46"/>
  <c r="V201" i="46" s="1"/>
  <c r="J105" i="46"/>
  <c r="I212" i="46"/>
  <c r="AG110" i="46"/>
  <c r="AF48" i="51"/>
  <c r="AU10" i="51"/>
  <c r="AU14" i="51"/>
  <c r="AU16" i="51"/>
  <c r="AU21" i="46"/>
  <c r="AU23" i="46" s="1"/>
  <c r="V83" i="46"/>
  <c r="V61" i="51"/>
  <c r="W123" i="46"/>
  <c r="CN61" i="71"/>
  <c r="AD212" i="46"/>
  <c r="AD219" i="46"/>
  <c r="AD218" i="46"/>
  <c r="AT32" i="46"/>
  <c r="AT28" i="46"/>
  <c r="AH28" i="46"/>
  <c r="AH32" i="46"/>
  <c r="AC218" i="46"/>
  <c r="CU21" i="71" s="1"/>
  <c r="I218" i="46"/>
  <c r="CA21" i="71"/>
  <c r="AC212" i="46"/>
  <c r="BC143" i="46"/>
  <c r="BD143" i="46" s="1"/>
  <c r="BE143" i="46" s="1"/>
  <c r="BF143" i="46" s="1"/>
  <c r="BG143" i="46" s="1"/>
  <c r="BH143" i="46" s="1"/>
  <c r="BI143" i="46" s="1"/>
  <c r="BJ143" i="46" s="1"/>
  <c r="BK143" i="46" s="1"/>
  <c r="BL143" i="46" s="1"/>
  <c r="BM143" i="46" s="1"/>
  <c r="BN143" i="46" s="1"/>
  <c r="BO143" i="46" s="1"/>
  <c r="BP143" i="46" s="1"/>
  <c r="BQ143" i="46" s="1"/>
  <c r="AG112" i="46"/>
  <c r="AF50" i="51"/>
  <c r="AP174" i="46"/>
  <c r="AQ125" i="46"/>
  <c r="AP129" i="46"/>
  <c r="AP10" i="51"/>
  <c r="AP14" i="51"/>
  <c r="AP16" i="51" s="1"/>
  <c r="AE28" i="46"/>
  <c r="AE32" i="46"/>
  <c r="AW144" i="46"/>
  <c r="AW156" i="46" s="1"/>
  <c r="U183" i="46"/>
  <c r="AJ131" i="46"/>
  <c r="AF195" i="46"/>
  <c r="AF198" i="46"/>
  <c r="AF114" i="46"/>
  <c r="AE115" i="46"/>
  <c r="AE131" i="46" s="1"/>
  <c r="BP76" i="46"/>
  <c r="AA32" i="46"/>
  <c r="AA28" i="46"/>
  <c r="DT59" i="71"/>
  <c r="BB336" i="46"/>
  <c r="O195" i="46"/>
  <c r="O198" i="46"/>
  <c r="K198" i="46"/>
  <c r="K195" i="46"/>
  <c r="K192" i="46"/>
  <c r="K201" i="46"/>
  <c r="AU195" i="46"/>
  <c r="AS131" i="46"/>
  <c r="AM118" i="46"/>
  <c r="AL112" i="46"/>
  <c r="AK50" i="51"/>
  <c r="AQ200" i="46"/>
  <c r="AQ192" i="46"/>
  <c r="AA65" i="51"/>
  <c r="AB127" i="46"/>
  <c r="AC127" i="46" s="1"/>
  <c r="AA103" i="46"/>
  <c r="AA333" i="46"/>
  <c r="Z28" i="46"/>
  <c r="Z32" i="46"/>
  <c r="AN14" i="51"/>
  <c r="AN16" i="51"/>
  <c r="AN10" i="51"/>
  <c r="AC181" i="46"/>
  <c r="AM336" i="46"/>
  <c r="DE59" i="71"/>
  <c r="AL110" i="46"/>
  <c r="AK115" i="46"/>
  <c r="AK48" i="51"/>
  <c r="W122" i="46"/>
  <c r="V82" i="46"/>
  <c r="CN60" i="71"/>
  <c r="V60" i="51"/>
  <c r="X122" i="46"/>
  <c r="CP60" i="71" s="1"/>
  <c r="AN201" i="46"/>
  <c r="AN195" i="46"/>
  <c r="AN198" i="46"/>
  <c r="V32" i="46"/>
  <c r="V28" i="46"/>
  <c r="AV110" i="46"/>
  <c r="AU48" i="51"/>
  <c r="AL65" i="51"/>
  <c r="AM65" i="51"/>
  <c r="AL333" i="46"/>
  <c r="AM333" i="46" s="1"/>
  <c r="AL103" i="46"/>
  <c r="AM103" i="46"/>
  <c r="AM127" i="46"/>
  <c r="DE55" i="71" s="1"/>
  <c r="AS25" i="51"/>
  <c r="AS29" i="51"/>
  <c r="AS36" i="51"/>
  <c r="AS21" i="51"/>
  <c r="AF218" i="46"/>
  <c r="AF219" i="46"/>
  <c r="AF212" i="46"/>
  <c r="AG111" i="46"/>
  <c r="AF49" i="51"/>
  <c r="AP28" i="46"/>
  <c r="AP32" i="46"/>
  <c r="O192" i="46"/>
  <c r="O201" i="46"/>
  <c r="AF61" i="51"/>
  <c r="AG123" i="46"/>
  <c r="AH123" i="46" s="1"/>
  <c r="CZ61" i="71" s="1"/>
  <c r="AF83" i="46"/>
  <c r="X40" i="72"/>
  <c r="X42" i="71"/>
  <c r="V10" i="51"/>
  <c r="V14" i="51"/>
  <c r="V16" i="51"/>
  <c r="AF36" i="51"/>
  <c r="AO51" i="51"/>
  <c r="AP113" i="46"/>
  <c r="AM37" i="71"/>
  <c r="AM55" i="46"/>
  <c r="AR55" i="46"/>
  <c r="AJ32" i="46"/>
  <c r="AJ28" i="46"/>
  <c r="AM219" i="46"/>
  <c r="DE22" i="71" s="1"/>
  <c r="AW124" i="46"/>
  <c r="AM62" i="51"/>
  <c r="Y219" i="46"/>
  <c r="Y212" i="46"/>
  <c r="Y218" i="46"/>
  <c r="AG124" i="46"/>
  <c r="AT183" i="46"/>
  <c r="AQ112" i="46"/>
  <c r="AP50" i="51"/>
  <c r="AN53" i="51"/>
  <c r="AN28" i="46"/>
  <c r="AN32" i="46"/>
  <c r="X28" i="46"/>
  <c r="X220" i="46"/>
  <c r="CP23" i="71" s="1"/>
  <c r="X32" i="46"/>
  <c r="AV125" i="46"/>
  <c r="AU63" i="51"/>
  <c r="AA66" i="51"/>
  <c r="AC66" i="51" s="1"/>
  <c r="AV117" i="46"/>
  <c r="AU55" i="51"/>
  <c r="AC112" i="46"/>
  <c r="AB50" i="51"/>
  <c r="AC50" i="51" s="1"/>
  <c r="AC40" i="72"/>
  <c r="AC42" i="71"/>
  <c r="AL9" i="51"/>
  <c r="AL17" i="46"/>
  <c r="AL22" i="46" s="1"/>
  <c r="AL12" i="46"/>
  <c r="AH219" i="46"/>
  <c r="CZ22" i="71" s="1"/>
  <c r="AH212" i="46"/>
  <c r="AH220" i="46"/>
  <c r="CZ23" i="71" s="1"/>
  <c r="AH218" i="46"/>
  <c r="CZ21" i="71" s="1"/>
  <c r="Z56" i="51"/>
  <c r="Z120" i="46"/>
  <c r="AV113" i="46"/>
  <c r="AU51" i="51"/>
  <c r="AW336" i="46"/>
  <c r="DO59" i="71"/>
  <c r="X128" i="46"/>
  <c r="W66" i="51"/>
  <c r="X66" i="51"/>
  <c r="AP114" i="46"/>
  <c r="AP115" i="46" s="1"/>
  <c r="AP131" i="46" s="1"/>
  <c r="AO52" i="51"/>
  <c r="AS53" i="51"/>
  <c r="W112" i="46"/>
  <c r="W50" i="51" s="1"/>
  <c r="AZ76" i="46"/>
  <c r="N40" i="72"/>
  <c r="N42" i="71"/>
  <c r="AO14" i="51"/>
  <c r="AO16" i="51"/>
  <c r="AO10" i="51"/>
  <c r="AR119" i="46"/>
  <c r="AR120" i="46" s="1"/>
  <c r="AQ77" i="46"/>
  <c r="AQ76" i="46" s="1"/>
  <c r="AR124" i="46"/>
  <c r="AB9" i="51"/>
  <c r="AB17" i="46"/>
  <c r="AB22" i="46" s="1"/>
  <c r="AB12" i="46"/>
  <c r="W17" i="46"/>
  <c r="W22" i="46" s="1"/>
  <c r="W9" i="51"/>
  <c r="W10" i="51" s="1"/>
  <c r="W12" i="46"/>
  <c r="CO54" i="71"/>
  <c r="W120" i="46"/>
  <c r="W56" i="51"/>
  <c r="I43" i="51"/>
  <c r="CO63" i="71"/>
  <c r="AC111" i="46"/>
  <c r="AB49" i="51"/>
  <c r="V48" i="51"/>
  <c r="I40" i="72"/>
  <c r="I42" i="71"/>
  <c r="AZ55" i="46"/>
  <c r="BB54" i="46"/>
  <c r="AA63" i="51"/>
  <c r="AQ110" i="46"/>
  <c r="AR110" i="46"/>
  <c r="AP48" i="51"/>
  <c r="AB128" i="46"/>
  <c r="AB66" i="51" s="1"/>
  <c r="AA114" i="46"/>
  <c r="AA52" i="51" s="1"/>
  <c r="AA113" i="46"/>
  <c r="AA51" i="51" s="1"/>
  <c r="Z115" i="46"/>
  <c r="Z51" i="51"/>
  <c r="W111" i="46"/>
  <c r="W49" i="51"/>
  <c r="X49" i="51" s="1"/>
  <c r="M30" i="51"/>
  <c r="N30" i="51" s="1"/>
  <c r="M337" i="46"/>
  <c r="H14" i="51"/>
  <c r="H16" i="51"/>
  <c r="AM128" i="46"/>
  <c r="DE63" i="71"/>
  <c r="AL66" i="51"/>
  <c r="AM66" i="51"/>
  <c r="AQ83" i="46"/>
  <c r="AR83" i="46"/>
  <c r="AQ61" i="51"/>
  <c r="Y28" i="46"/>
  <c r="Y32" i="46"/>
  <c r="AV82" i="46"/>
  <c r="AW82" i="46" s="1"/>
  <c r="AC32" i="46"/>
  <c r="AC28" i="46"/>
  <c r="AC220" i="46"/>
  <c r="CU23" i="71" s="1"/>
  <c r="T32" i="46"/>
  <c r="T28" i="46"/>
  <c r="S219" i="46"/>
  <c r="CK22" i="71" s="1"/>
  <c r="S218" i="46"/>
  <c r="CK21" i="71" s="1"/>
  <c r="S212" i="46"/>
  <c r="CP63" i="71"/>
  <c r="DJ47" i="71"/>
  <c r="AX40" i="72"/>
  <c r="AY44" i="46"/>
  <c r="AX45" i="46"/>
  <c r="AX127" i="46"/>
  <c r="AW94" i="46"/>
  <c r="AW214" i="46"/>
  <c r="AW225" i="46" s="1"/>
  <c r="DO28" i="71" s="1"/>
  <c r="AW36" i="46"/>
  <c r="AW40" i="46"/>
  <c r="AI201" i="46"/>
  <c r="AU201" i="46"/>
  <c r="AU198" i="46"/>
  <c r="AV30" i="51"/>
  <c r="AW30" i="51" s="1"/>
  <c r="AV337" i="46"/>
  <c r="AV128" i="46"/>
  <c r="AK83" i="46"/>
  <c r="AL123" i="46"/>
  <c r="AM123" i="46"/>
  <c r="DE61" i="71" s="1"/>
  <c r="AK129" i="46"/>
  <c r="AK61" i="51"/>
  <c r="AA82" i="46"/>
  <c r="AA129" i="46"/>
  <c r="AB122" i="46"/>
  <c r="AA60" i="51"/>
  <c r="AV111" i="46"/>
  <c r="AW111" i="46" s="1"/>
  <c r="AU49" i="51"/>
  <c r="AB48" i="51"/>
  <c r="BE76" i="46"/>
  <c r="AD27" i="46"/>
  <c r="CN62" i="71"/>
  <c r="V129" i="46"/>
  <c r="V62" i="51"/>
  <c r="AW117" i="46"/>
  <c r="R115" i="46"/>
  <c r="AC110" i="46"/>
  <c r="AA48" i="51"/>
  <c r="AM40" i="72"/>
  <c r="AM42" i="71"/>
  <c r="AW77" i="46"/>
  <c r="AW128" i="46"/>
  <c r="AL117" i="46"/>
  <c r="AM117" i="46" s="1"/>
  <c r="AK77" i="46"/>
  <c r="AK76" i="46" s="1"/>
  <c r="AK120" i="46"/>
  <c r="AK55" i="51"/>
  <c r="W110" i="46"/>
  <c r="H30" i="51"/>
  <c r="I30" i="51"/>
  <c r="H337" i="46"/>
  <c r="Y14" i="51"/>
  <c r="Y16" i="51" s="1"/>
  <c r="Y10" i="51"/>
  <c r="AR62" i="51"/>
  <c r="E94" i="46"/>
  <c r="E36" i="46"/>
  <c r="E40" i="46" s="1"/>
  <c r="AQ9" i="51"/>
  <c r="AQ12" i="46"/>
  <c r="AQ17" i="46"/>
  <c r="AQ22" i="46" s="1"/>
  <c r="AR126" i="46"/>
  <c r="AQ336" i="46"/>
  <c r="AQ100" i="46"/>
  <c r="AV100" i="46"/>
  <c r="AW100" i="46" s="1"/>
  <c r="AV336" i="46"/>
  <c r="DE54" i="71"/>
  <c r="AB77" i="46"/>
  <c r="H10" i="51"/>
  <c r="AQ55" i="51"/>
  <c r="AQ120" i="46"/>
  <c r="AU77" i="46"/>
  <c r="K105" i="46"/>
  <c r="AW219" i="46"/>
  <c r="DO22" i="71"/>
  <c r="AF65" i="51"/>
  <c r="AF103" i="46"/>
  <c r="AG127" i="46"/>
  <c r="AH127" i="46" s="1"/>
  <c r="AF333" i="46"/>
  <c r="AF129" i="46"/>
  <c r="AG336" i="46"/>
  <c r="AG100" i="46"/>
  <c r="AH126" i="46"/>
  <c r="AG129" i="46"/>
  <c r="V65" i="51"/>
  <c r="W127" i="46"/>
  <c r="V103" i="46"/>
  <c r="CN55" i="71"/>
  <c r="V333" i="46"/>
  <c r="AA118" i="46"/>
  <c r="AB118" i="46"/>
  <c r="AT52" i="51"/>
  <c r="AU114" i="46"/>
  <c r="AU115" i="46" s="1"/>
  <c r="AT115" i="46"/>
  <c r="AR111" i="46"/>
  <c r="AQ49" i="51"/>
  <c r="AR49" i="51"/>
  <c r="BC55" i="46"/>
  <c r="BD54" i="46"/>
  <c r="BA55" i="46"/>
  <c r="AV123" i="46"/>
  <c r="AU83" i="46"/>
  <c r="AU61" i="51"/>
  <c r="AU129" i="46"/>
  <c r="M120" i="46"/>
  <c r="M131" i="46" s="1"/>
  <c r="M56" i="51"/>
  <c r="AB114" i="46"/>
  <c r="AB52" i="51" s="1"/>
  <c r="X112" i="46"/>
  <c r="S40" i="72"/>
  <c r="S42" i="71"/>
  <c r="Q131" i="46"/>
  <c r="CI41" i="71"/>
  <c r="U219" i="46"/>
  <c r="CM22" i="71"/>
  <c r="U212" i="46"/>
  <c r="U218" i="46"/>
  <c r="CM21" i="71" s="1"/>
  <c r="AT67" i="51"/>
  <c r="AT42" i="51"/>
  <c r="AT102" i="46" s="1"/>
  <c r="AC124" i="46"/>
  <c r="CU62" i="71"/>
  <c r="AW113" i="46"/>
  <c r="AO115" i="46"/>
  <c r="AO131" i="46"/>
  <c r="CM41" i="71"/>
  <c r="U131" i="46"/>
  <c r="AH40" i="72"/>
  <c r="AH42" i="71"/>
  <c r="AV65" i="51"/>
  <c r="AW65" i="51" s="1"/>
  <c r="AV103" i="46"/>
  <c r="AW103" i="46" s="1"/>
  <c r="AV333" i="46"/>
  <c r="AW333" i="46" s="1"/>
  <c r="AB125" i="46"/>
  <c r="AR14" i="51"/>
  <c r="AR16" i="51" s="1"/>
  <c r="AR20" i="51" s="1"/>
  <c r="AR10" i="51"/>
  <c r="T10" i="51"/>
  <c r="T14" i="51"/>
  <c r="T16" i="51" s="1"/>
  <c r="U200" i="46"/>
  <c r="U201" i="46"/>
  <c r="AG56" i="51"/>
  <c r="AG120" i="46"/>
  <c r="X183" i="46"/>
  <c r="AM124" i="46"/>
  <c r="DE62" i="71" s="1"/>
  <c r="CN54" i="71"/>
  <c r="CN56" i="71" s="1"/>
  <c r="V120" i="46"/>
  <c r="V56" i="51"/>
  <c r="CZ47" i="71"/>
  <c r="AV77" i="46"/>
  <c r="DJ12" i="71"/>
  <c r="DJ13" i="71" s="1"/>
  <c r="AR191" i="46"/>
  <c r="CU12" i="71"/>
  <c r="CU13" i="71"/>
  <c r="AC191" i="46"/>
  <c r="AH198" i="46"/>
  <c r="AH195" i="46"/>
  <c r="AH192" i="46"/>
  <c r="I191" i="46"/>
  <c r="CA12" i="71"/>
  <c r="CA13" i="71" s="1"/>
  <c r="CA18" i="71" s="1"/>
  <c r="S191" i="46"/>
  <c r="CK12" i="71"/>
  <c r="CK13" i="71"/>
  <c r="AW200" i="46"/>
  <c r="AW201" i="46"/>
  <c r="R200" i="46"/>
  <c r="R192" i="46" s="1"/>
  <c r="H200" i="46"/>
  <c r="H201" i="46"/>
  <c r="CH16" i="71"/>
  <c r="P200" i="46"/>
  <c r="P198" i="46" s="1"/>
  <c r="BM58" i="51"/>
  <c r="AS195" i="46"/>
  <c r="AS198" i="46"/>
  <c r="AS201" i="46"/>
  <c r="AS192" i="46"/>
  <c r="U21" i="51"/>
  <c r="U25" i="51"/>
  <c r="U29" i="51" s="1"/>
  <c r="E192" i="46"/>
  <c r="E198" i="46"/>
  <c r="E195" i="46"/>
  <c r="AV94" i="46"/>
  <c r="AV36" i="46"/>
  <c r="AV40" i="46"/>
  <c r="AI198" i="46"/>
  <c r="AI195" i="46"/>
  <c r="Y201" i="46"/>
  <c r="Y195" i="46"/>
  <c r="Y198" i="46"/>
  <c r="AD198" i="46"/>
  <c r="AD192" i="46"/>
  <c r="AD195" i="46"/>
  <c r="S54" i="71"/>
  <c r="N61" i="71"/>
  <c r="N54" i="71" s="1"/>
  <c r="AX63" i="72"/>
  <c r="AX143" i="72" s="1"/>
  <c r="AX142" i="72" s="1"/>
  <c r="AY143" i="72"/>
  <c r="AY142" i="72"/>
  <c r="BO140" i="72"/>
  <c r="BN62" i="72"/>
  <c r="BD140" i="72"/>
  <c r="BC62" i="72"/>
  <c r="BC140" i="72" s="1"/>
  <c r="AZ124" i="72"/>
  <c r="AP32" i="72"/>
  <c r="AP28" i="72"/>
  <c r="AU28" i="72"/>
  <c r="AU32" i="72"/>
  <c r="Q97" i="72"/>
  <c r="AS23" i="46"/>
  <c r="BH94" i="72"/>
  <c r="BF93" i="72"/>
  <c r="BF12" i="72"/>
  <c r="BK94" i="72"/>
  <c r="AY62" i="72"/>
  <c r="AZ140" i="72"/>
  <c r="AZ139" i="72"/>
  <c r="AZ137" i="72" s="1"/>
  <c r="AZ18" i="72" s="1"/>
  <c r="AS28" i="72"/>
  <c r="AS32" i="72"/>
  <c r="BP84" i="72"/>
  <c r="BK86" i="72"/>
  <c r="BK87" i="59"/>
  <c r="BP10" i="59"/>
  <c r="BN491" i="15"/>
  <c r="AU112" i="59"/>
  <c r="W34" i="59"/>
  <c r="W36" i="59" s="1"/>
  <c r="BL24" i="59"/>
  <c r="BL10" i="59" s="1"/>
  <c r="BL12" i="59" s="1"/>
  <c r="BQ19" i="59"/>
  <c r="BV19" i="59" s="1"/>
  <c r="V10" i="59"/>
  <c r="AP10" i="59"/>
  <c r="BB43" i="51"/>
  <c r="BG10" i="59"/>
  <c r="CL94" i="59"/>
  <c r="CL102" i="59" s="1"/>
  <c r="CG94" i="59"/>
  <c r="CG102" i="59" s="1"/>
  <c r="CN94" i="59"/>
  <c r="CN102" i="59" s="1"/>
  <c r="CH94" i="59"/>
  <c r="CH102" i="59" s="1"/>
  <c r="CM94" i="59"/>
  <c r="CM102" i="59" s="1"/>
  <c r="CP94" i="59"/>
  <c r="CO94" i="59"/>
  <c r="CO102" i="59"/>
  <c r="CJ94" i="59"/>
  <c r="CJ102" i="59"/>
  <c r="CJ112" i="59" s="1"/>
  <c r="CI94" i="59"/>
  <c r="CI102" i="59" s="1"/>
  <c r="BV97" i="59"/>
  <c r="BQ102" i="59"/>
  <c r="BQ112" i="59" s="1"/>
  <c r="CY75" i="59"/>
  <c r="CE85" i="59"/>
  <c r="BY85" i="59"/>
  <c r="BZ85" i="59"/>
  <c r="BW85" i="59"/>
  <c r="BX85" i="59"/>
  <c r="BX87" i="59"/>
  <c r="BT112" i="59"/>
  <c r="BT10" i="59"/>
  <c r="BI43" i="51"/>
  <c r="BV32" i="59"/>
  <c r="CC85" i="59"/>
  <c r="CC87" i="59" s="1"/>
  <c r="CV108" i="59"/>
  <c r="BE491" i="15"/>
  <c r="BH10" i="59"/>
  <c r="CB85" i="59"/>
  <c r="CB87" i="59"/>
  <c r="CT75" i="59"/>
  <c r="AU10" i="59"/>
  <c r="AV75" i="59"/>
  <c r="BV46" i="59"/>
  <c r="BQ75" i="59"/>
  <c r="Z36" i="59"/>
  <c r="CF110" i="59"/>
  <c r="AZ10" i="59"/>
  <c r="BP183" i="72"/>
  <c r="BE36" i="59"/>
  <c r="CF44" i="59"/>
  <c r="AK10" i="59"/>
  <c r="M85" i="59"/>
  <c r="AY75" i="59"/>
  <c r="BO182" i="72"/>
  <c r="BF174" i="72"/>
  <c r="BF201" i="72" s="1"/>
  <c r="AT87" i="59"/>
  <c r="AJ24" i="59"/>
  <c r="BA152" i="72"/>
  <c r="BB159" i="72"/>
  <c r="BC159" i="72"/>
  <c r="BD159" i="72" s="1"/>
  <c r="AW155" i="72"/>
  <c r="AV155" i="72"/>
  <c r="AS155" i="72"/>
  <c r="AT155" i="72"/>
  <c r="AW254" i="72"/>
  <c r="BA137" i="72"/>
  <c r="BF139" i="72"/>
  <c r="AW57" i="46"/>
  <c r="AW11" i="71"/>
  <c r="AT130" i="72"/>
  <c r="AY130" i="72" s="1"/>
  <c r="AT132" i="72"/>
  <c r="BB93" i="72"/>
  <c r="AY12" i="72"/>
  <c r="BJ94" i="72"/>
  <c r="BI94" i="72"/>
  <c r="AN333" i="15"/>
  <c r="AZ316" i="15"/>
  <c r="BK274" i="15"/>
  <c r="BK241" i="15"/>
  <c r="BK210" i="15"/>
  <c r="BK407" i="15"/>
  <c r="BK261" i="15"/>
  <c r="BK301" i="15"/>
  <c r="AO250" i="15"/>
  <c r="AG363" i="15"/>
  <c r="AP316" i="15"/>
  <c r="AR106" i="15"/>
  <c r="AU94" i="46"/>
  <c r="AU36" i="46"/>
  <c r="AU40" i="46"/>
  <c r="W113" i="46"/>
  <c r="AH119" i="46"/>
  <c r="AG77" i="46"/>
  <c r="AR55" i="51"/>
  <c r="AC83" i="46"/>
  <c r="AH129" i="46"/>
  <c r="AM94" i="46"/>
  <c r="AM36" i="46"/>
  <c r="AM40" i="46"/>
  <c r="AM214" i="46"/>
  <c r="AM225" i="46"/>
  <c r="DE28" i="71" s="1"/>
  <c r="AA43" i="51"/>
  <c r="AC61" i="51"/>
  <c r="AC43" i="51"/>
  <c r="X113" i="46"/>
  <c r="AM114" i="46"/>
  <c r="AW110" i="46"/>
  <c r="AM111" i="46"/>
  <c r="AL49" i="51"/>
  <c r="AM49" i="51"/>
  <c r="AC100" i="46"/>
  <c r="CU59" i="71"/>
  <c r="AC336" i="46"/>
  <c r="V192" i="46"/>
  <c r="V198" i="46"/>
  <c r="V195" i="46"/>
  <c r="M192" i="46"/>
  <c r="M195" i="46"/>
  <c r="M198" i="46"/>
  <c r="Z131" i="46"/>
  <c r="M201" i="46"/>
  <c r="U192" i="46"/>
  <c r="AE36" i="46"/>
  <c r="AE40" i="46"/>
  <c r="AE94" i="46"/>
  <c r="AR125" i="46"/>
  <c r="V43" i="51"/>
  <c r="AA94" i="46"/>
  <c r="AA36" i="46"/>
  <c r="AA40" i="46" s="1"/>
  <c r="AG114" i="46"/>
  <c r="AH94" i="46"/>
  <c r="AH214" i="46"/>
  <c r="AH225" i="46"/>
  <c r="CZ28" i="71" s="1"/>
  <c r="AH36" i="46"/>
  <c r="AH40" i="46" s="1"/>
  <c r="AG48" i="51"/>
  <c r="AH110" i="46"/>
  <c r="AH112" i="46"/>
  <c r="AG50" i="51"/>
  <c r="AH50" i="51"/>
  <c r="AT94" i="46"/>
  <c r="AT36" i="46"/>
  <c r="AT40" i="46" s="1"/>
  <c r="AU20" i="51"/>
  <c r="AU25" i="51" s="1"/>
  <c r="AU29" i="51" s="1"/>
  <c r="AB113" i="46"/>
  <c r="AB51" i="51" s="1"/>
  <c r="AB53" i="51" s="1"/>
  <c r="BF76" i="46"/>
  <c r="AP219" i="46"/>
  <c r="AP181" i="46"/>
  <c r="AP183" i="46" s="1"/>
  <c r="AP194" i="46"/>
  <c r="AP218" i="46"/>
  <c r="X123" i="46"/>
  <c r="CP61" i="71" s="1"/>
  <c r="CO61" i="71"/>
  <c r="W83" i="46"/>
  <c r="X83" i="46"/>
  <c r="P201" i="46"/>
  <c r="AH124" i="46"/>
  <c r="CZ62" i="71" s="1"/>
  <c r="AN94" i="46"/>
  <c r="AN36" i="46"/>
  <c r="AN40" i="46" s="1"/>
  <c r="AH111" i="46"/>
  <c r="AG49" i="51"/>
  <c r="AH49" i="51"/>
  <c r="AM110" i="46"/>
  <c r="AL48" i="51"/>
  <c r="AM48" i="51" s="1"/>
  <c r="AL115" i="46"/>
  <c r="AK131" i="46"/>
  <c r="AR112" i="46"/>
  <c r="AQ50" i="51"/>
  <c r="AR50" i="51" s="1"/>
  <c r="AG83" i="46"/>
  <c r="AH83" i="46" s="1"/>
  <c r="AG61" i="51"/>
  <c r="AG43" i="51" s="1"/>
  <c r="AG102" i="46" s="1"/>
  <c r="AP94" i="46"/>
  <c r="AP36" i="46"/>
  <c r="AP40" i="46" s="1"/>
  <c r="V94" i="46"/>
  <c r="V36" i="46"/>
  <c r="V40" i="46"/>
  <c r="W60" i="51"/>
  <c r="W82" i="46"/>
  <c r="X82" i="46" s="1"/>
  <c r="CO60" i="71"/>
  <c r="AN20" i="51"/>
  <c r="AN25" i="51"/>
  <c r="AN29" i="51" s="1"/>
  <c r="AN21" i="46"/>
  <c r="AN23" i="46"/>
  <c r="AQ198" i="46"/>
  <c r="AQ195" i="46"/>
  <c r="AM112" i="46"/>
  <c r="AL50" i="51"/>
  <c r="AM50" i="51" s="1"/>
  <c r="X36" i="46"/>
  <c r="X40" i="46"/>
  <c r="X214" i="46"/>
  <c r="X225" i="46"/>
  <c r="CP28" i="71" s="1"/>
  <c r="X94" i="46"/>
  <c r="X57" i="71" s="1"/>
  <c r="AN101" i="46"/>
  <c r="AN105" i="46" s="1"/>
  <c r="AN69" i="51"/>
  <c r="AJ94" i="46"/>
  <c r="AJ36" i="46"/>
  <c r="AJ40" i="46" s="1"/>
  <c r="AR40" i="71"/>
  <c r="AM40" i="71"/>
  <c r="AQ113" i="46"/>
  <c r="AP51" i="51"/>
  <c r="AP53" i="51" s="1"/>
  <c r="AF43" i="51"/>
  <c r="AF102" i="46"/>
  <c r="AS31" i="51"/>
  <c r="AS37" i="51"/>
  <c r="AS70" i="46" s="1"/>
  <c r="Z94" i="46"/>
  <c r="Z36" i="46"/>
  <c r="Z40" i="46"/>
  <c r="AB65" i="51"/>
  <c r="AB333" i="46"/>
  <c r="AC333" i="46" s="1"/>
  <c r="AB103" i="46"/>
  <c r="AQ201" i="46"/>
  <c r="AB56" i="51"/>
  <c r="AB120" i="46"/>
  <c r="AW192" i="46"/>
  <c r="AG65" i="51"/>
  <c r="AH65" i="51" s="1"/>
  <c r="AG333" i="46"/>
  <c r="AG103" i="46"/>
  <c r="AL120" i="46"/>
  <c r="AL55" i="51"/>
  <c r="AL77" i="46"/>
  <c r="AL76" i="46" s="1"/>
  <c r="AD32" i="46"/>
  <c r="AD28" i="46"/>
  <c r="AB82" i="46"/>
  <c r="AC82" i="46"/>
  <c r="AB60" i="51"/>
  <c r="AC60" i="51"/>
  <c r="AB129" i="46"/>
  <c r="AC129" i="46"/>
  <c r="AZ44" i="46"/>
  <c r="AZ40" i="72"/>
  <c r="AY40" i="72"/>
  <c r="BA44" i="46"/>
  <c r="Y94" i="46"/>
  <c r="Y36" i="46"/>
  <c r="Y40" i="46"/>
  <c r="AH56" i="51"/>
  <c r="AO21" i="46"/>
  <c r="AO20" i="51"/>
  <c r="AQ114" i="46"/>
  <c r="AQ52" i="51"/>
  <c r="AP52" i="51"/>
  <c r="AR52" i="51" s="1"/>
  <c r="AL14" i="51"/>
  <c r="AL16" i="51" s="1"/>
  <c r="AL10" i="51"/>
  <c r="AV83" i="46"/>
  <c r="AW83" i="46"/>
  <c r="BD55" i="46"/>
  <c r="AA56" i="51"/>
  <c r="AA120" i="46"/>
  <c r="AQ10" i="51"/>
  <c r="AQ14" i="51"/>
  <c r="AQ16" i="51"/>
  <c r="AC48" i="51"/>
  <c r="CJ41" i="71"/>
  <c r="R131" i="46"/>
  <c r="AB115" i="46"/>
  <c r="AB131" i="46" s="1"/>
  <c r="AW42" i="46"/>
  <c r="AW48" i="46"/>
  <c r="AR100" i="46"/>
  <c r="AV129" i="46"/>
  <c r="AW129" i="46"/>
  <c r="AQ43" i="51"/>
  <c r="AR61" i="51"/>
  <c r="AR43" i="51" s="1"/>
  <c r="H20" i="51"/>
  <c r="H21" i="46"/>
  <c r="Z53" i="51"/>
  <c r="AC125" i="46"/>
  <c r="W14" i="51"/>
  <c r="W16" i="51" s="1"/>
  <c r="AB14" i="51"/>
  <c r="AB16" i="51" s="1"/>
  <c r="AB10" i="51"/>
  <c r="AC118" i="46"/>
  <c r="AC128" i="46"/>
  <c r="W65" i="51"/>
  <c r="CO55" i="71"/>
  <c r="CO56" i="71"/>
  <c r="W103" i="46"/>
  <c r="X103" i="46"/>
  <c r="W333" i="46"/>
  <c r="X333" i="46"/>
  <c r="AH336" i="46"/>
  <c r="CZ59" i="71"/>
  <c r="AH100" i="46"/>
  <c r="AR336" i="46"/>
  <c r="DJ59" i="71"/>
  <c r="W48" i="51"/>
  <c r="DO47" i="71"/>
  <c r="AA42" i="51"/>
  <c r="AA102" i="46"/>
  <c r="AL83" i="46"/>
  <c r="AM83" i="46"/>
  <c r="AL61" i="51"/>
  <c r="AL129" i="46"/>
  <c r="AM129" i="46" s="1"/>
  <c r="AX46" i="46"/>
  <c r="AX33" i="51"/>
  <c r="AX37" i="15"/>
  <c r="AC94" i="46"/>
  <c r="AC36" i="46"/>
  <c r="AC40" i="46"/>
  <c r="AC214" i="46"/>
  <c r="AC225" i="46"/>
  <c r="CU28" i="71" s="1"/>
  <c r="BB37" i="71"/>
  <c r="BB55" i="46"/>
  <c r="AR77" i="46"/>
  <c r="AR76" i="46" s="1"/>
  <c r="DJ45" i="71" s="1"/>
  <c r="DJ46" i="71" s="1"/>
  <c r="DJ54" i="71"/>
  <c r="AO53" i="51"/>
  <c r="X111" i="46"/>
  <c r="Z58" i="51"/>
  <c r="U195" i="46"/>
  <c r="U198" i="46"/>
  <c r="AW123" i="46"/>
  <c r="DO61" i="71" s="1"/>
  <c r="AU43" i="51"/>
  <c r="BI54" i="46"/>
  <c r="BN54" i="46"/>
  <c r="BH55" i="46"/>
  <c r="AV114" i="46"/>
  <c r="AU52" i="51"/>
  <c r="X127" i="46"/>
  <c r="CP55" i="71" s="1"/>
  <c r="AH333" i="46"/>
  <c r="AC114" i="46"/>
  <c r="AC122" i="46"/>
  <c r="CU60" i="71" s="1"/>
  <c r="AK43" i="51"/>
  <c r="AY45" i="46"/>
  <c r="AY127" i="46"/>
  <c r="AY65" i="51" s="1"/>
  <c r="T94" i="46"/>
  <c r="T36" i="46"/>
  <c r="T40" i="46"/>
  <c r="X110" i="46"/>
  <c r="AQ48" i="51"/>
  <c r="AR114" i="46"/>
  <c r="AW125" i="46"/>
  <c r="DO63" i="71"/>
  <c r="AT53" i="51"/>
  <c r="CK18" i="71"/>
  <c r="S63" i="71"/>
  <c r="I200" i="46"/>
  <c r="AC200" i="46"/>
  <c r="AC201" i="46"/>
  <c r="S200" i="46"/>
  <c r="S201" i="46"/>
  <c r="AC63" i="71"/>
  <c r="CU18" i="71"/>
  <c r="AR200" i="46"/>
  <c r="AR201" i="46"/>
  <c r="AW198" i="46"/>
  <c r="AW195" i="46"/>
  <c r="R195" i="46"/>
  <c r="R198" i="46"/>
  <c r="R201" i="46"/>
  <c r="AV48" i="46"/>
  <c r="AV42" i="46"/>
  <c r="H195" i="46"/>
  <c r="H192" i="46"/>
  <c r="P195" i="46"/>
  <c r="P192" i="46"/>
  <c r="H198" i="46"/>
  <c r="BP86" i="72"/>
  <c r="AS65" i="72"/>
  <c r="AS36" i="72"/>
  <c r="BP94" i="72"/>
  <c r="BK93" i="72"/>
  <c r="BK12" i="72"/>
  <c r="BM62" i="72"/>
  <c r="BM140" i="72" s="1"/>
  <c r="BN140" i="72"/>
  <c r="BD142" i="72"/>
  <c r="BD20" i="72"/>
  <c r="BD16" i="46" s="1"/>
  <c r="BM94" i="72"/>
  <c r="AU65" i="72"/>
  <c r="AU36" i="72"/>
  <c r="BN516" i="15"/>
  <c r="BA496" i="15"/>
  <c r="BQ24" i="59"/>
  <c r="CU94" i="59"/>
  <c r="CA97" i="59"/>
  <c r="BV102" i="59"/>
  <c r="CE87" i="59"/>
  <c r="BE516" i="15"/>
  <c r="BW87" i="59"/>
  <c r="CA32" i="59"/>
  <c r="BZ87" i="59"/>
  <c r="BK174" i="72"/>
  <c r="BK201" i="72"/>
  <c r="CK44" i="59"/>
  <c r="CK110" i="59"/>
  <c r="BC152" i="72"/>
  <c r="BC25" i="72" s="1"/>
  <c r="BB152" i="72"/>
  <c r="BA25" i="72"/>
  <c r="AT254" i="72"/>
  <c r="AY57" i="72"/>
  <c r="AT156" i="72"/>
  <c r="AT158" i="72" s="1"/>
  <c r="AS254" i="72"/>
  <c r="BF137" i="72"/>
  <c r="BK139" i="72"/>
  <c r="BK137" i="72" s="1"/>
  <c r="BK18" i="72" s="1"/>
  <c r="BA18" i="72"/>
  <c r="BO94" i="72"/>
  <c r="BB12" i="72"/>
  <c r="AN334" i="15"/>
  <c r="CZ54" i="71"/>
  <c r="AH77" i="46"/>
  <c r="AH76" i="46" s="1"/>
  <c r="CZ45" i="71" s="1"/>
  <c r="CZ46" i="71" s="1"/>
  <c r="AH120" i="46"/>
  <c r="AU42" i="46"/>
  <c r="AU49" i="46"/>
  <c r="AU48" i="46"/>
  <c r="AH61" i="51"/>
  <c r="AH43" i="51" s="1"/>
  <c r="X48" i="51"/>
  <c r="AM42" i="46"/>
  <c r="AM48" i="46"/>
  <c r="AQ115" i="46"/>
  <c r="AH114" i="46"/>
  <c r="AC113" i="46"/>
  <c r="AC115" i="46" s="1"/>
  <c r="AP200" i="46"/>
  <c r="AP201" i="46" s="1"/>
  <c r="AU21" i="51"/>
  <c r="AE48" i="46"/>
  <c r="AE42" i="46"/>
  <c r="AE49" i="46" s="1"/>
  <c r="AE50" i="46" s="1"/>
  <c r="AM115" i="46"/>
  <c r="AQ51" i="51"/>
  <c r="AR113" i="46"/>
  <c r="AR115" i="46" s="1"/>
  <c r="AN21" i="51"/>
  <c r="AW114" i="46"/>
  <c r="Z48" i="46"/>
  <c r="Z42" i="46"/>
  <c r="Z49" i="46"/>
  <c r="AR192" i="46"/>
  <c r="BJ54" i="46"/>
  <c r="AX103" i="46"/>
  <c r="AX333" i="46"/>
  <c r="AX65" i="51"/>
  <c r="AX41" i="72"/>
  <c r="AX38" i="15"/>
  <c r="AX331" i="46"/>
  <c r="AX34" i="51"/>
  <c r="AC48" i="46"/>
  <c r="AC42" i="46"/>
  <c r="Z101" i="46"/>
  <c r="AR48" i="51"/>
  <c r="BB44" i="46"/>
  <c r="BA40" i="72"/>
  <c r="AB42" i="51"/>
  <c r="AL131" i="46"/>
  <c r="T42" i="46"/>
  <c r="T49" i="46"/>
  <c r="T48" i="46"/>
  <c r="AY37" i="15"/>
  <c r="AY33" i="51"/>
  <c r="AY46" i="46"/>
  <c r="CU63" i="71"/>
  <c r="AW49" i="46"/>
  <c r="AO25" i="51"/>
  <c r="AO29" i="51"/>
  <c r="AO21" i="51"/>
  <c r="Y48" i="46"/>
  <c r="Y42" i="46"/>
  <c r="Y49" i="46"/>
  <c r="Y50" i="46" s="1"/>
  <c r="AZ45" i="46"/>
  <c r="AZ37" i="15" s="1"/>
  <c r="AM55" i="51"/>
  <c r="BB40" i="71"/>
  <c r="CU54" i="71"/>
  <c r="AC120" i="46"/>
  <c r="H25" i="51"/>
  <c r="H29" i="51" s="1"/>
  <c r="H21" i="51"/>
  <c r="BA45" i="46"/>
  <c r="BA33" i="51" s="1"/>
  <c r="AD94" i="46"/>
  <c r="AD36" i="46"/>
  <c r="AD40" i="46"/>
  <c r="AC198" i="46"/>
  <c r="AC195" i="46"/>
  <c r="S198" i="46"/>
  <c r="S195" i="46"/>
  <c r="I195" i="46"/>
  <c r="I198" i="46"/>
  <c r="S192" i="46"/>
  <c r="I201" i="46"/>
  <c r="AR195" i="46"/>
  <c r="AR198" i="46"/>
  <c r="AC192" i="46"/>
  <c r="I192" i="46"/>
  <c r="AV49" i="46"/>
  <c r="AU38" i="72"/>
  <c r="AU44" i="72" s="1"/>
  <c r="AU43" i="72"/>
  <c r="BP93" i="72"/>
  <c r="BP12" i="72"/>
  <c r="AS43" i="72"/>
  <c r="AS38" i="72"/>
  <c r="AS44" i="72" s="1"/>
  <c r="BI142" i="72"/>
  <c r="BN142" i="72" s="1"/>
  <c r="BN20" i="72" s="1"/>
  <c r="BN16" i="46" s="1"/>
  <c r="CF97" i="59"/>
  <c r="CK97" i="59" s="1"/>
  <c r="CA102" i="59"/>
  <c r="CA112" i="59"/>
  <c r="CZ94" i="59"/>
  <c r="CF32" i="59"/>
  <c r="CK32" i="59" s="1"/>
  <c r="CP32" i="59" s="1"/>
  <c r="CU32" i="59" s="1"/>
  <c r="CZ32" i="59" s="1"/>
  <c r="CP110" i="59"/>
  <c r="CP44" i="59"/>
  <c r="BP139" i="72"/>
  <c r="BF18" i="72"/>
  <c r="AN336" i="15"/>
  <c r="AP195" i="46"/>
  <c r="AM49" i="46"/>
  <c r="AR51" i="51"/>
  <c r="AP198" i="46"/>
  <c r="AP192" i="46"/>
  <c r="AZ46" i="46"/>
  <c r="AZ41" i="72" s="1"/>
  <c r="AZ333" i="46"/>
  <c r="BB40" i="72"/>
  <c r="BC44" i="46"/>
  <c r="BC40" i="72" s="1"/>
  <c r="BB42" i="71"/>
  <c r="BA46" i="46"/>
  <c r="BA34" i="51" s="1"/>
  <c r="AY331" i="46"/>
  <c r="BG331" i="46" s="1"/>
  <c r="AZ331" i="46"/>
  <c r="AY34" i="51"/>
  <c r="AY38" i="15"/>
  <c r="AY41" i="72"/>
  <c r="BB45" i="46"/>
  <c r="BB33" i="51" s="1"/>
  <c r="AW13" i="71"/>
  <c r="AW58" i="46"/>
  <c r="AC49" i="46"/>
  <c r="BK54" i="46"/>
  <c r="BL54" i="46" s="1"/>
  <c r="BI20" i="72"/>
  <c r="BI16" i="46" s="1"/>
  <c r="CF102" i="59"/>
  <c r="CF112" i="59" s="1"/>
  <c r="BP137" i="72"/>
  <c r="AM58" i="46"/>
  <c r="AM13" i="71"/>
  <c r="AC58" i="46"/>
  <c r="AC13" i="71"/>
  <c r="AW17" i="71"/>
  <c r="BD44" i="46"/>
  <c r="BD40" i="72" s="1"/>
  <c r="BB37" i="15"/>
  <c r="BA41" i="72"/>
  <c r="BP18" i="72"/>
  <c r="AM58" i="71"/>
  <c r="AM56" i="71"/>
  <c r="BE44" i="46"/>
  <c r="BF44" i="46" s="1"/>
  <c r="AC56" i="71"/>
  <c r="BB57" i="77"/>
  <c r="BP55" i="15" s="1"/>
  <c r="BP262" i="15" s="1"/>
  <c r="BA58" i="77"/>
  <c r="BA57" i="77"/>
  <c r="BO55" i="15" s="1"/>
  <c r="AZ58" i="77"/>
  <c r="AZ57" i="77"/>
  <c r="BN55" i="15" s="1"/>
  <c r="AY59" i="77"/>
  <c r="AY58" i="77"/>
  <c r="BB58" i="77"/>
  <c r="BA59" i="77"/>
  <c r="BB59" i="77"/>
  <c r="AZ59" i="77"/>
  <c r="AY57" i="77"/>
  <c r="BM55" i="15" s="1"/>
  <c r="BN46" i="15"/>
  <c r="BM46" i="15"/>
  <c r="BO46" i="15"/>
  <c r="BP46" i="15"/>
  <c r="BL241" i="15"/>
  <c r="BL75" i="15"/>
  <c r="BL367" i="15"/>
  <c r="BL354" i="15"/>
  <c r="BL328" i="15"/>
  <c r="BL341" i="15"/>
  <c r="BK328" i="15"/>
  <c r="BL71" i="15"/>
  <c r="AY457" i="15"/>
  <c r="AZ456" i="15"/>
  <c r="BE456" i="15" s="1"/>
  <c r="BJ456" i="15" s="1"/>
  <c r="AA36" i="59"/>
  <c r="AG32" i="59"/>
  <c r="AW32" i="59"/>
  <c r="BQ81" i="59"/>
  <c r="BL85" i="59"/>
  <c r="BL87" i="59" s="1"/>
  <c r="BA85" i="59"/>
  <c r="BM173" i="72"/>
  <c r="BM200" i="72" s="1"/>
  <c r="BJ204" i="72"/>
  <c r="BI98" i="46"/>
  <c r="BI64" i="51"/>
  <c r="AX64" i="51"/>
  <c r="AX98" i="46"/>
  <c r="AL87" i="59"/>
  <c r="L87" i="59"/>
  <c r="BK11" i="59"/>
  <c r="BK12" i="59" s="1"/>
  <c r="BH34" i="59"/>
  <c r="BO42" i="51"/>
  <c r="BO102" i="46" s="1"/>
  <c r="BM34" i="59"/>
  <c r="BM36" i="59" s="1"/>
  <c r="BR34" i="59"/>
  <c r="BR36" i="59" s="1"/>
  <c r="BW34" i="59"/>
  <c r="BW36" i="59" s="1"/>
  <c r="AR34" i="59"/>
  <c r="BD42" i="51" s="1"/>
  <c r="BD102" i="46" s="1"/>
  <c r="BG12" i="59"/>
  <c r="M34" i="59"/>
  <c r="M36" i="59" s="1"/>
  <c r="BQ31" i="59"/>
  <c r="BL34" i="59"/>
  <c r="BL11" i="59"/>
  <c r="AS34" i="59"/>
  <c r="AD34" i="59"/>
  <c r="AD11" i="59" s="1"/>
  <c r="AC34" i="59"/>
  <c r="AC11" i="59" s="1"/>
  <c r="BZ11" i="59"/>
  <c r="AJ34" i="59"/>
  <c r="AJ11" i="59" s="1"/>
  <c r="AJ12" i="59" s="1"/>
  <c r="AO34" i="59"/>
  <c r="BA42" i="51" s="1"/>
  <c r="AB34" i="59"/>
  <c r="AB11" i="59" s="1"/>
  <c r="BH36" i="59"/>
  <c r="BJ12" i="59"/>
  <c r="AZ34" i="59"/>
  <c r="AZ36" i="59" s="1"/>
  <c r="E34" i="59"/>
  <c r="E12" i="59" s="1"/>
  <c r="AN29" i="59"/>
  <c r="Q34" i="59"/>
  <c r="Q36" i="59"/>
  <c r="AF11" i="59"/>
  <c r="BK36" i="59"/>
  <c r="AW29" i="59"/>
  <c r="BJ36" i="59"/>
  <c r="AK34" i="59"/>
  <c r="AI29" i="59"/>
  <c r="AI34" i="59" s="1"/>
  <c r="AX29" i="59"/>
  <c r="AG29" i="59"/>
  <c r="AH29" i="59"/>
  <c r="AH34" i="59"/>
  <c r="P29" i="59"/>
  <c r="P34" i="59" s="1"/>
  <c r="BM11" i="59"/>
  <c r="AU11" i="59"/>
  <c r="AU12" i="59" s="1"/>
  <c r="O29" i="59"/>
  <c r="O34" i="59"/>
  <c r="O36" i="59" s="1"/>
  <c r="BO11" i="59"/>
  <c r="BI55" i="46"/>
  <c r="BO54" i="46"/>
  <c r="BN55" i="46"/>
  <c r="AY103" i="46"/>
  <c r="BM55" i="46"/>
  <c r="BE54" i="46"/>
  <c r="AY333" i="46"/>
  <c r="AY107" i="59"/>
  <c r="AY110" i="59"/>
  <c r="BK490" i="15" s="1"/>
  <c r="BK515" i="15" s="1"/>
  <c r="AZ110" i="59"/>
  <c r="AZ112" i="59"/>
  <c r="AV107" i="59"/>
  <c r="AV110" i="59" s="1"/>
  <c r="BH490" i="15" s="1"/>
  <c r="BH515" i="15" s="1"/>
  <c r="AX107" i="59"/>
  <c r="AX110" i="59"/>
  <c r="BJ490" i="15" s="1"/>
  <c r="BJ515" i="15" s="1"/>
  <c r="AW107" i="59"/>
  <c r="AW110" i="59"/>
  <c r="AC112" i="59"/>
  <c r="BN112" i="59"/>
  <c r="BN11" i="59"/>
  <c r="BS11" i="59"/>
  <c r="BS112" i="59"/>
  <c r="BX112" i="59"/>
  <c r="BX11" i="59"/>
  <c r="BX12" i="59"/>
  <c r="BR112" i="59"/>
  <c r="BB495" i="15"/>
  <c r="BM490" i="15"/>
  <c r="BM515" i="15" s="1"/>
  <c r="CC11" i="59"/>
  <c r="AD112" i="59"/>
  <c r="S11" i="59"/>
  <c r="AM107" i="59"/>
  <c r="O106" i="59"/>
  <c r="AI110" i="59"/>
  <c r="AI112" i="59" s="1"/>
  <c r="AP110" i="59"/>
  <c r="AP112" i="59"/>
  <c r="BE110" i="59"/>
  <c r="BE11" i="59" s="1"/>
  <c r="BE12" i="59" s="1"/>
  <c r="P106" i="59"/>
  <c r="BB106" i="59"/>
  <c r="BB110" i="59" s="1"/>
  <c r="BD106" i="59"/>
  <c r="BD110" i="59" s="1"/>
  <c r="BP490" i="15" s="1"/>
  <c r="BP515" i="15" s="1"/>
  <c r="U107" i="59"/>
  <c r="CU107" i="59"/>
  <c r="CU110" i="59" s="1"/>
  <c r="BI11" i="59"/>
  <c r="S112" i="59"/>
  <c r="BZ112" i="59"/>
  <c r="AT106" i="59"/>
  <c r="AL107" i="59"/>
  <c r="AL110" i="59" s="1"/>
  <c r="BM112" i="59"/>
  <c r="BV112" i="59"/>
  <c r="AR106" i="59"/>
  <c r="AR110" i="59" s="1"/>
  <c r="T107" i="59"/>
  <c r="T110" i="59" s="1"/>
  <c r="N106" i="59"/>
  <c r="N110" i="59" s="1"/>
  <c r="AL243" i="15"/>
  <c r="AL355" i="15"/>
  <c r="BJ156" i="15"/>
  <c r="BO156" i="15" s="1"/>
  <c r="BE157" i="15"/>
  <c r="BG157" i="15" s="1"/>
  <c r="AP243" i="15"/>
  <c r="AR102" i="15"/>
  <c r="BG95" i="15"/>
  <c r="BB97" i="15"/>
  <c r="AQ129" i="77"/>
  <c r="AC243" i="15"/>
  <c r="AM100" i="15"/>
  <c r="AT223" i="15"/>
  <c r="AW223" i="15" s="1"/>
  <c r="AM83" i="15"/>
  <c r="BB83" i="15"/>
  <c r="AO65" i="15"/>
  <c r="AO266" i="15"/>
  <c r="AM90" i="15"/>
  <c r="BH102" i="15"/>
  <c r="BL102" i="15" s="1"/>
  <c r="AR54" i="15"/>
  <c r="AM56" i="15"/>
  <c r="AR80" i="15"/>
  <c r="AW129" i="77"/>
  <c r="AR53" i="15"/>
  <c r="AR100" i="15"/>
  <c r="AL129" i="77"/>
  <c r="AP262" i="15"/>
  <c r="AP64" i="15"/>
  <c r="AP388" i="15"/>
  <c r="AP72" i="15"/>
  <c r="AP242" i="15" s="1"/>
  <c r="AP250" i="15" s="1"/>
  <c r="AP223" i="15"/>
  <c r="AP60" i="15"/>
  <c r="AP76" i="15"/>
  <c r="AP222" i="15" s="1"/>
  <c r="AP230" i="15" s="1"/>
  <c r="AP231" i="15" s="1"/>
  <c r="AP71" i="15"/>
  <c r="AP67" i="15"/>
  <c r="AP59" i="15"/>
  <c r="AP63" i="15"/>
  <c r="AP68" i="15"/>
  <c r="AP75" i="15"/>
  <c r="AO210" i="15"/>
  <c r="Y46" i="15"/>
  <c r="Z49" i="15"/>
  <c r="AF223" i="15"/>
  <c r="AF329" i="15"/>
  <c r="AF389" i="15"/>
  <c r="AF262" i="15"/>
  <c r="AE50" i="15"/>
  <c r="AF50" i="15"/>
  <c r="AG50" i="15" s="1"/>
  <c r="AD76" i="15"/>
  <c r="AD222" i="15"/>
  <c r="AD64" i="15"/>
  <c r="AD59" i="15"/>
  <c r="AO69" i="15"/>
  <c r="AO315" i="15"/>
  <c r="AE329" i="15"/>
  <c r="AE72" i="15"/>
  <c r="AE262" i="15"/>
  <c r="AH46" i="15"/>
  <c r="AH24" i="73" s="1"/>
  <c r="AE223" i="15"/>
  <c r="AE75" i="15"/>
  <c r="AE64" i="15"/>
  <c r="AE389" i="15"/>
  <c r="AI46" i="15"/>
  <c r="AJ49" i="15"/>
  <c r="AS63" i="15"/>
  <c r="AS76" i="15"/>
  <c r="AS71" i="15"/>
  <c r="AS75" i="15"/>
  <c r="AS72" i="15"/>
  <c r="AS68" i="15"/>
  <c r="AS59" i="15"/>
  <c r="AS60" i="15"/>
  <c r="AS64" i="15"/>
  <c r="AS388" i="15" s="1"/>
  <c r="AT50" i="15"/>
  <c r="AS67" i="15"/>
  <c r="CO112" i="59"/>
  <c r="BF496" i="15"/>
  <c r="BN10" i="59"/>
  <c r="BN36" i="59"/>
  <c r="BQ10" i="59"/>
  <c r="BK183" i="72"/>
  <c r="BP174" i="72"/>
  <c r="BP201" i="72" s="1"/>
  <c r="BA174" i="72"/>
  <c r="BA201" i="72" s="1"/>
  <c r="BA206" i="72" s="1"/>
  <c r="AO87" i="59"/>
  <c r="BG43" i="51"/>
  <c r="AU36" i="59"/>
  <c r="AX491" i="15"/>
  <c r="Q10" i="59"/>
  <c r="Q87" i="59"/>
  <c r="BR10" i="59"/>
  <c r="BR87" i="59"/>
  <c r="AJ112" i="59"/>
  <c r="AJ10" i="59"/>
  <c r="CW75" i="59"/>
  <c r="BN183" i="72"/>
  <c r="AM105" i="15"/>
  <c r="AK106" i="15"/>
  <c r="BK106" i="15"/>
  <c r="CU44" i="59"/>
  <c r="BV75" i="59"/>
  <c r="CA46" i="59"/>
  <c r="BH174" i="72"/>
  <c r="AZ87" i="59"/>
  <c r="AZ11" i="59"/>
  <c r="AZ12" i="59" s="1"/>
  <c r="CW108" i="59"/>
  <c r="CY108" i="59"/>
  <c r="CX108" i="59"/>
  <c r="BA173" i="72"/>
  <c r="BA200" i="72"/>
  <c r="AN75" i="59"/>
  <c r="CB34" i="59"/>
  <c r="CB11" i="59"/>
  <c r="CS75" i="59"/>
  <c r="CR75" i="59"/>
  <c r="AT34" i="59"/>
  <c r="BA75" i="59"/>
  <c r="CV75" i="59"/>
  <c r="AR24" i="59"/>
  <c r="BN12" i="59"/>
  <c r="BG495" i="15"/>
  <c r="AN65" i="15"/>
  <c r="AN387" i="15"/>
  <c r="AN393" i="15"/>
  <c r="AP302" i="15"/>
  <c r="AD230" i="15"/>
  <c r="S24" i="59"/>
  <c r="AS85" i="59"/>
  <c r="BE173" i="72"/>
  <c r="BE200" i="72" s="1"/>
  <c r="BI388" i="15"/>
  <c r="BI65" i="15"/>
  <c r="BB104" i="15"/>
  <c r="AX106" i="15"/>
  <c r="CU30" i="59"/>
  <c r="CZ30" i="59" s="1"/>
  <c r="CR30" i="59"/>
  <c r="CQ30" i="59"/>
  <c r="CT30" i="59"/>
  <c r="CS30" i="59"/>
  <c r="CM30" i="59"/>
  <c r="CN30" i="59"/>
  <c r="AL29" i="59"/>
  <c r="AL34" i="59" s="1"/>
  <c r="AM29" i="59"/>
  <c r="AP34" i="59"/>
  <c r="AD43" i="59"/>
  <c r="AB43" i="59"/>
  <c r="AE43" i="59"/>
  <c r="AF75" i="59"/>
  <c r="W48" i="59"/>
  <c r="W75" i="59" s="1"/>
  <c r="Y48" i="59"/>
  <c r="Z48" i="59"/>
  <c r="Z75" i="59" s="1"/>
  <c r="AA75" i="59"/>
  <c r="W51" i="59"/>
  <c r="X51" i="59"/>
  <c r="X75" i="59" s="1"/>
  <c r="X87" i="59" s="1"/>
  <c r="Z51" i="59"/>
  <c r="Y55" i="59"/>
  <c r="Z55" i="59"/>
  <c r="W55" i="59"/>
  <c r="T66" i="59"/>
  <c r="T75" i="59"/>
  <c r="U66" i="59"/>
  <c r="U75" i="59" s="1"/>
  <c r="AB71" i="59"/>
  <c r="AE71" i="59"/>
  <c r="AO274" i="15"/>
  <c r="AO283" i="15" s="1"/>
  <c r="AO387" i="15"/>
  <c r="AY68" i="15"/>
  <c r="AE388" i="15"/>
  <c r="AG329" i="15"/>
  <c r="AG389" i="15"/>
  <c r="AG223" i="15"/>
  <c r="AG262" i="15"/>
  <c r="M102" i="59"/>
  <c r="T24" i="59"/>
  <c r="BT11" i="59"/>
  <c r="BT12" i="59" s="1"/>
  <c r="BT87" i="59"/>
  <c r="BI76" i="15"/>
  <c r="BL76" i="15" s="1"/>
  <c r="BL77" i="15" s="1"/>
  <c r="BI67" i="15"/>
  <c r="BI69" i="15" s="1"/>
  <c r="BI315" i="15" s="1"/>
  <c r="BI68" i="15"/>
  <c r="Y63" i="15"/>
  <c r="Y64" i="15"/>
  <c r="Y388" i="15"/>
  <c r="Y72" i="15"/>
  <c r="Y71" i="15"/>
  <c r="Y262" i="15"/>
  <c r="Y76" i="15"/>
  <c r="Y223" i="15"/>
  <c r="BJ64" i="15"/>
  <c r="BL64" i="15" s="1"/>
  <c r="BL65" i="15" s="1"/>
  <c r="AI67" i="15"/>
  <c r="AM86" i="15"/>
  <c r="AH87" i="15"/>
  <c r="AE68" i="15"/>
  <c r="BI276" i="15"/>
  <c r="AE105" i="15"/>
  <c r="AE106" i="15" s="1"/>
  <c r="AE316" i="15" s="1"/>
  <c r="AE324" i="15" s="1"/>
  <c r="AE102" i="15"/>
  <c r="AL18" i="59"/>
  <c r="AL24" i="59"/>
  <c r="AN18" i="59"/>
  <c r="AN24" i="59" s="1"/>
  <c r="AM18" i="59"/>
  <c r="AM24" i="59"/>
  <c r="X19" i="59"/>
  <c r="X24" i="59" s="1"/>
  <c r="Y19" i="59"/>
  <c r="Y24" i="59" s="1"/>
  <c r="CK18" i="59"/>
  <c r="CC18" i="59"/>
  <c r="CC24" i="59" s="1"/>
  <c r="CG18" i="59"/>
  <c r="CG24" i="59" s="1"/>
  <c r="CJ18" i="59"/>
  <c r="CJ24" i="59" s="1"/>
  <c r="CE18" i="59"/>
  <c r="CE24" i="59" s="1"/>
  <c r="AG34" i="59"/>
  <c r="AG11" i="59"/>
  <c r="V34" i="59"/>
  <c r="T30" i="59"/>
  <c r="T34" i="59" s="1"/>
  <c r="R30" i="59"/>
  <c r="R34" i="59" s="1"/>
  <c r="U30" i="59"/>
  <c r="U34" i="59"/>
  <c r="U36" i="59" s="1"/>
  <c r="AM30" i="59"/>
  <c r="AN30" i="59"/>
  <c r="AD341" i="15"/>
  <c r="AD349" i="15" s="1"/>
  <c r="AD354" i="15"/>
  <c r="AD362" i="15" s="1"/>
  <c r="BH60" i="15"/>
  <c r="BL60" i="15" s="1"/>
  <c r="AP328" i="15"/>
  <c r="AY262" i="15"/>
  <c r="AA106" i="15"/>
  <c r="AC105" i="15"/>
  <c r="BK65" i="15"/>
  <c r="BK387" i="15"/>
  <c r="BL387" i="15" s="1"/>
  <c r="AD72" i="15"/>
  <c r="AD75" i="15"/>
  <c r="AD60" i="15"/>
  <c r="AD68" i="15"/>
  <c r="AD329" i="15"/>
  <c r="AD71" i="15"/>
  <c r="AD63" i="15"/>
  <c r="AD389" i="15"/>
  <c r="AD67" i="15"/>
  <c r="AD262" i="15"/>
  <c r="T85" i="59"/>
  <c r="AO102" i="59"/>
  <c r="BP11" i="59"/>
  <c r="BP12" i="59" s="1"/>
  <c r="AM110" i="59"/>
  <c r="AH262" i="15"/>
  <c r="AH100" i="15"/>
  <c r="BB29" i="59"/>
  <c r="BB34" i="59" s="1"/>
  <c r="BB11" i="59" s="1"/>
  <c r="BN82" i="46" s="1"/>
  <c r="BN122" i="46" s="1"/>
  <c r="BA29" i="59"/>
  <c r="BA34" i="59"/>
  <c r="AC69" i="59"/>
  <c r="AC75" i="59" s="1"/>
  <c r="AC87" i="59" s="1"/>
  <c r="AB69" i="59"/>
  <c r="AB75" i="59" s="1"/>
  <c r="AB87" i="59" s="1"/>
  <c r="AD69" i="59"/>
  <c r="AD75" i="59" s="1"/>
  <c r="AE69" i="59"/>
  <c r="AE75" i="59" s="1"/>
  <c r="BQ43" i="51"/>
  <c r="AN102" i="59"/>
  <c r="Y110" i="59"/>
  <c r="BH11" i="59"/>
  <c r="BH12" i="59"/>
  <c r="AQ110" i="59"/>
  <c r="BC490" i="15" s="1"/>
  <c r="BC515" i="15" s="1"/>
  <c r="AW89" i="15"/>
  <c r="AC20" i="59"/>
  <c r="AC24" i="59" s="1"/>
  <c r="AE20" i="59"/>
  <c r="AE24" i="59"/>
  <c r="CK29" i="59"/>
  <c r="AG102" i="59"/>
  <c r="AG112" i="59" s="1"/>
  <c r="BD24" i="59"/>
  <c r="BD10" i="59" s="1"/>
  <c r="U110" i="59"/>
  <c r="U112" i="59" s="1"/>
  <c r="N20" i="59"/>
  <c r="N24" i="59" s="1"/>
  <c r="P20" i="59"/>
  <c r="P24" i="59" s="1"/>
  <c r="CX107" i="59"/>
  <c r="CX110" i="59" s="1"/>
  <c r="BO495" i="15" s="1"/>
  <c r="CV107" i="59"/>
  <c r="CV110" i="59" s="1"/>
  <c r="BM495" i="15" s="1"/>
  <c r="BB90" i="15"/>
  <c r="O107" i="59"/>
  <c r="O110" i="59" s="1"/>
  <c r="AS108" i="59"/>
  <c r="AS110" i="59" s="1"/>
  <c r="O82" i="59"/>
  <c r="N78" i="59"/>
  <c r="AL106" i="15"/>
  <c r="AL316" i="15" s="1"/>
  <c r="BB100" i="15"/>
  <c r="AT108" i="59"/>
  <c r="AT110" i="59"/>
  <c r="T97" i="59"/>
  <c r="T102" i="59" s="1"/>
  <c r="AN81" i="59"/>
  <c r="AN85" i="59" s="1"/>
  <c r="P82" i="59"/>
  <c r="P85" i="59" s="1"/>
  <c r="P87" i="59" s="1"/>
  <c r="O78" i="59"/>
  <c r="BB87" i="15"/>
  <c r="BB89" i="15"/>
  <c r="AR93" i="15"/>
  <c r="BU24" i="59"/>
  <c r="CK80" i="59"/>
  <c r="BA105" i="15"/>
  <c r="BA102" i="15"/>
  <c r="M107" i="59"/>
  <c r="M110" i="59"/>
  <c r="M112" i="59" s="1"/>
  <c r="N82" i="59"/>
  <c r="AE80" i="59"/>
  <c r="AE78" i="59"/>
  <c r="AH81" i="15"/>
  <c r="AM81" i="15"/>
  <c r="AR81" i="15"/>
  <c r="BY24" i="59"/>
  <c r="CK47" i="59"/>
  <c r="BE102" i="15"/>
  <c r="G12" i="59"/>
  <c r="AO101" i="46"/>
  <c r="AO105" i="46" s="1"/>
  <c r="AR316" i="15"/>
  <c r="BN94" i="72"/>
  <c r="AY140" i="72"/>
  <c r="AY139" i="72" s="1"/>
  <c r="AX62" i="72"/>
  <c r="AX140" i="72" s="1"/>
  <c r="AX139" i="72" s="1"/>
  <c r="AP36" i="72"/>
  <c r="AP65" i="72"/>
  <c r="AX174" i="72"/>
  <c r="AL10" i="59"/>
  <c r="E20" i="51"/>
  <c r="E21" i="46"/>
  <c r="AR95" i="15"/>
  <c r="AM102" i="15"/>
  <c r="AK355" i="15"/>
  <c r="AK243" i="15"/>
  <c r="AW316" i="15"/>
  <c r="AG106" i="15"/>
  <c r="AZ346" i="15"/>
  <c r="BA346" i="15"/>
  <c r="BB346" i="15"/>
  <c r="BC346" i="15" s="1"/>
  <c r="BD346" i="15" s="1"/>
  <c r="BE346" i="15" s="1"/>
  <c r="BF346" i="15" s="1"/>
  <c r="BG346" i="15" s="1"/>
  <c r="BH346" i="15" s="1"/>
  <c r="BI346" i="15" s="1"/>
  <c r="BJ346" i="15" s="1"/>
  <c r="BK346" i="15" s="1"/>
  <c r="BL346" i="15" s="1"/>
  <c r="BM346" i="15" s="1"/>
  <c r="BN346" i="15" s="1"/>
  <c r="BO346" i="15" s="1"/>
  <c r="BP346" i="15" s="1"/>
  <c r="BQ346" i="15" s="1"/>
  <c r="AN337" i="15"/>
  <c r="AM61" i="51"/>
  <c r="AM43" i="51" s="1"/>
  <c r="AL43" i="51"/>
  <c r="AH48" i="51"/>
  <c r="AX57" i="72"/>
  <c r="AS156" i="72"/>
  <c r="AS158" i="72" s="1"/>
  <c r="X56" i="51"/>
  <c r="AG10" i="51"/>
  <c r="AG14" i="51"/>
  <c r="AG16" i="51" s="1"/>
  <c r="AT101" i="46"/>
  <c r="AC56" i="51"/>
  <c r="W42" i="51"/>
  <c r="BA57" i="72"/>
  <c r="BA90" i="72"/>
  <c r="BA88" i="72" s="1"/>
  <c r="AV156" i="72"/>
  <c r="AV158" i="72" s="1"/>
  <c r="AS101" i="46"/>
  <c r="AS105" i="46"/>
  <c r="CP79" i="59"/>
  <c r="BO173" i="72"/>
  <c r="BO200" i="72" s="1"/>
  <c r="BO206" i="72" s="1"/>
  <c r="BC11" i="59"/>
  <c r="BO82" i="46" s="1"/>
  <c r="BO122" i="46" s="1"/>
  <c r="BJ183" i="72"/>
  <c r="BC173" i="72"/>
  <c r="BC200" i="72" s="1"/>
  <c r="AY123" i="72"/>
  <c r="AX51" i="72"/>
  <c r="AX123" i="72" s="1"/>
  <c r="AW8" i="73"/>
  <c r="AW39" i="71"/>
  <c r="BY87" i="59"/>
  <c r="BY11" i="59"/>
  <c r="BE142" i="72"/>
  <c r="AY20" i="72"/>
  <c r="AY16" i="46" s="1"/>
  <c r="V42" i="51"/>
  <c r="V102" i="46" s="1"/>
  <c r="V67" i="51"/>
  <c r="X60" i="51"/>
  <c r="X42" i="51" s="1"/>
  <c r="I57" i="51"/>
  <c r="H58" i="51"/>
  <c r="AO288" i="15"/>
  <c r="AO209" i="15"/>
  <c r="BK221" i="15"/>
  <c r="BL221" i="15"/>
  <c r="BE87" i="59"/>
  <c r="BE10" i="59"/>
  <c r="AT14" i="51"/>
  <c r="AT16" i="51" s="1"/>
  <c r="AT10" i="51"/>
  <c r="AC49" i="51"/>
  <c r="AA20" i="51"/>
  <c r="AA21" i="46"/>
  <c r="AA23" i="46"/>
  <c r="S42" i="51"/>
  <c r="AW31" i="59"/>
  <c r="AX31" i="59"/>
  <c r="AY31" i="59"/>
  <c r="AY34" i="59" s="1"/>
  <c r="AV31" i="59"/>
  <c r="AV34" i="59" s="1"/>
  <c r="BP43" i="51"/>
  <c r="BP102" i="46" s="1"/>
  <c r="BI10" i="59"/>
  <c r="F20" i="51"/>
  <c r="F21" i="46"/>
  <c r="AY73" i="15"/>
  <c r="AY274" i="15"/>
  <c r="AY407" i="15"/>
  <c r="AY261" i="15"/>
  <c r="AY241" i="15"/>
  <c r="BP14" i="51"/>
  <c r="AV129" i="72"/>
  <c r="AW129" i="72" s="1"/>
  <c r="AW13" i="72"/>
  <c r="AV9" i="51"/>
  <c r="BB75" i="59"/>
  <c r="N34" i="59"/>
  <c r="BC491" i="15"/>
  <c r="AQ112" i="59"/>
  <c r="J20" i="51"/>
  <c r="J21" i="46"/>
  <c r="J23" i="46" s="1"/>
  <c r="O21" i="46"/>
  <c r="O20" i="51"/>
  <c r="AQ53" i="51"/>
  <c r="AQ101" i="46" s="1"/>
  <c r="AC65" i="51"/>
  <c r="AU155" i="72"/>
  <c r="BC75" i="59"/>
  <c r="BS10" i="59"/>
  <c r="BS36" i="59"/>
  <c r="P20" i="51"/>
  <c r="P21" i="46"/>
  <c r="BK68" i="15"/>
  <c r="BL68" i="15" s="1"/>
  <c r="BK72" i="15"/>
  <c r="BL72" i="15" s="1"/>
  <c r="BK67" i="15"/>
  <c r="BK76" i="15"/>
  <c r="BK77" i="15" s="1"/>
  <c r="AO222" i="15"/>
  <c r="AO77" i="15"/>
  <c r="BO112" i="59"/>
  <c r="AM20" i="51"/>
  <c r="P105" i="46"/>
  <c r="AD163" i="15"/>
  <c r="BA75" i="15"/>
  <c r="BA60" i="15"/>
  <c r="BA64" i="15"/>
  <c r="BA388" i="15" s="1"/>
  <c r="BA262" i="15"/>
  <c r="BA59" i="15"/>
  <c r="BA71" i="15"/>
  <c r="BA76" i="15"/>
  <c r="BA222" i="15" s="1"/>
  <c r="BA230" i="15" s="1"/>
  <c r="BA223" i="15"/>
  <c r="BA68" i="15"/>
  <c r="BA72" i="15"/>
  <c r="BA67" i="15"/>
  <c r="BA63" i="15"/>
  <c r="AR46" i="15"/>
  <c r="AC321" i="15"/>
  <c r="Y163" i="15"/>
  <c r="AQ223" i="15"/>
  <c r="AQ60" i="15"/>
  <c r="AR60" i="15" s="1"/>
  <c r="AR61" i="15" s="1"/>
  <c r="AQ76" i="15"/>
  <c r="AQ222" i="15" s="1"/>
  <c r="AQ230" i="15" s="1"/>
  <c r="AQ231" i="15" s="1"/>
  <c r="AQ59" i="15"/>
  <c r="AQ68" i="15"/>
  <c r="AR68" i="15" s="1"/>
  <c r="AQ67" i="15"/>
  <c r="AQ72" i="15"/>
  <c r="AQ63" i="15"/>
  <c r="AQ262" i="15"/>
  <c r="AQ64" i="15"/>
  <c r="AQ75" i="15"/>
  <c r="AQ71" i="15"/>
  <c r="AZ72" i="15"/>
  <c r="AZ76" i="15"/>
  <c r="AZ60" i="15"/>
  <c r="AZ75" i="15"/>
  <c r="AW43" i="72"/>
  <c r="AB40" i="15"/>
  <c r="AB35" i="15"/>
  <c r="AB41" i="15" s="1"/>
  <c r="AB68" i="46" s="1"/>
  <c r="BE75" i="15"/>
  <c r="BE63" i="15"/>
  <c r="BE59" i="15"/>
  <c r="BE76" i="15"/>
  <c r="BE72" i="15"/>
  <c r="BE71" i="15"/>
  <c r="BE67" i="15"/>
  <c r="BE64" i="15"/>
  <c r="BE388" i="15" s="1"/>
  <c r="BG388" i="15" s="1"/>
  <c r="BF50" i="15"/>
  <c r="BE60" i="15"/>
  <c r="BE68" i="15"/>
  <c r="AZ67" i="15"/>
  <c r="AZ64" i="15"/>
  <c r="AZ71" i="15"/>
  <c r="AZ262" i="15"/>
  <c r="AE40" i="15"/>
  <c r="AE35" i="15"/>
  <c r="AE41" i="15" s="1"/>
  <c r="AE68" i="46" s="1"/>
  <c r="V40" i="15"/>
  <c r="V35" i="15"/>
  <c r="V41" i="15" s="1"/>
  <c r="V68" i="46" s="1"/>
  <c r="AN35" i="15"/>
  <c r="AN41" i="15" s="1"/>
  <c r="AN68" i="46" s="1"/>
  <c r="AN40" i="15"/>
  <c r="AJ40" i="15"/>
  <c r="AJ35" i="15"/>
  <c r="AJ41" i="15"/>
  <c r="AJ68" i="46" s="1"/>
  <c r="AZ59" i="15"/>
  <c r="AZ68" i="15"/>
  <c r="BB68" i="15"/>
  <c r="AZ223" i="15"/>
  <c r="AW234" i="72"/>
  <c r="AD35" i="15"/>
  <c r="AD41" i="15"/>
  <c r="AD68" i="46" s="1"/>
  <c r="AD40" i="15"/>
  <c r="CV95" i="59"/>
  <c r="CZ95" i="59"/>
  <c r="CY95" i="59"/>
  <c r="CR95" i="59"/>
  <c r="CR102" i="59"/>
  <c r="CW95" i="59"/>
  <c r="CQ95" i="59"/>
  <c r="CQ102" i="59" s="1"/>
  <c r="CT95" i="59"/>
  <c r="CT102" i="59"/>
  <c r="CX95" i="59"/>
  <c r="CS95" i="59"/>
  <c r="CS102" i="59"/>
  <c r="AZ63" i="15"/>
  <c r="P40" i="15"/>
  <c r="P35" i="15"/>
  <c r="P41" i="15"/>
  <c r="P68" i="46"/>
  <c r="AC35" i="15"/>
  <c r="AC40" i="15"/>
  <c r="AW275" i="72"/>
  <c r="AR225" i="15"/>
  <c r="AL357" i="15"/>
  <c r="BO74" i="46"/>
  <c r="BO77" i="46" s="1"/>
  <c r="BO117" i="46" s="1"/>
  <c r="BP480" i="15"/>
  <c r="BO510" i="15"/>
  <c r="BO513" i="15" s="1"/>
  <c r="S470" i="15"/>
  <c r="S74" i="46"/>
  <c r="AU40" i="15"/>
  <c r="AU35" i="15"/>
  <c r="AU41" i="15" s="1"/>
  <c r="AU68" i="46" s="1"/>
  <c r="AG473" i="15"/>
  <c r="AF473" i="15"/>
  <c r="AT442" i="15"/>
  <c r="AS440" i="15"/>
  <c r="AS442" i="15" s="1"/>
  <c r="AI243" i="15"/>
  <c r="Q473" i="15"/>
  <c r="P473" i="15"/>
  <c r="AB185" i="15"/>
  <c r="AB177" i="15"/>
  <c r="AC291" i="15"/>
  <c r="AI473" i="15"/>
  <c r="AC181" i="15"/>
  <c r="AC186" i="15"/>
  <c r="AH344" i="15"/>
  <c r="AG195" i="15"/>
  <c r="H513" i="15"/>
  <c r="I513" i="15" s="1"/>
  <c r="I512" i="15"/>
  <c r="AH508" i="15"/>
  <c r="AC544" i="15"/>
  <c r="AC556" i="15"/>
  <c r="AC535" i="15"/>
  <c r="AC541" i="15"/>
  <c r="AC538" i="15"/>
  <c r="AC555" i="15"/>
  <c r="W20" i="15"/>
  <c r="W19" i="46"/>
  <c r="X19" i="46" s="1"/>
  <c r="AG177" i="15"/>
  <c r="AG185" i="15"/>
  <c r="AG294" i="15"/>
  <c r="AH291" i="15"/>
  <c r="AM465" i="15"/>
  <c r="AL467" i="15"/>
  <c r="AM467" i="15" s="1"/>
  <c r="AA179" i="15"/>
  <c r="AB344" i="15"/>
  <c r="AA195" i="15"/>
  <c r="AZ139" i="15"/>
  <c r="BA139" i="15"/>
  <c r="AI447" i="15"/>
  <c r="AI445" i="15"/>
  <c r="AI429" i="15"/>
  <c r="AJ431" i="15"/>
  <c r="L35" i="15"/>
  <c r="L41" i="15"/>
  <c r="L68" i="46" s="1"/>
  <c r="L40" i="15"/>
  <c r="AQ513" i="15"/>
  <c r="AR511" i="15"/>
  <c r="AR513" i="15" s="1"/>
  <c r="AP447" i="15"/>
  <c r="AQ431" i="15"/>
  <c r="BN74" i="46"/>
  <c r="BN77" i="46"/>
  <c r="BN117" i="46" s="1"/>
  <c r="AM555" i="15"/>
  <c r="AD187" i="15"/>
  <c r="CC202" i="15"/>
  <c r="CC203" i="15" s="1"/>
  <c r="AR278" i="15"/>
  <c r="I480" i="15"/>
  <c r="AP513" i="15"/>
  <c r="AP523" i="15"/>
  <c r="AM516" i="15"/>
  <c r="AC515" i="15"/>
  <c r="AR503" i="15"/>
  <c r="AR508" i="15"/>
  <c r="BP519" i="15"/>
  <c r="BO99" i="46"/>
  <c r="R49" i="51"/>
  <c r="S504" i="15"/>
  <c r="AK473" i="15"/>
  <c r="BA138" i="15"/>
  <c r="AZ138" i="15"/>
  <c r="AA150" i="72"/>
  <c r="CE220" i="15"/>
  <c r="CE205" i="15"/>
  <c r="BC77" i="46"/>
  <c r="BC117" i="46" s="1"/>
  <c r="T544" i="15"/>
  <c r="T556" i="15"/>
  <c r="T541" i="15"/>
  <c r="O155" i="72"/>
  <c r="O156" i="72"/>
  <c r="P155" i="72"/>
  <c r="P156" i="72" s="1"/>
  <c r="P158" i="72" s="1"/>
  <c r="R155" i="72"/>
  <c r="R156" i="72"/>
  <c r="R158" i="72" s="1"/>
  <c r="AR96" i="72"/>
  <c r="AR97" i="72"/>
  <c r="AR94" i="72"/>
  <c r="CB202" i="15"/>
  <c r="CB203" i="15" s="1"/>
  <c r="AU480" i="15"/>
  <c r="AU513" i="15"/>
  <c r="R19" i="46"/>
  <c r="AZ331" i="15"/>
  <c r="BA331" i="15"/>
  <c r="X158" i="72"/>
  <c r="X155" i="72"/>
  <c r="AI254" i="72"/>
  <c r="AI156" i="72"/>
  <c r="AI158" i="72"/>
  <c r="AP109" i="15"/>
  <c r="AO111" i="15"/>
  <c r="AO389" i="15"/>
  <c r="AO110" i="15"/>
  <c r="AO355" i="15" s="1"/>
  <c r="AO112" i="15"/>
  <c r="AO329" i="15"/>
  <c r="AO333" i="15"/>
  <c r="X130" i="72"/>
  <c r="X132" i="72"/>
  <c r="AB519" i="15"/>
  <c r="AA99" i="46"/>
  <c r="AA521" i="15"/>
  <c r="AA523" i="15" s="1"/>
  <c r="BK480" i="15"/>
  <c r="BJ510" i="15"/>
  <c r="BJ513" i="15" s="1"/>
  <c r="AR520" i="15"/>
  <c r="AL391" i="15"/>
  <c r="AK194" i="15"/>
  <c r="J209" i="72"/>
  <c r="J211" i="72" s="1"/>
  <c r="K209" i="72" s="1"/>
  <c r="K211" i="72" s="1"/>
  <c r="L209" i="72" s="1"/>
  <c r="L211" i="72" s="1"/>
  <c r="M209" i="72" s="1"/>
  <c r="N209" i="72"/>
  <c r="N211" i="72"/>
  <c r="P535" i="15"/>
  <c r="BI510" i="15"/>
  <c r="AR541" i="15"/>
  <c r="Z110" i="59"/>
  <c r="Z112" i="59"/>
  <c r="AG242" i="72"/>
  <c r="AM130" i="72"/>
  <c r="AL241" i="72"/>
  <c r="AT226" i="72"/>
  <c r="Z220" i="72"/>
  <c r="AD226" i="72"/>
  <c r="BF123" i="72"/>
  <c r="BF191" i="72"/>
  <c r="AM94" i="72"/>
  <c r="AB242" i="72"/>
  <c r="X74" i="46"/>
  <c r="AT220" i="72"/>
  <c r="AQ132" i="72"/>
  <c r="AQ133" i="72"/>
  <c r="AL192" i="72"/>
  <c r="AL51" i="51" s="1"/>
  <c r="V130" i="72"/>
  <c r="V132" i="72"/>
  <c r="V133" i="72" s="1"/>
  <c r="M143" i="72"/>
  <c r="M63" i="72"/>
  <c r="I142" i="72"/>
  <c r="N143" i="72" s="1"/>
  <c r="N63" i="72" s="1"/>
  <c r="W143" i="72"/>
  <c r="W63" i="72"/>
  <c r="X142" i="72"/>
  <c r="X143" i="72" s="1"/>
  <c r="X63" i="72" s="1"/>
  <c r="F20" i="46"/>
  <c r="F23" i="46" s="1"/>
  <c r="F27" i="72"/>
  <c r="AL88" i="72"/>
  <c r="AL96" i="72"/>
  <c r="K97" i="72"/>
  <c r="P97" i="72"/>
  <c r="AQ56" i="51"/>
  <c r="AR56" i="51" s="1"/>
  <c r="Z132" i="72"/>
  <c r="Z130" i="72"/>
  <c r="AG20" i="46"/>
  <c r="AG27" i="72"/>
  <c r="AB143" i="72"/>
  <c r="AB63" i="72"/>
  <c r="AC142" i="72"/>
  <c r="AG143" i="72"/>
  <c r="AG63" i="72" s="1"/>
  <c r="G20" i="46"/>
  <c r="G27" i="72"/>
  <c r="BC49" i="72"/>
  <c r="BC84" i="72"/>
  <c r="BD84" i="72"/>
  <c r="BD93" i="72" s="1"/>
  <c r="BQ37" i="73"/>
  <c r="BQ90" i="72"/>
  <c r="I96" i="72"/>
  <c r="I88" i="72"/>
  <c r="Q102" i="46"/>
  <c r="S102" i="46" s="1"/>
  <c r="AJ194" i="15"/>
  <c r="AL242" i="72"/>
  <c r="AL227" i="72"/>
  <c r="AG278" i="15"/>
  <c r="AT230" i="72"/>
  <c r="CM38" i="71"/>
  <c r="H211" i="72"/>
  <c r="AG132" i="72"/>
  <c r="AH9" i="51"/>
  <c r="AK96" i="72"/>
  <c r="AK94" i="72"/>
  <c r="AM142" i="72"/>
  <c r="AM143" i="72" s="1"/>
  <c r="AM63" i="72" s="1"/>
  <c r="AL143" i="72"/>
  <c r="AL63" i="72"/>
  <c r="AQ143" i="72"/>
  <c r="AQ63" i="72" s="1"/>
  <c r="AR142" i="72"/>
  <c r="AR143" i="72"/>
  <c r="AR63" i="72" s="1"/>
  <c r="AT27" i="72"/>
  <c r="AT20" i="46"/>
  <c r="BL37" i="73"/>
  <c r="BL90" i="72"/>
  <c r="W96" i="72"/>
  <c r="W88" i="72"/>
  <c r="AB96" i="72"/>
  <c r="AB97" i="72" s="1"/>
  <c r="AB88" i="72"/>
  <c r="R94" i="72"/>
  <c r="R86" i="72"/>
  <c r="R49" i="72" s="1"/>
  <c r="W86" i="72"/>
  <c r="W49" i="72"/>
  <c r="AL220" i="72"/>
  <c r="BD255" i="72"/>
  <c r="BD112" i="46"/>
  <c r="AL133" i="72"/>
  <c r="AK130" i="72"/>
  <c r="AK132" i="72"/>
  <c r="AO130" i="72"/>
  <c r="AO132" i="72"/>
  <c r="AO133" i="72"/>
  <c r="R23" i="72"/>
  <c r="U96" i="72"/>
  <c r="U97" i="72"/>
  <c r="U94" i="72"/>
  <c r="H129" i="72"/>
  <c r="H132" i="72" s="1"/>
  <c r="I13" i="72"/>
  <c r="I129" i="72"/>
  <c r="AG94" i="72"/>
  <c r="E20" i="46"/>
  <c r="E23" i="46"/>
  <c r="E27" i="72"/>
  <c r="R88" i="72"/>
  <c r="R96" i="72"/>
  <c r="R97" i="72"/>
  <c r="AQ96" i="72"/>
  <c r="AQ88" i="72"/>
  <c r="M88" i="72"/>
  <c r="M94" i="72"/>
  <c r="AL86" i="72"/>
  <c r="AL49" i="72" s="1"/>
  <c r="AU230" i="72"/>
  <c r="J220" i="72"/>
  <c r="AN242" i="72"/>
  <c r="I242" i="72"/>
  <c r="P242" i="72"/>
  <c r="L242" i="72"/>
  <c r="M174" i="72"/>
  <c r="AP194" i="72"/>
  <c r="AA220" i="72"/>
  <c r="AE230" i="72"/>
  <c r="X9" i="51"/>
  <c r="AE9" i="51"/>
  <c r="H9" i="72"/>
  <c r="AB9" i="72"/>
  <c r="I9" i="51"/>
  <c r="V93" i="72"/>
  <c r="Z93" i="72"/>
  <c r="AF93" i="72"/>
  <c r="K129" i="72"/>
  <c r="P129" i="72"/>
  <c r="H21" i="72"/>
  <c r="H23" i="72"/>
  <c r="M13" i="72"/>
  <c r="AB21" i="72"/>
  <c r="AB23" i="72"/>
  <c r="R16" i="72"/>
  <c r="AE107" i="72"/>
  <c r="BF56" i="72"/>
  <c r="BF90" i="72"/>
  <c r="BI56" i="72"/>
  <c r="BI90" i="72" s="1"/>
  <c r="BO56" i="72"/>
  <c r="AY58" i="72"/>
  <c r="AY118" i="72" s="1"/>
  <c r="AY115" i="72" s="1"/>
  <c r="BH58" i="72"/>
  <c r="BH118" i="72" s="1"/>
  <c r="BK58" i="72"/>
  <c r="BK118" i="72"/>
  <c r="BH59" i="72"/>
  <c r="AY60" i="72"/>
  <c r="BM60" i="72"/>
  <c r="R103" i="72"/>
  <c r="R104" i="72" s="1"/>
  <c r="R107" i="72" s="1"/>
  <c r="AB103" i="72"/>
  <c r="AB104" i="72" s="1"/>
  <c r="AB107" i="72" s="1"/>
  <c r="AL103" i="72"/>
  <c r="AL104" i="72"/>
  <c r="AL107" i="72" s="1"/>
  <c r="M115" i="72"/>
  <c r="N115" i="72"/>
  <c r="M120" i="72"/>
  <c r="BL178" i="72"/>
  <c r="Z194" i="72"/>
  <c r="AC208" i="72"/>
  <c r="W201" i="72"/>
  <c r="K220" i="72"/>
  <c r="G230" i="72"/>
  <c r="S230" i="72"/>
  <c r="AZ191" i="72"/>
  <c r="AZ255" i="72" s="1"/>
  <c r="V192" i="72"/>
  <c r="BH51" i="51"/>
  <c r="F129" i="72"/>
  <c r="O129" i="72"/>
  <c r="R13" i="72"/>
  <c r="AW227" i="72"/>
  <c r="AW46" i="73"/>
  <c r="AW55" i="73" s="1"/>
  <c r="BB176" i="72"/>
  <c r="BG176" i="72"/>
  <c r="BL176" i="72"/>
  <c r="BQ176" i="72" s="1"/>
  <c r="I48" i="51"/>
  <c r="AJ9" i="51"/>
  <c r="W63" i="51"/>
  <c r="X63" i="51"/>
  <c r="AX58" i="72"/>
  <c r="AX118" i="72" s="1"/>
  <c r="AX115" i="72" s="1"/>
  <c r="AK86" i="72"/>
  <c r="AK49" i="72" s="1"/>
  <c r="BJ192" i="72"/>
  <c r="BJ113" i="46"/>
  <c r="BJ51" i="51"/>
  <c r="N241" i="72"/>
  <c r="N227" i="72"/>
  <c r="Z9" i="51"/>
  <c r="L43" i="72"/>
  <c r="AG107" i="72"/>
  <c r="AJ107" i="72"/>
  <c r="BH56" i="72"/>
  <c r="BN56" i="72"/>
  <c r="BN90" i="72"/>
  <c r="BF58" i="72"/>
  <c r="BF118" i="72" s="1"/>
  <c r="BF115" i="72" s="1"/>
  <c r="I115" i="72"/>
  <c r="AF140" i="72"/>
  <c r="AF62" i="72" s="1"/>
  <c r="AJ140" i="72"/>
  <c r="AJ62" i="72"/>
  <c r="BJ193" i="72"/>
  <c r="BJ114" i="46" s="1"/>
  <c r="F226" i="72"/>
  <c r="F241" i="72"/>
  <c r="F223" i="72"/>
  <c r="BY38" i="73"/>
  <c r="BY70" i="73" s="1"/>
  <c r="AM23" i="71"/>
  <c r="AB124" i="72"/>
  <c r="N148" i="72"/>
  <c r="Q159" i="72"/>
  <c r="P177" i="72"/>
  <c r="W177" i="72"/>
  <c r="AV190" i="72"/>
  <c r="AV191" i="72"/>
  <c r="AV255" i="72"/>
  <c r="BI191" i="72"/>
  <c r="BJ191" i="72" s="1"/>
  <c r="AF192" i="72"/>
  <c r="AE193" i="72"/>
  <c r="AF193" i="72"/>
  <c r="AF52" i="51"/>
  <c r="AH194" i="72"/>
  <c r="AJ193" i="72"/>
  <c r="AX114" i="46"/>
  <c r="BA193" i="72"/>
  <c r="BA114" i="46" s="1"/>
  <c r="AF196" i="72"/>
  <c r="AF55" i="51" s="1"/>
  <c r="AV196" i="72"/>
  <c r="AE197" i="72"/>
  <c r="AE198" i="72"/>
  <c r="AK200" i="72"/>
  <c r="AP203" i="72"/>
  <c r="AP63" i="51" s="1"/>
  <c r="AP204" i="72"/>
  <c r="AQ204" i="72" s="1"/>
  <c r="AV200" i="72"/>
  <c r="AB203" i="72"/>
  <c r="BA204" i="72"/>
  <c r="BA98" i="46" s="1"/>
  <c r="W218" i="72"/>
  <c r="W241" i="72" s="1"/>
  <c r="AV18" i="15"/>
  <c r="AV18" i="51"/>
  <c r="BA18" i="51" s="1"/>
  <c r="BF18" i="51" s="1"/>
  <c r="BK18" i="51" s="1"/>
  <c r="AC95" i="15"/>
  <c r="BA200" i="15"/>
  <c r="AZ200" i="15"/>
  <c r="BO442" i="15"/>
  <c r="AG148" i="72"/>
  <c r="AX57" i="51"/>
  <c r="AV201" i="72"/>
  <c r="AV174" i="72"/>
  <c r="AX112" i="46"/>
  <c r="AY505" i="15"/>
  <c r="AJ64" i="51"/>
  <c r="O159" i="72"/>
  <c r="O177" i="72"/>
  <c r="BC178" i="72"/>
  <c r="BN192" i="72"/>
  <c r="BN113" i="46" s="1"/>
  <c r="BN193" i="72"/>
  <c r="BN114" i="46"/>
  <c r="AV192" i="72"/>
  <c r="V193" i="72"/>
  <c r="W193" i="72" s="1"/>
  <c r="W194" i="72" s="1"/>
  <c r="AY192" i="72"/>
  <c r="AZ192" i="72" s="1"/>
  <c r="AZ113" i="46" s="1"/>
  <c r="AY197" i="72"/>
  <c r="AY57" i="51"/>
  <c r="BE197" i="72"/>
  <c r="BE57" i="51" s="1"/>
  <c r="BG57" i="51" s="1"/>
  <c r="BJ197" i="72"/>
  <c r="BJ57" i="51"/>
  <c r="BO197" i="72"/>
  <c r="BP197" i="72" s="1"/>
  <c r="AP200" i="72"/>
  <c r="AA204" i="72"/>
  <c r="AV202" i="72"/>
  <c r="AZ204" i="72"/>
  <c r="AZ98" i="46" s="1"/>
  <c r="S40" i="15"/>
  <c r="AX245" i="15"/>
  <c r="BE306" i="15"/>
  <c r="BJ306" i="15" s="1"/>
  <c r="BO306" i="15" s="1"/>
  <c r="BD306" i="15"/>
  <c r="BI306" i="15"/>
  <c r="BN306" i="15" s="1"/>
  <c r="M63" i="51"/>
  <c r="AY64" i="51"/>
  <c r="BB196" i="72"/>
  <c r="BB198" i="72" s="1"/>
  <c r="BE178" i="72"/>
  <c r="BE57" i="72"/>
  <c r="BE90" i="72"/>
  <c r="AV189" i="72"/>
  <c r="AT255" i="72"/>
  <c r="BA191" i="72"/>
  <c r="BA255" i="72"/>
  <c r="BD193" i="72"/>
  <c r="M197" i="72"/>
  <c r="M57" i="51"/>
  <c r="U197" i="72"/>
  <c r="AO197" i="72"/>
  <c r="AT197" i="72"/>
  <c r="AT57" i="51" s="1"/>
  <c r="AT198" i="72"/>
  <c r="AT208" i="72"/>
  <c r="AZ197" i="72"/>
  <c r="AZ57" i="51" s="1"/>
  <c r="BB57" i="51" s="1"/>
  <c r="BC57" i="51"/>
  <c r="AE202" i="72"/>
  <c r="AE62" i="51" s="1"/>
  <c r="AV203" i="72"/>
  <c r="AU204" i="72"/>
  <c r="AV204" i="72"/>
  <c r="AV98" i="46"/>
  <c r="BD204" i="72"/>
  <c r="AU205" i="72"/>
  <c r="AV205" i="72" s="1"/>
  <c r="AV206" i="72" s="1"/>
  <c r="AU66" i="51"/>
  <c r="AI41" i="15"/>
  <c r="AI68" i="46" s="1"/>
  <c r="H66" i="51"/>
  <c r="I66" i="51"/>
  <c r="AE64" i="51"/>
  <c r="AT203" i="15"/>
  <c r="BH203" i="15"/>
  <c r="BP432" i="15"/>
  <c r="AZ442" i="15"/>
  <c r="AY440" i="15"/>
  <c r="AV505" i="15"/>
  <c r="AW505" i="15" s="1"/>
  <c r="AV507" i="15"/>
  <c r="AW507" i="15" s="1"/>
  <c r="Z521" i="15"/>
  <c r="Z523" i="15"/>
  <c r="Q63" i="51"/>
  <c r="AF519" i="15"/>
  <c r="AK519" i="15"/>
  <c r="AV519" i="15"/>
  <c r="AW519" i="15" s="1"/>
  <c r="E10" i="51"/>
  <c r="J10" i="51"/>
  <c r="O10" i="51"/>
  <c r="BH9" i="51"/>
  <c r="BK203" i="15"/>
  <c r="AD245" i="15"/>
  <c r="AF431" i="15"/>
  <c r="BN432" i="15"/>
  <c r="AZ480" i="15"/>
  <c r="O51" i="51"/>
  <c r="AV506" i="15"/>
  <c r="AV51" i="51" s="1"/>
  <c r="AW51" i="51" s="1"/>
  <c r="AV512" i="15"/>
  <c r="AW512" i="15" s="1"/>
  <c r="AW513" i="15" s="1"/>
  <c r="AW517" i="15"/>
  <c r="AV517" i="15"/>
  <c r="AZ519" i="15"/>
  <c r="AV520" i="15"/>
  <c r="K535" i="15"/>
  <c r="CE226" i="15"/>
  <c r="AV503" i="15"/>
  <c r="AW503" i="15"/>
  <c r="Q506" i="15"/>
  <c r="AZ506" i="15"/>
  <c r="BA506" i="15"/>
  <c r="J56" i="51"/>
  <c r="AW511" i="15"/>
  <c r="AV511" i="15"/>
  <c r="AU515" i="15"/>
  <c r="AV518" i="15"/>
  <c r="AW518" i="15" s="1"/>
  <c r="F519" i="15"/>
  <c r="AV504" i="15"/>
  <c r="AV49" i="51"/>
  <c r="AW49" i="51"/>
  <c r="AW504" i="15"/>
  <c r="AX113" i="46"/>
  <c r="AV510" i="15"/>
  <c r="AW510" i="15"/>
  <c r="AV516" i="15"/>
  <c r="AW516" i="15" s="1"/>
  <c r="BA519" i="15"/>
  <c r="AV19" i="46"/>
  <c r="AW19" i="46" s="1"/>
  <c r="AV127" i="72"/>
  <c r="AV193" i="72"/>
  <c r="AV52" i="51" s="1"/>
  <c r="AW52" i="51" s="1"/>
  <c r="AV124" i="72"/>
  <c r="AX169" i="46"/>
  <c r="AV457" i="15"/>
  <c r="AV456" i="15"/>
  <c r="BA456" i="15" s="1"/>
  <c r="BF456" i="15" s="1"/>
  <c r="U85" i="59"/>
  <c r="AV143" i="72"/>
  <c r="AV63" i="72"/>
  <c r="AD48" i="46"/>
  <c r="AD42" i="46"/>
  <c r="X42" i="46"/>
  <c r="X48" i="46"/>
  <c r="AO31" i="51"/>
  <c r="AO37" i="51" s="1"/>
  <c r="AO70" i="46" s="1"/>
  <c r="AO36" i="51"/>
  <c r="AQ20" i="51"/>
  <c r="AQ21" i="46"/>
  <c r="V48" i="46"/>
  <c r="V42" i="46"/>
  <c r="AC42" i="51"/>
  <c r="AC102" i="46" s="1"/>
  <c r="V20" i="51"/>
  <c r="V21" i="46"/>
  <c r="AG27" i="46"/>
  <c r="AH54" i="71"/>
  <c r="CZ18" i="71"/>
  <c r="N183" i="46"/>
  <c r="AF183" i="46"/>
  <c r="AD20" i="51"/>
  <c r="AD21" i="46"/>
  <c r="E201" i="46"/>
  <c r="Q198" i="46"/>
  <c r="Q201" i="46"/>
  <c r="Q195" i="46"/>
  <c r="AI183" i="46"/>
  <c r="K20" i="51"/>
  <c r="K21" i="46"/>
  <c r="K23" i="46"/>
  <c r="L20" i="51"/>
  <c r="L21" i="46"/>
  <c r="L23" i="46" s="1"/>
  <c r="Q192" i="46"/>
  <c r="AB198" i="46"/>
  <c r="L200" i="46"/>
  <c r="T192" i="46"/>
  <c r="AH162" i="46"/>
  <c r="AH171" i="46" s="1"/>
  <c r="AH181" i="46" s="1"/>
  <c r="AH183" i="46" s="1"/>
  <c r="AY174" i="46"/>
  <c r="X14" i="51"/>
  <c r="X16" i="51"/>
  <c r="X20" i="51"/>
  <c r="X10" i="51"/>
  <c r="E181" i="46"/>
  <c r="E183" i="46"/>
  <c r="BH337" i="46"/>
  <c r="R218" i="46"/>
  <c r="CJ21" i="71" s="1"/>
  <c r="AS337" i="46"/>
  <c r="BJ76" i="46"/>
  <c r="CJ47" i="73"/>
  <c r="BX41" i="73"/>
  <c r="BX42" i="73" s="1"/>
  <c r="BX49" i="73" s="1"/>
  <c r="BX50" i="73" s="1"/>
  <c r="BG65" i="73"/>
  <c r="BL65" i="73" s="1"/>
  <c r="BQ65" i="73" s="1"/>
  <c r="BY47" i="73"/>
  <c r="BX47" i="73"/>
  <c r="BY41" i="73"/>
  <c r="BY42" i="73" s="1"/>
  <c r="DD84" i="73"/>
  <c r="DE83" i="73"/>
  <c r="CT47" i="73"/>
  <c r="CY47" i="73"/>
  <c r="CE47" i="73"/>
  <c r="BZ41" i="73"/>
  <c r="BZ42" i="73"/>
  <c r="DE48" i="73"/>
  <c r="CO47" i="73"/>
  <c r="DB84" i="73"/>
  <c r="AR65" i="73"/>
  <c r="AR66" i="73"/>
  <c r="AW66" i="73"/>
  <c r="BB66" i="73" s="1"/>
  <c r="BG18" i="73"/>
  <c r="BP58" i="77"/>
  <c r="BW79" i="77" s="1"/>
  <c r="BY79" i="77" s="1"/>
  <c r="BP59" i="77"/>
  <c r="BW80" i="77"/>
  <c r="BO59" i="15"/>
  <c r="BO63" i="15"/>
  <c r="BO64" i="15"/>
  <c r="BO388" i="15" s="1"/>
  <c r="BM60" i="15"/>
  <c r="BM59" i="15"/>
  <c r="BM63" i="15"/>
  <c r="BM64" i="15"/>
  <c r="BN60" i="15"/>
  <c r="BN368" i="15"/>
  <c r="BN64" i="15"/>
  <c r="BN388" i="15" s="1"/>
  <c r="BN59" i="15"/>
  <c r="BN63" i="15"/>
  <c r="BP63" i="15"/>
  <c r="BP60" i="15"/>
  <c r="BP368" i="15"/>
  <c r="BP64" i="15"/>
  <c r="BP388" i="15" s="1"/>
  <c r="BP59" i="15"/>
  <c r="BL274" i="15"/>
  <c r="BL261" i="15"/>
  <c r="BL301" i="15"/>
  <c r="BL210" i="15"/>
  <c r="BQ24" i="73"/>
  <c r="AY456" i="15"/>
  <c r="AX457" i="15"/>
  <c r="BR11" i="59"/>
  <c r="BR12" i="59"/>
  <c r="AE85" i="59"/>
  <c r="AE11" i="59" s="1"/>
  <c r="BV81" i="59"/>
  <c r="BQ85" i="59"/>
  <c r="BQ87" i="59"/>
  <c r="BI12" i="59"/>
  <c r="O85" i="59"/>
  <c r="BJ98" i="46"/>
  <c r="BJ64" i="51"/>
  <c r="BK204" i="72"/>
  <c r="Q11" i="59"/>
  <c r="AO11" i="59"/>
  <c r="BA82" i="46"/>
  <c r="BA122" i="46"/>
  <c r="BA60" i="51" s="1"/>
  <c r="BW11" i="59"/>
  <c r="Q12" i="59"/>
  <c r="AD36" i="59"/>
  <c r="BE42" i="51"/>
  <c r="BL36" i="59"/>
  <c r="AJ36" i="59"/>
  <c r="BV31" i="59"/>
  <c r="BQ34" i="59"/>
  <c r="AH36" i="59"/>
  <c r="AW34" i="59"/>
  <c r="BI42" i="51"/>
  <c r="BI102" i="46" s="1"/>
  <c r="BS12" i="59"/>
  <c r="AK11" i="59"/>
  <c r="AK12" i="59" s="1"/>
  <c r="AK36" i="59"/>
  <c r="AN34" i="59"/>
  <c r="AZ42" i="51" s="1"/>
  <c r="BJ55" i="46"/>
  <c r="BF54" i="46"/>
  <c r="BE55" i="46"/>
  <c r="BO55" i="46"/>
  <c r="BP54" i="46"/>
  <c r="BE112" i="59"/>
  <c r="CQ107" i="59"/>
  <c r="CQ110" i="59" s="1"/>
  <c r="BH495" i="15" s="1"/>
  <c r="CS107" i="59"/>
  <c r="CS110" i="59" s="1"/>
  <c r="CW107" i="59"/>
  <c r="CW110" i="59" s="1"/>
  <c r="BN495" i="15" s="1"/>
  <c r="CT107" i="59"/>
  <c r="CT110" i="59"/>
  <c r="BK495" i="15"/>
  <c r="CY107" i="59"/>
  <c r="CR107" i="59"/>
  <c r="CR110" i="59" s="1"/>
  <c r="CZ107" i="59"/>
  <c r="CZ110" i="59"/>
  <c r="CY110" i="59"/>
  <c r="BI490" i="15"/>
  <c r="BI515" i="15"/>
  <c r="BI156" i="15"/>
  <c r="AS221" i="15"/>
  <c r="AS77" i="15"/>
  <c r="AK49" i="15"/>
  <c r="AJ46" i="15"/>
  <c r="AE71" i="15"/>
  <c r="AE59" i="15"/>
  <c r="AF63" i="15"/>
  <c r="AF68" i="15"/>
  <c r="AP77" i="15"/>
  <c r="AP221" i="15"/>
  <c r="AP69" i="15"/>
  <c r="AP315" i="15" s="1"/>
  <c r="BA69" i="15"/>
  <c r="BA315" i="15" s="1"/>
  <c r="AS61" i="15"/>
  <c r="AS354" i="15"/>
  <c r="AS341" i="15"/>
  <c r="AS328" i="15"/>
  <c r="AS210" i="15"/>
  <c r="AS261" i="15"/>
  <c r="AS241" i="15"/>
  <c r="AS274" i="15"/>
  <c r="AS301" i="15"/>
  <c r="AS73" i="15"/>
  <c r="AI63" i="15"/>
  <c r="AI223" i="15"/>
  <c r="AI262" i="15"/>
  <c r="AI71" i="15"/>
  <c r="AI389" i="15"/>
  <c r="AI72" i="15"/>
  <c r="AI75" i="15"/>
  <c r="AI60" i="15"/>
  <c r="AI64" i="15"/>
  <c r="AI388" i="15" s="1"/>
  <c r="AI396" i="15" s="1"/>
  <c r="AI397" i="15" s="1"/>
  <c r="AI68" i="15"/>
  <c r="AI69" i="15" s="1"/>
  <c r="AI315" i="15" s="1"/>
  <c r="AI329" i="15"/>
  <c r="AI59" i="15"/>
  <c r="AI76" i="15"/>
  <c r="AI222" i="15" s="1"/>
  <c r="AE242" i="15"/>
  <c r="AE302" i="15"/>
  <c r="AE310" i="15"/>
  <c r="AF75" i="15"/>
  <c r="AF76" i="15"/>
  <c r="AF222" i="15" s="1"/>
  <c r="AA49" i="15"/>
  <c r="Z46" i="15"/>
  <c r="AP301" i="15"/>
  <c r="AP210" i="15"/>
  <c r="AP274" i="15"/>
  <c r="AP283" i="15"/>
  <c r="AP241" i="15"/>
  <c r="AP261" i="15"/>
  <c r="AP73" i="15"/>
  <c r="AS69" i="15"/>
  <c r="AS315" i="15" s="1"/>
  <c r="AT72" i="15"/>
  <c r="AT64" i="15"/>
  <c r="AT59" i="15"/>
  <c r="AT76" i="15"/>
  <c r="AT222" i="15" s="1"/>
  <c r="AT67" i="15"/>
  <c r="AT69" i="15" s="1"/>
  <c r="AT315" i="15" s="1"/>
  <c r="AT63" i="15"/>
  <c r="AU50" i="15"/>
  <c r="AT75" i="15"/>
  <c r="AT60" i="15"/>
  <c r="AT68" i="15"/>
  <c r="AT71" i="15"/>
  <c r="AS222" i="15"/>
  <c r="AE221" i="15"/>
  <c r="AE76" i="15"/>
  <c r="AE222" i="15"/>
  <c r="AE230" i="15" s="1"/>
  <c r="AD328" i="15"/>
  <c r="AF59" i="15"/>
  <c r="AF67" i="15"/>
  <c r="AF69" i="15"/>
  <c r="AF315" i="15"/>
  <c r="AF323" i="15" s="1"/>
  <c r="AF325" i="15" s="1"/>
  <c r="AF129" i="15" s="1"/>
  <c r="AF60" i="15"/>
  <c r="Y68" i="15"/>
  <c r="Y60" i="15"/>
  <c r="Y329" i="15"/>
  <c r="Y75" i="15"/>
  <c r="Y389" i="15"/>
  <c r="Y396" i="15" s="1"/>
  <c r="Y59" i="15"/>
  <c r="Y67" i="15"/>
  <c r="AP387" i="15"/>
  <c r="AP65" i="15"/>
  <c r="AF71" i="15"/>
  <c r="AS242" i="15"/>
  <c r="AS302" i="15"/>
  <c r="AS387" i="15"/>
  <c r="AS65" i="15"/>
  <c r="AE67" i="15"/>
  <c r="AE69" i="15" s="1"/>
  <c r="AE315" i="15" s="1"/>
  <c r="AE323" i="15" s="1"/>
  <c r="AE325" i="15" s="1"/>
  <c r="AE129" i="15" s="1"/>
  <c r="AE63" i="15"/>
  <c r="AE60" i="15"/>
  <c r="AD388" i="15"/>
  <c r="AD396" i="15"/>
  <c r="AF72" i="15"/>
  <c r="AF64" i="15"/>
  <c r="AF388" i="15"/>
  <c r="AF396" i="15" s="1"/>
  <c r="AP61" i="15"/>
  <c r="AP354" i="15"/>
  <c r="AP341" i="15"/>
  <c r="BA11" i="59"/>
  <c r="BM82" i="46" s="1"/>
  <c r="BA36" i="59"/>
  <c r="BA106" i="15"/>
  <c r="BA316" i="15" s="1"/>
  <c r="BB316" i="15" s="1"/>
  <c r="BB105" i="15"/>
  <c r="AE36" i="59"/>
  <c r="AZ491" i="15"/>
  <c r="AZ516" i="15"/>
  <c r="AZ521" i="15"/>
  <c r="AN112" i="59"/>
  <c r="AY490" i="15"/>
  <c r="AY515" i="15"/>
  <c r="AM112" i="59"/>
  <c r="AH389" i="15"/>
  <c r="V36" i="59"/>
  <c r="V11" i="59"/>
  <c r="V12" i="59" s="1"/>
  <c r="AE355" i="15"/>
  <c r="AE243" i="15"/>
  <c r="Y241" i="15"/>
  <c r="Y274" i="15"/>
  <c r="Y283" i="15"/>
  <c r="Y285" i="15" s="1"/>
  <c r="Y126" i="15" s="1"/>
  <c r="Y261" i="15"/>
  <c r="Y73" i="15"/>
  <c r="Y288" i="15" s="1"/>
  <c r="Y296" i="15" s="1"/>
  <c r="Y298" i="15" s="1"/>
  <c r="Y127" i="15" s="1"/>
  <c r="Y301" i="15"/>
  <c r="Y309" i="15"/>
  <c r="AX316" i="15"/>
  <c r="BB106" i="15"/>
  <c r="AD231" i="15"/>
  <c r="BM183" i="72"/>
  <c r="BI183" i="72"/>
  <c r="CN47" i="59"/>
  <c r="CO47" i="59"/>
  <c r="CG47" i="59"/>
  <c r="CP47" i="59"/>
  <c r="CU47" i="59"/>
  <c r="CZ47" i="59" s="1"/>
  <c r="CM47" i="59"/>
  <c r="CL47" i="59"/>
  <c r="CJ47" i="59"/>
  <c r="CI47" i="59"/>
  <c r="CH47" i="59"/>
  <c r="CL80" i="59"/>
  <c r="CN80" i="59"/>
  <c r="CO80" i="59"/>
  <c r="CM80" i="59"/>
  <c r="CP80" i="59"/>
  <c r="CU80" i="59"/>
  <c r="CZ80" i="59" s="1"/>
  <c r="CG80" i="59"/>
  <c r="CG85" i="59" s="1"/>
  <c r="AX182" i="72" s="1"/>
  <c r="CI80" i="59"/>
  <c r="CI85" i="59"/>
  <c r="AZ182" i="72" s="1"/>
  <c r="CH80" i="59"/>
  <c r="CH85" i="59" s="1"/>
  <c r="CJ80" i="59"/>
  <c r="CJ85" i="59"/>
  <c r="BA182" i="72" s="1"/>
  <c r="AD387" i="15"/>
  <c r="AD65" i="15"/>
  <c r="AA316" i="15"/>
  <c r="AY43" i="51"/>
  <c r="Y302" i="15"/>
  <c r="Y310" i="15"/>
  <c r="Y242" i="15"/>
  <c r="Y250" i="15"/>
  <c r="Y251" i="15" s="1"/>
  <c r="AH223" i="15"/>
  <c r="AE396" i="15"/>
  <c r="AE397" i="15" s="1"/>
  <c r="BH201" i="72"/>
  <c r="AX516" i="15"/>
  <c r="M11" i="59"/>
  <c r="BY10" i="59"/>
  <c r="BY12" i="59" s="1"/>
  <c r="BY36" i="59"/>
  <c r="BU36" i="59"/>
  <c r="BU10" i="59"/>
  <c r="BU12" i="59" s="1"/>
  <c r="Y11" i="59"/>
  <c r="Y112" i="59"/>
  <c r="AO112" i="59"/>
  <c r="BA491" i="15"/>
  <c r="BA516" i="15"/>
  <c r="BA521" i="15" s="1"/>
  <c r="AD261" i="15"/>
  <c r="AD301" i="15"/>
  <c r="AD309" i="15"/>
  <c r="AD73" i="15"/>
  <c r="AD274" i="15"/>
  <c r="AD283" i="15" s="1"/>
  <c r="AD285" i="15" s="1"/>
  <c r="AD126" i="15" s="1"/>
  <c r="AD241" i="15"/>
  <c r="AD210" i="15"/>
  <c r="AD221" i="15"/>
  <c r="AD77" i="15"/>
  <c r="BH368" i="15"/>
  <c r="BH61" i="15"/>
  <c r="AD397" i="15"/>
  <c r="CP18" i="59"/>
  <c r="Y222" i="15"/>
  <c r="Y230" i="15"/>
  <c r="Y231" i="15"/>
  <c r="Y77" i="15"/>
  <c r="BI222" i="15"/>
  <c r="BI77" i="15"/>
  <c r="AA87" i="59"/>
  <c r="AA10" i="59"/>
  <c r="AF10" i="59"/>
  <c r="AF12" i="59"/>
  <c r="AF87" i="59"/>
  <c r="AP11" i="59"/>
  <c r="AP12" i="59" s="1"/>
  <c r="AP36" i="59"/>
  <c r="AM106" i="15"/>
  <c r="AK316" i="15"/>
  <c r="AG36" i="59"/>
  <c r="BA243" i="15"/>
  <c r="BB243" i="15" s="1"/>
  <c r="BB102" i="15"/>
  <c r="AT112" i="59"/>
  <c r="BF490" i="15"/>
  <c r="BF515" i="15"/>
  <c r="BF521" i="15" s="1"/>
  <c r="N85" i="59"/>
  <c r="CM29" i="59"/>
  <c r="CM34" i="59" s="1"/>
  <c r="CN29" i="59"/>
  <c r="CN34" i="59" s="1"/>
  <c r="CO29" i="59"/>
  <c r="CO34" i="59" s="1"/>
  <c r="CI29" i="59"/>
  <c r="CI34" i="59" s="1"/>
  <c r="CP29" i="59"/>
  <c r="CL29" i="59"/>
  <c r="CL34" i="59"/>
  <c r="CH29" i="59"/>
  <c r="CH34" i="59"/>
  <c r="CG29" i="59"/>
  <c r="CG34" i="59"/>
  <c r="CJ29" i="59"/>
  <c r="CJ34" i="59" s="1"/>
  <c r="CJ11" i="59" s="1"/>
  <c r="BA87" i="46" s="1"/>
  <c r="AD69" i="15"/>
  <c r="AD315" i="15" s="1"/>
  <c r="AD323" i="15" s="1"/>
  <c r="AD333" i="15"/>
  <c r="AH329" i="15"/>
  <c r="AD242" i="15"/>
  <c r="AD302" i="15"/>
  <c r="AD310" i="15"/>
  <c r="AD61" i="15"/>
  <c r="AX43" i="51"/>
  <c r="BJ388" i="15"/>
  <c r="BL388" i="15" s="1"/>
  <c r="BJ65" i="15"/>
  <c r="Y387" i="15"/>
  <c r="Y65" i="15"/>
  <c r="T87" i="59"/>
  <c r="AM34" i="59"/>
  <c r="S36" i="59"/>
  <c r="BD43" i="51"/>
  <c r="AR36" i="59"/>
  <c r="BA87" i="59"/>
  <c r="BM174" i="72"/>
  <c r="BM201" i="72" s="1"/>
  <c r="BQ201" i="72" s="1"/>
  <c r="BF42" i="51"/>
  <c r="AT11" i="59"/>
  <c r="BF82" i="46" s="1"/>
  <c r="BF122" i="46" s="1"/>
  <c r="AZ174" i="72"/>
  <c r="AZ201" i="72" s="1"/>
  <c r="CA75" i="59"/>
  <c r="CF46" i="59"/>
  <c r="CZ44" i="59"/>
  <c r="AE245" i="15"/>
  <c r="AD248" i="15"/>
  <c r="AD186" i="15"/>
  <c r="AD188" i="15" s="1"/>
  <c r="AD459" i="15" s="1"/>
  <c r="AD191" i="15"/>
  <c r="AD181" i="15"/>
  <c r="AD182" i="15" s="1"/>
  <c r="AD193" i="15"/>
  <c r="BD98" i="46"/>
  <c r="BD64" i="51"/>
  <c r="BE204" i="72"/>
  <c r="BF204" i="72" s="1"/>
  <c r="W197" i="72"/>
  <c r="V197" i="72"/>
  <c r="U198" i="72"/>
  <c r="U57" i="51"/>
  <c r="AX253" i="15"/>
  <c r="AY245" i="15"/>
  <c r="AX248" i="15"/>
  <c r="BA192" i="72"/>
  <c r="AB63" i="51"/>
  <c r="S13" i="72"/>
  <c r="R129" i="72"/>
  <c r="R9" i="51"/>
  <c r="V94" i="72"/>
  <c r="V96" i="72"/>
  <c r="AG32" i="72"/>
  <c r="AG28" i="72"/>
  <c r="AM391" i="15"/>
  <c r="AL194" i="15"/>
  <c r="AL178" i="15"/>
  <c r="CE208" i="15"/>
  <c r="CE229" i="15"/>
  <c r="BP99" i="46"/>
  <c r="BP64" i="51"/>
  <c r="BQ64" i="51"/>
  <c r="AZ388" i="15"/>
  <c r="BB64" i="15"/>
  <c r="O25" i="51"/>
  <c r="O29" i="51"/>
  <c r="O21" i="51"/>
  <c r="AA21" i="51"/>
  <c r="AA25" i="51"/>
  <c r="AA29" i="51"/>
  <c r="AV20" i="15"/>
  <c r="AX51" i="51"/>
  <c r="F64" i="51"/>
  <c r="F99" i="46"/>
  <c r="G519" i="15"/>
  <c r="F521" i="15"/>
  <c r="F523" i="15"/>
  <c r="F526" i="15" s="1"/>
  <c r="G524" i="15" s="1"/>
  <c r="AY113" i="46"/>
  <c r="AY51" i="51"/>
  <c r="AV508" i="15"/>
  <c r="AV62" i="51"/>
  <c r="AW62" i="51" s="1"/>
  <c r="O53" i="51"/>
  <c r="AF447" i="15"/>
  <c r="AF445" i="15"/>
  <c r="BH14" i="51"/>
  <c r="BM9" i="51"/>
  <c r="BL9" i="51"/>
  <c r="Q67" i="51"/>
  <c r="S63" i="51"/>
  <c r="AE206" i="72"/>
  <c r="AF202" i="72"/>
  <c r="AG202" i="72"/>
  <c r="AP197" i="72"/>
  <c r="AO57" i="51"/>
  <c r="AO58" i="51" s="1"/>
  <c r="AO69" i="51" s="1"/>
  <c r="AO198" i="72"/>
  <c r="AO208" i="72" s="1"/>
  <c r="BD114" i="46"/>
  <c r="BF193" i="72"/>
  <c r="BF114" i="46"/>
  <c r="BF52" i="51"/>
  <c r="BE193" i="72"/>
  <c r="BE114" i="46"/>
  <c r="BE52" i="51"/>
  <c r="N63" i="51"/>
  <c r="M67" i="51"/>
  <c r="BO57" i="51"/>
  <c r="BO198" i="72"/>
  <c r="BN52" i="51"/>
  <c r="AW143" i="72"/>
  <c r="AW63" i="72" s="1"/>
  <c r="BF197" i="72"/>
  <c r="AH208" i="72"/>
  <c r="CZ38" i="71"/>
  <c r="BO192" i="72"/>
  <c r="BO113" i="46"/>
  <c r="BO51" i="51"/>
  <c r="BK193" i="72"/>
  <c r="BK114" i="46" s="1"/>
  <c r="BK52" i="51" s="1"/>
  <c r="Z10" i="51"/>
  <c r="Z14" i="51"/>
  <c r="Z16" i="51" s="1"/>
  <c r="BK192" i="72"/>
  <c r="BK113" i="46"/>
  <c r="BK51" i="51"/>
  <c r="BL51" i="51" s="1"/>
  <c r="V194" i="72"/>
  <c r="V51" i="51"/>
  <c r="AQ203" i="72"/>
  <c r="AQ63" i="51" s="1"/>
  <c r="H20" i="46"/>
  <c r="H27" i="72"/>
  <c r="Z94" i="72"/>
  <c r="Z96" i="72"/>
  <c r="W192" i="72"/>
  <c r="AQ97" i="72"/>
  <c r="E32" i="72"/>
  <c r="H235" i="72"/>
  <c r="E28" i="72"/>
  <c r="AT28" i="72"/>
  <c r="AT32" i="72"/>
  <c r="AV235" i="72"/>
  <c r="G32" i="72"/>
  <c r="G28" i="72"/>
  <c r="K235" i="72"/>
  <c r="Z133" i="72"/>
  <c r="AE57" i="51"/>
  <c r="AE58" i="51" s="1"/>
  <c r="BF255" i="72"/>
  <c r="BF112" i="46"/>
  <c r="BF50" i="51" s="1"/>
  <c r="BG50" i="51" s="1"/>
  <c r="BI513" i="15"/>
  <c r="O209" i="72"/>
  <c r="O211" i="72"/>
  <c r="P209" i="72"/>
  <c r="P211" i="72"/>
  <c r="Q209" i="72" s="1"/>
  <c r="Q211" i="72" s="1"/>
  <c r="R209" i="72" s="1"/>
  <c r="S209" i="72"/>
  <c r="S211" i="72"/>
  <c r="AO396" i="15"/>
  <c r="AO393" i="15"/>
  <c r="V155" i="72"/>
  <c r="V156" i="72"/>
  <c r="V158" i="72"/>
  <c r="T155" i="72"/>
  <c r="T156" i="72"/>
  <c r="T158" i="72"/>
  <c r="U155" i="72"/>
  <c r="U156" i="72" s="1"/>
  <c r="U158" i="72" s="1"/>
  <c r="W155" i="72"/>
  <c r="W156" i="72"/>
  <c r="BQ99" i="46"/>
  <c r="AR431" i="15"/>
  <c r="AS431" i="15" s="1"/>
  <c r="AQ447" i="15"/>
  <c r="AL473" i="15"/>
  <c r="AI344" i="15"/>
  <c r="AH195" i="15"/>
  <c r="BE198" i="72"/>
  <c r="BP74" i="46"/>
  <c r="BP77" i="46" s="1"/>
  <c r="BP117" i="46" s="1"/>
  <c r="BP510" i="15"/>
  <c r="AZ301" i="15"/>
  <c r="AZ407" i="15"/>
  <c r="AZ73" i="15"/>
  <c r="AZ241" i="15"/>
  <c r="AZ274" i="15"/>
  <c r="AZ261" i="15"/>
  <c r="AZ210" i="15"/>
  <c r="BF64" i="15"/>
  <c r="BF388" i="15"/>
  <c r="BF72" i="15"/>
  <c r="BF67" i="15"/>
  <c r="BF71" i="15"/>
  <c r="BF59" i="15"/>
  <c r="BF75" i="15"/>
  <c r="BF76" i="15"/>
  <c r="BF222" i="15" s="1"/>
  <c r="BF68" i="15"/>
  <c r="BF63" i="15"/>
  <c r="BF60" i="15"/>
  <c r="BF368" i="15" s="1"/>
  <c r="BE302" i="15"/>
  <c r="BE408" i="15"/>
  <c r="BE242" i="15"/>
  <c r="BG72" i="15"/>
  <c r="BG302" i="15"/>
  <c r="BE77" i="15"/>
  <c r="BE221" i="15"/>
  <c r="BG75" i="15"/>
  <c r="AQ261" i="15"/>
  <c r="AQ210" i="15"/>
  <c r="AQ73" i="15"/>
  <c r="AQ241" i="15"/>
  <c r="AQ274" i="15"/>
  <c r="AQ283" i="15" s="1"/>
  <c r="AQ301" i="15"/>
  <c r="AR71" i="15"/>
  <c r="AQ65" i="15"/>
  <c r="AQ387" i="15"/>
  <c r="AR63" i="15"/>
  <c r="BA328" i="15"/>
  <c r="BA61" i="15"/>
  <c r="BA341" i="15"/>
  <c r="BA354" i="15"/>
  <c r="BK302" i="15"/>
  <c r="BK242" i="15"/>
  <c r="BK73" i="15"/>
  <c r="BK408" i="15"/>
  <c r="J25" i="51"/>
  <c r="J29" i="51"/>
  <c r="J21" i="51"/>
  <c r="AV130" i="72"/>
  <c r="BA130" i="72"/>
  <c r="AV132" i="72"/>
  <c r="AV133" i="72"/>
  <c r="AY288" i="15"/>
  <c r="AY209" i="15"/>
  <c r="F25" i="51"/>
  <c r="F29" i="51"/>
  <c r="F21" i="51"/>
  <c r="AW36" i="59"/>
  <c r="AN338" i="15"/>
  <c r="AN131" i="15"/>
  <c r="AG316" i="15"/>
  <c r="AV491" i="15"/>
  <c r="AW491" i="15"/>
  <c r="AV61" i="51"/>
  <c r="AZ510" i="15"/>
  <c r="AZ74" i="46"/>
  <c r="AJ67" i="51"/>
  <c r="AE194" i="72"/>
  <c r="AE208" i="72" s="1"/>
  <c r="AE52" i="51"/>
  <c r="AB99" i="46"/>
  <c r="AC519" i="15"/>
  <c r="AC99" i="46"/>
  <c r="AB521" i="15"/>
  <c r="AJ447" i="15"/>
  <c r="AK431" i="15"/>
  <c r="AJ445" i="15"/>
  <c r="AB179" i="15"/>
  <c r="AC344" i="15"/>
  <c r="AB195" i="15"/>
  <c r="AB347" i="15"/>
  <c r="AS225" i="15"/>
  <c r="BE222" i="15"/>
  <c r="AZ222" i="15"/>
  <c r="AR223" i="15"/>
  <c r="BA387" i="15"/>
  <c r="BA65" i="15"/>
  <c r="AY266" i="15"/>
  <c r="AX83" i="46"/>
  <c r="AY169" i="46"/>
  <c r="J58" i="51"/>
  <c r="J69" i="51" s="1"/>
  <c r="N56" i="51"/>
  <c r="N58" i="51" s="1"/>
  <c r="Q508" i="15"/>
  <c r="R506" i="15"/>
  <c r="S506" i="15" s="1"/>
  <c r="BA480" i="15"/>
  <c r="AK64" i="51"/>
  <c r="AK99" i="46"/>
  <c r="AK521" i="15"/>
  <c r="AK523" i="15" s="1"/>
  <c r="AL519" i="15"/>
  <c r="AM519" i="15" s="1"/>
  <c r="AM521" i="15" s="1"/>
  <c r="AX440" i="15"/>
  <c r="AX442" i="15" s="1"/>
  <c r="AY442" i="15"/>
  <c r="AU98" i="46"/>
  <c r="AU206" i="72"/>
  <c r="AU64" i="51"/>
  <c r="N57" i="51"/>
  <c r="M58" i="51"/>
  <c r="AA98" i="46"/>
  <c r="AA64" i="51"/>
  <c r="BG178" i="72"/>
  <c r="BA505" i="15"/>
  <c r="BA112" i="46" s="1"/>
  <c r="AY112" i="46"/>
  <c r="AY50" i="51" s="1"/>
  <c r="AZ505" i="15"/>
  <c r="AZ112" i="46"/>
  <c r="AZ50" i="51" s="1"/>
  <c r="AV173" i="72"/>
  <c r="AV168" i="72"/>
  <c r="AX52" i="51"/>
  <c r="AF194" i="72"/>
  <c r="M198" i="72"/>
  <c r="AJ10" i="51"/>
  <c r="AJ14" i="51"/>
  <c r="AJ16" i="51" s="1"/>
  <c r="O130" i="72"/>
  <c r="O132" i="72"/>
  <c r="AB204" i="72"/>
  <c r="AB98" i="46" s="1"/>
  <c r="AB27" i="72"/>
  <c r="AB20" i="46"/>
  <c r="AC20" i="46" s="1"/>
  <c r="K130" i="72"/>
  <c r="K132" i="72"/>
  <c r="I10" i="51"/>
  <c r="I14" i="51"/>
  <c r="I16" i="51"/>
  <c r="Q51" i="51"/>
  <c r="Q53" i="51"/>
  <c r="Q101" i="46" s="1"/>
  <c r="AK133" i="72"/>
  <c r="BD50" i="51"/>
  <c r="BG112" i="46"/>
  <c r="AP97" i="72"/>
  <c r="BI84" i="72"/>
  <c r="BD86" i="72"/>
  <c r="BK74" i="46"/>
  <c r="BK510" i="15"/>
  <c r="BK513" i="15"/>
  <c r="BB331" i="15"/>
  <c r="BC331" i="15" s="1"/>
  <c r="BD331" i="15" s="1"/>
  <c r="BE331" i="15" s="1"/>
  <c r="AU74" i="46"/>
  <c r="AU76" i="46" s="1"/>
  <c r="S550" i="15"/>
  <c r="I470" i="15"/>
  <c r="I74" i="46"/>
  <c r="I76" i="46" s="1"/>
  <c r="CA45" i="71" s="1"/>
  <c r="CA46" i="71" s="1"/>
  <c r="AJ448" i="15"/>
  <c r="AJ429" i="15" s="1"/>
  <c r="AI448" i="15"/>
  <c r="AG169" i="15"/>
  <c r="AG297" i="15"/>
  <c r="AH294" i="15"/>
  <c r="AC177" i="15"/>
  <c r="AC185" i="15"/>
  <c r="AM357" i="15"/>
  <c r="BI496" i="15"/>
  <c r="AW244" i="72"/>
  <c r="AW247" i="72"/>
  <c r="AZ341" i="15"/>
  <c r="AZ328" i="15"/>
  <c r="AZ61" i="15"/>
  <c r="AZ354" i="15"/>
  <c r="AZ69" i="15"/>
  <c r="AZ315" i="15" s="1"/>
  <c r="BG68" i="15"/>
  <c r="BE69" i="15"/>
  <c r="BE315" i="15"/>
  <c r="BE341" i="15"/>
  <c r="BE367" i="15"/>
  <c r="BG59" i="15"/>
  <c r="BE354" i="15"/>
  <c r="BE328" i="15"/>
  <c r="BE61" i="15"/>
  <c r="AZ221" i="15"/>
  <c r="AZ77" i="15"/>
  <c r="AZ408" i="15"/>
  <c r="AZ302" i="15"/>
  <c r="AZ242" i="15"/>
  <c r="AQ388" i="15"/>
  <c r="AR64" i="15"/>
  <c r="AQ302" i="15"/>
  <c r="AQ242" i="15"/>
  <c r="AQ354" i="15"/>
  <c r="AQ328" i="15"/>
  <c r="AQ341" i="15"/>
  <c r="AR59" i="15"/>
  <c r="AQ61" i="15"/>
  <c r="BA77" i="15"/>
  <c r="BA221" i="15"/>
  <c r="AM25" i="51"/>
  <c r="AM29" i="51"/>
  <c r="AM21" i="51"/>
  <c r="AM24" i="71" s="1"/>
  <c r="AO230" i="15"/>
  <c r="BK222" i="15"/>
  <c r="BL222" i="15" s="1"/>
  <c r="P21" i="51"/>
  <c r="P25" i="51"/>
  <c r="P29" i="51" s="1"/>
  <c r="BC516" i="15"/>
  <c r="BB87" i="59"/>
  <c r="BN174" i="72"/>
  <c r="AV10" i="51"/>
  <c r="AV14" i="51"/>
  <c r="AV16" i="51" s="1"/>
  <c r="AT133" i="72"/>
  <c r="AX201" i="72"/>
  <c r="AP43" i="72"/>
  <c r="AP38" i="72"/>
  <c r="AP44" i="72" s="1"/>
  <c r="AV99" i="46"/>
  <c r="AW99" i="46" s="1"/>
  <c r="AV64" i="51"/>
  <c r="AK173" i="72"/>
  <c r="AL200" i="72"/>
  <c r="AK206" i="72"/>
  <c r="AK60" i="51"/>
  <c r="AF197" i="72"/>
  <c r="AG197" i="72" s="1"/>
  <c r="BI255" i="72"/>
  <c r="BI112" i="46"/>
  <c r="P130" i="72"/>
  <c r="P132" i="72"/>
  <c r="AH278" i="15"/>
  <c r="AG281" i="15"/>
  <c r="AG179" i="15"/>
  <c r="AG187" i="15"/>
  <c r="BK123" i="72"/>
  <c r="BF124" i="72"/>
  <c r="AQ109" i="15"/>
  <c r="AP112" i="15"/>
  <c r="AP329" i="15" s="1"/>
  <c r="AP110" i="15"/>
  <c r="AP355" i="15" s="1"/>
  <c r="AP111" i="15"/>
  <c r="AP389" i="15" s="1"/>
  <c r="AR447" i="15"/>
  <c r="AI291" i="15"/>
  <c r="AH177" i="15"/>
  <c r="S76" i="46"/>
  <c r="CK45" i="71" s="1"/>
  <c r="CK46" i="71" s="1"/>
  <c r="BJ496" i="15"/>
  <c r="AQ221" i="15"/>
  <c r="AQ77" i="15"/>
  <c r="AR75" i="15"/>
  <c r="AO334" i="15"/>
  <c r="U11" i="59"/>
  <c r="BA64" i="51"/>
  <c r="BA99" i="46"/>
  <c r="AV513" i="15"/>
  <c r="AV480" i="15"/>
  <c r="AV74" i="46"/>
  <c r="AV55" i="51"/>
  <c r="AW55" i="51"/>
  <c r="AU490" i="15"/>
  <c r="AU521" i="15"/>
  <c r="AU523" i="15"/>
  <c r="AU60" i="51"/>
  <c r="BA113" i="46"/>
  <c r="BA51" i="51"/>
  <c r="AZ99" i="46"/>
  <c r="BB99" i="46"/>
  <c r="AZ64" i="51"/>
  <c r="AV515" i="15"/>
  <c r="AW506" i="15"/>
  <c r="AF64" i="51"/>
  <c r="AF99" i="46"/>
  <c r="AG519" i="15"/>
  <c r="AH519" i="15" s="1"/>
  <c r="AF521" i="15"/>
  <c r="AF523" i="15" s="1"/>
  <c r="AV194" i="72"/>
  <c r="AP173" i="72"/>
  <c r="AP206" i="72"/>
  <c r="AP60" i="51"/>
  <c r="AX167" i="46"/>
  <c r="AY167" i="46" s="1"/>
  <c r="AZ167" i="46" s="1"/>
  <c r="BA167" i="46" s="1"/>
  <c r="BB167" i="46" s="1"/>
  <c r="BC167" i="46" s="1"/>
  <c r="BD167" i="46" s="1"/>
  <c r="BE167" i="46" s="1"/>
  <c r="BF167" i="46" s="1"/>
  <c r="BG167" i="46" s="1"/>
  <c r="BH167" i="46" s="1"/>
  <c r="BI167" i="46" s="1"/>
  <c r="AX50" i="51"/>
  <c r="BA197" i="72"/>
  <c r="BA57" i="51" s="1"/>
  <c r="AG150" i="72"/>
  <c r="AH156" i="72"/>
  <c r="AP98" i="46"/>
  <c r="AP64" i="51"/>
  <c r="BK197" i="72"/>
  <c r="AF198" i="72"/>
  <c r="AF168" i="72"/>
  <c r="AG196" i="72"/>
  <c r="AK193" i="72"/>
  <c r="AJ194" i="72"/>
  <c r="AV254" i="72"/>
  <c r="N150" i="72"/>
  <c r="S158" i="72"/>
  <c r="M148" i="72"/>
  <c r="AG192" i="72"/>
  <c r="AJ52" i="51"/>
  <c r="AG193" i="72"/>
  <c r="AG52" i="51"/>
  <c r="AH52" i="51"/>
  <c r="AQ200" i="72"/>
  <c r="F132" i="72"/>
  <c r="F130" i="72"/>
  <c r="W174" i="72"/>
  <c r="W61" i="51"/>
  <c r="AL193" i="72"/>
  <c r="AL52" i="51" s="1"/>
  <c r="AM52" i="51" s="1"/>
  <c r="M129" i="72"/>
  <c r="M130" i="72"/>
  <c r="N13" i="72"/>
  <c r="M9" i="51"/>
  <c r="AF94" i="72"/>
  <c r="AF96" i="72"/>
  <c r="AE14" i="51"/>
  <c r="AE16" i="51"/>
  <c r="AE10" i="51"/>
  <c r="BG57" i="72"/>
  <c r="I130" i="72"/>
  <c r="I132" i="72"/>
  <c r="R20" i="46"/>
  <c r="R27" i="72"/>
  <c r="W97" i="72"/>
  <c r="AW20" i="46"/>
  <c r="AH10" i="51"/>
  <c r="AH14" i="51"/>
  <c r="AH16" i="51"/>
  <c r="AH20" i="51"/>
  <c r="BH84" i="72"/>
  <c r="BC86" i="72"/>
  <c r="BC93" i="72"/>
  <c r="AC143" i="72"/>
  <c r="AC63" i="72"/>
  <c r="AH143" i="72"/>
  <c r="AH63" i="72" s="1"/>
  <c r="F28" i="72"/>
  <c r="F32" i="72"/>
  <c r="J235" i="72"/>
  <c r="BL113" i="46"/>
  <c r="S49" i="51"/>
  <c r="AC521" i="15"/>
  <c r="AC523" i="15"/>
  <c r="AS278" i="15"/>
  <c r="BH139" i="15"/>
  <c r="BI139" i="15" s="1"/>
  <c r="BJ139" i="15" s="1"/>
  <c r="BK139" i="15" s="1"/>
  <c r="AI450" i="15"/>
  <c r="AI451" i="15" s="1"/>
  <c r="W25" i="15"/>
  <c r="W21" i="15"/>
  <c r="AM243" i="15"/>
  <c r="AC41" i="15"/>
  <c r="AC68" i="46" s="1"/>
  <c r="AZ387" i="15"/>
  <c r="AZ65" i="15"/>
  <c r="BK496" i="15"/>
  <c r="CT112" i="59"/>
  <c r="BE368" i="15"/>
  <c r="BG60" i="15"/>
  <c r="BG368" i="15" s="1"/>
  <c r="BE407" i="15"/>
  <c r="BE210" i="15"/>
  <c r="BE274" i="15"/>
  <c r="BE241" i="15"/>
  <c r="BE73" i="15"/>
  <c r="BE301" i="15"/>
  <c r="BE261" i="15"/>
  <c r="BG71" i="15"/>
  <c r="BE387" i="15"/>
  <c r="BG63" i="15"/>
  <c r="BE65" i="15"/>
  <c r="BG64" i="15"/>
  <c r="AQ69" i="15"/>
  <c r="AQ315" i="15" s="1"/>
  <c r="AR67" i="15"/>
  <c r="AR69" i="15" s="1"/>
  <c r="AR315" i="15" s="1"/>
  <c r="AR24" i="73"/>
  <c r="AR262" i="15"/>
  <c r="BA302" i="15"/>
  <c r="BA242" i="15"/>
  <c r="BA250" i="15" s="1"/>
  <c r="BA251" i="15" s="1"/>
  <c r="BA408" i="15"/>
  <c r="BA73" i="15"/>
  <c r="BA210" i="15"/>
  <c r="BA241" i="15"/>
  <c r="BA261" i="15"/>
  <c r="BA274" i="15"/>
  <c r="BA407" i="15"/>
  <c r="BA301" i="15"/>
  <c r="AX155" i="46"/>
  <c r="AY155" i="46"/>
  <c r="AZ155" i="46" s="1"/>
  <c r="BA155" i="46" s="1"/>
  <c r="BB155" i="46" s="1"/>
  <c r="BC155" i="46" s="1"/>
  <c r="BD155" i="46" s="1"/>
  <c r="BE155" i="46" s="1"/>
  <c r="BF155" i="46" s="1"/>
  <c r="BG155" i="46" s="1"/>
  <c r="BH155" i="46" s="1"/>
  <c r="BI155" i="46" s="1"/>
  <c r="BJ155" i="46" s="1"/>
  <c r="BK155" i="46" s="1"/>
  <c r="BL155" i="46" s="1"/>
  <c r="BM155" i="46" s="1"/>
  <c r="BN155" i="46" s="1"/>
  <c r="BK69" i="15"/>
  <c r="BK315" i="15"/>
  <c r="BC87" i="59"/>
  <c r="BO174" i="72"/>
  <c r="BO201" i="72"/>
  <c r="AU156" i="72"/>
  <c r="AU158" i="72" s="1"/>
  <c r="AU254" i="72"/>
  <c r="AZ57" i="72"/>
  <c r="Z11" i="59"/>
  <c r="AW93" i="72"/>
  <c r="AW9" i="51"/>
  <c r="AV48" i="51"/>
  <c r="BE20" i="72"/>
  <c r="BE16" i="46"/>
  <c r="BJ142" i="72"/>
  <c r="BD123" i="72"/>
  <c r="BE123" i="72"/>
  <c r="AY124" i="72"/>
  <c r="CU79" i="59"/>
  <c r="E25" i="51"/>
  <c r="E29" i="51" s="1"/>
  <c r="E21" i="51"/>
  <c r="AD23" i="46"/>
  <c r="AG32" i="46"/>
  <c r="AK206" i="46"/>
  <c r="AG28" i="46"/>
  <c r="BK76" i="46"/>
  <c r="L192" i="46"/>
  <c r="L198" i="46"/>
  <c r="L201" i="46"/>
  <c r="L195" i="46"/>
  <c r="AD25" i="51"/>
  <c r="AD29" i="51" s="1"/>
  <c r="AD21" i="51"/>
  <c r="X49" i="46"/>
  <c r="X213" i="46"/>
  <c r="X21" i="51"/>
  <c r="X24" i="71"/>
  <c r="X25" i="51"/>
  <c r="X29" i="51"/>
  <c r="V49" i="46"/>
  <c r="AY194" i="46"/>
  <c r="AZ174" i="46"/>
  <c r="L21" i="51"/>
  <c r="L25" i="51"/>
  <c r="L29" i="51"/>
  <c r="K25" i="51"/>
  <c r="K29" i="51"/>
  <c r="K21" i="51"/>
  <c r="V21" i="51"/>
  <c r="V25" i="51"/>
  <c r="V29" i="51"/>
  <c r="AQ21" i="51"/>
  <c r="AQ25" i="51"/>
  <c r="AQ29" i="51" s="1"/>
  <c r="AD49" i="46"/>
  <c r="AD50" i="46"/>
  <c r="AW67" i="73"/>
  <c r="DD85" i="73"/>
  <c r="DE84" i="73"/>
  <c r="AR67" i="73"/>
  <c r="AM65" i="73"/>
  <c r="DB85" i="73"/>
  <c r="BB18" i="73"/>
  <c r="BG73" i="73"/>
  <c r="BO65" i="15"/>
  <c r="BO387" i="15"/>
  <c r="BN387" i="15"/>
  <c r="BN65" i="15"/>
  <c r="BM368" i="15"/>
  <c r="BO341" i="15"/>
  <c r="BO328" i="15"/>
  <c r="BO354" i="15"/>
  <c r="BO367" i="15"/>
  <c r="BN367" i="15"/>
  <c r="BN61" i="15"/>
  <c r="BN354" i="15"/>
  <c r="BN328" i="15"/>
  <c r="BN341" i="15"/>
  <c r="BM388" i="15"/>
  <c r="BQ64" i="15"/>
  <c r="BM61" i="15"/>
  <c r="BM354" i="15"/>
  <c r="BM341" i="15"/>
  <c r="BM367" i="15"/>
  <c r="BM328" i="15"/>
  <c r="BQ59" i="15"/>
  <c r="BP367" i="15"/>
  <c r="BP354" i="15"/>
  <c r="BP341" i="15"/>
  <c r="BP328" i="15"/>
  <c r="BP61" i="15"/>
  <c r="BP387" i="15"/>
  <c r="BP65" i="15"/>
  <c r="BM387" i="15"/>
  <c r="BQ63" i="15"/>
  <c r="BM65" i="15"/>
  <c r="AX456" i="15"/>
  <c r="BB456" i="15" s="1"/>
  <c r="BD456" i="15"/>
  <c r="BI456" i="15" s="1"/>
  <c r="BN456" i="15" s="1"/>
  <c r="BO456" i="15"/>
  <c r="CA81" i="59"/>
  <c r="BV85" i="59"/>
  <c r="BV87" i="59"/>
  <c r="BK98" i="46"/>
  <c r="BL98" i="46"/>
  <c r="AW11" i="59"/>
  <c r="BQ11" i="59"/>
  <c r="BQ12" i="59" s="1"/>
  <c r="BQ36" i="59"/>
  <c r="CA31" i="59"/>
  <c r="BV34" i="59"/>
  <c r="BG54" i="46"/>
  <c r="BF55" i="46"/>
  <c r="BK55" i="46"/>
  <c r="BQ54" i="46"/>
  <c r="BP55" i="46"/>
  <c r="BP495" i="15"/>
  <c r="BF69" i="15"/>
  <c r="BF315" i="15"/>
  <c r="Y354" i="15"/>
  <c r="Y362" i="15"/>
  <c r="Y364" i="15" s="1"/>
  <c r="Y132" i="15" s="1"/>
  <c r="Y341" i="15"/>
  <c r="Y349" i="15"/>
  <c r="Y351" i="15" s="1"/>
  <c r="Y130" i="15" s="1"/>
  <c r="Y328" i="15"/>
  <c r="Y61" i="15"/>
  <c r="AE227" i="15"/>
  <c r="AE228" i="15" s="1"/>
  <c r="AT274" i="15"/>
  <c r="AT210" i="15"/>
  <c r="AT73" i="15"/>
  <c r="AT241" i="15"/>
  <c r="AT261" i="15"/>
  <c r="AT301" i="15"/>
  <c r="AV50" i="15"/>
  <c r="AU68" i="15"/>
  <c r="AU60" i="15"/>
  <c r="AU71" i="15"/>
  <c r="AU75" i="15"/>
  <c r="AU221" i="15" s="1"/>
  <c r="AU227" i="15" s="1"/>
  <c r="AU76" i="15"/>
  <c r="AU72" i="15"/>
  <c r="AU64" i="15"/>
  <c r="AU388" i="15"/>
  <c r="AU59" i="15"/>
  <c r="AU67" i="15"/>
  <c r="AU69" i="15" s="1"/>
  <c r="AU315" i="15" s="1"/>
  <c r="AU63" i="15"/>
  <c r="AT328" i="15"/>
  <c r="AT61" i="15"/>
  <c r="AT354" i="15"/>
  <c r="AT341" i="15"/>
  <c r="AB49" i="15"/>
  <c r="AB46" i="15"/>
  <c r="AA46" i="15"/>
  <c r="AF77" i="15"/>
  <c r="AF221" i="15"/>
  <c r="AI387" i="15"/>
  <c r="AI65" i="15"/>
  <c r="AP227" i="15"/>
  <c r="AP228" i="15"/>
  <c r="AK46" i="15"/>
  <c r="AL49" i="15"/>
  <c r="AL46" i="15"/>
  <c r="AF242" i="15"/>
  <c r="AF250" i="15" s="1"/>
  <c r="AF251" i="15" s="1"/>
  <c r="AF302" i="15"/>
  <c r="AF310" i="15"/>
  <c r="AF241" i="15"/>
  <c r="AF261" i="15"/>
  <c r="AF73" i="15"/>
  <c r="AF210" i="15"/>
  <c r="AF274" i="15"/>
  <c r="AF283" i="15"/>
  <c r="AF285" i="15"/>
  <c r="AF126" i="15" s="1"/>
  <c r="AF301" i="15"/>
  <c r="AF309" i="15"/>
  <c r="AS230" i="15"/>
  <c r="AS231" i="15" s="1"/>
  <c r="AT387" i="15"/>
  <c r="AT65" i="15"/>
  <c r="AT388" i="15"/>
  <c r="AP288" i="15"/>
  <c r="AP209" i="15"/>
  <c r="AI328" i="15"/>
  <c r="AI341" i="15"/>
  <c r="AI61" i="15"/>
  <c r="AI354" i="15"/>
  <c r="AI362" i="15"/>
  <c r="AI364" i="15"/>
  <c r="AI132" i="15" s="1"/>
  <c r="AI241" i="15"/>
  <c r="AI274" i="15"/>
  <c r="AI261" i="15"/>
  <c r="AI73" i="15"/>
  <c r="AI210" i="15"/>
  <c r="AI301" i="15"/>
  <c r="AE328" i="15"/>
  <c r="AE333" i="15"/>
  <c r="AE334" i="15" s="1"/>
  <c r="AE341" i="15"/>
  <c r="AE349" i="15" s="1"/>
  <c r="AE61" i="15"/>
  <c r="AE354" i="15"/>
  <c r="AE362" i="15"/>
  <c r="AE387" i="15"/>
  <c r="AE393" i="15"/>
  <c r="AE394" i="15" s="1"/>
  <c r="AE65" i="15"/>
  <c r="Y221" i="15"/>
  <c r="AT242" i="15"/>
  <c r="AT250" i="15" s="1"/>
  <c r="AT302" i="15"/>
  <c r="AP266" i="15"/>
  <c r="AI77" i="15"/>
  <c r="AI221" i="15"/>
  <c r="AS209" i="15"/>
  <c r="AS288" i="15"/>
  <c r="AS266" i="15"/>
  <c r="AF387" i="15"/>
  <c r="AF65" i="15"/>
  <c r="AE241" i="15"/>
  <c r="AE261" i="15"/>
  <c r="AE301" i="15"/>
  <c r="AE309" i="15" s="1"/>
  <c r="AE73" i="15"/>
  <c r="AE210" i="15"/>
  <c r="AE274" i="15"/>
  <c r="AE283" i="15" s="1"/>
  <c r="AE285" i="15" s="1"/>
  <c r="AE126" i="15" s="1"/>
  <c r="AS250" i="15"/>
  <c r="Y69" i="15"/>
  <c r="Y315" i="15" s="1"/>
  <c r="Y323" i="15" s="1"/>
  <c r="AF341" i="15"/>
  <c r="AF349" i="15" s="1"/>
  <c r="AF354" i="15"/>
  <c r="AF362" i="15" s="1"/>
  <c r="AF364" i="15" s="1"/>
  <c r="AF132" i="15" s="1"/>
  <c r="AF328" i="15"/>
  <c r="AF333" i="15" s="1"/>
  <c r="AF61" i="15"/>
  <c r="AE77" i="15"/>
  <c r="AT221" i="15"/>
  <c r="AT227" i="15"/>
  <c r="AT77" i="15"/>
  <c r="Z76" i="15"/>
  <c r="Z262" i="15"/>
  <c r="Z223" i="15"/>
  <c r="Z389" i="15"/>
  <c r="Z63" i="15"/>
  <c r="Z71" i="15"/>
  <c r="Z67" i="15"/>
  <c r="Z72" i="15"/>
  <c r="Z68" i="15"/>
  <c r="Z59" i="15"/>
  <c r="Z60" i="15"/>
  <c r="Z64" i="15"/>
  <c r="Z388" i="15"/>
  <c r="Z329" i="15"/>
  <c r="Z75" i="15"/>
  <c r="AI302" i="15"/>
  <c r="AI242" i="15"/>
  <c r="AI250" i="15"/>
  <c r="AJ329" i="15"/>
  <c r="AJ223" i="15"/>
  <c r="AJ68" i="15"/>
  <c r="AJ63" i="15"/>
  <c r="AJ71" i="15"/>
  <c r="AJ389" i="15"/>
  <c r="AJ60" i="15"/>
  <c r="AJ75" i="15"/>
  <c r="AJ67" i="15"/>
  <c r="AJ76" i="15"/>
  <c r="AJ222" i="15" s="1"/>
  <c r="AJ230" i="15" s="1"/>
  <c r="AJ231" i="15" s="1"/>
  <c r="AJ64" i="15"/>
  <c r="AJ388" i="15" s="1"/>
  <c r="AJ396" i="15" s="1"/>
  <c r="AJ397" i="15" s="1"/>
  <c r="AJ72" i="15"/>
  <c r="AJ59" i="15"/>
  <c r="AJ262" i="15"/>
  <c r="AS227" i="15"/>
  <c r="BG67" i="15"/>
  <c r="CU29" i="59"/>
  <c r="AD288" i="15"/>
  <c r="AD296" i="15"/>
  <c r="AD209" i="15"/>
  <c r="BB491" i="15"/>
  <c r="AY521" i="15"/>
  <c r="AY42" i="51"/>
  <c r="AY102" i="46" s="1"/>
  <c r="AM11" i="59"/>
  <c r="AY82" i="46" s="1"/>
  <c r="AY122" i="46" s="1"/>
  <c r="AD334" i="15"/>
  <c r="AD311" i="15"/>
  <c r="AD128" i="15"/>
  <c r="BB516" i="15"/>
  <c r="Y266" i="15"/>
  <c r="AE250" i="15"/>
  <c r="BG76" i="15"/>
  <c r="CH36" i="59"/>
  <c r="CU18" i="59"/>
  <c r="AD266" i="15"/>
  <c r="AD393" i="15"/>
  <c r="AE363" i="15"/>
  <c r="CK46" i="59"/>
  <c r="CF75" i="59"/>
  <c r="Y393" i="15"/>
  <c r="Y394" i="15" s="1"/>
  <c r="AD227" i="15"/>
  <c r="AM36" i="59"/>
  <c r="AA324" i="15"/>
  <c r="Y311" i="15"/>
  <c r="Y128" i="15" s="1"/>
  <c r="AW96" i="72"/>
  <c r="AW97" i="72"/>
  <c r="AW94" i="72"/>
  <c r="W484" i="15"/>
  <c r="W29" i="15"/>
  <c r="W33" i="15" s="1"/>
  <c r="BC12" i="72"/>
  <c r="R28" i="72"/>
  <c r="R32" i="72"/>
  <c r="BG37" i="73"/>
  <c r="BG90" i="72"/>
  <c r="AK52" i="51"/>
  <c r="AK53" i="51"/>
  <c r="AK194" i="72"/>
  <c r="BK57" i="51"/>
  <c r="BL57" i="51" s="1"/>
  <c r="BB64" i="51"/>
  <c r="AU42" i="51"/>
  <c r="AU102" i="46" s="1"/>
  <c r="AU67" i="51"/>
  <c r="AI278" i="15"/>
  <c r="AH179" i="15"/>
  <c r="AH187" i="15"/>
  <c r="BI50" i="51"/>
  <c r="BN201" i="72"/>
  <c r="BQ174" i="72"/>
  <c r="BA227" i="15"/>
  <c r="AZ227" i="15"/>
  <c r="BG367" i="15"/>
  <c r="BG341" i="15"/>
  <c r="BG354" i="15"/>
  <c r="BG328" i="15"/>
  <c r="BG61" i="15"/>
  <c r="AK97" i="72"/>
  <c r="AD235" i="72"/>
  <c r="AB235" i="72"/>
  <c r="AB32" i="72"/>
  <c r="AB28" i="72"/>
  <c r="AK447" i="15"/>
  <c r="AK445" i="15"/>
  <c r="AL431" i="15"/>
  <c r="M132" i="72"/>
  <c r="M133" i="72" s="1"/>
  <c r="AZ513" i="15"/>
  <c r="BB57" i="72"/>
  <c r="AR210" i="15"/>
  <c r="AR261" i="15"/>
  <c r="AR274" i="15"/>
  <c r="AR283" i="15" s="1"/>
  <c r="AR301" i="15"/>
  <c r="AQ288" i="15"/>
  <c r="AQ209" i="15"/>
  <c r="BF77" i="15"/>
  <c r="BF221" i="15"/>
  <c r="BF242" i="15"/>
  <c r="BF302" i="15"/>
  <c r="BF408" i="15"/>
  <c r="BG408" i="15" s="1"/>
  <c r="AL194" i="72"/>
  <c r="H32" i="72"/>
  <c r="H28" i="72"/>
  <c r="L236" i="72"/>
  <c r="L235" i="72"/>
  <c r="CZ50" i="71"/>
  <c r="AF206" i="72"/>
  <c r="AF62" i="51"/>
  <c r="AF67" i="51" s="1"/>
  <c r="BM14" i="51"/>
  <c r="BQ9" i="51"/>
  <c r="O36" i="51"/>
  <c r="O31" i="51"/>
  <c r="O37" i="51"/>
  <c r="O70" i="46" s="1"/>
  <c r="AG65" i="72"/>
  <c r="AG36" i="72"/>
  <c r="R130" i="72"/>
  <c r="R132" i="72"/>
  <c r="AC63" i="51"/>
  <c r="U58" i="51"/>
  <c r="BE98" i="46"/>
  <c r="BE64" i="51"/>
  <c r="CZ79" i="59"/>
  <c r="BI123" i="72"/>
  <c r="BD124" i="72"/>
  <c r="BO142" i="72"/>
  <c r="BO20" i="72"/>
  <c r="BO16" i="46" s="1"/>
  <c r="BJ20" i="72"/>
  <c r="BJ16" i="46" s="1"/>
  <c r="BA209" i="15"/>
  <c r="BA288" i="15"/>
  <c r="BG65" i="15"/>
  <c r="X61" i="51"/>
  <c r="W43" i="51"/>
  <c r="W102" i="46" s="1"/>
  <c r="AQ173" i="72"/>
  <c r="AQ60" i="51"/>
  <c r="AR60" i="51" s="1"/>
  <c r="AJ53" i="51"/>
  <c r="AG168" i="72"/>
  <c r="AG55" i="51"/>
  <c r="AP42" i="51"/>
  <c r="AP102" i="46"/>
  <c r="O158" i="72"/>
  <c r="AS109" i="15"/>
  <c r="AQ112" i="15"/>
  <c r="AQ329" i="15" s="1"/>
  <c r="AQ110" i="15"/>
  <c r="AQ355" i="15"/>
  <c r="AQ111" i="15"/>
  <c r="AQ389" i="15"/>
  <c r="AQ396" i="15" s="1"/>
  <c r="AR109" i="15"/>
  <c r="BP123" i="72"/>
  <c r="BK124" i="72"/>
  <c r="P133" i="72"/>
  <c r="U133" i="72"/>
  <c r="AK42" i="51"/>
  <c r="AK102" i="46" s="1"/>
  <c r="AK67" i="51"/>
  <c r="AO231" i="15"/>
  <c r="AM36" i="51"/>
  <c r="K133" i="72"/>
  <c r="AW64" i="51"/>
  <c r="R51" i="51"/>
  <c r="AC195" i="15"/>
  <c r="AC179" i="15"/>
  <c r="AV43" i="51"/>
  <c r="AW61" i="51"/>
  <c r="AW43" i="51" s="1"/>
  <c r="F31" i="51"/>
  <c r="F37" i="51" s="1"/>
  <c r="F70" i="46" s="1"/>
  <c r="F36" i="51"/>
  <c r="AR65" i="15"/>
  <c r="BG77" i="15"/>
  <c r="BF387" i="15"/>
  <c r="BG387" i="15" s="1"/>
  <c r="BF65" i="15"/>
  <c r="BF354" i="15"/>
  <c r="BF341" i="15"/>
  <c r="BF367" i="15"/>
  <c r="BF328" i="15"/>
  <c r="BF61" i="15"/>
  <c r="W158" i="72"/>
  <c r="W149" i="72"/>
  <c r="W150" i="72" s="1"/>
  <c r="K236" i="72"/>
  <c r="H236" i="72"/>
  <c r="W51" i="51"/>
  <c r="AP198" i="72"/>
  <c r="AP208" i="72" s="1"/>
  <c r="AP57" i="51"/>
  <c r="AP58" i="51" s="1"/>
  <c r="O101" i="46"/>
  <c r="O69" i="51"/>
  <c r="CG39" i="71"/>
  <c r="CG40" i="71" s="1"/>
  <c r="G64" i="51"/>
  <c r="G99" i="46"/>
  <c r="AA36" i="51"/>
  <c r="AA31" i="51"/>
  <c r="AA37" i="51"/>
  <c r="AA70" i="46" s="1"/>
  <c r="V97" i="72"/>
  <c r="S129" i="72"/>
  <c r="S9" i="51"/>
  <c r="BA266" i="15"/>
  <c r="BE288" i="15"/>
  <c r="BE209" i="15"/>
  <c r="AS281" i="15"/>
  <c r="AT278" i="15"/>
  <c r="F36" i="72"/>
  <c r="F65" i="72"/>
  <c r="BM84" i="72"/>
  <c r="BH86" i="72"/>
  <c r="BH93" i="72"/>
  <c r="M14" i="51"/>
  <c r="M16" i="51" s="1"/>
  <c r="M10" i="51"/>
  <c r="AG194" i="72"/>
  <c r="AF253" i="72"/>
  <c r="AF75" i="46"/>
  <c r="AF76" i="46"/>
  <c r="AI294" i="15"/>
  <c r="AI177" i="15"/>
  <c r="AJ291" i="15"/>
  <c r="AR341" i="15"/>
  <c r="AR354" i="15"/>
  <c r="AR328" i="15"/>
  <c r="AR388" i="15"/>
  <c r="S561" i="15"/>
  <c r="S558" i="15"/>
  <c r="T133" i="72"/>
  <c r="Q523" i="15"/>
  <c r="CI39" i="71"/>
  <c r="CI40" i="71" s="1"/>
  <c r="AT225" i="15"/>
  <c r="AS228" i="15"/>
  <c r="AB64" i="51"/>
  <c r="BK209" i="15"/>
  <c r="BK288" i="15"/>
  <c r="AR387" i="15"/>
  <c r="AQ266" i="15"/>
  <c r="BG221" i="15"/>
  <c r="BF210" i="15"/>
  <c r="BF407" i="15"/>
  <c r="BG407" i="15"/>
  <c r="BF261" i="15"/>
  <c r="BF274" i="15"/>
  <c r="BF241" i="15"/>
  <c r="BG241" i="15"/>
  <c r="BF73" i="15"/>
  <c r="BF301" i="15"/>
  <c r="AZ209" i="15"/>
  <c r="AZ288" i="15"/>
  <c r="BP513" i="15"/>
  <c r="BQ510" i="15"/>
  <c r="BQ513" i="15"/>
  <c r="BL510" i="15"/>
  <c r="BL513" i="15" s="1"/>
  <c r="G65" i="72"/>
  <c r="G36" i="72"/>
  <c r="AT65" i="72"/>
  <c r="AT36" i="72"/>
  <c r="Z97" i="72"/>
  <c r="AE97" i="72"/>
  <c r="CN38" i="71"/>
  <c r="BD52" i="51"/>
  <c r="BG52" i="51"/>
  <c r="BG114" i="46"/>
  <c r="AQ197" i="72"/>
  <c r="BL14" i="51"/>
  <c r="H519" i="15"/>
  <c r="I519" i="15"/>
  <c r="AV25" i="15"/>
  <c r="AV21" i="15"/>
  <c r="AM194" i="15"/>
  <c r="AN391" i="15"/>
  <c r="AM178" i="15"/>
  <c r="AZ245" i="15"/>
  <c r="AY248" i="15"/>
  <c r="AY253" i="15"/>
  <c r="V198" i="72"/>
  <c r="V208" i="72"/>
  <c r="V57" i="51"/>
  <c r="V58" i="51" s="1"/>
  <c r="AE248" i="15"/>
  <c r="AF245" i="15"/>
  <c r="AE181" i="15"/>
  <c r="AE182" i="15" s="1"/>
  <c r="AE186" i="15"/>
  <c r="AE188" i="15"/>
  <c r="AE459" i="15" s="1"/>
  <c r="AE251" i="15"/>
  <c r="AE193" i="15"/>
  <c r="AE191" i="15"/>
  <c r="BE124" i="72"/>
  <c r="BJ123" i="72"/>
  <c r="AW48" i="51"/>
  <c r="AW10" i="51"/>
  <c r="AW14" i="51"/>
  <c r="AW16" i="51" s="1"/>
  <c r="AW20" i="51" s="1"/>
  <c r="BG210" i="15"/>
  <c r="BG274" i="15"/>
  <c r="BG261" i="15"/>
  <c r="BG73" i="15"/>
  <c r="BG301" i="15"/>
  <c r="J236" i="72"/>
  <c r="AH21" i="51"/>
  <c r="AH24" i="71" s="1"/>
  <c r="AH25" i="51"/>
  <c r="AH29" i="51"/>
  <c r="AE20" i="51"/>
  <c r="AE21" i="46"/>
  <c r="N129" i="72"/>
  <c r="N9" i="51"/>
  <c r="N156" i="72"/>
  <c r="M150" i="72"/>
  <c r="AH155" i="72"/>
  <c r="AG99" i="46"/>
  <c r="AG521" i="15"/>
  <c r="AG523" i="15"/>
  <c r="AG64" i="51"/>
  <c r="AH64" i="51" s="1"/>
  <c r="AV521" i="15"/>
  <c r="AV523" i="15"/>
  <c r="AV490" i="15"/>
  <c r="AW490" i="15" s="1"/>
  <c r="AV60" i="51"/>
  <c r="AW60" i="51"/>
  <c r="AW515" i="15"/>
  <c r="AO336" i="15"/>
  <c r="AQ227" i="15"/>
  <c r="AR221" i="15"/>
  <c r="AH281" i="15"/>
  <c r="AG284" i="15"/>
  <c r="AL206" i="72"/>
  <c r="AL173" i="72"/>
  <c r="AL60" i="51"/>
  <c r="AQ250" i="15"/>
  <c r="AZ250" i="15"/>
  <c r="BG69" i="15"/>
  <c r="BG315" i="15"/>
  <c r="AN357" i="15"/>
  <c r="AH297" i="15"/>
  <c r="AH169" i="15"/>
  <c r="AH293" i="15"/>
  <c r="AW480" i="15"/>
  <c r="AO337" i="15"/>
  <c r="BI86" i="72"/>
  <c r="BN84" i="72"/>
  <c r="BI93" i="72"/>
  <c r="BI12" i="72" s="1"/>
  <c r="I20" i="51"/>
  <c r="I21" i="46"/>
  <c r="I23" i="46" s="1"/>
  <c r="AF208" i="72"/>
  <c r="AV75" i="46"/>
  <c r="AV76" i="46"/>
  <c r="AV253" i="72"/>
  <c r="AW98" i="46"/>
  <c r="AL64" i="51"/>
  <c r="AM64" i="51" s="1"/>
  <c r="AM67" i="51" s="1"/>
  <c r="AL99" i="46"/>
  <c r="AL521" i="15"/>
  <c r="BA510" i="15"/>
  <c r="BA513" i="15" s="1"/>
  <c r="BA74" i="46"/>
  <c r="AX123" i="46"/>
  <c r="AZ230" i="15"/>
  <c r="AC347" i="15"/>
  <c r="AC350" i="15" s="1"/>
  <c r="AB350" i="15"/>
  <c r="AJ450" i="15"/>
  <c r="AJ451" i="15" s="1"/>
  <c r="BI82" i="46"/>
  <c r="BI122" i="46" s="1"/>
  <c r="BF130" i="72"/>
  <c r="BA129" i="72"/>
  <c r="J36" i="51"/>
  <c r="J31" i="51"/>
  <c r="J37" i="51"/>
  <c r="J70" i="46" s="1"/>
  <c r="J71" i="46" s="1"/>
  <c r="AR241" i="15"/>
  <c r="AZ266" i="15"/>
  <c r="AJ344" i="15"/>
  <c r="AI195" i="15"/>
  <c r="AI347" i="15"/>
  <c r="X209" i="72"/>
  <c r="X211" i="72" s="1"/>
  <c r="T209" i="72"/>
  <c r="T211" i="72" s="1"/>
  <c r="U209" i="72" s="1"/>
  <c r="E65" i="72"/>
  <c r="E36" i="72"/>
  <c r="BF57" i="51"/>
  <c r="BF198" i="72"/>
  <c r="AG62" i="51"/>
  <c r="F67" i="51"/>
  <c r="BP192" i="72"/>
  <c r="BP113" i="46" s="1"/>
  <c r="BP51" i="51" s="1"/>
  <c r="R14" i="51"/>
  <c r="R16" i="51"/>
  <c r="R10" i="51"/>
  <c r="W198" i="72"/>
  <c r="W57" i="51"/>
  <c r="W58" i="51" s="1"/>
  <c r="AD152" i="15"/>
  <c r="AD196" i="15"/>
  <c r="AD153" i="15"/>
  <c r="AD136" i="15"/>
  <c r="K36" i="51"/>
  <c r="K31" i="51"/>
  <c r="K37" i="51" s="1"/>
  <c r="K70" i="46" s="1"/>
  <c r="K71" i="46" s="1"/>
  <c r="V36" i="51"/>
  <c r="V31" i="51"/>
  <c r="V37" i="51" s="1"/>
  <c r="V70" i="46" s="1"/>
  <c r="L36" i="51"/>
  <c r="L31" i="51"/>
  <c r="L37" i="51" s="1"/>
  <c r="L70" i="46" s="1"/>
  <c r="AZ194" i="46"/>
  <c r="BA174" i="46"/>
  <c r="X36" i="51"/>
  <c r="X31" i="51"/>
  <c r="X224" i="46"/>
  <c r="CP27" i="71"/>
  <c r="X221" i="46"/>
  <c r="CP24" i="71" s="1"/>
  <c r="AG94" i="46"/>
  <c r="AG36" i="46"/>
  <c r="AG40" i="46" s="1"/>
  <c r="X13" i="71"/>
  <c r="X58" i="46"/>
  <c r="AC50" i="46"/>
  <c r="DE85" i="73"/>
  <c r="DD86" i="73"/>
  <c r="AW18" i="73"/>
  <c r="BB73" i="73"/>
  <c r="DB86" i="73"/>
  <c r="AM67" i="73"/>
  <c r="AH65" i="73"/>
  <c r="AH67" i="73" s="1"/>
  <c r="BQ65" i="15"/>
  <c r="BQ387" i="15"/>
  <c r="BQ367" i="15"/>
  <c r="BQ354" i="15"/>
  <c r="BQ341" i="15"/>
  <c r="BQ328" i="15"/>
  <c r="BC456" i="15"/>
  <c r="BH456" i="15" s="1"/>
  <c r="CF81" i="59"/>
  <c r="CA85" i="59"/>
  <c r="CA87" i="59" s="1"/>
  <c r="BV11" i="59"/>
  <c r="CF31" i="59"/>
  <c r="CA34" i="59"/>
  <c r="BQ37" i="71"/>
  <c r="BG55" i="46"/>
  <c r="BG37" i="71"/>
  <c r="AQ393" i="15"/>
  <c r="Y227" i="15"/>
  <c r="AK60" i="15"/>
  <c r="AK71" i="15"/>
  <c r="AK64" i="15"/>
  <c r="AK75" i="15"/>
  <c r="AK68" i="15"/>
  <c r="AK67" i="15"/>
  <c r="AK59" i="15"/>
  <c r="AK63" i="15"/>
  <c r="AK72" i="15"/>
  <c r="AK262" i="15"/>
  <c r="AK329" i="15"/>
  <c r="AM46" i="15"/>
  <c r="AK389" i="15"/>
  <c r="AK223" i="15"/>
  <c r="AK76" i="15"/>
  <c r="AK222" i="15" s="1"/>
  <c r="AK230" i="15" s="1"/>
  <c r="AK231" i="15" s="1"/>
  <c r="AF227" i="15"/>
  <c r="AF228" i="15" s="1"/>
  <c r="AJ61" i="15"/>
  <c r="AJ341" i="15"/>
  <c r="AJ328" i="15"/>
  <c r="AJ354" i="15"/>
  <c r="AJ69" i="15"/>
  <c r="AJ315" i="15" s="1"/>
  <c r="AJ210" i="15"/>
  <c r="AJ73" i="15"/>
  <c r="AJ301" i="15"/>
  <c r="AJ261" i="15"/>
  <c r="AJ241" i="15"/>
  <c r="AJ274" i="15"/>
  <c r="Z69" i="15"/>
  <c r="Z315" i="15" s="1"/>
  <c r="Z323" i="15" s="1"/>
  <c r="Z325" i="15" s="1"/>
  <c r="Z129" i="15" s="1"/>
  <c r="AF393" i="15"/>
  <c r="AF394" i="15" s="1"/>
  <c r="AI333" i="15"/>
  <c r="AI334" i="15" s="1"/>
  <c r="AF311" i="15"/>
  <c r="AF128" i="15"/>
  <c r="AF266" i="15"/>
  <c r="AF267" i="15"/>
  <c r="AF269" i="15" s="1"/>
  <c r="AF271" i="15" s="1"/>
  <c r="AF125" i="15" s="1"/>
  <c r="AU65" i="15"/>
  <c r="AU387" i="15"/>
  <c r="AU302" i="15"/>
  <c r="AU242" i="15"/>
  <c r="AU250" i="15"/>
  <c r="AU251" i="15" s="1"/>
  <c r="AT266" i="15"/>
  <c r="AJ266" i="15"/>
  <c r="AJ267" i="15" s="1"/>
  <c r="AE288" i="15"/>
  <c r="AE296" i="15"/>
  <c r="AE209" i="15"/>
  <c r="AF288" i="15"/>
  <c r="AF296" i="15"/>
  <c r="AF298" i="15" s="1"/>
  <c r="AF127" i="15" s="1"/>
  <c r="AF209" i="15"/>
  <c r="AI393" i="15"/>
  <c r="AI394" i="15" s="1"/>
  <c r="AU261" i="15"/>
  <c r="AU73" i="15"/>
  <c r="AU241" i="15"/>
  <c r="AU210" i="15"/>
  <c r="AU274" i="15"/>
  <c r="AU301" i="15"/>
  <c r="AJ242" i="15"/>
  <c r="AJ250" i="15" s="1"/>
  <c r="AJ302" i="15"/>
  <c r="AJ77" i="15"/>
  <c r="AJ221" i="15"/>
  <c r="AJ227" i="15"/>
  <c r="AJ228" i="15" s="1"/>
  <c r="AJ236" i="15" s="1"/>
  <c r="AJ65" i="15"/>
  <c r="AJ387" i="15"/>
  <c r="Z221" i="15"/>
  <c r="Z227" i="15"/>
  <c r="Z228" i="15" s="1"/>
  <c r="Z77" i="15"/>
  <c r="Z341" i="15"/>
  <c r="Z349" i="15"/>
  <c r="Z351" i="15" s="1"/>
  <c r="Z130" i="15" s="1"/>
  <c r="Z61" i="15"/>
  <c r="Z354" i="15"/>
  <c r="Z362" i="15" s="1"/>
  <c r="Z328" i="15"/>
  <c r="Z73" i="15"/>
  <c r="Z288" i="15"/>
  <c r="Z296" i="15" s="1"/>
  <c r="Z298" i="15" s="1"/>
  <c r="Z127" i="15" s="1"/>
  <c r="Z241" i="15"/>
  <c r="Z274" i="15"/>
  <c r="Z283" i="15"/>
  <c r="Z285" i="15" s="1"/>
  <c r="Z126" i="15" s="1"/>
  <c r="Z261" i="15"/>
  <c r="Z301" i="15"/>
  <c r="Z309" i="15" s="1"/>
  <c r="AE266" i="15"/>
  <c r="AE267" i="15" s="1"/>
  <c r="AI209" i="15"/>
  <c r="AI288" i="15"/>
  <c r="AA389" i="15"/>
  <c r="AA329" i="15"/>
  <c r="AA223" i="15"/>
  <c r="AA72" i="15"/>
  <c r="AA71" i="15"/>
  <c r="AA60" i="15"/>
  <c r="AA68" i="15"/>
  <c r="AA59" i="15"/>
  <c r="AC59" i="15" s="1"/>
  <c r="AA262" i="15"/>
  <c r="AA75" i="15"/>
  <c r="AA63" i="15"/>
  <c r="AA64" i="15"/>
  <c r="AA388" i="15" s="1"/>
  <c r="AA396" i="15" s="1"/>
  <c r="AA397" i="15" s="1"/>
  <c r="AA76" i="15"/>
  <c r="AA222" i="15"/>
  <c r="AA67" i="15"/>
  <c r="AC46" i="15"/>
  <c r="AU77" i="15"/>
  <c r="AU222" i="15"/>
  <c r="Y333" i="15"/>
  <c r="Y334" i="15" s="1"/>
  <c r="Z396" i="15"/>
  <c r="Z302" i="15"/>
  <c r="Z310" i="15" s="1"/>
  <c r="Z242" i="15"/>
  <c r="Z387" i="15"/>
  <c r="Z65" i="15"/>
  <c r="Z222" i="15"/>
  <c r="AI227" i="15"/>
  <c r="AI228" i="15" s="1"/>
  <c r="AI266" i="15"/>
  <c r="AI267" i="15" s="1"/>
  <c r="AL71" i="15"/>
  <c r="AL67" i="15"/>
  <c r="AL69" i="15" s="1"/>
  <c r="AL315" i="15" s="1"/>
  <c r="AL262" i="15"/>
  <c r="AL68" i="15"/>
  <c r="AM68" i="15" s="1"/>
  <c r="AL76" i="15"/>
  <c r="AL222" i="15"/>
  <c r="AL223" i="15"/>
  <c r="AL72" i="15"/>
  <c r="AL60" i="15"/>
  <c r="AL75" i="15"/>
  <c r="AL59" i="15"/>
  <c r="AL389" i="15"/>
  <c r="AL64" i="15"/>
  <c r="AL388" i="15"/>
  <c r="AL329" i="15"/>
  <c r="AL63" i="15"/>
  <c r="AB329" i="15"/>
  <c r="AB75" i="15"/>
  <c r="AC75" i="15" s="1"/>
  <c r="AC77" i="15" s="1"/>
  <c r="AB63" i="15"/>
  <c r="AC63" i="15" s="1"/>
  <c r="AC65" i="15" s="1"/>
  <c r="AB262" i="15"/>
  <c r="AB60" i="15"/>
  <c r="AB223" i="15"/>
  <c r="AB71" i="15"/>
  <c r="AB76" i="15"/>
  <c r="AB222" i="15"/>
  <c r="AB230" i="15" s="1"/>
  <c r="AB231" i="15" s="1"/>
  <c r="AB59" i="15"/>
  <c r="AB64" i="15"/>
  <c r="AB72" i="15"/>
  <c r="AB389" i="15"/>
  <c r="AB67" i="15"/>
  <c r="AB68" i="15"/>
  <c r="AU328" i="15"/>
  <c r="AU341" i="15"/>
  <c r="AU61" i="15"/>
  <c r="AU354" i="15"/>
  <c r="AV76" i="15"/>
  <c r="AV222" i="15" s="1"/>
  <c r="AV230" i="15" s="1"/>
  <c r="AV71" i="15"/>
  <c r="AW71" i="15"/>
  <c r="AV64" i="15"/>
  <c r="AV388" i="15"/>
  <c r="AV75" i="15"/>
  <c r="AW75" i="15" s="1"/>
  <c r="AW77" i="15" s="1"/>
  <c r="AV60" i="15"/>
  <c r="AW60" i="15"/>
  <c r="AV68" i="15"/>
  <c r="AW68" i="15" s="1"/>
  <c r="AV72" i="15"/>
  <c r="AV59" i="15"/>
  <c r="AV63" i="15"/>
  <c r="AV67" i="15"/>
  <c r="AT288" i="15"/>
  <c r="AT209" i="15"/>
  <c r="AD228" i="15"/>
  <c r="CZ18" i="59"/>
  <c r="CZ29" i="59"/>
  <c r="CM46" i="59"/>
  <c r="CM75" i="59" s="1"/>
  <c r="CL46" i="59"/>
  <c r="CL75" i="59"/>
  <c r="CH46" i="59"/>
  <c r="CH75" i="59" s="1"/>
  <c r="CP46" i="59"/>
  <c r="CO46" i="59"/>
  <c r="CO75" i="59" s="1"/>
  <c r="BF183" i="72" s="1"/>
  <c r="CI46" i="59"/>
  <c r="CI75" i="59" s="1"/>
  <c r="CG46" i="59"/>
  <c r="CG75" i="59" s="1"/>
  <c r="CJ46" i="59"/>
  <c r="CJ75" i="59" s="1"/>
  <c r="CN46" i="59"/>
  <c r="CN75" i="59" s="1"/>
  <c r="BE183" i="72" s="1"/>
  <c r="CK75" i="59"/>
  <c r="AD394" i="15"/>
  <c r="AE364" i="15"/>
  <c r="AE132" i="15" s="1"/>
  <c r="AD267" i="15"/>
  <c r="AD336" i="15"/>
  <c r="AD337" i="15"/>
  <c r="Y267" i="15"/>
  <c r="AW42" i="51"/>
  <c r="AD154" i="15"/>
  <c r="E38" i="72"/>
  <c r="E44" i="72" s="1"/>
  <c r="E43" i="72"/>
  <c r="AI349" i="15"/>
  <c r="BA13" i="72"/>
  <c r="BA132" i="72"/>
  <c r="BA133" i="72" s="1"/>
  <c r="AH550" i="15"/>
  <c r="AQ228" i="15"/>
  <c r="AR227" i="15"/>
  <c r="AF155" i="72"/>
  <c r="AD155" i="72"/>
  <c r="AE155" i="72"/>
  <c r="AH254" i="72"/>
  <c r="AH257" i="72" s="1"/>
  <c r="AG155" i="72"/>
  <c r="N10" i="51"/>
  <c r="N14" i="51"/>
  <c r="N16" i="51"/>
  <c r="AH31" i="51"/>
  <c r="AH36" i="51"/>
  <c r="AE196" i="15"/>
  <c r="AE136" i="15"/>
  <c r="AE153" i="15"/>
  <c r="AE154" i="15"/>
  <c r="AE152" i="15"/>
  <c r="AI297" i="15"/>
  <c r="AI169" i="15"/>
  <c r="AI296" i="15"/>
  <c r="F43" i="72"/>
  <c r="F38" i="72"/>
  <c r="F44" i="72" s="1"/>
  <c r="AG253" i="72"/>
  <c r="AG75" i="46"/>
  <c r="AG76" i="46" s="1"/>
  <c r="BQ14" i="51"/>
  <c r="BB510" i="15"/>
  <c r="BB513" i="15" s="1"/>
  <c r="AD236" i="72"/>
  <c r="AB236" i="72"/>
  <c r="AK101" i="46"/>
  <c r="R20" i="51"/>
  <c r="R21" i="46"/>
  <c r="R23" i="46" s="1"/>
  <c r="BF129" i="72"/>
  <c r="BK130" i="72"/>
  <c r="N132" i="72"/>
  <c r="N133" i="72"/>
  <c r="N130" i="72"/>
  <c r="AF248" i="15"/>
  <c r="AG245" i="15"/>
  <c r="AF186" i="15"/>
  <c r="AF188" i="15"/>
  <c r="AF459" i="15" s="1"/>
  <c r="AF181" i="15"/>
  <c r="AF182" i="15" s="1"/>
  <c r="AF191" i="15"/>
  <c r="AF193" i="15"/>
  <c r="AO391" i="15"/>
  <c r="AN194" i="15"/>
  <c r="AN178" i="15"/>
  <c r="AN397" i="15"/>
  <c r="AN394" i="15"/>
  <c r="G43" i="72"/>
  <c r="G38" i="72"/>
  <c r="G44" i="72"/>
  <c r="BF209" i="15"/>
  <c r="BF288" i="15"/>
  <c r="AU225" i="15"/>
  <c r="AT228" i="15"/>
  <c r="AU278" i="15"/>
  <c r="AT281" i="15"/>
  <c r="S10" i="51"/>
  <c r="S14" i="51"/>
  <c r="S16" i="51"/>
  <c r="AJ101" i="46"/>
  <c r="AJ105" i="46"/>
  <c r="BI124" i="72"/>
  <c r="BN123" i="72"/>
  <c r="X57" i="51"/>
  <c r="X58" i="51" s="1"/>
  <c r="R133" i="72"/>
  <c r="W133" i="72"/>
  <c r="BB37" i="73"/>
  <c r="BB90" i="72"/>
  <c r="AB36" i="72"/>
  <c r="AB65" i="72"/>
  <c r="R36" i="72"/>
  <c r="R65" i="72"/>
  <c r="AK344" i="15"/>
  <c r="AJ347" i="15"/>
  <c r="AJ195" i="15"/>
  <c r="AM99" i="46"/>
  <c r="BN86" i="72"/>
  <c r="BN93" i="72"/>
  <c r="BN12" i="72"/>
  <c r="AL42" i="51"/>
  <c r="AL102" i="46"/>
  <c r="AL67" i="51"/>
  <c r="AH284" i="15"/>
  <c r="AH280" i="15"/>
  <c r="AO338" i="15"/>
  <c r="AO131" i="15"/>
  <c r="AV42" i="51"/>
  <c r="AV102" i="46"/>
  <c r="BG288" i="15"/>
  <c r="CD227" i="15"/>
  <c r="CD231" i="15" s="1"/>
  <c r="BG206" i="15" s="1"/>
  <c r="BG209" i="15"/>
  <c r="AE254" i="15"/>
  <c r="AE253" i="15"/>
  <c r="AE256" i="15"/>
  <c r="AZ248" i="15"/>
  <c r="BA245" i="15"/>
  <c r="AZ253" i="15"/>
  <c r="AZ251" i="15"/>
  <c r="H64" i="51"/>
  <c r="H99" i="46"/>
  <c r="AR266" i="15"/>
  <c r="AJ177" i="15"/>
  <c r="AJ294" i="15"/>
  <c r="AK291" i="15"/>
  <c r="BM86" i="72"/>
  <c r="BM93" i="72"/>
  <c r="S130" i="72"/>
  <c r="S132" i="72"/>
  <c r="AM60" i="51"/>
  <c r="BP124" i="72"/>
  <c r="AQ42" i="51"/>
  <c r="AQ102" i="46"/>
  <c r="AC64" i="51"/>
  <c r="AX61" i="51"/>
  <c r="I25" i="51"/>
  <c r="I29" i="51"/>
  <c r="I21" i="51"/>
  <c r="I24" i="71"/>
  <c r="AW74" i="46"/>
  <c r="AW76" i="46"/>
  <c r="DO45" i="71" s="1"/>
  <c r="DO46" i="71" s="1"/>
  <c r="AW566" i="15"/>
  <c r="BT480" i="15"/>
  <c r="AW470" i="15"/>
  <c r="BB470" i="15"/>
  <c r="AO357" i="15"/>
  <c r="N155" i="72"/>
  <c r="N158" i="72"/>
  <c r="AE21" i="51"/>
  <c r="AE25" i="51"/>
  <c r="AE29" i="51"/>
  <c r="BO123" i="72"/>
  <c r="BJ124" i="72"/>
  <c r="AV484" i="15"/>
  <c r="AV29" i="15"/>
  <c r="AV33" i="15"/>
  <c r="AQ198" i="72"/>
  <c r="AQ57" i="51"/>
  <c r="AT43" i="72"/>
  <c r="AT38" i="72"/>
  <c r="AT44" i="72" s="1"/>
  <c r="BH12" i="72"/>
  <c r="AS283" i="15"/>
  <c r="O105" i="46"/>
  <c r="X51" i="51"/>
  <c r="AR110" i="15"/>
  <c r="AR355" i="15" s="1"/>
  <c r="AR112" i="15"/>
  <c r="AR329" i="15" s="1"/>
  <c r="AR111" i="15"/>
  <c r="AR389" i="15" s="1"/>
  <c r="AX109" i="15"/>
  <c r="AT109" i="15"/>
  <c r="AS110" i="15"/>
  <c r="AS355" i="15" s="1"/>
  <c r="AS111" i="15"/>
  <c r="AS389" i="15" s="1"/>
  <c r="AS393" i="15" s="1"/>
  <c r="AS112" i="15"/>
  <c r="AS329" i="15" s="1"/>
  <c r="X43" i="51"/>
  <c r="AG43" i="72"/>
  <c r="AG38" i="72"/>
  <c r="AG44" i="72" s="1"/>
  <c r="AG69" i="46" s="1"/>
  <c r="S51" i="51"/>
  <c r="H36" i="72"/>
  <c r="H65" i="72"/>
  <c r="AL445" i="15"/>
  <c r="AM445" i="15" s="1"/>
  <c r="AL447" i="15"/>
  <c r="AM447" i="15" s="1"/>
  <c r="BN206" i="72"/>
  <c r="AJ278" i="15"/>
  <c r="AI281" i="15"/>
  <c r="AI179" i="15"/>
  <c r="AI187" i="15"/>
  <c r="X58" i="71"/>
  <c r="X56" i="71"/>
  <c r="BA194" i="46"/>
  <c r="BB174" i="46"/>
  <c r="X59" i="73"/>
  <c r="X37" i="51"/>
  <c r="DE86" i="73"/>
  <c r="DD87" i="73"/>
  <c r="AR18" i="73"/>
  <c r="AW73" i="73"/>
  <c r="DB87" i="73"/>
  <c r="CK81" i="59"/>
  <c r="CF85" i="59"/>
  <c r="CF87" i="59"/>
  <c r="CA11" i="59"/>
  <c r="CK31" i="59"/>
  <c r="CF34" i="59"/>
  <c r="BG40" i="71"/>
  <c r="AC68" i="15"/>
  <c r="AC223" i="15"/>
  <c r="AL396" i="15"/>
  <c r="AL397" i="15"/>
  <c r="AA69" i="15"/>
  <c r="AA315" i="15" s="1"/>
  <c r="AA323" i="15" s="1"/>
  <c r="AA325" i="15" s="1"/>
  <c r="AA129" i="15" s="1"/>
  <c r="AC60" i="15"/>
  <c r="AC329" i="15"/>
  <c r="AA230" i="15"/>
  <c r="AA231" i="15" s="1"/>
  <c r="AC389" i="15"/>
  <c r="AM223" i="15"/>
  <c r="AV69" i="15"/>
  <c r="AV315" i="15" s="1"/>
  <c r="AW67" i="15"/>
  <c r="AV301" i="15"/>
  <c r="AV241" i="15"/>
  <c r="AV73" i="15"/>
  <c r="AV261" i="15"/>
  <c r="AV210" i="15"/>
  <c r="AV274" i="15"/>
  <c r="AB69" i="15"/>
  <c r="AB315" i="15" s="1"/>
  <c r="AB323" i="15" s="1"/>
  <c r="AB325" i="15" s="1"/>
  <c r="AB129" i="15" s="1"/>
  <c r="AB328" i="15"/>
  <c r="AB333" i="15" s="1"/>
  <c r="AB334" i="15" s="1"/>
  <c r="AB61" i="15"/>
  <c r="AB341" i="15"/>
  <c r="AB349" i="15" s="1"/>
  <c r="AB351" i="15" s="1"/>
  <c r="AB130" i="15" s="1"/>
  <c r="AB354" i="15"/>
  <c r="AB362" i="15" s="1"/>
  <c r="AB364" i="15" s="1"/>
  <c r="AB132" i="15" s="1"/>
  <c r="AL302" i="15"/>
  <c r="AL242" i="15"/>
  <c r="AL250" i="15" s="1"/>
  <c r="Z250" i="15"/>
  <c r="AC24" i="73"/>
  <c r="AC262" i="15"/>
  <c r="AA387" i="15"/>
  <c r="AA393" i="15"/>
  <c r="AA394" i="15" s="1"/>
  <c r="AA65" i="15"/>
  <c r="Z266" i="15"/>
  <c r="AU209" i="15"/>
  <c r="AU288" i="15"/>
  <c r="AC67" i="15"/>
  <c r="AC69" i="15" s="1"/>
  <c r="AC315" i="15" s="1"/>
  <c r="AM262" i="15"/>
  <c r="AM24" i="73"/>
  <c r="AK387" i="15"/>
  <c r="AK65" i="15"/>
  <c r="AM63" i="15"/>
  <c r="AK77" i="15"/>
  <c r="AM75" i="15"/>
  <c r="AK221" i="15"/>
  <c r="AV387" i="15"/>
  <c r="AV65" i="15"/>
  <c r="AW63" i="15"/>
  <c r="AW65" i="15" s="1"/>
  <c r="AL65" i="15"/>
  <c r="AL387" i="15"/>
  <c r="AL393" i="15"/>
  <c r="AL394" i="15" s="1"/>
  <c r="AL354" i="15"/>
  <c r="AL341" i="15"/>
  <c r="AL61" i="15"/>
  <c r="AL328" i="15"/>
  <c r="AL333" i="15"/>
  <c r="AL334" i="15" s="1"/>
  <c r="AW76" i="15"/>
  <c r="AA77" i="15"/>
  <c r="AA221" i="15"/>
  <c r="AW64" i="15"/>
  <c r="Z333" i="15"/>
  <c r="AU266" i="15"/>
  <c r="AK61" i="15"/>
  <c r="AK328" i="15"/>
  <c r="AK333" i="15"/>
  <c r="AK341" i="15"/>
  <c r="AM59" i="15"/>
  <c r="AK354" i="15"/>
  <c r="AK388" i="15"/>
  <c r="AM64" i="15"/>
  <c r="AM65" i="15" s="1"/>
  <c r="Y228" i="15"/>
  <c r="AV61" i="15"/>
  <c r="AV341" i="15"/>
  <c r="AV354" i="15"/>
  <c r="AV328" i="15"/>
  <c r="AV221" i="15"/>
  <c r="AV77" i="15"/>
  <c r="AW59" i="15"/>
  <c r="AB302" i="15"/>
  <c r="AB242" i="15"/>
  <c r="AB250" i="15" s="1"/>
  <c r="AB251" i="15" s="1"/>
  <c r="AB301" i="15"/>
  <c r="AB261" i="15"/>
  <c r="AB241" i="15"/>
  <c r="AB274" i="15"/>
  <c r="AB283" i="15"/>
  <c r="AB285" i="15" s="1"/>
  <c r="AB126" i="15" s="1"/>
  <c r="AB73" i="15"/>
  <c r="AB288" i="15"/>
  <c r="AB296" i="15" s="1"/>
  <c r="AB387" i="15"/>
  <c r="AC387" i="15" s="1"/>
  <c r="AB65" i="15"/>
  <c r="AL77" i="15"/>
  <c r="AL221" i="15"/>
  <c r="AL227" i="15" s="1"/>
  <c r="AL228" i="15" s="1"/>
  <c r="AL230" i="15"/>
  <c r="AL231" i="15"/>
  <c r="AL210" i="15"/>
  <c r="AL301" i="15"/>
  <c r="AL241" i="15"/>
  <c r="AL261" i="15"/>
  <c r="AL266" i="15"/>
  <c r="AL267" i="15" s="1"/>
  <c r="AL274" i="15"/>
  <c r="AL283" i="15"/>
  <c r="AL73" i="15"/>
  <c r="AC76" i="15"/>
  <c r="Z393" i="15"/>
  <c r="Z397" i="15"/>
  <c r="AU230" i="15"/>
  <c r="AA261" i="15"/>
  <c r="AA266" i="15"/>
  <c r="AA267" i="15" s="1"/>
  <c r="AA270" i="15" s="1"/>
  <c r="AA274" i="15"/>
  <c r="AA283" i="15"/>
  <c r="AA285" i="15" s="1"/>
  <c r="AA126" i="15" s="1"/>
  <c r="AA241" i="15"/>
  <c r="AC241" i="15" s="1"/>
  <c r="AA301" i="15"/>
  <c r="AA73" i="15"/>
  <c r="AA288" i="15" s="1"/>
  <c r="AA296" i="15" s="1"/>
  <c r="AA298" i="15" s="1"/>
  <c r="AA127" i="15" s="1"/>
  <c r="AC71" i="15"/>
  <c r="AM76" i="15"/>
  <c r="AW387" i="15"/>
  <c r="AK69" i="15"/>
  <c r="AK315" i="15"/>
  <c r="AM67" i="15"/>
  <c r="AM69" i="15" s="1"/>
  <c r="AM315" i="15" s="1"/>
  <c r="AK301" i="15"/>
  <c r="AK210" i="15"/>
  <c r="AM71" i="15"/>
  <c r="AK261" i="15"/>
  <c r="AK266" i="15"/>
  <c r="AK241" i="15"/>
  <c r="AM241" i="15"/>
  <c r="AK274" i="15"/>
  <c r="AK283" i="15"/>
  <c r="AK73" i="15"/>
  <c r="AV302" i="15"/>
  <c r="AV242" i="15"/>
  <c r="AW72" i="15"/>
  <c r="AW302" i="15"/>
  <c r="AC64" i="15"/>
  <c r="AB388" i="15"/>
  <c r="AB221" i="15"/>
  <c r="AB77" i="15"/>
  <c r="Z230" i="15"/>
  <c r="AC222" i="15"/>
  <c r="AC72" i="15"/>
  <c r="AC302" i="15" s="1"/>
  <c r="AA61" i="15"/>
  <c r="AA341" i="15"/>
  <c r="AA349" i="15"/>
  <c r="AA328" i="15"/>
  <c r="AA354" i="15"/>
  <c r="AA362" i="15" s="1"/>
  <c r="AA242" i="15"/>
  <c r="AA250" i="15" s="1"/>
  <c r="AA302" i="15"/>
  <c r="AJ393" i="15"/>
  <c r="AJ394" i="15" s="1"/>
  <c r="AW73" i="15"/>
  <c r="AW261" i="15"/>
  <c r="AW301" i="15"/>
  <c r="AW274" i="15"/>
  <c r="AW210" i="15"/>
  <c r="AW241" i="15"/>
  <c r="AE298" i="15"/>
  <c r="AE127" i="15" s="1"/>
  <c r="AF270" i="15"/>
  <c r="AJ288" i="15"/>
  <c r="AJ209" i="15"/>
  <c r="AJ333" i="15"/>
  <c r="AJ334" i="15" s="1"/>
  <c r="AJ337" i="15" s="1"/>
  <c r="AK242" i="15"/>
  <c r="AM72" i="15"/>
  <c r="AM302" i="15" s="1"/>
  <c r="AK302" i="15"/>
  <c r="AM60" i="15"/>
  <c r="AD171" i="15"/>
  <c r="AD165" i="15"/>
  <c r="AD270" i="15"/>
  <c r="AD269" i="15"/>
  <c r="CU46" i="59"/>
  <c r="CP75" i="59"/>
  <c r="AD400" i="15"/>
  <c r="AD402" i="15"/>
  <c r="AD399" i="15"/>
  <c r="Y270" i="15"/>
  <c r="Y269" i="15"/>
  <c r="AD338" i="15"/>
  <c r="AD131" i="15"/>
  <c r="BB183" i="72"/>
  <c r="BC183" i="72"/>
  <c r="AD236" i="15"/>
  <c r="AD234" i="15"/>
  <c r="AD233" i="15"/>
  <c r="AI284" i="15"/>
  <c r="AI283" i="15"/>
  <c r="AI285" i="15"/>
  <c r="AI126" i="15" s="1"/>
  <c r="H43" i="72"/>
  <c r="L234" i="72"/>
  <c r="H38" i="72"/>
  <c r="H44" i="72" s="1"/>
  <c r="L238" i="72"/>
  <c r="AT110" i="15"/>
  <c r="AT355" i="15"/>
  <c r="AT111" i="15"/>
  <c r="AT389" i="15"/>
  <c r="AU109" i="15"/>
  <c r="AT112" i="15"/>
  <c r="AT329" i="15"/>
  <c r="AY109" i="15"/>
  <c r="BS566" i="15"/>
  <c r="AW567" i="15" s="1"/>
  <c r="S133" i="72"/>
  <c r="X133" i="72"/>
  <c r="AZ254" i="15"/>
  <c r="AZ256" i="15"/>
  <c r="AE173" i="15"/>
  <c r="AE257" i="15"/>
  <c r="AK179" i="15"/>
  <c r="AL344" i="15"/>
  <c r="AK347" i="15"/>
  <c r="AK195" i="15"/>
  <c r="R43" i="72"/>
  <c r="R38" i="72"/>
  <c r="R44" i="72"/>
  <c r="S20" i="51"/>
  <c r="S21" i="46"/>
  <c r="K238" i="72"/>
  <c r="AF152" i="15"/>
  <c r="AF136" i="15"/>
  <c r="AF153" i="15"/>
  <c r="AF154" i="15" s="1"/>
  <c r="AF196" i="15"/>
  <c r="AG248" i="15"/>
  <c r="AH245" i="15"/>
  <c r="AG186" i="15"/>
  <c r="AG188" i="15"/>
  <c r="AG459" i="15"/>
  <c r="AG181" i="15"/>
  <c r="AG182" i="15" s="1"/>
  <c r="AG191" i="15"/>
  <c r="AG193" i="15"/>
  <c r="R25" i="51"/>
  <c r="R29" i="51" s="1"/>
  <c r="R21" i="51"/>
  <c r="AI298" i="15"/>
  <c r="AI127" i="15" s="1"/>
  <c r="AE156" i="72"/>
  <c r="AE158" i="72" s="1"/>
  <c r="AE254" i="72"/>
  <c r="H234" i="72"/>
  <c r="AJ281" i="15"/>
  <c r="AJ179" i="15"/>
  <c r="AJ187" i="15"/>
  <c r="AX112" i="15"/>
  <c r="AX329" i="15" s="1"/>
  <c r="BC109" i="15"/>
  <c r="AX110" i="15"/>
  <c r="AX355" i="15" s="1"/>
  <c r="AX111" i="15"/>
  <c r="AV35" i="15"/>
  <c r="AV41" i="15"/>
  <c r="AV68" i="46" s="1"/>
  <c r="AV40" i="15"/>
  <c r="BO124" i="72"/>
  <c r="AM42" i="51"/>
  <c r="AM333" i="15"/>
  <c r="AK334" i="15"/>
  <c r="AK177" i="15"/>
  <c r="AK294" i="15"/>
  <c r="AL291" i="15"/>
  <c r="BN124" i="72"/>
  <c r="AT283" i="15"/>
  <c r="K234" i="72"/>
  <c r="AN402" i="15"/>
  <c r="AP391" i="15"/>
  <c r="AO194" i="15"/>
  <c r="AO178" i="15"/>
  <c r="AO397" i="15"/>
  <c r="AO394" i="15"/>
  <c r="BK129" i="72"/>
  <c r="BK13" i="72"/>
  <c r="BP130" i="72"/>
  <c r="BP129" i="72"/>
  <c r="BP13" i="72" s="1"/>
  <c r="J238" i="72"/>
  <c r="AD156" i="72"/>
  <c r="AD254" i="72"/>
  <c r="AD257" i="72" s="1"/>
  <c r="AE252" i="72" s="1"/>
  <c r="AE257" i="72" s="1"/>
  <c r="AF252" i="72" s="1"/>
  <c r="H238" i="72"/>
  <c r="AH248" i="15"/>
  <c r="AE36" i="51"/>
  <c r="AE31" i="51"/>
  <c r="AE37" i="51"/>
  <c r="AE70" i="46"/>
  <c r="BG470" i="15"/>
  <c r="BB469" i="15"/>
  <c r="BA469" i="15"/>
  <c r="AZ469" i="15" s="1"/>
  <c r="AY469" i="15" s="1"/>
  <c r="AX469" i="15" s="1"/>
  <c r="AJ297" i="15"/>
  <c r="AJ169" i="15"/>
  <c r="AJ296" i="15"/>
  <c r="AJ298" i="15" s="1"/>
  <c r="AJ127" i="15" s="1"/>
  <c r="I99" i="46"/>
  <c r="BA253" i="15"/>
  <c r="BB253" i="15"/>
  <c r="BA248" i="15"/>
  <c r="BB245" i="15"/>
  <c r="AE258" i="15"/>
  <c r="AE124" i="15"/>
  <c r="AV278" i="15"/>
  <c r="AU281" i="15"/>
  <c r="AV225" i="15"/>
  <c r="AU228" i="15"/>
  <c r="AU231" i="15"/>
  <c r="G69" i="46"/>
  <c r="L45" i="72"/>
  <c r="AN400" i="15"/>
  <c r="AN399" i="15"/>
  <c r="BF13" i="72"/>
  <c r="J234" i="72"/>
  <c r="AH59" i="73"/>
  <c r="AH37" i="51"/>
  <c r="AG156" i="72"/>
  <c r="AG158" i="72" s="1"/>
  <c r="AG254" i="72"/>
  <c r="AF254" i="72"/>
  <c r="AF156" i="72"/>
  <c r="AF158" i="72" s="1"/>
  <c r="AH558" i="15"/>
  <c r="AH561" i="15"/>
  <c r="E69" i="46"/>
  <c r="J45" i="72"/>
  <c r="AR57" i="51"/>
  <c r="AR58" i="51" s="1"/>
  <c r="AQ58" i="51"/>
  <c r="AK267" i="15"/>
  <c r="AM266" i="15"/>
  <c r="J155" i="72"/>
  <c r="J156" i="72" s="1"/>
  <c r="J158" i="72" s="1"/>
  <c r="L155" i="72"/>
  <c r="L156" i="72"/>
  <c r="L158" i="72" s="1"/>
  <c r="K155" i="72"/>
  <c r="K156" i="72" s="1"/>
  <c r="K158" i="72" s="1"/>
  <c r="M155" i="72"/>
  <c r="M156" i="72"/>
  <c r="M158" i="72" s="1"/>
  <c r="AP357" i="15"/>
  <c r="I36" i="51"/>
  <c r="I31" i="51"/>
  <c r="I37" i="51"/>
  <c r="AR102" i="46"/>
  <c r="BM12" i="72"/>
  <c r="BF331" i="15"/>
  <c r="I64" i="51"/>
  <c r="BG207" i="15"/>
  <c r="BC207" i="15" s="1"/>
  <c r="BC206" i="15"/>
  <c r="AJ349" i="15"/>
  <c r="AB38" i="72"/>
  <c r="AB44" i="72"/>
  <c r="AD234" i="72"/>
  <c r="AB238" i="72"/>
  <c r="AB43" i="72"/>
  <c r="AB234" i="72"/>
  <c r="AD238" i="72"/>
  <c r="K45" i="72"/>
  <c r="F69" i="46"/>
  <c r="F71" i="46"/>
  <c r="N20" i="51"/>
  <c r="N21" i="46"/>
  <c r="AH259" i="72"/>
  <c r="AI252" i="72"/>
  <c r="AI257" i="72" s="1"/>
  <c r="AJ252" i="72" s="1"/>
  <c r="AJ257" i="72" s="1"/>
  <c r="AK252" i="72" s="1"/>
  <c r="AK257" i="72" s="1"/>
  <c r="AL252" i="72" s="1"/>
  <c r="AL257" i="72" s="1"/>
  <c r="AM252" i="72"/>
  <c r="AM257" i="72" s="1"/>
  <c r="AR228" i="15"/>
  <c r="AQ236" i="15"/>
  <c r="AQ234" i="15"/>
  <c r="AQ233" i="15"/>
  <c r="BA14" i="72"/>
  <c r="BA10" i="46"/>
  <c r="X12" i="71"/>
  <c r="X70" i="46"/>
  <c r="AW60" i="71"/>
  <c r="BB60" i="71"/>
  <c r="BB38" i="71" s="1"/>
  <c r="BL60" i="71"/>
  <c r="BG60" i="71"/>
  <c r="BQ60" i="71"/>
  <c r="BB194" i="46"/>
  <c r="DT15" i="71" s="1"/>
  <c r="BC174" i="46"/>
  <c r="DD88" i="73"/>
  <c r="DE87" i="73"/>
  <c r="DB88" i="73"/>
  <c r="BW20" i="73"/>
  <c r="BX20" i="73"/>
  <c r="BY20" i="73"/>
  <c r="AM18" i="73"/>
  <c r="AR73" i="73"/>
  <c r="BM456" i="15"/>
  <c r="CP81" i="59"/>
  <c r="CK85" i="59"/>
  <c r="CF11" i="59"/>
  <c r="CP31" i="59"/>
  <c r="CK34" i="59"/>
  <c r="AC296" i="15"/>
  <c r="AM77" i="15"/>
  <c r="AO402" i="15"/>
  <c r="AJ336" i="15"/>
  <c r="AJ338" i="15" s="1"/>
  <c r="AJ131" i="15" s="1"/>
  <c r="AJ402" i="15"/>
  <c r="AA399" i="15"/>
  <c r="AA400" i="15"/>
  <c r="AA403" i="15"/>
  <c r="AB227" i="15"/>
  <c r="AB228" i="15"/>
  <c r="AV250" i="15"/>
  <c r="AW242" i="15"/>
  <c r="AL288" i="15"/>
  <c r="AL209" i="15"/>
  <c r="AV227" i="15"/>
  <c r="AW227" i="15"/>
  <c r="AW221" i="15"/>
  <c r="AK227" i="15"/>
  <c r="AK228" i="15" s="1"/>
  <c r="AM221" i="15"/>
  <c r="AC242" i="15"/>
  <c r="AA333" i="15"/>
  <c r="AA334" i="15"/>
  <c r="Z231" i="15"/>
  <c r="AC230" i="15"/>
  <c r="AB396" i="15"/>
  <c r="AB397" i="15" s="1"/>
  <c r="AC388" i="15"/>
  <c r="AA269" i="15"/>
  <c r="AA271" i="15"/>
  <c r="AA125" i="15" s="1"/>
  <c r="AM388" i="15"/>
  <c r="AK396" i="15"/>
  <c r="AM387" i="15"/>
  <c r="AK393" i="15"/>
  <c r="AA402" i="15"/>
  <c r="Z251" i="15"/>
  <c r="AM242" i="15"/>
  <c r="AK250" i="15"/>
  <c r="AM250" i="15"/>
  <c r="AA351" i="15"/>
  <c r="AA130" i="15"/>
  <c r="AC130" i="15"/>
  <c r="AC349" i="15"/>
  <c r="AC351" i="15" s="1"/>
  <c r="AJ399" i="15"/>
  <c r="Z394" i="15"/>
  <c r="AB393" i="15"/>
  <c r="AB394" i="15"/>
  <c r="AB400" i="15"/>
  <c r="AB403" i="15" s="1"/>
  <c r="AB266" i="15"/>
  <c r="AB267" i="15"/>
  <c r="AB269" i="15"/>
  <c r="AW341" i="15"/>
  <c r="AW61" i="15"/>
  <c r="AW328" i="15"/>
  <c r="AW354" i="15"/>
  <c r="AA227" i="15"/>
  <c r="Z267" i="15"/>
  <c r="AC266" i="15"/>
  <c r="AV266" i="15"/>
  <c r="AW288" i="15"/>
  <c r="AW209" i="15"/>
  <c r="AK209" i="15"/>
  <c r="AK288" i="15"/>
  <c r="AK296" i="15"/>
  <c r="AM73" i="15"/>
  <c r="AM210" i="15"/>
  <c r="AM301" i="15"/>
  <c r="AM261" i="15"/>
  <c r="AM274" i="15"/>
  <c r="AC274" i="15"/>
  <c r="AC283" i="15" s="1"/>
  <c r="AC285" i="15" s="1"/>
  <c r="AC261" i="15"/>
  <c r="AC301" i="15"/>
  <c r="AC73" i="15"/>
  <c r="AC288" i="15"/>
  <c r="Z400" i="15"/>
  <c r="Z399" i="15"/>
  <c r="AL234" i="15"/>
  <c r="AL237" i="15"/>
  <c r="Y234" i="15"/>
  <c r="Y236" i="15"/>
  <c r="Y233" i="15"/>
  <c r="AM354" i="15"/>
  <c r="AM61" i="15"/>
  <c r="AM341" i="15"/>
  <c r="AM328" i="15"/>
  <c r="Z334" i="15"/>
  <c r="AC221" i="15"/>
  <c r="AV288" i="15"/>
  <c r="AV209" i="15"/>
  <c r="AD403" i="15"/>
  <c r="BG183" i="72"/>
  <c r="Y271" i="15"/>
  <c r="Y125" i="15"/>
  <c r="AD271" i="15"/>
  <c r="AD125" i="15"/>
  <c r="AD237" i="15"/>
  <c r="AD170" i="15"/>
  <c r="CZ46" i="59"/>
  <c r="CZ75" i="59"/>
  <c r="CU75" i="59"/>
  <c r="AN403" i="15"/>
  <c r="AU236" i="15"/>
  <c r="AU283" i="15"/>
  <c r="AF257" i="72"/>
  <c r="AG252" i="72" s="1"/>
  <c r="AG257" i="72"/>
  <c r="BC111" i="15"/>
  <c r="BC110" i="15"/>
  <c r="BC112" i="15"/>
  <c r="BH109" i="15"/>
  <c r="AJ284" i="15"/>
  <c r="AJ283" i="15"/>
  <c r="AJ285" i="15"/>
  <c r="AJ126" i="15" s="1"/>
  <c r="AJ171" i="15"/>
  <c r="AG196" i="15"/>
  <c r="AG153" i="15"/>
  <c r="AG136" i="15"/>
  <c r="AH136" i="15" s="1"/>
  <c r="AG152" i="15"/>
  <c r="AI245" i="15"/>
  <c r="AH186" i="15"/>
  <c r="AK349" i="15"/>
  <c r="AT393" i="15"/>
  <c r="AT396" i="15"/>
  <c r="AM281" i="15"/>
  <c r="AQ237" i="15"/>
  <c r="AQ238" i="15"/>
  <c r="AQ123" i="15" s="1"/>
  <c r="AR252" i="72"/>
  <c r="AK171" i="15"/>
  <c r="BC245" i="15"/>
  <c r="BP10" i="46"/>
  <c r="BP14" i="72"/>
  <c r="AQ391" i="15"/>
  <c r="AP194" i="15"/>
  <c r="AP178" i="15"/>
  <c r="AM334" i="15"/>
  <c r="AK337" i="15"/>
  <c r="AK336" i="15"/>
  <c r="AH152" i="15"/>
  <c r="AM344" i="15"/>
  <c r="AL179" i="15"/>
  <c r="AL347" i="15"/>
  <c r="AL195" i="15"/>
  <c r="AZ257" i="15"/>
  <c r="AZ258" i="15" s="1"/>
  <c r="AZ124" i="15" s="1"/>
  <c r="AR567" i="15"/>
  <c r="AM567" i="15"/>
  <c r="BG567" i="15"/>
  <c r="BB567" i="15"/>
  <c r="BE109" i="15"/>
  <c r="AY112" i="15"/>
  <c r="AY329" i="15"/>
  <c r="BD109" i="15"/>
  <c r="AY111" i="15"/>
  <c r="AY110" i="15"/>
  <c r="AY355" i="15"/>
  <c r="H69" i="46"/>
  <c r="AG45" i="72"/>
  <c r="AB69" i="46"/>
  <c r="BD206" i="15"/>
  <c r="BG331" i="15"/>
  <c r="BH331" i="15"/>
  <c r="AH12" i="71"/>
  <c r="AH70" i="46"/>
  <c r="AV281" i="15"/>
  <c r="AW278" i="15"/>
  <c r="AW280" i="15"/>
  <c r="BA256" i="15"/>
  <c r="BB248" i="15"/>
  <c r="BK14" i="72"/>
  <c r="BK10" i="46"/>
  <c r="AO400" i="15"/>
  <c r="AO399" i="15"/>
  <c r="AL294" i="15"/>
  <c r="AM294" i="15"/>
  <c r="AM291" i="15"/>
  <c r="AL177" i="15"/>
  <c r="AX389" i="15"/>
  <c r="AX396" i="15" s="1"/>
  <c r="AX409" i="15"/>
  <c r="S21" i="51"/>
  <c r="S24" i="71" s="1"/>
  <c r="S25" i="51"/>
  <c r="S29" i="51" s="1"/>
  <c r="S36" i="51" s="1"/>
  <c r="AT333" i="15"/>
  <c r="AT334" i="15" s="1"/>
  <c r="AH53" i="73"/>
  <c r="AH260" i="72"/>
  <c r="I70" i="46"/>
  <c r="I12" i="71"/>
  <c r="AQ357" i="15"/>
  <c r="AU233" i="15"/>
  <c r="AU234" i="15"/>
  <c r="AW225" i="15"/>
  <c r="AV231" i="15"/>
  <c r="AV228" i="15"/>
  <c r="BA254" i="15"/>
  <c r="BG469" i="15"/>
  <c r="BF469" i="15"/>
  <c r="BE469" i="15" s="1"/>
  <c r="BD469" i="15" s="1"/>
  <c r="BC469" i="15" s="1"/>
  <c r="BL470" i="15"/>
  <c r="BQ470" i="15" s="1"/>
  <c r="BQ469" i="15" s="1"/>
  <c r="AN404" i="15"/>
  <c r="AN134" i="15" s="1"/>
  <c r="AK297" i="15"/>
  <c r="AK298" i="15" s="1"/>
  <c r="AK127" i="15" s="1"/>
  <c r="AM127" i="15" s="1"/>
  <c r="AK169" i="15"/>
  <c r="R69" i="46"/>
  <c r="AZ109" i="15"/>
  <c r="AU112" i="15"/>
  <c r="AU329" i="15"/>
  <c r="AV109" i="15"/>
  <c r="AU111" i="15"/>
  <c r="AU389" i="15"/>
  <c r="AU110" i="15"/>
  <c r="AU355" i="15" s="1"/>
  <c r="AW109" i="15"/>
  <c r="BQ62" i="71"/>
  <c r="BQ38" i="71"/>
  <c r="BQ53" i="71"/>
  <c r="AW62" i="71"/>
  <c r="AW64" i="71" s="1"/>
  <c r="AW38" i="71"/>
  <c r="AR60" i="71"/>
  <c r="AR38" i="71" s="1"/>
  <c r="AR53" i="71" s="1"/>
  <c r="AW51" i="71"/>
  <c r="BG62" i="71"/>
  <c r="BG38" i="71"/>
  <c r="BG53" i="71" s="1"/>
  <c r="X9" i="73"/>
  <c r="X18" i="71"/>
  <c r="BC194" i="46"/>
  <c r="BD174" i="46"/>
  <c r="BL62" i="71"/>
  <c r="BB62" i="71"/>
  <c r="DE88" i="73"/>
  <c r="DD89" i="73"/>
  <c r="AH18" i="73"/>
  <c r="AM73" i="73"/>
  <c r="DB89" i="73"/>
  <c r="CK87" i="59"/>
  <c r="CR81" i="59"/>
  <c r="CR85" i="59" s="1"/>
  <c r="CN81" i="59"/>
  <c r="CN85" i="59"/>
  <c r="CU81" i="59"/>
  <c r="CQ81" i="59"/>
  <c r="CQ85" i="59" s="1"/>
  <c r="BH182" i="72" s="1"/>
  <c r="CO81" i="59"/>
  <c r="CO85" i="59" s="1"/>
  <c r="CT81" i="59"/>
  <c r="CT85" i="59" s="1"/>
  <c r="CS81" i="59"/>
  <c r="CS85" i="59" s="1"/>
  <c r="CL81" i="59"/>
  <c r="CL85" i="59" s="1"/>
  <c r="CM81" i="59"/>
  <c r="CM85" i="59" s="1"/>
  <c r="CM11" i="59" s="1"/>
  <c r="BD87" i="46" s="1"/>
  <c r="CP85" i="59"/>
  <c r="AA404" i="15"/>
  <c r="AA134" i="15" s="1"/>
  <c r="AC333" i="15"/>
  <c r="AM209" i="15"/>
  <c r="AM288" i="15"/>
  <c r="AB233" i="15"/>
  <c r="AB234" i="15"/>
  <c r="Z337" i="15"/>
  <c r="Z338" i="15" s="1"/>
  <c r="Z131" i="15" s="1"/>
  <c r="Z336" i="15"/>
  <c r="Y237" i="15"/>
  <c r="AK394" i="15"/>
  <c r="AM393" i="15"/>
  <c r="AK397" i="15"/>
  <c r="AM396" i="15"/>
  <c r="AD238" i="15"/>
  <c r="AD123" i="15" s="1"/>
  <c r="Z403" i="15"/>
  <c r="AC393" i="15"/>
  <c r="AV251" i="15"/>
  <c r="AW250" i="15"/>
  <c r="Z270" i="15"/>
  <c r="Z171" i="15"/>
  <c r="Z165" i="15"/>
  <c r="AC267" i="15"/>
  <c r="Z269" i="15"/>
  <c r="AA228" i="15"/>
  <c r="AC227" i="15"/>
  <c r="AB171" i="15"/>
  <c r="AB270" i="15"/>
  <c r="AB271" i="15"/>
  <c r="AB125" i="15" s="1"/>
  <c r="Z402" i="15"/>
  <c r="AC394" i="15"/>
  <c r="Z254" i="15"/>
  <c r="Z173" i="15" s="1"/>
  <c r="Z256" i="15"/>
  <c r="AW266" i="15"/>
  <c r="Z234" i="15"/>
  <c r="Z236" i="15"/>
  <c r="AC231" i="15"/>
  <c r="Z233" i="15"/>
  <c r="AM227" i="15"/>
  <c r="AB236" i="15"/>
  <c r="AD404" i="15"/>
  <c r="AD134" i="15" s="1"/>
  <c r="BL183" i="72"/>
  <c r="BQ183" i="72"/>
  <c r="AM169" i="15"/>
  <c r="AZ112" i="15"/>
  <c r="AZ329" i="15"/>
  <c r="AZ111" i="15"/>
  <c r="AZ110" i="15"/>
  <c r="AZ355" i="15" s="1"/>
  <c r="AV236" i="15"/>
  <c r="AV238" i="15" s="1"/>
  <c r="AW228" i="15"/>
  <c r="BE206" i="15"/>
  <c r="AY389" i="15"/>
  <c r="AY409" i="15"/>
  <c r="AQ194" i="15"/>
  <c r="AR391" i="15"/>
  <c r="AQ397" i="15"/>
  <c r="AQ394" i="15"/>
  <c r="AQ178" i="15"/>
  <c r="BC409" i="15"/>
  <c r="BC369" i="15"/>
  <c r="BC389" i="15"/>
  <c r="BC329" i="15"/>
  <c r="AU396" i="15"/>
  <c r="AU393" i="15"/>
  <c r="AV233" i="15"/>
  <c r="AV234" i="15"/>
  <c r="AM177" i="15"/>
  <c r="AN291" i="15"/>
  <c r="BI109" i="15"/>
  <c r="BD111" i="15"/>
  <c r="BD112" i="15"/>
  <c r="BD110" i="15"/>
  <c r="BD355" i="15"/>
  <c r="AM179" i="15"/>
  <c r="AN344" i="15"/>
  <c r="AM195" i="15"/>
  <c r="AG154" i="15"/>
  <c r="AH154" i="15"/>
  <c r="AH153" i="15"/>
  <c r="BH112" i="15"/>
  <c r="BH110" i="15"/>
  <c r="BH355" i="15"/>
  <c r="BH111" i="15"/>
  <c r="AV111" i="15"/>
  <c r="AV389" i="15" s="1"/>
  <c r="AV112" i="15"/>
  <c r="AV329" i="15" s="1"/>
  <c r="AV110" i="15"/>
  <c r="AV355" i="15" s="1"/>
  <c r="BA109" i="15"/>
  <c r="AX225" i="15"/>
  <c r="AR357" i="15"/>
  <c r="AX278" i="15"/>
  <c r="AH9" i="73"/>
  <c r="AL349" i="15"/>
  <c r="AL171" i="15"/>
  <c r="AK338" i="15"/>
  <c r="AK131" i="15" s="1"/>
  <c r="BC248" i="15"/>
  <c r="BC253" i="15"/>
  <c r="BD245" i="15"/>
  <c r="AM347" i="15"/>
  <c r="AI248" i="15"/>
  <c r="AJ245" i="15"/>
  <c r="AI251" i="15"/>
  <c r="AI186" i="15"/>
  <c r="AW110" i="15"/>
  <c r="AW355" i="15"/>
  <c r="AW111" i="15"/>
  <c r="AW389" i="15"/>
  <c r="AW112" i="15"/>
  <c r="AW329" i="15"/>
  <c r="BP469" i="15"/>
  <c r="BO469" i="15" s="1"/>
  <c r="BN469" i="15" s="1"/>
  <c r="BM469" i="15" s="1"/>
  <c r="BL469" i="15"/>
  <c r="BK469" i="15" s="1"/>
  <c r="BJ469" i="15" s="1"/>
  <c r="BI469" i="15" s="1"/>
  <c r="BH469" i="15" s="1"/>
  <c r="BA257" i="15"/>
  <c r="BA258" i="15"/>
  <c r="BA124" i="15" s="1"/>
  <c r="AL169" i="15"/>
  <c r="AL297" i="15"/>
  <c r="AL298" i="15" s="1"/>
  <c r="AL127" i="15" s="1"/>
  <c r="AL296" i="15"/>
  <c r="AV283" i="15"/>
  <c r="BE112" i="15"/>
  <c r="BE110" i="15"/>
  <c r="BE355" i="15"/>
  <c r="BE111" i="15"/>
  <c r="BJ109" i="15"/>
  <c r="BO109" i="15" s="1"/>
  <c r="AM283" i="15"/>
  <c r="AM280" i="15"/>
  <c r="AW281" i="15"/>
  <c r="AW283" i="15"/>
  <c r="AR62" i="71"/>
  <c r="BD194" i="46"/>
  <c r="BE174" i="46"/>
  <c r="AW53" i="71"/>
  <c r="DE89" i="73"/>
  <c r="DD90" i="73"/>
  <c r="DB90" i="73"/>
  <c r="DB91" i="73" s="1"/>
  <c r="DB92" i="73" s="1"/>
  <c r="AH73" i="73"/>
  <c r="BD182" i="72"/>
  <c r="CO11" i="59"/>
  <c r="BF87" i="46" s="1"/>
  <c r="BG182" i="72"/>
  <c r="CP87" i="59"/>
  <c r="CL87" i="59"/>
  <c r="CZ81" i="59"/>
  <c r="CZ85" i="59"/>
  <c r="CZ87" i="59" s="1"/>
  <c r="CU85" i="59"/>
  <c r="AA233" i="15"/>
  <c r="AC233" i="15" s="1"/>
  <c r="AA234" i="15"/>
  <c r="AA236" i="15"/>
  <c r="AC236" i="15" s="1"/>
  <c r="AC228" i="15"/>
  <c r="AK236" i="15"/>
  <c r="Z257" i="15"/>
  <c r="AC269" i="15"/>
  <c r="AK402" i="15"/>
  <c r="AB237" i="15"/>
  <c r="AB238" i="15"/>
  <c r="AB123" i="15" s="1"/>
  <c r="AB170" i="15"/>
  <c r="Z404" i="15"/>
  <c r="Z134" i="15"/>
  <c r="AV254" i="15"/>
  <c r="AV257" i="15"/>
  <c r="AV256" i="15"/>
  <c r="AV258" i="15" s="1"/>
  <c r="AV124" i="15" s="1"/>
  <c r="AK400" i="15"/>
  <c r="AK399" i="15"/>
  <c r="AM397" i="15"/>
  <c r="AX281" i="15"/>
  <c r="AM349" i="15"/>
  <c r="AO344" i="15"/>
  <c r="AN179" i="15"/>
  <c r="AN347" i="15"/>
  <c r="AN195" i="15"/>
  <c r="BD329" i="15"/>
  <c r="BD409" i="15"/>
  <c r="BD389" i="15"/>
  <c r="BD369" i="15"/>
  <c r="BC396" i="15"/>
  <c r="BC393" i="15"/>
  <c r="AQ400" i="15"/>
  <c r="AQ399" i="15"/>
  <c r="AS357" i="15"/>
  <c r="AV396" i="15"/>
  <c r="BI111" i="15"/>
  <c r="BC373" i="15"/>
  <c r="BC376" i="15"/>
  <c r="BC377" i="15" s="1"/>
  <c r="AS391" i="15"/>
  <c r="AR194" i="15"/>
  <c r="AR178" i="15"/>
  <c r="BJ111" i="15"/>
  <c r="BJ110" i="15"/>
  <c r="BJ355" i="15" s="1"/>
  <c r="BJ112" i="15"/>
  <c r="AM296" i="15"/>
  <c r="AI256" i="15"/>
  <c r="BA111" i="15"/>
  <c r="AV237" i="15"/>
  <c r="AY416" i="15"/>
  <c r="AY417" i="15"/>
  <c r="AY413" i="15"/>
  <c r="AY414" i="15" s="1"/>
  <c r="BE389" i="15"/>
  <c r="BE369" i="15"/>
  <c r="BE329" i="15"/>
  <c r="BE409" i="15"/>
  <c r="BE413" i="15" s="1"/>
  <c r="BE414" i="15" s="1"/>
  <c r="AI253" i="15"/>
  <c r="AI254" i="15"/>
  <c r="BD248" i="15"/>
  <c r="BD253" i="15"/>
  <c r="BG253" i="15" s="1"/>
  <c r="BE245" i="15"/>
  <c r="AY225" i="15"/>
  <c r="AX231" i="15"/>
  <c r="BH329" i="15"/>
  <c r="BH369" i="15"/>
  <c r="BH389" i="15"/>
  <c r="BH409" i="15"/>
  <c r="AN294" i="15"/>
  <c r="AO291" i="15"/>
  <c r="AN177" i="15"/>
  <c r="BC333" i="15"/>
  <c r="AQ402" i="15"/>
  <c r="AY396" i="15"/>
  <c r="BF206" i="15"/>
  <c r="AZ409" i="15"/>
  <c r="AZ389" i="15"/>
  <c r="DE90" i="73"/>
  <c r="DD91" i="73"/>
  <c r="BL182" i="72"/>
  <c r="CU87" i="59"/>
  <c r="BQ182" i="72"/>
  <c r="AK403" i="15"/>
  <c r="AK404" i="15" s="1"/>
  <c r="AK134" i="15" s="1"/>
  <c r="AV123" i="15"/>
  <c r="AZ416" i="15"/>
  <c r="BH333" i="15"/>
  <c r="BF245" i="15"/>
  <c r="BE253" i="15"/>
  <c r="BE248" i="15"/>
  <c r="AI257" i="15"/>
  <c r="BE396" i="15"/>
  <c r="BE393" i="15"/>
  <c r="AT391" i="15"/>
  <c r="AS194" i="15"/>
  <c r="AS394" i="15"/>
  <c r="AS178" i="15"/>
  <c r="BD393" i="15"/>
  <c r="BD396" i="15"/>
  <c r="BH413" i="15"/>
  <c r="BC374" i="15"/>
  <c r="AQ403" i="15"/>
  <c r="AQ404" i="15" s="1"/>
  <c r="AQ134" i="15" s="1"/>
  <c r="AQ170" i="15"/>
  <c r="BD413" i="15"/>
  <c r="BD414" i="15" s="1"/>
  <c r="BC334" i="15"/>
  <c r="AO177" i="15"/>
  <c r="AP291" i="15"/>
  <c r="AO294" i="15"/>
  <c r="BH396" i="15"/>
  <c r="BH393" i="15"/>
  <c r="BE333" i="15"/>
  <c r="BE334" i="15" s="1"/>
  <c r="BJ369" i="15"/>
  <c r="BJ409" i="15"/>
  <c r="BJ329" i="15"/>
  <c r="BJ389" i="15"/>
  <c r="AZ396" i="15"/>
  <c r="AZ393" i="15"/>
  <c r="AN169" i="15"/>
  <c r="AN297" i="15"/>
  <c r="BE376" i="15"/>
  <c r="BE377" i="15" s="1"/>
  <c r="BE379" i="15" s="1"/>
  <c r="BE373" i="15"/>
  <c r="BE374" i="15" s="1"/>
  <c r="BD373" i="15"/>
  <c r="BD374" i="15"/>
  <c r="BD376" i="15"/>
  <c r="BD377" i="15" s="1"/>
  <c r="AP344" i="15"/>
  <c r="AO347" i="15"/>
  <c r="AO195" i="15"/>
  <c r="AO349" i="15"/>
  <c r="BE380" i="15"/>
  <c r="BE383" i="15" s="1"/>
  <c r="BJ396" i="15"/>
  <c r="BJ393" i="15"/>
  <c r="AO169" i="15"/>
  <c r="AO297" i="15"/>
  <c r="AO296" i="15"/>
  <c r="BC336" i="15"/>
  <c r="BC337" i="15"/>
  <c r="BH414" i="15"/>
  <c r="BJ333" i="15"/>
  <c r="BC382" i="15"/>
  <c r="AQ344" i="15"/>
  <c r="AP347" i="15"/>
  <c r="AP195" i="15"/>
  <c r="AQ291" i="15"/>
  <c r="AP294" i="15"/>
  <c r="AP177" i="15"/>
  <c r="BF253" i="15"/>
  <c r="BG245" i="15"/>
  <c r="BF248" i="15"/>
  <c r="BJ376" i="15"/>
  <c r="BJ373" i="15"/>
  <c r="AU391" i="15"/>
  <c r="AV391" i="15"/>
  <c r="BG248" i="15"/>
  <c r="AP169" i="15"/>
  <c r="AP297" i="15"/>
  <c r="AP298" i="15" s="1"/>
  <c r="AP296" i="15"/>
  <c r="BH245" i="15"/>
  <c r="AP349" i="15"/>
  <c r="AO298" i="15"/>
  <c r="AO127" i="15" s="1"/>
  <c r="AQ177" i="15"/>
  <c r="AR344" i="15"/>
  <c r="AQ347" i="15"/>
  <c r="AQ195" i="15"/>
  <c r="AQ349" i="15"/>
  <c r="AP127" i="15"/>
  <c r="AS344" i="15"/>
  <c r="AR195" i="15"/>
  <c r="BH253" i="15"/>
  <c r="BI245" i="15"/>
  <c r="BH248" i="15"/>
  <c r="BI253" i="15"/>
  <c r="BJ245" i="15"/>
  <c r="AT344" i="15"/>
  <c r="AS347" i="15"/>
  <c r="AU344" i="15"/>
  <c r="AT347" i="15"/>
  <c r="AS349" i="15"/>
  <c r="AT349" i="15"/>
  <c r="BM47" i="15"/>
  <c r="BN47" i="15"/>
  <c r="BO47" i="15"/>
  <c r="BO262" i="15" s="1"/>
  <c r="BP47" i="15"/>
  <c r="CA39" i="77"/>
  <c r="BY39" i="77"/>
  <c r="CB39" i="77" s="1"/>
  <c r="BX39" i="77" s="1"/>
  <c r="CA91" i="77"/>
  <c r="BY91" i="77"/>
  <c r="CB91" i="77" s="1"/>
  <c r="BX91" i="77" s="1"/>
  <c r="CC91" i="77" s="1"/>
  <c r="CA40" i="77"/>
  <c r="CA38" i="77"/>
  <c r="CA87" i="77"/>
  <c r="BY87" i="77" s="1"/>
  <c r="CB87" i="77" s="1"/>
  <c r="BX87" i="77" s="1"/>
  <c r="CA90" i="77"/>
  <c r="BY90" i="77" s="1"/>
  <c r="CB90" i="77" s="1"/>
  <c r="BX90" i="77" s="1"/>
  <c r="CA36" i="77"/>
  <c r="CA89" i="77"/>
  <c r="BY89" i="77" s="1"/>
  <c r="CB89" i="77" s="1"/>
  <c r="BX89" i="77" s="1"/>
  <c r="CC89" i="77" s="1"/>
  <c r="BY80" i="77"/>
  <c r="BO223" i="15"/>
  <c r="BX53" i="77"/>
  <c r="BP276" i="15"/>
  <c r="BO94" i="15"/>
  <c r="CL111" i="77"/>
  <c r="CT110" i="77"/>
  <c r="CV110" i="77"/>
  <c r="BX106" i="77"/>
  <c r="CT109" i="77"/>
  <c r="CC108" i="77"/>
  <c r="CK110" i="77"/>
  <c r="CS108" i="77"/>
  <c r="BY106" i="77"/>
  <c r="CD110" i="77"/>
  <c r="CF110" i="77"/>
  <c r="CA111" i="77"/>
  <c r="CS106" i="77"/>
  <c r="CH109" i="77"/>
  <c r="CV111" i="77"/>
  <c r="CJ108" i="77"/>
  <c r="BY111" i="77"/>
  <c r="CP107" i="77"/>
  <c r="CE110" i="77"/>
  <c r="CB110" i="77"/>
  <c r="CA107" i="77"/>
  <c r="CU111" i="77"/>
  <c r="CD108" i="77"/>
  <c r="CN107" i="77"/>
  <c r="CC110" i="77"/>
  <c r="CP106" i="77"/>
  <c r="CE109" i="77"/>
  <c r="CS111" i="77"/>
  <c r="CK108" i="77"/>
  <c r="BZ111" i="77"/>
  <c r="CP108" i="77"/>
  <c r="CV106" i="77"/>
  <c r="CR107" i="77"/>
  <c r="CG110" i="77"/>
  <c r="BX118" i="77" s="1"/>
  <c r="BZ118" i="77"/>
  <c r="CN111" i="77"/>
  <c r="CB108" i="77"/>
  <c r="CP110" i="77"/>
  <c r="CH107" i="77"/>
  <c r="CF109" i="77"/>
  <c r="CT111" i="77"/>
  <c r="BN118" i="15"/>
  <c r="BO243" i="15"/>
  <c r="BP243" i="15"/>
  <c r="CM110" i="77"/>
  <c r="BY108" i="77"/>
  <c r="CA106" i="77"/>
  <c r="CI109" i="77"/>
  <c r="CT106" i="77"/>
  <c r="BZ109" i="77"/>
  <c r="CK106" i="77"/>
  <c r="CE111" i="77"/>
  <c r="CR109" i="77"/>
  <c r="CD107" i="77"/>
  <c r="CL110" i="77"/>
  <c r="BX108" i="77"/>
  <c r="CJ111" i="77"/>
  <c r="CU108" i="77"/>
  <c r="CG106" i="77"/>
  <c r="CM107" i="77"/>
  <c r="CK109" i="77"/>
  <c r="CL108" i="77"/>
  <c r="CI111" i="77"/>
  <c r="BX109" i="77"/>
  <c r="CI106" i="77"/>
  <c r="BX114" i="77"/>
  <c r="BZ114" i="77" s="1"/>
  <c r="CQ109" i="77"/>
  <c r="CC107" i="77"/>
  <c r="CO110" i="77"/>
  <c r="CA108" i="77"/>
  <c r="CR106" i="77"/>
  <c r="BX110" i="77"/>
  <c r="CJ109" i="77"/>
  <c r="CB111" i="77"/>
  <c r="CF106" i="77"/>
  <c r="CM109" i="77"/>
  <c r="CQ111" i="77"/>
  <c r="CV108" i="77"/>
  <c r="CI107" i="77"/>
  <c r="BZ108" i="77"/>
  <c r="CN110" i="77"/>
  <c r="BQ276" i="15"/>
  <c r="BM115" i="15"/>
  <c r="BM117" i="15" s="1"/>
  <c r="CV109" i="77"/>
  <c r="CG111" i="77"/>
  <c r="CR108" i="77"/>
  <c r="CD106" i="77"/>
  <c r="CI108" i="77"/>
  <c r="CO109" i="77"/>
  <c r="CN106" i="77"/>
  <c r="CP111" i="77"/>
  <c r="CB109" i="77"/>
  <c r="CM106" i="77"/>
  <c r="CU109" i="77"/>
  <c r="CG107" i="77"/>
  <c r="CS110" i="77"/>
  <c r="CE108" i="77"/>
  <c r="CB106" i="77"/>
  <c r="CS109" i="77"/>
  <c r="CJ106" i="77"/>
  <c r="CG109" i="77"/>
  <c r="CU110" i="77"/>
  <c r="CG108" i="77"/>
  <c r="CO111" i="77"/>
  <c r="CA109" i="77"/>
  <c r="CL106" i="77"/>
  <c r="BY110" i="77"/>
  <c r="CJ107" i="77"/>
  <c r="CT108" i="77"/>
  <c r="CU107" i="77"/>
  <c r="CU106" i="77"/>
  <c r="CM108" i="77"/>
  <c r="CH111" i="77"/>
  <c r="BY107" i="77"/>
  <c r="CQ110" i="77"/>
  <c r="CH106" i="77"/>
  <c r="CF108" i="77"/>
  <c r="CD109" i="77"/>
  <c r="CL107" i="77"/>
  <c r="CD111" i="77"/>
  <c r="CO108" i="77"/>
  <c r="CQ106" i="77"/>
  <c r="BZ110" i="77"/>
  <c r="CK107" i="77"/>
  <c r="BX111" i="77"/>
  <c r="CP109" i="77"/>
  <c r="CB107" i="77"/>
  <c r="CC109" i="77"/>
  <c r="CM111" i="77"/>
  <c r="CI110" i="77"/>
  <c r="CT107" i="77"/>
  <c r="CC111" i="77"/>
  <c r="CN108" i="77"/>
  <c r="BZ106" i="77"/>
  <c r="CL109" i="77"/>
  <c r="BX107" i="77"/>
  <c r="CJ110" i="77"/>
  <c r="CE107" i="77"/>
  <c r="CQ107" i="77"/>
  <c r="CR110" i="77"/>
  <c r="CN109" i="77"/>
  <c r="BZ107" i="77"/>
  <c r="CH110" i="77"/>
  <c r="CS107" i="77"/>
  <c r="CF111" i="77"/>
  <c r="CQ108" i="77"/>
  <c r="CC106" i="77"/>
  <c r="CH108" i="77"/>
  <c r="CO107" i="77"/>
  <c r="BY109" i="77"/>
  <c r="CE106" i="77"/>
  <c r="CV107" i="77"/>
  <c r="CK111" i="77"/>
  <c r="CF107" i="77"/>
  <c r="CR111" i="77"/>
  <c r="CA110" i="77"/>
  <c r="BX51" i="77"/>
  <c r="CC37" i="77"/>
  <c r="BX23" i="77"/>
  <c r="BX29" i="77"/>
  <c r="BX15" i="77"/>
  <c r="BN262" i="15"/>
  <c r="CC90" i="77"/>
  <c r="BN95" i="15"/>
  <c r="CC88" i="77"/>
  <c r="BY40" i="77"/>
  <c r="CB40" i="77" s="1"/>
  <c r="BX40" i="77" s="1"/>
  <c r="BZ119" i="77"/>
  <c r="BW91" i="77"/>
  <c r="BX116" i="77"/>
  <c r="BZ116" i="77"/>
  <c r="BW88" i="77" s="1"/>
  <c r="BL115" i="15"/>
  <c r="BL117" i="15" s="1"/>
  <c r="BM116" i="15"/>
  <c r="BQ116" i="15" s="1"/>
  <c r="BO276" i="15"/>
  <c r="BN94" i="15"/>
  <c r="BB104" i="77"/>
  <c r="BN243" i="15"/>
  <c r="BX76" i="77"/>
  <c r="BY76" i="77" s="1"/>
  <c r="BX75" i="77"/>
  <c r="BY75" i="77" s="1"/>
  <c r="BM95" i="15"/>
  <c r="BX54" i="77"/>
  <c r="BW37" i="77"/>
  <c r="BB83" i="77" s="1"/>
  <c r="BM94" i="15"/>
  <c r="BM276" i="15" s="1"/>
  <c r="BL116" i="15"/>
  <c r="BK115" i="15"/>
  <c r="BM223" i="15"/>
  <c r="BA101" i="77"/>
  <c r="BO90" i="15" s="1"/>
  <c r="AY83" i="77"/>
  <c r="BX70" i="77"/>
  <c r="BK117" i="15"/>
  <c r="BK223" i="15" s="1"/>
  <c r="AY21" i="77"/>
  <c r="BQ55" i="15" l="1"/>
  <c r="BQ262" i="15" s="1"/>
  <c r="BP57" i="77"/>
  <c r="BW78" i="77" s="1"/>
  <c r="BY78" i="77" s="1"/>
  <c r="BY49" i="73"/>
  <c r="BY50" i="73" s="1"/>
  <c r="BY36" i="77"/>
  <c r="CB36" i="77" s="1"/>
  <c r="BX36" i="77" s="1"/>
  <c r="BX115" i="77"/>
  <c r="BZ115" i="77" s="1"/>
  <c r="BH373" i="15"/>
  <c r="BH376" i="15"/>
  <c r="BH334" i="15"/>
  <c r="BI331" i="15"/>
  <c r="BF10" i="46"/>
  <c r="BF14" i="72"/>
  <c r="R36" i="51"/>
  <c r="R31" i="51"/>
  <c r="R37" i="51" s="1"/>
  <c r="R70" i="46" s="1"/>
  <c r="AA251" i="15"/>
  <c r="AC250" i="15"/>
  <c r="AS333" i="15"/>
  <c r="AT69" i="46"/>
  <c r="CJ87" i="59"/>
  <c r="BA183" i="72"/>
  <c r="BD183" i="72"/>
  <c r="CM87" i="59"/>
  <c r="Z311" i="15"/>
  <c r="Z128" i="15" s="1"/>
  <c r="Z364" i="15"/>
  <c r="Z132" i="15" s="1"/>
  <c r="AC362" i="15"/>
  <c r="AI402" i="15"/>
  <c r="AM394" i="15"/>
  <c r="BI60" i="51"/>
  <c r="W35" i="15"/>
  <c r="W41" i="15" s="1"/>
  <c r="W68" i="46" s="1"/>
  <c r="W40" i="15"/>
  <c r="AY60" i="51"/>
  <c r="AE336" i="15"/>
  <c r="AE337" i="15"/>
  <c r="AD31" i="51"/>
  <c r="AD37" i="51" s="1"/>
  <c r="AD70" i="46" s="1"/>
  <c r="AD36" i="51"/>
  <c r="BG222" i="15"/>
  <c r="BP120" i="46"/>
  <c r="BP55" i="51"/>
  <c r="CI11" i="59"/>
  <c r="AZ87" i="46" s="1"/>
  <c r="CI36" i="59"/>
  <c r="AC126" i="15"/>
  <c r="Y397" i="15"/>
  <c r="AC396" i="15"/>
  <c r="AF230" i="15"/>
  <c r="AF231" i="15" s="1"/>
  <c r="AF236" i="15" s="1"/>
  <c r="BJ495" i="15"/>
  <c r="CS112" i="59"/>
  <c r="BQ388" i="15"/>
  <c r="BB98" i="46"/>
  <c r="BP198" i="72"/>
  <c r="BP57" i="51"/>
  <c r="BQ57" i="51" s="1"/>
  <c r="AQ206" i="72"/>
  <c r="AQ208" i="72" s="1"/>
  <c r="AQ98" i="46"/>
  <c r="AQ64" i="51"/>
  <c r="AR64" i="51" s="1"/>
  <c r="BE115" i="72"/>
  <c r="BD115" i="72"/>
  <c r="AY112" i="72"/>
  <c r="CB220" i="15"/>
  <c r="CB226" i="15" s="1"/>
  <c r="CB205" i="15"/>
  <c r="BC55" i="51"/>
  <c r="BC120" i="46"/>
  <c r="AR473" i="15"/>
  <c r="AN473" i="15"/>
  <c r="AM473" i="15"/>
  <c r="BB388" i="15"/>
  <c r="AT21" i="46"/>
  <c r="AT20" i="51"/>
  <c r="BG200" i="72"/>
  <c r="BF88" i="72"/>
  <c r="BA77" i="72"/>
  <c r="T112" i="59"/>
  <c r="T10" i="59"/>
  <c r="AM316" i="15"/>
  <c r="O112" i="59"/>
  <c r="O11" i="59"/>
  <c r="P36" i="59"/>
  <c r="P10" i="59"/>
  <c r="AC36" i="59"/>
  <c r="AC10" i="59"/>
  <c r="AC12" i="59" s="1"/>
  <c r="AE10" i="59"/>
  <c r="AE12" i="59" s="1"/>
  <c r="AE87" i="59"/>
  <c r="R36" i="59"/>
  <c r="CC10" i="59"/>
  <c r="CC12" i="59" s="1"/>
  <c r="CC36" i="59"/>
  <c r="Z87" i="59"/>
  <c r="Z10" i="59"/>
  <c r="Z12" i="59" s="1"/>
  <c r="AW388" i="15"/>
  <c r="AS396" i="15"/>
  <c r="AP234" i="15"/>
  <c r="AP233" i="15"/>
  <c r="N112" i="59"/>
  <c r="N11" i="59"/>
  <c r="BM206" i="72"/>
  <c r="AL20" i="51"/>
  <c r="AL21" i="46"/>
  <c r="AU31" i="51"/>
  <c r="AU37" i="51" s="1"/>
  <c r="AU70" i="46" s="1"/>
  <c r="AU36" i="51"/>
  <c r="AH42" i="46"/>
  <c r="AH48" i="46"/>
  <c r="BD130" i="72"/>
  <c r="BE130" i="72"/>
  <c r="AY129" i="72"/>
  <c r="AY13" i="72" s="1"/>
  <c r="BD496" i="15"/>
  <c r="CM112" i="59"/>
  <c r="CL112" i="59"/>
  <c r="BC496" i="15"/>
  <c r="AX20" i="72"/>
  <c r="BC142" i="72"/>
  <c r="BB142" i="72"/>
  <c r="BB143" i="72" s="1"/>
  <c r="AT105" i="46"/>
  <c r="AW102" i="46"/>
  <c r="AH103" i="46"/>
  <c r="CZ55" i="71"/>
  <c r="E42" i="46"/>
  <c r="E48" i="46"/>
  <c r="Y20" i="51"/>
  <c r="Y21" i="46"/>
  <c r="AM120" i="46"/>
  <c r="DE47" i="71"/>
  <c r="AM77" i="46"/>
  <c r="AM76" i="46" s="1"/>
  <c r="DE45" i="71" s="1"/>
  <c r="AA53" i="51"/>
  <c r="AC51" i="51"/>
  <c r="AL27" i="46"/>
  <c r="AP20" i="51"/>
  <c r="AP21" i="46"/>
  <c r="AH102" i="46"/>
  <c r="AX156" i="72"/>
  <c r="AY158" i="72"/>
  <c r="S87" i="59"/>
  <c r="S10" i="59"/>
  <c r="S12" i="59" s="1"/>
  <c r="BP173" i="72"/>
  <c r="BP200" i="72" s="1"/>
  <c r="BP206" i="72" s="1"/>
  <c r="BD87" i="59"/>
  <c r="CD11" i="59"/>
  <c r="CD87" i="59"/>
  <c r="BH183" i="72"/>
  <c r="CQ87" i="59"/>
  <c r="BB36" i="59"/>
  <c r="BB10" i="59"/>
  <c r="BN182" i="72"/>
  <c r="CW87" i="59"/>
  <c r="BA43" i="51"/>
  <c r="AO10" i="59"/>
  <c r="AO36" i="59"/>
  <c r="AM10" i="59"/>
  <c r="AM87" i="59"/>
  <c r="AY174" i="72"/>
  <c r="BA112" i="59"/>
  <c r="BM491" i="15"/>
  <c r="AR112" i="59"/>
  <c r="BD491" i="15"/>
  <c r="U27" i="46"/>
  <c r="U23" i="46"/>
  <c r="X124" i="46"/>
  <c r="CP62" i="71" s="1"/>
  <c r="CO62" i="71"/>
  <c r="W62" i="51"/>
  <c r="W129" i="46"/>
  <c r="X129" i="46" s="1"/>
  <c r="AO32" i="46"/>
  <c r="AO28" i="46"/>
  <c r="BK230" i="15"/>
  <c r="BK227" i="15"/>
  <c r="BK116" i="15"/>
  <c r="BK262" i="15" s="1"/>
  <c r="BJ115" i="15"/>
  <c r="BK118" i="15"/>
  <c r="BW40" i="77"/>
  <c r="CC40" i="77"/>
  <c r="BW90" i="77"/>
  <c r="AV397" i="15"/>
  <c r="AW391" i="15"/>
  <c r="AV178" i="15"/>
  <c r="AV194" i="15"/>
  <c r="BA409" i="15"/>
  <c r="BA389" i="15"/>
  <c r="BI329" i="15"/>
  <c r="BI389" i="15"/>
  <c r="BI409" i="15"/>
  <c r="BI369" i="15"/>
  <c r="BF174" i="46"/>
  <c r="BE194" i="46"/>
  <c r="Z164" i="15"/>
  <c r="Z166" i="15" s="1"/>
  <c r="Z170" i="15"/>
  <c r="Z237" i="15"/>
  <c r="Z238" i="15" s="1"/>
  <c r="Z123" i="15" s="1"/>
  <c r="BK182" i="72"/>
  <c r="CT87" i="59"/>
  <c r="BE182" i="72"/>
  <c r="CN11" i="59"/>
  <c r="BE87" i="46" s="1"/>
  <c r="CN87" i="59"/>
  <c r="AU333" i="15"/>
  <c r="AU334" i="15" s="1"/>
  <c r="AU336" i="15" s="1"/>
  <c r="AU337" i="15"/>
  <c r="CC87" i="77"/>
  <c r="BW87" i="77"/>
  <c r="BJ413" i="15"/>
  <c r="BJ414" i="15" s="1"/>
  <c r="BJ416" i="15"/>
  <c r="BJ417" i="15" s="1"/>
  <c r="BN109" i="15"/>
  <c r="BI110" i="15"/>
  <c r="BI355" i="15" s="1"/>
  <c r="BI112" i="15"/>
  <c r="AZ333" i="15"/>
  <c r="AZ334" i="15" s="1"/>
  <c r="AZ336" i="15" s="1"/>
  <c r="AA337" i="15"/>
  <c r="AA171" i="15"/>
  <c r="AA336" i="15"/>
  <c r="AA338" i="15" s="1"/>
  <c r="AA131" i="15" s="1"/>
  <c r="AC334" i="15"/>
  <c r="BO72" i="15"/>
  <c r="BO76" i="15"/>
  <c r="BO222" i="15" s="1"/>
  <c r="BO230" i="15" s="1"/>
  <c r="BM262" i="15"/>
  <c r="BP89" i="15"/>
  <c r="BB21" i="77"/>
  <c r="AZ101" i="77"/>
  <c r="BN90" i="15" s="1"/>
  <c r="BN76" i="15" s="1"/>
  <c r="BN222" i="15" s="1"/>
  <c r="AY101" i="77"/>
  <c r="BB101" i="77"/>
  <c r="BP90" i="15" s="1"/>
  <c r="AY104" i="77"/>
  <c r="BP104" i="77" s="1"/>
  <c r="AZ104" i="77"/>
  <c r="BA104" i="77"/>
  <c r="BX17" i="77"/>
  <c r="BX19" i="77" s="1"/>
  <c r="BX74" i="77"/>
  <c r="BY74" i="77" s="1"/>
  <c r="BX31" i="77"/>
  <c r="BX30" i="77" s="1"/>
  <c r="BX25" i="77"/>
  <c r="BX24" i="77" s="1"/>
  <c r="BY38" i="77"/>
  <c r="CB38" i="77" s="1"/>
  <c r="BX38" i="77" s="1"/>
  <c r="BX117" i="77"/>
  <c r="BZ117" i="77" s="1"/>
  <c r="BW89" i="77" s="1"/>
  <c r="CC39" i="77"/>
  <c r="BW39" i="77"/>
  <c r="BN72" i="15"/>
  <c r="AV344" i="15"/>
  <c r="AU347" i="15"/>
  <c r="BE420" i="15"/>
  <c r="BE423" i="15" s="1"/>
  <c r="AN349" i="15"/>
  <c r="AR347" i="15"/>
  <c r="Y238" i="15"/>
  <c r="Y123" i="15" s="1"/>
  <c r="CU31" i="59"/>
  <c r="CP34" i="59"/>
  <c r="CP11" i="59" s="1"/>
  <c r="BA83" i="77"/>
  <c r="BL118" i="15"/>
  <c r="BM118" i="15"/>
  <c r="BP223" i="15"/>
  <c r="BK245" i="15"/>
  <c r="BJ253" i="15"/>
  <c r="BE382" i="15"/>
  <c r="BE384" i="15" s="1"/>
  <c r="BE133" i="15" s="1"/>
  <c r="AT394" i="15"/>
  <c r="AT397" i="15"/>
  <c r="AT194" i="15"/>
  <c r="AT178" i="15"/>
  <c r="BD416" i="15"/>
  <c r="BD417" i="15" s="1"/>
  <c r="BD419" i="15" s="1"/>
  <c r="AA170" i="15"/>
  <c r="AA237" i="15"/>
  <c r="AA238" i="15" s="1"/>
  <c r="AA123" i="15" s="1"/>
  <c r="AV333" i="15"/>
  <c r="AV334" i="15" s="1"/>
  <c r="AV336" i="15" s="1"/>
  <c r="AV337" i="15"/>
  <c r="S31" i="51"/>
  <c r="S37" i="51" s="1"/>
  <c r="CO87" i="59"/>
  <c r="BF182" i="72"/>
  <c r="AT336" i="15"/>
  <c r="AT337" i="15"/>
  <c r="AB399" i="15"/>
  <c r="AB402" i="15"/>
  <c r="AB404" i="15" s="1"/>
  <c r="AB134" i="15" s="1"/>
  <c r="AK234" i="15"/>
  <c r="AK233" i="15"/>
  <c r="AM228" i="15"/>
  <c r="AN252" i="72"/>
  <c r="AM259" i="72"/>
  <c r="AK270" i="15"/>
  <c r="AM267" i="15"/>
  <c r="AK269" i="15"/>
  <c r="AU394" i="15"/>
  <c r="AU402" i="15" s="1"/>
  <c r="AU397" i="15"/>
  <c r="AU194" i="15"/>
  <c r="AU178" i="15"/>
  <c r="BD379" i="15"/>
  <c r="BE337" i="15"/>
  <c r="BE336" i="15"/>
  <c r="BE338" i="15" s="1"/>
  <c r="BE131" i="15" s="1"/>
  <c r="DE91" i="73"/>
  <c r="DD92" i="73"/>
  <c r="AZ413" i="15"/>
  <c r="BE416" i="15"/>
  <c r="BE417" i="15" s="1"/>
  <c r="BE419" i="15" s="1"/>
  <c r="AV393" i="15"/>
  <c r="AW393" i="15" s="1"/>
  <c r="BC413" i="15"/>
  <c r="BC416" i="15"/>
  <c r="Z258" i="15"/>
  <c r="Z124" i="15" s="1"/>
  <c r="BC182" i="72"/>
  <c r="CL11" i="59"/>
  <c r="BC87" i="46" s="1"/>
  <c r="BG87" i="46" s="1"/>
  <c r="BI182" i="72"/>
  <c r="CR87" i="59"/>
  <c r="AM293" i="15"/>
  <c r="AM297" i="15"/>
  <c r="AO403" i="15"/>
  <c r="AC234" i="15"/>
  <c r="Z253" i="15"/>
  <c r="AC251" i="15"/>
  <c r="BB182" i="72"/>
  <c r="CK11" i="59"/>
  <c r="BB53" i="71"/>
  <c r="BQ20" i="73"/>
  <c r="N25" i="51"/>
  <c r="N29" i="51" s="1"/>
  <c r="N21" i="51"/>
  <c r="N24" i="71" s="1"/>
  <c r="BM89" i="15"/>
  <c r="AZ83" i="77"/>
  <c r="BN276" i="15"/>
  <c r="AQ294" i="15"/>
  <c r="AR291" i="15"/>
  <c r="BC338" i="15"/>
  <c r="BC131" i="15" s="1"/>
  <c r="BD382" i="15"/>
  <c r="BD380" i="15"/>
  <c r="BD383" i="15" s="1"/>
  <c r="BD422" i="15"/>
  <c r="BD420" i="15"/>
  <c r="BD423" i="15" s="1"/>
  <c r="AI258" i="15"/>
  <c r="AI124" i="15" s="1"/>
  <c r="AZ225" i="15"/>
  <c r="BA225" i="15"/>
  <c r="AY422" i="15"/>
  <c r="AY424" i="15" s="1"/>
  <c r="AY135" i="15" s="1"/>
  <c r="AY420" i="15"/>
  <c r="AY423" i="15" s="1"/>
  <c r="AY419" i="15"/>
  <c r="BC380" i="15"/>
  <c r="AT357" i="15"/>
  <c r="AS195" i="15"/>
  <c r="AJ248" i="15"/>
  <c r="AJ251" i="15"/>
  <c r="AK245" i="15"/>
  <c r="AJ186" i="15"/>
  <c r="AY278" i="15"/>
  <c r="BB109" i="15"/>
  <c r="BA112" i="15"/>
  <c r="BA329" i="15" s="1"/>
  <c r="BF109" i="15"/>
  <c r="BA110" i="15"/>
  <c r="BA355" i="15" s="1"/>
  <c r="BB355" i="15" s="1"/>
  <c r="AC270" i="15"/>
  <c r="AC271" i="15" s="1"/>
  <c r="Z271" i="15"/>
  <c r="Z125" i="15" s="1"/>
  <c r="AC125" i="15" s="1"/>
  <c r="BJ182" i="72"/>
  <c r="CS87" i="59"/>
  <c r="AM60" i="71"/>
  <c r="AU237" i="15"/>
  <c r="AU238" i="15" s="1"/>
  <c r="AU123" i="15" s="1"/>
  <c r="BD207" i="15"/>
  <c r="BE207" i="15" s="1"/>
  <c r="E71" i="46"/>
  <c r="AL337" i="15"/>
  <c r="AL336" i="15"/>
  <c r="AL338" i="15" s="1"/>
  <c r="AL131" i="15" s="1"/>
  <c r="AX183" i="72"/>
  <c r="CG87" i="59"/>
  <c r="CH87" i="59"/>
  <c r="AY183" i="72"/>
  <c r="CH10" i="59"/>
  <c r="AC341" i="15"/>
  <c r="AC61" i="15"/>
  <c r="AC328" i="15"/>
  <c r="AC354" i="15"/>
  <c r="AU254" i="15"/>
  <c r="AU256" i="15"/>
  <c r="AG42" i="46"/>
  <c r="AG48" i="46"/>
  <c r="Y209" i="72"/>
  <c r="Y211" i="72" s="1"/>
  <c r="Z209" i="72" s="1"/>
  <c r="AC209" i="72"/>
  <c r="AC211" i="72" s="1"/>
  <c r="AW25" i="51"/>
  <c r="AW29" i="51" s="1"/>
  <c r="AW21" i="51"/>
  <c r="AW24" i="71" s="1"/>
  <c r="AM102" i="46"/>
  <c r="AK105" i="46"/>
  <c r="Y402" i="15"/>
  <c r="AJ400" i="15"/>
  <c r="AJ403" i="15" s="1"/>
  <c r="AJ404" i="15" s="1"/>
  <c r="AJ134" i="15" s="1"/>
  <c r="AC10" i="71"/>
  <c r="AP393" i="15"/>
  <c r="AP396" i="15"/>
  <c r="Q105" i="46"/>
  <c r="AJ21" i="46"/>
  <c r="AJ20" i="51"/>
  <c r="CG11" i="59"/>
  <c r="AX87" i="46" s="1"/>
  <c r="Y253" i="15"/>
  <c r="Y256" i="15"/>
  <c r="Y254" i="15"/>
  <c r="AI230" i="15"/>
  <c r="AM222" i="15"/>
  <c r="AI400" i="15"/>
  <c r="AI399" i="15"/>
  <c r="BK456" i="15"/>
  <c r="BG456" i="15"/>
  <c r="AW508" i="15"/>
  <c r="AR63" i="51"/>
  <c r="AP67" i="51"/>
  <c r="AP69" i="51" s="1"/>
  <c r="BJ52" i="51"/>
  <c r="BL52" i="51" s="1"/>
  <c r="BL114" i="46"/>
  <c r="L71" i="46"/>
  <c r="AG20" i="51"/>
  <c r="AG21" i="46"/>
  <c r="AX137" i="72"/>
  <c r="BB139" i="72"/>
  <c r="BC139" i="72"/>
  <c r="N36" i="59"/>
  <c r="N10" i="59"/>
  <c r="N12" i="59" s="1"/>
  <c r="AD87" i="59"/>
  <c r="AD10" i="59"/>
  <c r="AD12" i="59" s="1"/>
  <c r="BL368" i="15"/>
  <c r="BL61" i="15"/>
  <c r="T36" i="59"/>
  <c r="T11" i="59"/>
  <c r="CE10" i="59"/>
  <c r="CE12" i="59" s="1"/>
  <c r="CE36" i="59"/>
  <c r="AL11" i="59"/>
  <c r="AX42" i="51"/>
  <c r="AX102" i="46" s="1"/>
  <c r="AL36" i="59"/>
  <c r="BA10" i="59"/>
  <c r="AG75" i="15"/>
  <c r="AG72" i="15"/>
  <c r="AG68" i="15"/>
  <c r="AH68" i="15" s="1"/>
  <c r="AG60" i="15"/>
  <c r="AH60" i="15" s="1"/>
  <c r="AG59" i="15"/>
  <c r="AG71" i="15"/>
  <c r="AG63" i="15"/>
  <c r="AG67" i="15"/>
  <c r="AG76" i="15"/>
  <c r="AG64" i="15"/>
  <c r="AL112" i="59"/>
  <c r="AX490" i="15"/>
  <c r="AX515" i="15" s="1"/>
  <c r="BB112" i="59"/>
  <c r="BN490" i="15"/>
  <c r="BN515" i="15" s="1"/>
  <c r="BN521" i="15" s="1"/>
  <c r="AI36" i="59"/>
  <c r="AI11" i="59"/>
  <c r="BL37" i="71"/>
  <c r="BQ55" i="46"/>
  <c r="BL55" i="46"/>
  <c r="AS69" i="46"/>
  <c r="AS71" i="46" s="1"/>
  <c r="AS45" i="72"/>
  <c r="H31" i="51"/>
  <c r="H37" i="51" s="1"/>
  <c r="H70" i="46" s="1"/>
  <c r="H36" i="51"/>
  <c r="AM131" i="46"/>
  <c r="AN31" i="51"/>
  <c r="AN37" i="51" s="1"/>
  <c r="AN70" i="46" s="1"/>
  <c r="AN71" i="46" s="1"/>
  <c r="AN36" i="51"/>
  <c r="AP48" i="46"/>
  <c r="AP42" i="46"/>
  <c r="AR53" i="51"/>
  <c r="AT48" i="46"/>
  <c r="AT42" i="46"/>
  <c r="AA48" i="46"/>
  <c r="AA42" i="46"/>
  <c r="AY496" i="15"/>
  <c r="CH112" i="59"/>
  <c r="CA19" i="59"/>
  <c r="BV24" i="59"/>
  <c r="U31" i="51"/>
  <c r="U37" i="51" s="1"/>
  <c r="U70" i="46" s="1"/>
  <c r="U36" i="51"/>
  <c r="AQ27" i="46"/>
  <c r="AC52" i="51"/>
  <c r="AC53" i="51" s="1"/>
  <c r="W27" i="46"/>
  <c r="AW57" i="71"/>
  <c r="AW183" i="46"/>
  <c r="AI20" i="51"/>
  <c r="AI21" i="46"/>
  <c r="AM21" i="46" s="1"/>
  <c r="M135" i="46"/>
  <c r="AY254" i="15"/>
  <c r="AY256" i="15"/>
  <c r="AX218" i="72"/>
  <c r="AX206" i="72"/>
  <c r="BC42" i="51"/>
  <c r="BC102" i="46" s="1"/>
  <c r="AQ36" i="59"/>
  <c r="AQ11" i="59"/>
  <c r="BC82" i="46" s="1"/>
  <c r="BP182" i="72"/>
  <c r="CY87" i="59"/>
  <c r="AB36" i="59"/>
  <c r="AB10" i="59"/>
  <c r="AB12" i="59" s="1"/>
  <c r="CD10" i="59"/>
  <c r="CD12" i="59" s="1"/>
  <c r="CD36" i="59"/>
  <c r="BD11" i="59"/>
  <c r="BP82" i="46" s="1"/>
  <c r="BP122" i="46" s="1"/>
  <c r="BD36" i="59"/>
  <c r="BP491" i="15"/>
  <c r="BP516" i="15" s="1"/>
  <c r="BP521" i="15" s="1"/>
  <c r="BD112" i="59"/>
  <c r="AF27" i="46"/>
  <c r="AR183" i="46"/>
  <c r="AW58" i="71"/>
  <c r="H23" i="46"/>
  <c r="H27" i="46"/>
  <c r="AM59" i="73"/>
  <c r="AM37" i="51"/>
  <c r="AR28" i="46"/>
  <c r="AR220" i="46" s="1"/>
  <c r="DJ23" i="71" s="1"/>
  <c r="AR32" i="46"/>
  <c r="BO112" i="15"/>
  <c r="BO111" i="15"/>
  <c r="BO110" i="15"/>
  <c r="BO355" i="15" s="1"/>
  <c r="AK285" i="15"/>
  <c r="AK126" i="15" s="1"/>
  <c r="AL233" i="15"/>
  <c r="AL236" i="15"/>
  <c r="AL238" i="15" s="1"/>
  <c r="AL123" i="15" s="1"/>
  <c r="AL402" i="15"/>
  <c r="AL400" i="15"/>
  <c r="AL399" i="15"/>
  <c r="CI10" i="59"/>
  <c r="AZ183" i="72"/>
  <c r="CI87" i="59"/>
  <c r="AI270" i="15"/>
  <c r="AI171" i="15"/>
  <c r="AM171" i="15" s="1"/>
  <c r="AI269" i="15"/>
  <c r="Y336" i="15"/>
  <c r="Y171" i="15"/>
  <c r="AC171" i="15" s="1"/>
  <c r="Y337" i="15"/>
  <c r="Y165" i="15"/>
  <c r="AI337" i="15"/>
  <c r="AM337" i="15" s="1"/>
  <c r="AI336" i="15"/>
  <c r="AJ234" i="15"/>
  <c r="AJ233" i="15"/>
  <c r="AC323" i="15"/>
  <c r="AE402" i="15"/>
  <c r="AH99" i="46"/>
  <c r="AH521" i="15"/>
  <c r="AP69" i="46"/>
  <c r="AV21" i="46"/>
  <c r="AV23" i="46" s="1"/>
  <c r="AV20" i="51"/>
  <c r="AK448" i="15"/>
  <c r="AS445" i="15"/>
  <c r="AS447" i="15"/>
  <c r="AT431" i="15"/>
  <c r="BF98" i="46"/>
  <c r="BF64" i="51"/>
  <c r="BG64" i="51" s="1"/>
  <c r="AX30" i="72"/>
  <c r="AT230" i="15"/>
  <c r="AW222" i="15"/>
  <c r="CR112" i="59"/>
  <c r="BI495" i="15"/>
  <c r="BL495" i="15" s="1"/>
  <c r="AV66" i="51"/>
  <c r="AW66" i="51" s="1"/>
  <c r="AE67" i="51"/>
  <c r="AH62" i="51"/>
  <c r="AZ169" i="46"/>
  <c r="BA169" i="46" s="1"/>
  <c r="BB169" i="46" s="1"/>
  <c r="BC169" i="46" s="1"/>
  <c r="BD169" i="46" s="1"/>
  <c r="BE169" i="46" s="1"/>
  <c r="BF169" i="46" s="1"/>
  <c r="BG169" i="46" s="1"/>
  <c r="BH169" i="46" s="1"/>
  <c r="BI169" i="46" s="1"/>
  <c r="BJ169" i="46" s="1"/>
  <c r="BK169" i="46" s="1"/>
  <c r="BL169" i="46" s="1"/>
  <c r="BM169" i="46" s="1"/>
  <c r="BN169" i="46" s="1"/>
  <c r="BO169" i="46" s="1"/>
  <c r="BP169" i="46" s="1"/>
  <c r="BQ169" i="46" s="1"/>
  <c r="AZ51" i="51"/>
  <c r="BB51" i="51" s="1"/>
  <c r="BB113" i="46"/>
  <c r="AF58" i="51"/>
  <c r="AH55" i="51"/>
  <c r="BK115" i="72"/>
  <c r="BF112" i="72"/>
  <c r="BF120" i="72" s="1"/>
  <c r="BD12" i="72"/>
  <c r="AM51" i="51"/>
  <c r="AM53" i="51" s="1"/>
  <c r="AL53" i="51"/>
  <c r="BQ117" i="46"/>
  <c r="BN120" i="46"/>
  <c r="BN55" i="51"/>
  <c r="BO120" i="46"/>
  <c r="BO55" i="51"/>
  <c r="BO58" i="51" s="1"/>
  <c r="BH496" i="15"/>
  <c r="BL496" i="15" s="1"/>
  <c r="CQ112" i="59"/>
  <c r="AD71" i="46"/>
  <c r="AV36" i="59"/>
  <c r="BH42" i="51"/>
  <c r="BH102" i="46" s="1"/>
  <c r="AX124" i="72"/>
  <c r="AX112" i="72"/>
  <c r="BB123" i="72"/>
  <c r="BB124" i="72" s="1"/>
  <c r="BC123" i="72"/>
  <c r="AX129" i="72"/>
  <c r="BO60" i="51"/>
  <c r="BE139" i="72"/>
  <c r="BD139" i="72"/>
  <c r="AY137" i="72"/>
  <c r="AY18" i="72" s="1"/>
  <c r="BQ495" i="15"/>
  <c r="BC521" i="15"/>
  <c r="BN60" i="51"/>
  <c r="CJ36" i="59"/>
  <c r="CJ10" i="59"/>
  <c r="Y36" i="59"/>
  <c r="AN36" i="59"/>
  <c r="AZ43" i="51"/>
  <c r="AZ102" i="46" s="1"/>
  <c r="AN10" i="59"/>
  <c r="U10" i="59"/>
  <c r="U12" i="59" s="1"/>
  <c r="U87" i="59"/>
  <c r="W10" i="59"/>
  <c r="W12" i="59" s="1"/>
  <c r="W87" i="59"/>
  <c r="AR11" i="59"/>
  <c r="BD82" i="46" s="1"/>
  <c r="BD122" i="46" s="1"/>
  <c r="BD490" i="15"/>
  <c r="BD515" i="15" s="1"/>
  <c r="BF40" i="72"/>
  <c r="BF45" i="46"/>
  <c r="BG44" i="46"/>
  <c r="AU45" i="72"/>
  <c r="AU69" i="46"/>
  <c r="AU71" i="46" s="1"/>
  <c r="AC131" i="46"/>
  <c r="CU41" i="71"/>
  <c r="AB21" i="46"/>
  <c r="AB20" i="51"/>
  <c r="AP101" i="46"/>
  <c r="AJ48" i="46"/>
  <c r="AJ42" i="46"/>
  <c r="AN42" i="46"/>
  <c r="AN48" i="46"/>
  <c r="BE159" i="72"/>
  <c r="BD152" i="72"/>
  <c r="AZ496" i="15"/>
  <c r="CI112" i="59"/>
  <c r="BE496" i="15"/>
  <c r="CN112" i="59"/>
  <c r="AR21" i="51"/>
  <c r="AR24" i="71" s="1"/>
  <c r="AR25" i="51"/>
  <c r="AR29" i="51" s="1"/>
  <c r="BQ102" i="46"/>
  <c r="AS36" i="59"/>
  <c r="BE43" i="51"/>
  <c r="BE102" i="46" s="1"/>
  <c r="AT36" i="59"/>
  <c r="BF43" i="51"/>
  <c r="BF102" i="46" s="1"/>
  <c r="AT10" i="59"/>
  <c r="BM182" i="72"/>
  <c r="CV87" i="59"/>
  <c r="R10" i="59"/>
  <c r="R87" i="59"/>
  <c r="BD174" i="72"/>
  <c r="BD201" i="72" s="1"/>
  <c r="BD206" i="72" s="1"/>
  <c r="AR87" i="59"/>
  <c r="AR10" i="59"/>
  <c r="AV198" i="46"/>
  <c r="AV192" i="46"/>
  <c r="AV201" i="46"/>
  <c r="AV195" i="46"/>
  <c r="X50" i="51"/>
  <c r="M27" i="46"/>
  <c r="G42" i="46"/>
  <c r="G48" i="46"/>
  <c r="BM109" i="15"/>
  <c r="AL269" i="15"/>
  <c r="AL270" i="15"/>
  <c r="AB337" i="15"/>
  <c r="AB336" i="15"/>
  <c r="AW69" i="15"/>
  <c r="AE269" i="15"/>
  <c r="AE165" i="15"/>
  <c r="AE171" i="15"/>
  <c r="AE270" i="15"/>
  <c r="AJ270" i="15"/>
  <c r="AJ269" i="15"/>
  <c r="AJ271" i="15" s="1"/>
  <c r="AJ125" i="15" s="1"/>
  <c r="M20" i="51"/>
  <c r="M21" i="46"/>
  <c r="AQ333" i="15"/>
  <c r="AQ334" i="15" s="1"/>
  <c r="AQ336" i="15" s="1"/>
  <c r="AR42" i="51"/>
  <c r="AF334" i="15"/>
  <c r="AE311" i="15"/>
  <c r="AE128" i="15" s="1"/>
  <c r="AS234" i="15"/>
  <c r="AS233" i="15"/>
  <c r="AS236" i="15"/>
  <c r="AF254" i="15"/>
  <c r="AF256" i="15"/>
  <c r="AF253" i="15"/>
  <c r="AP236" i="15"/>
  <c r="AQ31" i="51"/>
  <c r="AQ37" i="51" s="1"/>
  <c r="AQ70" i="46" s="1"/>
  <c r="AQ36" i="51"/>
  <c r="E36" i="51"/>
  <c r="E31" i="51"/>
  <c r="E37" i="51" s="1"/>
  <c r="E70" i="46" s="1"/>
  <c r="AP333" i="15"/>
  <c r="AG57" i="51"/>
  <c r="AG58" i="51" s="1"/>
  <c r="AG198" i="72"/>
  <c r="P31" i="51"/>
  <c r="P37" i="51" s="1"/>
  <c r="P70" i="46" s="1"/>
  <c r="P36" i="51"/>
  <c r="BB112" i="46"/>
  <c r="BA50" i="51"/>
  <c r="BB50" i="51" s="1"/>
  <c r="Z21" i="46"/>
  <c r="Z23" i="46" s="1"/>
  <c r="Z20" i="51"/>
  <c r="BF60" i="51"/>
  <c r="AE399" i="15"/>
  <c r="AE400" i="15"/>
  <c r="AY182" i="72"/>
  <c r="CH11" i="59"/>
  <c r="AY87" i="46" s="1"/>
  <c r="BQ82" i="46"/>
  <c r="BM122" i="46"/>
  <c r="AF397" i="15"/>
  <c r="AE231" i="15"/>
  <c r="BB67" i="73"/>
  <c r="BG66" i="73"/>
  <c r="CO38" i="71"/>
  <c r="BN51" i="51"/>
  <c r="BQ51" i="51" s="1"/>
  <c r="BQ113" i="46"/>
  <c r="BA52" i="51"/>
  <c r="BB52" i="51" s="1"/>
  <c r="BB114" i="46"/>
  <c r="BJ255" i="72"/>
  <c r="BJ112" i="46"/>
  <c r="BK191" i="72"/>
  <c r="CC205" i="15"/>
  <c r="CC220" i="15"/>
  <c r="CC226" i="15" s="1"/>
  <c r="BL302" i="15"/>
  <c r="BL73" i="15"/>
  <c r="AW130" i="72"/>
  <c r="AW132" i="72"/>
  <c r="BK42" i="51"/>
  <c r="AY11" i="59"/>
  <c r="BK82" i="46" s="1"/>
  <c r="BK122" i="46" s="1"/>
  <c r="X102" i="46"/>
  <c r="AN87" i="59"/>
  <c r="AZ173" i="72"/>
  <c r="AZ200" i="72" s="1"/>
  <c r="AZ206" i="72" s="1"/>
  <c r="AN11" i="59"/>
  <c r="AZ82" i="46" s="1"/>
  <c r="AZ122" i="46" s="1"/>
  <c r="AS112" i="59"/>
  <c r="AS11" i="59"/>
  <c r="BE82" i="46" s="1"/>
  <c r="BE122" i="46" s="1"/>
  <c r="BE490" i="15"/>
  <c r="BE515" i="15" s="1"/>
  <c r="BE521" i="15" s="1"/>
  <c r="BD12" i="59"/>
  <c r="BP83" i="46"/>
  <c r="BP123" i="46" s="1"/>
  <c r="BP61" i="51" s="1"/>
  <c r="CG36" i="59"/>
  <c r="CG10" i="59"/>
  <c r="X36" i="59"/>
  <c r="X10" i="59"/>
  <c r="X12" i="59" s="1"/>
  <c r="BL515" i="15"/>
  <c r="BA102" i="46"/>
  <c r="CW32" i="59"/>
  <c r="CX32" i="59"/>
  <c r="CV32" i="59"/>
  <c r="CY32" i="59"/>
  <c r="CP97" i="59"/>
  <c r="CK102" i="59"/>
  <c r="CK112" i="59" s="1"/>
  <c r="DJ41" i="71"/>
  <c r="W21" i="46"/>
  <c r="W20" i="51"/>
  <c r="AB101" i="46"/>
  <c r="AB105" i="46" s="1"/>
  <c r="BF206" i="72"/>
  <c r="CG112" i="59"/>
  <c r="AX496" i="15"/>
  <c r="DJ18" i="71"/>
  <c r="AR63" i="71"/>
  <c r="AR64" i="71" s="1"/>
  <c r="T20" i="51"/>
  <c r="T21" i="46"/>
  <c r="AB23" i="46"/>
  <c r="AB27" i="46"/>
  <c r="CU55" i="71"/>
  <c r="AC103" i="46"/>
  <c r="O135" i="46"/>
  <c r="P133" i="46" s="1"/>
  <c r="P135" i="46" s="1"/>
  <c r="Q133" i="46" s="1"/>
  <c r="Q135" i="46" s="1"/>
  <c r="R133" i="46" s="1"/>
  <c r="R135" i="46" s="1"/>
  <c r="S133" i="46"/>
  <c r="AK36" i="51"/>
  <c r="AK31" i="51"/>
  <c r="AK37" i="51" s="1"/>
  <c r="AK70" i="46" s="1"/>
  <c r="AO234" i="15"/>
  <c r="AO236" i="15"/>
  <c r="AO233" i="15"/>
  <c r="AZ10" i="46"/>
  <c r="AZ14" i="72"/>
  <c r="BD25" i="72"/>
  <c r="BB25" i="72"/>
  <c r="AY87" i="59"/>
  <c r="BK173" i="72"/>
  <c r="BK200" i="72" s="1"/>
  <c r="BK206" i="72" s="1"/>
  <c r="BO183" i="72"/>
  <c r="CX87" i="59"/>
  <c r="CB10" i="59"/>
  <c r="CB12" i="59" s="1"/>
  <c r="CB36" i="59"/>
  <c r="BC10" i="59"/>
  <c r="BO491" i="15"/>
  <c r="BO516" i="15" s="1"/>
  <c r="BO521" i="15" s="1"/>
  <c r="BC112" i="59"/>
  <c r="BA20" i="72"/>
  <c r="BA16" i="46" s="1"/>
  <c r="BF142" i="72"/>
  <c r="BD120" i="46"/>
  <c r="BD55" i="51"/>
  <c r="BD58" i="51" s="1"/>
  <c r="AS28" i="46"/>
  <c r="AV207" i="46" s="1"/>
  <c r="AW207" i="46" s="1"/>
  <c r="AV206" i="46"/>
  <c r="AW206" i="46" s="1"/>
  <c r="AS32" i="46"/>
  <c r="S131" i="46"/>
  <c r="CK41" i="71"/>
  <c r="AC183" i="46"/>
  <c r="AH57" i="71"/>
  <c r="AC57" i="71"/>
  <c r="AC58" i="71"/>
  <c r="R32" i="46"/>
  <c r="U206" i="46"/>
  <c r="R206" i="46"/>
  <c r="S206" i="46" s="1"/>
  <c r="T206" i="46"/>
  <c r="V206" i="46"/>
  <c r="R28" i="46"/>
  <c r="AF57" i="51"/>
  <c r="AH57" i="51" s="1"/>
  <c r="AW456" i="15"/>
  <c r="AW520" i="15"/>
  <c r="AW521" i="15" s="1"/>
  <c r="BO193" i="72"/>
  <c r="BO114" i="46" s="1"/>
  <c r="BO155" i="46" s="1"/>
  <c r="W219" i="72"/>
  <c r="H130" i="72"/>
  <c r="BE40" i="72"/>
  <c r="BA38" i="15"/>
  <c r="BB43" i="71"/>
  <c r="AZ34" i="51"/>
  <c r="BB46" i="46"/>
  <c r="AZ33" i="51"/>
  <c r="BM87" i="59"/>
  <c r="Y40" i="15"/>
  <c r="Y35" i="15"/>
  <c r="Y41" i="15" s="1"/>
  <c r="Y68" i="46" s="1"/>
  <c r="AT40" i="15"/>
  <c r="AT35" i="15"/>
  <c r="AT41" i="15" s="1"/>
  <c r="AT68" i="46" s="1"/>
  <c r="S521" i="15"/>
  <c r="AH490" i="15"/>
  <c r="AL20" i="15"/>
  <c r="AL19" i="46"/>
  <c r="AM19" i="46" s="1"/>
  <c r="AC465" i="15"/>
  <c r="AB467" i="15"/>
  <c r="AC467" i="15" s="1"/>
  <c r="AH513" i="15"/>
  <c r="AH523" i="15" s="1"/>
  <c r="AQ20" i="15"/>
  <c r="AQ19" i="46"/>
  <c r="AR19" i="46" s="1"/>
  <c r="AP473" i="15"/>
  <c r="AO473" i="15"/>
  <c r="AI306" i="15"/>
  <c r="AI307" i="15" s="1"/>
  <c r="AG307" i="15"/>
  <c r="AL306" i="15"/>
  <c r="AE448" i="15"/>
  <c r="AE429" i="15"/>
  <c r="AE342" i="15"/>
  <c r="AD350" i="15"/>
  <c r="AD351" i="15" s="1"/>
  <c r="AD130" i="15" s="1"/>
  <c r="BZ205" i="15"/>
  <c r="BZ220" i="15"/>
  <c r="BZ226" i="15" s="1"/>
  <c r="BZ227" i="15" s="1"/>
  <c r="O473" i="15"/>
  <c r="N473" i="15"/>
  <c r="S473" i="15"/>
  <c r="AB192" i="46"/>
  <c r="AB195" i="46"/>
  <c r="AE200" i="46"/>
  <c r="AE192" i="46" s="1"/>
  <c r="AE130" i="72"/>
  <c r="AH129" i="72"/>
  <c r="AE132" i="72"/>
  <c r="L42" i="51"/>
  <c r="L102" i="46" s="1"/>
  <c r="N102" i="46" s="1"/>
  <c r="L67" i="51"/>
  <c r="N60" i="51"/>
  <c r="I56" i="51"/>
  <c r="I58" i="51" s="1"/>
  <c r="F58" i="51"/>
  <c r="S56" i="51"/>
  <c r="P58" i="51"/>
  <c r="P69" i="51" s="1"/>
  <c r="M48" i="51"/>
  <c r="N503" i="15"/>
  <c r="G53" i="51"/>
  <c r="AK28" i="46"/>
  <c r="AK32" i="46"/>
  <c r="I28" i="46"/>
  <c r="I220" i="46" s="1"/>
  <c r="CA23" i="71" s="1"/>
  <c r="I32" i="46"/>
  <c r="O28" i="46"/>
  <c r="O32" i="46"/>
  <c r="AF113" i="46"/>
  <c r="AE51" i="51"/>
  <c r="AD101" i="46"/>
  <c r="AD105" i="46" s="1"/>
  <c r="AD69" i="51"/>
  <c r="Z42" i="51"/>
  <c r="Z102" i="46" s="1"/>
  <c r="Z105" i="46" s="1"/>
  <c r="AP66" i="51"/>
  <c r="AQ128" i="46"/>
  <c r="AR128" i="46"/>
  <c r="DJ63" i="71" s="1"/>
  <c r="X191" i="46"/>
  <c r="CP11" i="71"/>
  <c r="CP13" i="71" s="1"/>
  <c r="F200" i="46"/>
  <c r="N96" i="72"/>
  <c r="N97" i="72" s="1"/>
  <c r="N94" i="72"/>
  <c r="AI96" i="72"/>
  <c r="AI94" i="72"/>
  <c r="AC13" i="72"/>
  <c r="AB129" i="72"/>
  <c r="AB130" i="72" s="1"/>
  <c r="R140" i="72"/>
  <c r="R62" i="72" s="1"/>
  <c r="S139" i="72"/>
  <c r="AM139" i="72"/>
  <c r="AR140" i="72" s="1"/>
  <c r="AR62" i="72" s="1"/>
  <c r="AR43" i="73" s="1"/>
  <c r="AL140" i="72"/>
  <c r="AL62" i="72" s="1"/>
  <c r="I32" i="72"/>
  <c r="I235" i="72"/>
  <c r="I248" i="72" s="1"/>
  <c r="I28" i="72"/>
  <c r="N20" i="46"/>
  <c r="N23" i="46" s="1"/>
  <c r="N27" i="72"/>
  <c r="S27" i="72"/>
  <c r="S20" i="46"/>
  <c r="S23" i="46" s="1"/>
  <c r="AH28" i="72"/>
  <c r="AH235" i="72"/>
  <c r="AH248" i="72" s="1"/>
  <c r="AH32" i="72"/>
  <c r="AM235" i="72"/>
  <c r="AM248" i="72" s="1"/>
  <c r="AM28" i="72"/>
  <c r="AM32" i="72"/>
  <c r="AO27" i="72"/>
  <c r="AO20" i="46"/>
  <c r="AY52" i="72"/>
  <c r="AZ126" i="72"/>
  <c r="AB86" i="72"/>
  <c r="AB49" i="72" s="1"/>
  <c r="BD116" i="72"/>
  <c r="BB116" i="72"/>
  <c r="BE116" i="72"/>
  <c r="BJ116" i="72" s="1"/>
  <c r="BO116" i="72" s="1"/>
  <c r="T140" i="72"/>
  <c r="T62" i="72" s="1"/>
  <c r="Y140" i="72"/>
  <c r="Y62" i="72" s="1"/>
  <c r="AV63" i="51"/>
  <c r="AU197" i="72"/>
  <c r="BL67" i="15"/>
  <c r="BL69" i="15" s="1"/>
  <c r="BL315" i="15" s="1"/>
  <c r="BD45" i="46"/>
  <c r="BE45" i="46"/>
  <c r="BA331" i="46"/>
  <c r="AZ38" i="15"/>
  <c r="BA37" i="15"/>
  <c r="BC45" i="46"/>
  <c r="BA127" i="46"/>
  <c r="AZ127" i="46"/>
  <c r="DE41" i="71"/>
  <c r="AA115" i="46"/>
  <c r="AA131" i="46" s="1"/>
  <c r="T40" i="15"/>
  <c r="T35" i="15"/>
  <c r="T41" i="15" s="1"/>
  <c r="T68" i="46" s="1"/>
  <c r="BJ288" i="15"/>
  <c r="BJ209" i="15"/>
  <c r="AZ537" i="15"/>
  <c r="BA537" i="15"/>
  <c r="O35" i="15"/>
  <c r="O41" i="15" s="1"/>
  <c r="O68" i="46" s="1"/>
  <c r="O40" i="15"/>
  <c r="AK247" i="15"/>
  <c r="AL247" i="15" s="1"/>
  <c r="V473" i="15"/>
  <c r="X521" i="15"/>
  <c r="M25" i="15"/>
  <c r="M21" i="15"/>
  <c r="AA472" i="15"/>
  <c r="AB473" i="15"/>
  <c r="AB472" i="15" s="1"/>
  <c r="X465" i="15"/>
  <c r="W467" i="15"/>
  <c r="X467" i="15" s="1"/>
  <c r="N23" i="71"/>
  <c r="N557" i="15"/>
  <c r="AO264" i="15"/>
  <c r="AN267" i="15"/>
  <c r="AL275" i="15"/>
  <c r="AK284" i="15"/>
  <c r="BF280" i="15"/>
  <c r="BC280" i="15"/>
  <c r="BH157" i="15"/>
  <c r="BI371" i="15"/>
  <c r="AG192" i="46"/>
  <c r="AG200" i="46"/>
  <c r="AA132" i="72"/>
  <c r="AA130" i="72"/>
  <c r="AR129" i="72"/>
  <c r="AH535" i="15"/>
  <c r="AH538" i="15"/>
  <c r="AH544" i="15"/>
  <c r="AH555" i="15"/>
  <c r="AH541" i="15"/>
  <c r="X508" i="15"/>
  <c r="X550" i="15"/>
  <c r="DO59" i="73"/>
  <c r="DP59" i="73" s="1"/>
  <c r="T473" i="15"/>
  <c r="AB247" i="15"/>
  <c r="AB248" i="15" s="1"/>
  <c r="F32" i="46"/>
  <c r="F28" i="46"/>
  <c r="J32" i="46"/>
  <c r="J28" i="46"/>
  <c r="L28" i="46"/>
  <c r="L32" i="46"/>
  <c r="S28" i="46"/>
  <c r="S220" i="46" s="1"/>
  <c r="CK23" i="71" s="1"/>
  <c r="S32" i="46"/>
  <c r="AI101" i="46"/>
  <c r="AT56" i="51"/>
  <c r="AU118" i="46"/>
  <c r="AT120" i="46"/>
  <c r="AT131" i="46" s="1"/>
  <c r="DE11" i="71"/>
  <c r="DE13" i="71" s="1"/>
  <c r="AM191" i="46"/>
  <c r="N191" i="46"/>
  <c r="CF11" i="71"/>
  <c r="CF13" i="71" s="1"/>
  <c r="AT200" i="46"/>
  <c r="G200" i="46"/>
  <c r="G192" i="46"/>
  <c r="AJ96" i="72"/>
  <c r="AJ97" i="72" s="1"/>
  <c r="AJ94" i="72"/>
  <c r="AO97" i="72"/>
  <c r="W27" i="72"/>
  <c r="W20" i="46"/>
  <c r="W23" i="46" s="1"/>
  <c r="AQ20" i="46"/>
  <c r="AQ27" i="72"/>
  <c r="AC139" i="72"/>
  <c r="AC140" i="72" s="1"/>
  <c r="AC62" i="72" s="1"/>
  <c r="AC43" i="73" s="1"/>
  <c r="AB140" i="72"/>
  <c r="AB62" i="72" s="1"/>
  <c r="AH139" i="72"/>
  <c r="AG140" i="72"/>
  <c r="AG62" i="72" s="1"/>
  <c r="O27" i="72"/>
  <c r="O20" i="46"/>
  <c r="O23" i="46" s="1"/>
  <c r="T32" i="72"/>
  <c r="T28" i="72"/>
  <c r="W235" i="72"/>
  <c r="V27" i="72"/>
  <c r="V20" i="46"/>
  <c r="AI27" i="72"/>
  <c r="AI20" i="46"/>
  <c r="BE84" i="72"/>
  <c r="AY86" i="72"/>
  <c r="BB84" i="72"/>
  <c r="AC115" i="72"/>
  <c r="M116" i="72"/>
  <c r="N116" i="72" s="1"/>
  <c r="M127" i="72"/>
  <c r="M52" i="72" s="1"/>
  <c r="R127" i="72"/>
  <c r="R52" i="72" s="1"/>
  <c r="J140" i="72"/>
  <c r="J62" i="72" s="1"/>
  <c r="N139" i="72"/>
  <c r="N140" i="72" s="1"/>
  <c r="N62" i="72" s="1"/>
  <c r="O140" i="72"/>
  <c r="O62" i="72" s="1"/>
  <c r="U140" i="72"/>
  <c r="U62" i="72" s="1"/>
  <c r="Z140" i="72"/>
  <c r="Z62" i="72" s="1"/>
  <c r="AS183" i="46"/>
  <c r="Q20" i="51"/>
  <c r="Q21" i="46"/>
  <c r="AB297" i="15"/>
  <c r="AB298" i="15" s="1"/>
  <c r="AB127" i="15" s="1"/>
  <c r="AC127" i="15" s="1"/>
  <c r="AB169" i="15"/>
  <c r="AC294" i="15"/>
  <c r="AB163" i="15"/>
  <c r="AB304" i="15"/>
  <c r="AA180" i="15"/>
  <c r="AA182" i="15" s="1"/>
  <c r="AA193" i="15"/>
  <c r="AA191" i="15"/>
  <c r="AA307" i="15"/>
  <c r="AA187" i="15"/>
  <c r="AA188" i="15" s="1"/>
  <c r="AA459" i="15" s="1"/>
  <c r="AG40" i="15"/>
  <c r="AG35" i="15"/>
  <c r="AG41" i="15" s="1"/>
  <c r="AG68" i="46" s="1"/>
  <c r="S97" i="72"/>
  <c r="H40" i="15"/>
  <c r="H35" i="15"/>
  <c r="H41" i="15" s="1"/>
  <c r="H68" i="46" s="1"/>
  <c r="H71" i="46" s="1"/>
  <c r="AC248" i="15"/>
  <c r="AE450" i="15"/>
  <c r="AE451" i="15" s="1"/>
  <c r="T101" i="46"/>
  <c r="T69" i="51"/>
  <c r="BE510" i="15"/>
  <c r="BE74" i="46"/>
  <c r="BE77" i="46" s="1"/>
  <c r="BE117" i="46" s="1"/>
  <c r="BF480" i="15"/>
  <c r="BE280" i="15"/>
  <c r="BJ280" i="15" s="1"/>
  <c r="BO280" i="15" s="1"/>
  <c r="BD280" i="15"/>
  <c r="BI280" i="15" s="1"/>
  <c r="BN280" i="15" s="1"/>
  <c r="AL508" i="15"/>
  <c r="AL523" i="15" s="1"/>
  <c r="AM506" i="15"/>
  <c r="R25" i="15"/>
  <c r="R21" i="15"/>
  <c r="AM111" i="15"/>
  <c r="AM389" i="15" s="1"/>
  <c r="AM112" i="15"/>
  <c r="AM329" i="15" s="1"/>
  <c r="AM110" i="15"/>
  <c r="AM355" i="15" s="1"/>
  <c r="AB183" i="46"/>
  <c r="W77" i="46"/>
  <c r="W76" i="46" s="1"/>
  <c r="CO45" i="71" s="1"/>
  <c r="CO46" i="71" s="1"/>
  <c r="X119" i="46"/>
  <c r="AP130" i="72"/>
  <c r="AP132" i="72"/>
  <c r="CA220" i="15"/>
  <c r="CA226" i="15" s="1"/>
  <c r="CA205" i="15"/>
  <c r="N32" i="46"/>
  <c r="N28" i="46"/>
  <c r="N220" i="46" s="1"/>
  <c r="CF23" i="71" s="1"/>
  <c r="P32" i="46"/>
  <c r="P28" i="46"/>
  <c r="AV112" i="46"/>
  <c r="AU50" i="51"/>
  <c r="V114" i="46"/>
  <c r="W114" i="46" s="1"/>
  <c r="U52" i="51"/>
  <c r="AP76" i="46"/>
  <c r="S183" i="46"/>
  <c r="AH63" i="71"/>
  <c r="G10" i="51"/>
  <c r="G14" i="51"/>
  <c r="G16" i="51" s="1"/>
  <c r="P27" i="72"/>
  <c r="P20" i="46"/>
  <c r="P23" i="46" s="1"/>
  <c r="X32" i="72"/>
  <c r="X28" i="72"/>
  <c r="X235" i="72"/>
  <c r="X248" i="72" s="1"/>
  <c r="AC28" i="72"/>
  <c r="AC235" i="72"/>
  <c r="AC248" i="72" s="1"/>
  <c r="AC32" i="72"/>
  <c r="AE27" i="72"/>
  <c r="AE20" i="46"/>
  <c r="AJ20" i="46"/>
  <c r="AJ23" i="46" s="1"/>
  <c r="AJ27" i="72"/>
  <c r="AR32" i="72"/>
  <c r="AR235" i="72"/>
  <c r="AR248" i="72" s="1"/>
  <c r="AR28" i="72"/>
  <c r="AV32" i="72"/>
  <c r="AV28" i="72"/>
  <c r="AV236" i="72" s="1"/>
  <c r="AG88" i="72"/>
  <c r="AG96" i="72"/>
  <c r="AG97" i="72" s="1"/>
  <c r="AQ86" i="72"/>
  <c r="AQ49" i="72" s="1"/>
  <c r="AV86" i="72"/>
  <c r="AV49" i="72" s="1"/>
  <c r="AQ94" i="72"/>
  <c r="K140" i="72"/>
  <c r="K62" i="72" s="1"/>
  <c r="P140" i="72"/>
  <c r="P62" i="72" s="1"/>
  <c r="AA140" i="72"/>
  <c r="AA62" i="72" s="1"/>
  <c r="V140" i="72"/>
  <c r="V62" i="72" s="1"/>
  <c r="T183" i="46"/>
  <c r="AN183" i="46"/>
  <c r="CU46" i="71"/>
  <c r="AK359" i="15"/>
  <c r="AJ360" i="15"/>
  <c r="AF35" i="15"/>
  <c r="AF41" i="15" s="1"/>
  <c r="AF68" i="46" s="1"/>
  <c r="AF40" i="15"/>
  <c r="AA40" i="15"/>
  <c r="AA35" i="15"/>
  <c r="AA41" i="15" s="1"/>
  <c r="AA68" i="46" s="1"/>
  <c r="AA71" i="46" s="1"/>
  <c r="BA8" i="51"/>
  <c r="BB8" i="51" s="1"/>
  <c r="AZ16" i="51"/>
  <c r="AZ10" i="51"/>
  <c r="AH318" i="15"/>
  <c r="AG321" i="15"/>
  <c r="AQ521" i="15"/>
  <c r="AQ523" i="15" s="1"/>
  <c r="AQ491" i="15"/>
  <c r="AR491" i="15" s="1"/>
  <c r="AR516" i="15"/>
  <c r="AR521" i="15" s="1"/>
  <c r="AR523" i="15" s="1"/>
  <c r="AK484" i="15"/>
  <c r="AK29" i="15"/>
  <c r="AK33" i="15" s="1"/>
  <c r="AM508" i="15"/>
  <c r="U35" i="15"/>
  <c r="U41" i="15" s="1"/>
  <c r="U68" i="46" s="1"/>
  <c r="U71" i="46" s="1"/>
  <c r="U40" i="15"/>
  <c r="AR35" i="15"/>
  <c r="AR40" i="15"/>
  <c r="L508" i="15"/>
  <c r="L523" i="15" s="1"/>
  <c r="M506" i="15"/>
  <c r="M51" i="51" s="1"/>
  <c r="N506" i="15"/>
  <c r="L51" i="51"/>
  <c r="N51" i="51" s="1"/>
  <c r="G40" i="15"/>
  <c r="G35" i="15"/>
  <c r="G41" i="15" s="1"/>
  <c r="G68" i="46" s="1"/>
  <c r="H53" i="51"/>
  <c r="AH40" i="71"/>
  <c r="K94" i="46"/>
  <c r="K36" i="46"/>
  <c r="K40" i="46" s="1"/>
  <c r="AI32" i="46"/>
  <c r="AI28" i="46"/>
  <c r="S55" i="51"/>
  <c r="S58" i="51" s="1"/>
  <c r="Q58" i="51"/>
  <c r="Q69" i="51" s="1"/>
  <c r="N48" i="51"/>
  <c r="N53" i="51" s="1"/>
  <c r="N49" i="51"/>
  <c r="L473" i="15"/>
  <c r="M473" i="15"/>
  <c r="Q28" i="46"/>
  <c r="Q32" i="46"/>
  <c r="Y101" i="46"/>
  <c r="Y105" i="46" s="1"/>
  <c r="Y69" i="51"/>
  <c r="AI58" i="51"/>
  <c r="AI69" i="51" s="1"/>
  <c r="AM56" i="51"/>
  <c r="J200" i="46"/>
  <c r="J201" i="46"/>
  <c r="J198" i="46"/>
  <c r="M20" i="46"/>
  <c r="M23" i="46" s="1"/>
  <c r="M27" i="72"/>
  <c r="AA94" i="72"/>
  <c r="AA96" i="72"/>
  <c r="AA97" i="72" s="1"/>
  <c r="AR155" i="72"/>
  <c r="Q27" i="72"/>
  <c r="Q20" i="46"/>
  <c r="Q23" i="46" s="1"/>
  <c r="AF27" i="72"/>
  <c r="AF20" i="46"/>
  <c r="AF23" i="46" s="1"/>
  <c r="AK27" i="72"/>
  <c r="AK20" i="46"/>
  <c r="AK23" i="46" s="1"/>
  <c r="AB132" i="72"/>
  <c r="Q140" i="72"/>
  <c r="Q62" i="72" s="1"/>
  <c r="L140" i="72"/>
  <c r="L62" i="72" s="1"/>
  <c r="AK10" i="51"/>
  <c r="X218" i="46"/>
  <c r="CP21" i="71" s="1"/>
  <c r="W200" i="46"/>
  <c r="W201" i="46" s="1"/>
  <c r="AY223" i="15"/>
  <c r="AY59" i="15"/>
  <c r="AV96" i="72"/>
  <c r="AV97" i="72" s="1"/>
  <c r="AJ307" i="15"/>
  <c r="AY75" i="15"/>
  <c r="AC360" i="15"/>
  <c r="AY76" i="15"/>
  <c r="AX221" i="15"/>
  <c r="AX59" i="15"/>
  <c r="AX67" i="15"/>
  <c r="Z172" i="15"/>
  <c r="Z191" i="15"/>
  <c r="BD209" i="15"/>
  <c r="BH242" i="15"/>
  <c r="BD242" i="15"/>
  <c r="BI210" i="15"/>
  <c r="BI407" i="15"/>
  <c r="BD328" i="15"/>
  <c r="BL47" i="15"/>
  <c r="AR275" i="72"/>
  <c r="BL105" i="15"/>
  <c r="BL262" i="15"/>
  <c r="BC139" i="15"/>
  <c r="BD139" i="15" s="1"/>
  <c r="BE139" i="15" s="1"/>
  <c r="BF139" i="15" s="1"/>
  <c r="BF253" i="72"/>
  <c r="R64" i="51"/>
  <c r="S64" i="51" s="1"/>
  <c r="S67" i="51" s="1"/>
  <c r="AD242" i="72"/>
  <c r="Z241" i="72"/>
  <c r="AI242" i="72"/>
  <c r="X220" i="72"/>
  <c r="AF242" i="72"/>
  <c r="Q242" i="72"/>
  <c r="AP150" i="72"/>
  <c r="I517" i="15"/>
  <c r="F52" i="51"/>
  <c r="I52" i="51" s="1"/>
  <c r="I53" i="51" s="1"/>
  <c r="T127" i="72"/>
  <c r="T52" i="72" s="1"/>
  <c r="AU143" i="72"/>
  <c r="AU63" i="72" s="1"/>
  <c r="AW21" i="15"/>
  <c r="AW25" i="15"/>
  <c r="AW465" i="15"/>
  <c r="AX465" i="15" s="1"/>
  <c r="AV467" i="15"/>
  <c r="AW467" i="15" s="1"/>
  <c r="AW473" i="15" s="1"/>
  <c r="BB46" i="15"/>
  <c r="AM230" i="72"/>
  <c r="AL23" i="72"/>
  <c r="AY56" i="72"/>
  <c r="BM56" i="72"/>
  <c r="BM90" i="72" s="1"/>
  <c r="BN58" i="72"/>
  <c r="BN118" i="72" s="1"/>
  <c r="BP58" i="72"/>
  <c r="BP118" i="72" s="1"/>
  <c r="N127" i="72"/>
  <c r="N52" i="72" s="1"/>
  <c r="M194" i="72"/>
  <c r="M208" i="72" s="1"/>
  <c r="M211" i="72" s="1"/>
  <c r="R198" i="72"/>
  <c r="R208" i="72" s="1"/>
  <c r="R211" i="72" s="1"/>
  <c r="AD447" i="15"/>
  <c r="AP442" i="15"/>
  <c r="AP445" i="15" s="1"/>
  <c r="AV230" i="72"/>
  <c r="AV266" i="72"/>
  <c r="AV242" i="72"/>
  <c r="AV220" i="72"/>
  <c r="CE78" i="73"/>
  <c r="AY67" i="15"/>
  <c r="AY69" i="15" s="1"/>
  <c r="AY315" i="15" s="1"/>
  <c r="AK304" i="15"/>
  <c r="AY60" i="15"/>
  <c r="AX72" i="15"/>
  <c r="AX60" i="15"/>
  <c r="BB60" i="15" s="1"/>
  <c r="AX71" i="15"/>
  <c r="Z180" i="15"/>
  <c r="Z182" i="15" s="1"/>
  <c r="AN243" i="15"/>
  <c r="BH408" i="15"/>
  <c r="BH73" i="15"/>
  <c r="BI73" i="15"/>
  <c r="AA355" i="15"/>
  <c r="BD354" i="15"/>
  <c r="BI61" i="15"/>
  <c r="BB275" i="72"/>
  <c r="AH40" i="15"/>
  <c r="R110" i="59"/>
  <c r="R112" i="59" s="1"/>
  <c r="BP156" i="15"/>
  <c r="BM156" i="15"/>
  <c r="BB18" i="51"/>
  <c r="BC18" i="51"/>
  <c r="AD289" i="15"/>
  <c r="AD297" i="15" s="1"/>
  <c r="AD298" i="15" s="1"/>
  <c r="AD127" i="15" s="1"/>
  <c r="BK519" i="15"/>
  <c r="R507" i="15"/>
  <c r="U65" i="51"/>
  <c r="R336" i="46"/>
  <c r="AM187" i="46"/>
  <c r="G129" i="72"/>
  <c r="J129" i="72"/>
  <c r="AX56" i="72"/>
  <c r="BP56" i="72"/>
  <c r="BP90" i="72" s="1"/>
  <c r="BC58" i="72"/>
  <c r="BJ58" i="72"/>
  <c r="BJ118" i="72" s="1"/>
  <c r="BQ118" i="72"/>
  <c r="BJ59" i="72"/>
  <c r="BJ90" i="72" s="1"/>
  <c r="BC60" i="72"/>
  <c r="AZ60" i="72" s="1"/>
  <c r="BH60" i="72"/>
  <c r="BH90" i="72" s="1"/>
  <c r="BO60" i="72"/>
  <c r="BO90" i="72" s="1"/>
  <c r="J96" i="72"/>
  <c r="AQ115" i="72"/>
  <c r="AR115" i="72" s="1"/>
  <c r="AC150" i="72"/>
  <c r="AH158" i="72" s="1"/>
  <c r="AB148" i="72"/>
  <c r="AA197" i="72"/>
  <c r="BN106" i="15"/>
  <c r="BQ105" i="15"/>
  <c r="AY63" i="15"/>
  <c r="AX63" i="15"/>
  <c r="Z193" i="15"/>
  <c r="Z187" i="15"/>
  <c r="Z188" i="15" s="1"/>
  <c r="BI261" i="15"/>
  <c r="BL106" i="15"/>
  <c r="AB508" i="15"/>
  <c r="AB523" i="15" s="1"/>
  <c r="BQ289" i="15"/>
  <c r="BM58" i="72"/>
  <c r="BM118" i="72" s="1"/>
  <c r="BO58" i="72"/>
  <c r="BO118" i="72" s="1"/>
  <c r="W124" i="72"/>
  <c r="W51" i="72" s="1"/>
  <c r="AJ143" i="72"/>
  <c r="AJ63" i="72" s="1"/>
  <c r="V223" i="72"/>
  <c r="V226" i="72"/>
  <c r="V241" i="72"/>
  <c r="Y153" i="15"/>
  <c r="E102" i="46"/>
  <c r="BA18" i="15"/>
  <c r="AZ18" i="15"/>
  <c r="AY18" i="15"/>
  <c r="AX18" i="15"/>
  <c r="BE99" i="77"/>
  <c r="BE100" i="77"/>
  <c r="BE101" i="77"/>
  <c r="BE102" i="77"/>
  <c r="BE103" i="77"/>
  <c r="BE104" i="77"/>
  <c r="BE105" i="77"/>
  <c r="BE106" i="77"/>
  <c r="BE107" i="77"/>
  <c r="BE108" i="77"/>
  <c r="BE109" i="77"/>
  <c r="BE110" i="77"/>
  <c r="BE111" i="77"/>
  <c r="BN117" i="15"/>
  <c r="BQ117" i="15" s="1"/>
  <c r="BQ223" i="15" s="1"/>
  <c r="AX54" i="72"/>
  <c r="AX90" i="72" s="1"/>
  <c r="AX88" i="72" s="1"/>
  <c r="AZ411" i="15"/>
  <c r="AZ417" i="15" s="1"/>
  <c r="AX168" i="72"/>
  <c r="R159" i="72"/>
  <c r="T177" i="72"/>
  <c r="BM255" i="72"/>
  <c r="AD194" i="72"/>
  <c r="AD208" i="72" s="1"/>
  <c r="AB196" i="72"/>
  <c r="AJ197" i="72"/>
  <c r="U206" i="72"/>
  <c r="U208" i="72" s="1"/>
  <c r="U211" i="72" s="1"/>
  <c r="V209" i="72" s="1"/>
  <c r="V211" i="72" s="1"/>
  <c r="W209" i="72" s="1"/>
  <c r="Z202" i="72"/>
  <c r="AO203" i="15"/>
  <c r="AQ442" i="15"/>
  <c r="AQ445" i="15" s="1"/>
  <c r="F490" i="15"/>
  <c r="P105" i="59"/>
  <c r="P110" i="59" s="1"/>
  <c r="P112" i="59" s="1"/>
  <c r="BH9" i="77"/>
  <c r="BJ9" i="77"/>
  <c r="BM9" i="77"/>
  <c r="BH10" i="77"/>
  <c r="BI10" i="77"/>
  <c r="BJ10" i="77"/>
  <c r="BK10" i="77"/>
  <c r="BL10" i="77"/>
  <c r="BM10" i="77"/>
  <c r="BN10" i="77"/>
  <c r="BO10" i="77"/>
  <c r="Y104" i="15"/>
  <c r="BM11" i="77"/>
  <c r="BH53" i="77"/>
  <c r="BM53" i="77"/>
  <c r="BO53" i="77"/>
  <c r="BN54" i="77"/>
  <c r="BO54" i="77"/>
  <c r="BH57" i="77"/>
  <c r="BJ57" i="77"/>
  <c r="BL57" i="77"/>
  <c r="BN57" i="77"/>
  <c r="BN73" i="77"/>
  <c r="BN82" i="77"/>
  <c r="BO82" i="77"/>
  <c r="BH83" i="77"/>
  <c r="BI83" i="77"/>
  <c r="BJ83" i="77"/>
  <c r="BK83" i="77"/>
  <c r="BL83" i="77"/>
  <c r="BM83" i="77"/>
  <c r="BN100" i="77"/>
  <c r="BO100" i="77"/>
  <c r="BH101" i="77"/>
  <c r="AN90" i="15"/>
  <c r="BJ117" i="77"/>
  <c r="BN117" i="77"/>
  <c r="BL123" i="77"/>
  <c r="BM123" i="77"/>
  <c r="BK124" i="77"/>
  <c r="BL124" i="77"/>
  <c r="BM124" i="77"/>
  <c r="BN124" i="77"/>
  <c r="AV223" i="72"/>
  <c r="O72" i="59"/>
  <c r="O75" i="59" s="1"/>
  <c r="AG72" i="59"/>
  <c r="AG75" i="59" s="1"/>
  <c r="AS72" i="59"/>
  <c r="AS75" i="59" s="1"/>
  <c r="AQ72" i="59"/>
  <c r="AQ75" i="59" s="1"/>
  <c r="AV80" i="59"/>
  <c r="AV85" i="59" s="1"/>
  <c r="AV11" i="59" s="1"/>
  <c r="BH82" i="46" s="1"/>
  <c r="AW46" i="59"/>
  <c r="AW52" i="59"/>
  <c r="AW56" i="59"/>
  <c r="AW60" i="59"/>
  <c r="AW64" i="59"/>
  <c r="AW68" i="59"/>
  <c r="AY22" i="59"/>
  <c r="AY24" i="59" s="1"/>
  <c r="AX32" i="59"/>
  <c r="AX34" i="59" s="1"/>
  <c r="AY96" i="59"/>
  <c r="AY102" i="59" s="1"/>
  <c r="AW100" i="59"/>
  <c r="AW102" i="59" s="1"/>
  <c r="AY54" i="72"/>
  <c r="AY90" i="72" s="1"/>
  <c r="AY88" i="72" s="1"/>
  <c r="BH168" i="72"/>
  <c r="U177" i="72"/>
  <c r="BN191" i="72"/>
  <c r="W204" i="72"/>
  <c r="AG205" i="72"/>
  <c r="AC260" i="72"/>
  <c r="AS138" i="15"/>
  <c r="AT138" i="15" s="1"/>
  <c r="AU138" i="15" s="1"/>
  <c r="AV138" i="15" s="1"/>
  <c r="AQ203" i="15"/>
  <c r="AG204" i="15"/>
  <c r="AG442" i="15"/>
  <c r="AG445" i="15" s="1"/>
  <c r="K491" i="15"/>
  <c r="N491" i="15" s="1"/>
  <c r="AN508" i="15"/>
  <c r="AN523" i="15" s="1"/>
  <c r="G515" i="15"/>
  <c r="H515" i="15" s="1"/>
  <c r="BL53" i="77"/>
  <c r="BH74" i="77"/>
  <c r="BI74" i="77"/>
  <c r="BJ74" i="77"/>
  <c r="BK74" i="77"/>
  <c r="BL74" i="77"/>
  <c r="BM74" i="77"/>
  <c r="BN74" i="77"/>
  <c r="BO74" i="77"/>
  <c r="BH78" i="77"/>
  <c r="BI78" i="77"/>
  <c r="BJ78" i="77"/>
  <c r="BK78" i="77"/>
  <c r="BL78" i="77"/>
  <c r="BN83" i="77"/>
  <c r="BO83" i="77"/>
  <c r="BH84" i="77"/>
  <c r="BI84" i="77"/>
  <c r="BJ84" i="77"/>
  <c r="BK84" i="77"/>
  <c r="BL84" i="77"/>
  <c r="BM84" i="77"/>
  <c r="BN84" i="77"/>
  <c r="BO84" i="77"/>
  <c r="BH85" i="77"/>
  <c r="BI85" i="77"/>
  <c r="BJ85" i="77"/>
  <c r="BK85" i="77"/>
  <c r="BL85" i="77"/>
  <c r="BM85" i="77"/>
  <c r="BN85" i="77"/>
  <c r="BO85" i="77"/>
  <c r="BH86" i="77"/>
  <c r="BI86" i="77"/>
  <c r="BJ86" i="77"/>
  <c r="BK86" i="77"/>
  <c r="BL86" i="77"/>
  <c r="BM86" i="77"/>
  <c r="BN86" i="77"/>
  <c r="BO86" i="77"/>
  <c r="BH87" i="77"/>
  <c r="BI87" i="77"/>
  <c r="BJ87" i="77"/>
  <c r="BK87" i="77"/>
  <c r="BL87" i="77"/>
  <c r="BM87" i="77"/>
  <c r="BN87" i="77"/>
  <c r="BO87" i="77"/>
  <c r="BH88" i="77"/>
  <c r="BI88" i="77"/>
  <c r="BJ88" i="77"/>
  <c r="BK88" i="77"/>
  <c r="BL88" i="77"/>
  <c r="BM88" i="77"/>
  <c r="BN88" i="77"/>
  <c r="BO88" i="77"/>
  <c r="BH89" i="77"/>
  <c r="BI89" i="77"/>
  <c r="BJ89" i="77"/>
  <c r="BK89" i="77"/>
  <c r="BL89" i="77"/>
  <c r="BM89" i="77"/>
  <c r="BN89" i="77"/>
  <c r="BO89" i="77"/>
  <c r="BH90" i="77"/>
  <c r="BI90" i="77"/>
  <c r="BJ90" i="77"/>
  <c r="BK90" i="77"/>
  <c r="BL90" i="77"/>
  <c r="BM90" i="77"/>
  <c r="BN90" i="77"/>
  <c r="BO90" i="77"/>
  <c r="BH91" i="77"/>
  <c r="BI91" i="77"/>
  <c r="BJ91" i="77"/>
  <c r="BK91" i="77"/>
  <c r="BL91" i="77"/>
  <c r="BM91" i="77"/>
  <c r="BN91" i="77"/>
  <c r="BO91" i="77"/>
  <c r="BH92" i="77"/>
  <c r="BI92" i="77"/>
  <c r="BJ92" i="77"/>
  <c r="BK92" i="77"/>
  <c r="BL92" i="77"/>
  <c r="BM92" i="77"/>
  <c r="BN92" i="77"/>
  <c r="BO92" i="77"/>
  <c r="BH93" i="77"/>
  <c r="BI93" i="77"/>
  <c r="BJ93" i="77"/>
  <c r="BK93" i="77"/>
  <c r="BL93" i="77"/>
  <c r="BM93" i="77"/>
  <c r="BN93" i="77"/>
  <c r="BO93" i="77"/>
  <c r="BH96" i="77"/>
  <c r="BI96" i="77"/>
  <c r="BJ96" i="77"/>
  <c r="BK96" i="77"/>
  <c r="BL96" i="77"/>
  <c r="BI117" i="77"/>
  <c r="BM117" i="77"/>
  <c r="BN119" i="77"/>
  <c r="BO119" i="77"/>
  <c r="BH120" i="77"/>
  <c r="BI120" i="77"/>
  <c r="BJ120" i="77"/>
  <c r="BK120" i="77"/>
  <c r="BL120" i="77"/>
  <c r="BM120" i="77"/>
  <c r="BN120" i="77"/>
  <c r="BO120" i="77"/>
  <c r="BH121" i="77"/>
  <c r="BI121" i="77"/>
  <c r="BJ121" i="77"/>
  <c r="BK121" i="77"/>
  <c r="BL121" i="77"/>
  <c r="BM121" i="77"/>
  <c r="BN121" i="77"/>
  <c r="BO121" i="77"/>
  <c r="BH122" i="77"/>
  <c r="BI122" i="77"/>
  <c r="BJ122" i="77"/>
  <c r="BK122" i="77"/>
  <c r="BL122" i="77"/>
  <c r="BO124" i="77"/>
  <c r="BH125" i="77"/>
  <c r="BI125" i="77"/>
  <c r="BJ125" i="77"/>
  <c r="BK125" i="77"/>
  <c r="BL125" i="77"/>
  <c r="BM125" i="77"/>
  <c r="BN125" i="77"/>
  <c r="BO125" i="77"/>
  <c r="BH126" i="77"/>
  <c r="BI126" i="77"/>
  <c r="BJ126" i="77"/>
  <c r="BK126" i="77"/>
  <c r="BL126" i="77"/>
  <c r="BM126" i="77"/>
  <c r="BN126" i="77"/>
  <c r="BO126" i="77"/>
  <c r="BH127" i="77"/>
  <c r="BI127" i="77"/>
  <c r="BJ127" i="77"/>
  <c r="BK127" i="77"/>
  <c r="BL127" i="77"/>
  <c r="BM127" i="77"/>
  <c r="AZ204" i="15"/>
  <c r="AV241" i="72"/>
  <c r="AH72" i="59"/>
  <c r="AH75" i="59" s="1"/>
  <c r="M72" i="59"/>
  <c r="M75" i="59" s="1"/>
  <c r="AX80" i="59"/>
  <c r="AX85" i="59" s="1"/>
  <c r="BJ173" i="72" s="1"/>
  <c r="BJ200" i="72" s="1"/>
  <c r="AX46" i="59"/>
  <c r="AX52" i="59"/>
  <c r="AX56" i="59"/>
  <c r="AX60" i="59"/>
  <c r="AX64" i="59"/>
  <c r="AX68" i="59"/>
  <c r="AV96" i="59"/>
  <c r="AV102" i="59" s="1"/>
  <c r="AX100" i="59"/>
  <c r="AX102" i="59" s="1"/>
  <c r="AZ54" i="72"/>
  <c r="AZ90" i="72" s="1"/>
  <c r="AZ88" i="72" s="1"/>
  <c r="AZ77" i="72" s="1"/>
  <c r="BI247" i="15"/>
  <c r="BO8" i="77"/>
  <c r="BI9" i="77"/>
  <c r="BL9" i="77"/>
  <c r="BC100" i="15"/>
  <c r="BO9" i="77"/>
  <c r="BL11" i="77"/>
  <c r="BC104" i="15"/>
  <c r="BN53" i="77"/>
  <c r="W54" i="15"/>
  <c r="X54" i="15" s="1"/>
  <c r="BH55" i="77"/>
  <c r="BI55" i="77"/>
  <c r="BJ55" i="77"/>
  <c r="BK55" i="77"/>
  <c r="BL55" i="77"/>
  <c r="BM55" i="77"/>
  <c r="BI57" i="77"/>
  <c r="BK57" i="77"/>
  <c r="BM57" i="77"/>
  <c r="BO57" i="77"/>
  <c r="AD101" i="15"/>
  <c r="BJ73" i="77"/>
  <c r="BM73" i="77"/>
  <c r="BN78" i="77"/>
  <c r="BO78" i="77"/>
  <c r="BH79" i="77"/>
  <c r="BI79" i="77"/>
  <c r="BJ79" i="77"/>
  <c r="BK79" i="77"/>
  <c r="BL79" i="77"/>
  <c r="BM79" i="77"/>
  <c r="BN96" i="77"/>
  <c r="BO96" i="77"/>
  <c r="BH97" i="77"/>
  <c r="BI97" i="77"/>
  <c r="BJ97" i="77"/>
  <c r="BK97" i="77"/>
  <c r="BL97" i="77"/>
  <c r="BM97" i="77"/>
  <c r="BJ101" i="77"/>
  <c r="BK117" i="77"/>
  <c r="BL117" i="77"/>
  <c r="BO117" i="77"/>
  <c r="BN122" i="77"/>
  <c r="BO122" i="77"/>
  <c r="S129" i="77"/>
  <c r="W129" i="77"/>
  <c r="BN123" i="77"/>
  <c r="BN127" i="77"/>
  <c r="BO127" i="77"/>
  <c r="BH128" i="77"/>
  <c r="BI128" i="77"/>
  <c r="BJ128" i="77"/>
  <c r="BK128" i="77"/>
  <c r="BL128" i="77"/>
  <c r="BM128" i="77"/>
  <c r="BN128" i="77"/>
  <c r="BO128" i="77"/>
  <c r="BE132" i="77"/>
  <c r="BH132" i="77"/>
  <c r="BG132" i="77"/>
  <c r="BF132" i="77"/>
  <c r="BI132" i="77"/>
  <c r="BJ132" i="77"/>
  <c r="BK132" i="77"/>
  <c r="BL132" i="77"/>
  <c r="BM132" i="77"/>
  <c r="BN132" i="77"/>
  <c r="BO132" i="77"/>
  <c r="BE133" i="77"/>
  <c r="BH133" i="77"/>
  <c r="BG133" i="77"/>
  <c r="BF133" i="77"/>
  <c r="BI133" i="77"/>
  <c r="BJ133" i="77"/>
  <c r="BK133" i="77"/>
  <c r="BL133" i="77"/>
  <c r="BM133" i="77"/>
  <c r="BN133" i="77"/>
  <c r="BO133" i="77"/>
  <c r="BE134" i="77"/>
  <c r="BH134" i="77"/>
  <c r="BG134" i="77"/>
  <c r="BF134" i="77"/>
  <c r="BI134" i="77"/>
  <c r="BJ134" i="77"/>
  <c r="BK134" i="77"/>
  <c r="BL134" i="77"/>
  <c r="BM134" i="77"/>
  <c r="BN134" i="77"/>
  <c r="BO134" i="77"/>
  <c r="BE135" i="77"/>
  <c r="BH135" i="77"/>
  <c r="BG135" i="77"/>
  <c r="BF135" i="77"/>
  <c r="BI135" i="77"/>
  <c r="BJ135" i="77"/>
  <c r="BK135" i="77"/>
  <c r="BL135" i="77"/>
  <c r="BM135" i="77"/>
  <c r="BN135" i="77"/>
  <c r="BO135" i="77"/>
  <c r="BE136" i="77"/>
  <c r="BH136" i="77"/>
  <c r="BG136" i="77"/>
  <c r="BF136" i="77"/>
  <c r="BI136" i="77"/>
  <c r="BJ136" i="77"/>
  <c r="BK136" i="77"/>
  <c r="BL136" i="77"/>
  <c r="BM136" i="77"/>
  <c r="BN136" i="77"/>
  <c r="BO136" i="77"/>
  <c r="BE137" i="77"/>
  <c r="BH137" i="77"/>
  <c r="BG137" i="77"/>
  <c r="BF137" i="77"/>
  <c r="BI137" i="77"/>
  <c r="BJ137" i="77"/>
  <c r="BK137" i="77"/>
  <c r="BL137" i="77"/>
  <c r="BM137" i="77"/>
  <c r="BN137" i="77"/>
  <c r="BO137" i="77"/>
  <c r="BE138" i="77"/>
  <c r="BH138" i="77"/>
  <c r="BG138" i="77"/>
  <c r="BF138" i="77"/>
  <c r="BI138" i="77"/>
  <c r="BJ138" i="77"/>
  <c r="BK138" i="77"/>
  <c r="BL138" i="77"/>
  <c r="BM138" i="77"/>
  <c r="BN138" i="77"/>
  <c r="BO138" i="77"/>
  <c r="BB34" i="73"/>
  <c r="BS168" i="72"/>
  <c r="BT168" i="72" s="1"/>
  <c r="Y72" i="59"/>
  <c r="Y75" i="59" s="1"/>
  <c r="Y87" i="59" s="1"/>
  <c r="AI72" i="59"/>
  <c r="AI75" i="59" s="1"/>
  <c r="CY53" i="73"/>
  <c r="BM203" i="15"/>
  <c r="BO81" i="15"/>
  <c r="BO60" i="15" s="1"/>
  <c r="BN203" i="15"/>
  <c r="BL212" i="15"/>
  <c r="BB212" i="15"/>
  <c r="BG212" i="15"/>
  <c r="BP54" i="77"/>
  <c r="BP123" i="77"/>
  <c r="BY53" i="73"/>
  <c r="BY54" i="73" s="1"/>
  <c r="BX53" i="73"/>
  <c r="BX54" i="73" s="1"/>
  <c r="CE53" i="73"/>
  <c r="CJ53" i="73"/>
  <c r="CO53" i="73"/>
  <c r="BZ53" i="73"/>
  <c r="BZ54" i="73" s="1"/>
  <c r="AV10" i="59" l="1"/>
  <c r="AV112" i="59"/>
  <c r="BH491" i="15"/>
  <c r="H490" i="15"/>
  <c r="H60" i="51"/>
  <c r="H521" i="15"/>
  <c r="H523" i="15" s="1"/>
  <c r="BJ42" i="51"/>
  <c r="BJ102" i="46" s="1"/>
  <c r="AX36" i="59"/>
  <c r="AX11" i="59"/>
  <c r="BJ82" i="46" s="1"/>
  <c r="BJ122" i="46" s="1"/>
  <c r="BH122" i="46"/>
  <c r="BB16" i="51"/>
  <c r="BB20" i="51" s="1"/>
  <c r="BB10" i="51"/>
  <c r="BC174" i="72"/>
  <c r="AQ10" i="59"/>
  <c r="AQ87" i="59"/>
  <c r="AC101" i="46"/>
  <c r="CU39" i="71"/>
  <c r="CU51" i="71" s="1"/>
  <c r="BE174" i="72"/>
  <c r="BE201" i="72" s="1"/>
  <c r="BE206" i="72" s="1"/>
  <c r="AS87" i="59"/>
  <c r="AS10" i="59"/>
  <c r="W52" i="51"/>
  <c r="W53" i="51" s="1"/>
  <c r="W115" i="46"/>
  <c r="AI87" i="59"/>
  <c r="AI10" i="59"/>
  <c r="AI12" i="59" s="1"/>
  <c r="AX112" i="59"/>
  <c r="BJ491" i="15"/>
  <c r="BJ516" i="15" s="1"/>
  <c r="BJ521" i="15" s="1"/>
  <c r="BN255" i="72"/>
  <c r="BN112" i="46"/>
  <c r="BE88" i="72"/>
  <c r="AY77" i="72"/>
  <c r="BD88" i="72"/>
  <c r="BL43" i="51"/>
  <c r="AY10" i="59"/>
  <c r="BK43" i="51"/>
  <c r="AY36" i="59"/>
  <c r="Y106" i="15"/>
  <c r="AC104" i="15"/>
  <c r="AB55" i="51"/>
  <c r="AB168" i="72"/>
  <c r="AB75" i="46" s="1"/>
  <c r="AB76" i="46" s="1"/>
  <c r="BC18" i="15"/>
  <c r="BB18" i="15"/>
  <c r="AX25" i="46"/>
  <c r="BQ106" i="15"/>
  <c r="BN316" i="15"/>
  <c r="AB150" i="72"/>
  <c r="AC156" i="72"/>
  <c r="BH209" i="15"/>
  <c r="BH288" i="15"/>
  <c r="CE227" i="15"/>
  <c r="CE231" i="15" s="1"/>
  <c r="BL206" i="15" s="1"/>
  <c r="AX261" i="15"/>
  <c r="AX210" i="15"/>
  <c r="AX301" i="15"/>
  <c r="AX73" i="15"/>
  <c r="AX407" i="15"/>
  <c r="BB71" i="15"/>
  <c r="AX241" i="15"/>
  <c r="AX274" i="15"/>
  <c r="AX283" i="15" s="1"/>
  <c r="AK180" i="15"/>
  <c r="AK307" i="15"/>
  <c r="AL304" i="15"/>
  <c r="AK187" i="15"/>
  <c r="BB24" i="73"/>
  <c r="BB262" i="15"/>
  <c r="CE38" i="73"/>
  <c r="AW23" i="71"/>
  <c r="CA39" i="71"/>
  <c r="BD333" i="15"/>
  <c r="BL242" i="15"/>
  <c r="AX69" i="15"/>
  <c r="AX315" i="15" s="1"/>
  <c r="BB67" i="15"/>
  <c r="BB69" i="15" s="1"/>
  <c r="BB315" i="15" s="1"/>
  <c r="AY341" i="15"/>
  <c r="AY354" i="15"/>
  <c r="AY328" i="15"/>
  <c r="AY61" i="15"/>
  <c r="AB133" i="72"/>
  <c r="AG133" i="72"/>
  <c r="AF32" i="72"/>
  <c r="AF28" i="72"/>
  <c r="AI36" i="46"/>
  <c r="AI40" i="46" s="1"/>
  <c r="AI94" i="46"/>
  <c r="AM523" i="15"/>
  <c r="DE39" i="71"/>
  <c r="DE51" i="71" s="1"/>
  <c r="AJ363" i="15"/>
  <c r="AV36" i="72"/>
  <c r="AV65" i="72"/>
  <c r="AJ28" i="72"/>
  <c r="AJ32" i="72"/>
  <c r="AC36" i="72"/>
  <c r="AC65" i="72"/>
  <c r="X236" i="72"/>
  <c r="X243" i="72" s="1"/>
  <c r="X22" i="71"/>
  <c r="X25" i="71" s="1"/>
  <c r="G20" i="51"/>
  <c r="G21" i="46"/>
  <c r="G23" i="46" s="1"/>
  <c r="AU53" i="51"/>
  <c r="AU133" i="72"/>
  <c r="AP133" i="72"/>
  <c r="BF510" i="15"/>
  <c r="BF513" i="15" s="1"/>
  <c r="BF74" i="46"/>
  <c r="BF77" i="46" s="1"/>
  <c r="BF117" i="46" s="1"/>
  <c r="BG117" i="46" s="1"/>
  <c r="T105" i="46"/>
  <c r="AC169" i="15"/>
  <c r="AC293" i="15"/>
  <c r="AC213" i="46" s="1"/>
  <c r="AC297" i="15"/>
  <c r="AC163" i="15"/>
  <c r="Q21" i="51"/>
  <c r="Q25" i="51"/>
  <c r="Q29" i="51" s="1"/>
  <c r="AI23" i="46"/>
  <c r="O235" i="72"/>
  <c r="O32" i="72"/>
  <c r="Q235" i="72"/>
  <c r="O28" i="72"/>
  <c r="P235" i="72"/>
  <c r="R235" i="72"/>
  <c r="AA235" i="72"/>
  <c r="W32" i="72"/>
  <c r="W28" i="72"/>
  <c r="AA236" i="72" s="1"/>
  <c r="CF18" i="71"/>
  <c r="N63" i="71"/>
  <c r="AI105" i="46"/>
  <c r="F36" i="46"/>
  <c r="F40" i="46" s="1"/>
  <c r="F94" i="46"/>
  <c r="AR132" i="72"/>
  <c r="AR133" i="72" s="1"/>
  <c r="AR130" i="72"/>
  <c r="BK280" i="15"/>
  <c r="BH280" i="15"/>
  <c r="AN269" i="15"/>
  <c r="AN270" i="15"/>
  <c r="AN171" i="15"/>
  <c r="Y473" i="15"/>
  <c r="X473" i="15"/>
  <c r="AZ103" i="46"/>
  <c r="AZ65" i="51"/>
  <c r="BB127" i="46"/>
  <c r="DT55" i="71" s="1"/>
  <c r="AO32" i="72"/>
  <c r="AO28" i="72"/>
  <c r="AS235" i="72"/>
  <c r="AQ235" i="72"/>
  <c r="AH36" i="72"/>
  <c r="AH65" i="72"/>
  <c r="S235" i="72"/>
  <c r="S248" i="72" s="1"/>
  <c r="S28" i="72"/>
  <c r="S32" i="72"/>
  <c r="S140" i="72"/>
  <c r="S62" i="72" s="1"/>
  <c r="X140" i="72"/>
  <c r="X62" i="72" s="1"/>
  <c r="X43" i="73" s="1"/>
  <c r="F192" i="46"/>
  <c r="F195" i="46"/>
  <c r="X201" i="46"/>
  <c r="X192" i="46"/>
  <c r="X200" i="46"/>
  <c r="AE53" i="51"/>
  <c r="I94" i="46"/>
  <c r="I36" i="46"/>
  <c r="I40" i="46" s="1"/>
  <c r="I214" i="46"/>
  <c r="I225" i="46" s="1"/>
  <c r="CA28" i="71" s="1"/>
  <c r="G101" i="46"/>
  <c r="N42" i="51"/>
  <c r="N67" i="51"/>
  <c r="N69" i="51" s="1"/>
  <c r="AH132" i="72"/>
  <c r="AH130" i="72"/>
  <c r="AF342" i="15"/>
  <c r="AE350" i="15"/>
  <c r="AE351" i="15" s="1"/>
  <c r="AE130" i="15" s="1"/>
  <c r="AH307" i="15"/>
  <c r="AH306" i="15" s="1"/>
  <c r="AG172" i="15"/>
  <c r="AH172" i="15" s="1"/>
  <c r="DC8" i="73"/>
  <c r="DC9" i="73" s="1"/>
  <c r="BB44" i="71"/>
  <c r="BB41" i="72"/>
  <c r="BB61" i="73" s="1"/>
  <c r="BB38" i="15"/>
  <c r="CO189" i="15" s="1"/>
  <c r="BB34" i="51"/>
  <c r="R94" i="46"/>
  <c r="R36" i="46"/>
  <c r="R40" i="46" s="1"/>
  <c r="BF20" i="72"/>
  <c r="BF16" i="46" s="1"/>
  <c r="BK142" i="72"/>
  <c r="BO83" i="46"/>
  <c r="BO123" i="46" s="1"/>
  <c r="BC12" i="59"/>
  <c r="T21" i="51"/>
  <c r="T25" i="51"/>
  <c r="T29" i="51" s="1"/>
  <c r="AX88" i="46"/>
  <c r="CG12" i="59"/>
  <c r="BJ50" i="51"/>
  <c r="AE234" i="15"/>
  <c r="AE233" i="15"/>
  <c r="Z21" i="51"/>
  <c r="Z25" i="51"/>
  <c r="Z29" i="51" s="1"/>
  <c r="AF97" i="72"/>
  <c r="AS237" i="15"/>
  <c r="M21" i="51"/>
  <c r="M25" i="51"/>
  <c r="M29" i="51" s="1"/>
  <c r="AW315" i="15"/>
  <c r="CB227" i="15"/>
  <c r="M28" i="46"/>
  <c r="Q207" i="46" s="1"/>
  <c r="M206" i="46"/>
  <c r="N206" i="46" s="1"/>
  <c r="Q206" i="46"/>
  <c r="P206" i="46"/>
  <c r="O206" i="46"/>
  <c r="M32" i="46"/>
  <c r="AR12" i="59"/>
  <c r="BD83" i="46"/>
  <c r="BD123" i="46" s="1"/>
  <c r="AR31" i="51"/>
  <c r="AR36" i="51"/>
  <c r="AR101" i="46"/>
  <c r="AP105" i="46"/>
  <c r="CU40" i="71"/>
  <c r="CU52" i="71" s="1"/>
  <c r="BG42" i="71"/>
  <c r="BG40" i="72"/>
  <c r="BH45" i="46"/>
  <c r="BH44" i="46"/>
  <c r="BI139" i="72"/>
  <c r="BD137" i="72"/>
  <c r="BD18" i="72" s="1"/>
  <c r="BB129" i="72"/>
  <c r="BB130" i="72" s="1"/>
  <c r="AX13" i="72"/>
  <c r="BN58" i="51"/>
  <c r="BQ55" i="51"/>
  <c r="BQ58" i="51" s="1"/>
  <c r="AK450" i="15"/>
  <c r="AK451" i="15" s="1"/>
  <c r="AE236" i="15"/>
  <c r="Y338" i="15"/>
  <c r="Y131" i="15" s="1"/>
  <c r="AC336" i="15"/>
  <c r="AM270" i="15"/>
  <c r="AZ88" i="46"/>
  <c r="CI12" i="59"/>
  <c r="AR94" i="46"/>
  <c r="AR57" i="71" s="1"/>
  <c r="AR214" i="46"/>
  <c r="AR225" i="46" s="1"/>
  <c r="DJ28" i="71" s="1"/>
  <c r="AR36" i="46"/>
  <c r="AR40" i="46" s="1"/>
  <c r="BG102" i="46"/>
  <c r="AI21" i="51"/>
  <c r="AI25" i="51"/>
  <c r="AI29" i="51" s="1"/>
  <c r="AQ23" i="46"/>
  <c r="AH76" i="15"/>
  <c r="AG222" i="15"/>
  <c r="AG341" i="15"/>
  <c r="AG349" i="15" s="1"/>
  <c r="AG61" i="15"/>
  <c r="AG354" i="15"/>
  <c r="AG362" i="15" s="1"/>
  <c r="AG328" i="15"/>
  <c r="AH75" i="15"/>
  <c r="AG77" i="15"/>
  <c r="AG221" i="15"/>
  <c r="BB102" i="46"/>
  <c r="BH139" i="72"/>
  <c r="BC137" i="72"/>
  <c r="BG139" i="72"/>
  <c r="AG23" i="46"/>
  <c r="AH21" i="46"/>
  <c r="BP456" i="15"/>
  <c r="BL456" i="15"/>
  <c r="AI403" i="15"/>
  <c r="AM400" i="15"/>
  <c r="Y173" i="15"/>
  <c r="Y257" i="15"/>
  <c r="AD209" i="72"/>
  <c r="AD211" i="72" s="1"/>
  <c r="AE209" i="72" s="1"/>
  <c r="AE211" i="72" s="1"/>
  <c r="AF209" i="72" s="1"/>
  <c r="AF211" i="72" s="1"/>
  <c r="AG209" i="72" s="1"/>
  <c r="AH209" i="72"/>
  <c r="AH211" i="72" s="1"/>
  <c r="AH60" i="71"/>
  <c r="AM38" i="71"/>
  <c r="AM53" i="71" s="1"/>
  <c r="AM62" i="71"/>
  <c r="AM51" i="71"/>
  <c r="BA333" i="15"/>
  <c r="BA334" i="15" s="1"/>
  <c r="BA336" i="15" s="1"/>
  <c r="BA337" i="15"/>
  <c r="AZ278" i="15"/>
  <c r="AZ281" i="15" s="1"/>
  <c r="AZ283" i="15" s="1"/>
  <c r="AY281" i="15"/>
  <c r="BA278" i="15"/>
  <c r="AK248" i="15"/>
  <c r="AK256" i="15" s="1"/>
  <c r="AK251" i="15"/>
  <c r="AL245" i="15"/>
  <c r="AK186" i="15"/>
  <c r="AZ228" i="15"/>
  <c r="AZ231" i="15"/>
  <c r="BD424" i="15"/>
  <c r="BD135" i="15" s="1"/>
  <c r="BN89" i="15"/>
  <c r="AZ21" i="77"/>
  <c r="BL20" i="73"/>
  <c r="BQ75" i="73"/>
  <c r="AM53" i="73"/>
  <c r="AM260" i="72"/>
  <c r="AK170" i="15"/>
  <c r="AK237" i="15"/>
  <c r="AK238" i="15" s="1"/>
  <c r="AK123" i="15" s="1"/>
  <c r="BL245" i="15"/>
  <c r="BK253" i="15"/>
  <c r="BQ118" i="15"/>
  <c r="BM316" i="15"/>
  <c r="BM243" i="15"/>
  <c r="BN302" i="15"/>
  <c r="BN408" i="15"/>
  <c r="BN242" i="15"/>
  <c r="BN250" i="15" s="1"/>
  <c r="AZ102" i="77"/>
  <c r="BA102" i="77"/>
  <c r="BB102" i="77"/>
  <c r="AY102" i="77"/>
  <c r="BN112" i="15"/>
  <c r="BN111" i="15"/>
  <c r="BN110" i="15"/>
  <c r="BN355" i="15" s="1"/>
  <c r="BJ422" i="15"/>
  <c r="BJ420" i="15"/>
  <c r="BJ423" i="15" s="1"/>
  <c r="Z174" i="15"/>
  <c r="BI393" i="15"/>
  <c r="BI396" i="15"/>
  <c r="AY103" i="77"/>
  <c r="AZ103" i="77"/>
  <c r="BA103" i="77"/>
  <c r="BB103" i="77"/>
  <c r="BK266" i="15"/>
  <c r="X62" i="51"/>
  <c r="Y206" i="46"/>
  <c r="U32" i="46"/>
  <c r="W206" i="46"/>
  <c r="X206" i="46" s="1"/>
  <c r="U28" i="46"/>
  <c r="BM516" i="15"/>
  <c r="BQ491" i="15"/>
  <c r="AM12" i="59"/>
  <c r="AY83" i="46"/>
  <c r="BA158" i="72"/>
  <c r="AZ158" i="72"/>
  <c r="AP23" i="46"/>
  <c r="AR21" i="46"/>
  <c r="AL32" i="46"/>
  <c r="AL206" i="46"/>
  <c r="AM206" i="46" s="1"/>
  <c r="AP206" i="46"/>
  <c r="AN206" i="46"/>
  <c r="AL28" i="46"/>
  <c r="AP207" i="46" s="1"/>
  <c r="AO206" i="46"/>
  <c r="E49" i="46"/>
  <c r="BB20" i="72"/>
  <c r="AX16" i="46"/>
  <c r="BB16" i="46" s="1"/>
  <c r="R11" i="59"/>
  <c r="T12" i="59"/>
  <c r="BF77" i="72"/>
  <c r="BK88" i="72"/>
  <c r="AW21" i="46"/>
  <c r="AW23" i="46" s="1"/>
  <c r="AT23" i="46"/>
  <c r="Y400" i="15"/>
  <c r="Y399" i="15"/>
  <c r="AC399" i="15" s="1"/>
  <c r="AC397" i="15"/>
  <c r="BP58" i="51"/>
  <c r="AE338" i="15"/>
  <c r="AE131" i="15" s="1"/>
  <c r="AW333" i="15"/>
  <c r="AS334" i="15"/>
  <c r="BJ331" i="15"/>
  <c r="BF212" i="15"/>
  <c r="BE212" i="15"/>
  <c r="BD212" i="15"/>
  <c r="BC212" i="15"/>
  <c r="BQ60" i="15"/>
  <c r="BO61" i="15"/>
  <c r="BO368" i="15"/>
  <c r="M87" i="59"/>
  <c r="M10" i="59"/>
  <c r="M12" i="59" s="1"/>
  <c r="AH445" i="15"/>
  <c r="AW112" i="59"/>
  <c r="BI491" i="15"/>
  <c r="BI516" i="15" s="1"/>
  <c r="BI521" i="15" s="1"/>
  <c r="AN72" i="15"/>
  <c r="AN76" i="15"/>
  <c r="AR90" i="15"/>
  <c r="AB202" i="72"/>
  <c r="Z206" i="72"/>
  <c r="Z208" i="72" s="1"/>
  <c r="Z62" i="51"/>
  <c r="AA202" i="72"/>
  <c r="AY168" i="72"/>
  <c r="AX196" i="72"/>
  <c r="AX198" i="72" s="1"/>
  <c r="AX253" i="72"/>
  <c r="AX75" i="46"/>
  <c r="AX77" i="46" s="1"/>
  <c r="AX117" i="46" s="1"/>
  <c r="AX148" i="72"/>
  <c r="BD18" i="15"/>
  <c r="AY25" i="46"/>
  <c r="E105" i="46"/>
  <c r="AX387" i="15"/>
  <c r="BB63" i="15"/>
  <c r="BB65" i="15" s="1"/>
  <c r="AX65" i="15"/>
  <c r="J130" i="72"/>
  <c r="J132" i="72"/>
  <c r="X65" i="51"/>
  <c r="U67" i="51"/>
  <c r="BH18" i="51"/>
  <c r="BL18" i="51" s="1"/>
  <c r="BG18" i="51"/>
  <c r="BL408" i="15"/>
  <c r="BH416" i="15"/>
  <c r="AW557" i="15"/>
  <c r="AL27" i="72"/>
  <c r="AL20" i="46"/>
  <c r="AM20" i="46" s="1"/>
  <c r="AM23" i="46" s="1"/>
  <c r="BO191" i="72"/>
  <c r="BL407" i="15"/>
  <c r="BI413" i="15"/>
  <c r="BD214" i="15"/>
  <c r="BD137" i="15" s="1"/>
  <c r="AX341" i="15"/>
  <c r="AX328" i="15"/>
  <c r="AX61" i="15"/>
  <c r="BB59" i="15"/>
  <c r="AX354" i="15"/>
  <c r="AY221" i="15"/>
  <c r="AY77" i="15"/>
  <c r="BB75" i="15"/>
  <c r="BB223" i="15"/>
  <c r="Q94" i="46"/>
  <c r="Q36" i="46"/>
  <c r="Q40" i="46" s="1"/>
  <c r="K42" i="46"/>
  <c r="K48" i="46"/>
  <c r="H101" i="46"/>
  <c r="AR41" i="15"/>
  <c r="AR68" i="46" s="1"/>
  <c r="AK40" i="15"/>
  <c r="AK35" i="15"/>
  <c r="AK41" i="15" s="1"/>
  <c r="AK68" i="46" s="1"/>
  <c r="AL359" i="15"/>
  <c r="AK360" i="15"/>
  <c r="AR236" i="72"/>
  <c r="AR243" i="72" s="1"/>
  <c r="AR22" i="71"/>
  <c r="AR25" i="71" s="1"/>
  <c r="AR29" i="71" s="1"/>
  <c r="X65" i="72"/>
  <c r="X36" i="72"/>
  <c r="AW112" i="46"/>
  <c r="AW115" i="46" s="1"/>
  <c r="AV115" i="46"/>
  <c r="AV50" i="51"/>
  <c r="AV53" i="51" s="1"/>
  <c r="N214" i="46"/>
  <c r="N225" i="46" s="1"/>
  <c r="CF28" i="71" s="1"/>
  <c r="N94" i="46"/>
  <c r="N57" i="71" s="1"/>
  <c r="N36" i="46"/>
  <c r="N40" i="46" s="1"/>
  <c r="BE120" i="46"/>
  <c r="BE55" i="51"/>
  <c r="BE58" i="51" s="1"/>
  <c r="BB86" i="72"/>
  <c r="BB94" i="72"/>
  <c r="AI28" i="72"/>
  <c r="AI32" i="72"/>
  <c r="AK235" i="72"/>
  <c r="AJ235" i="72"/>
  <c r="AI235" i="72"/>
  <c r="AL235" i="72"/>
  <c r="AQ32" i="72"/>
  <c r="AQ28" i="72"/>
  <c r="AU235" i="72"/>
  <c r="AT235" i="72"/>
  <c r="G198" i="46"/>
  <c r="G195" i="46"/>
  <c r="G201" i="46"/>
  <c r="N200" i="46"/>
  <c r="N201" i="46"/>
  <c r="N192" i="46"/>
  <c r="AU120" i="46"/>
  <c r="AU131" i="46" s="1"/>
  <c r="AV118" i="46"/>
  <c r="AU56" i="51"/>
  <c r="AU58" i="51" s="1"/>
  <c r="AW118" i="46"/>
  <c r="S94" i="46"/>
  <c r="S57" i="71" s="1"/>
  <c r="S214" i="46"/>
  <c r="S225" i="46" s="1"/>
  <c r="CK28" i="71" s="1"/>
  <c r="S36" i="46"/>
  <c r="S40" i="46" s="1"/>
  <c r="M207" i="46"/>
  <c r="N207" i="46" s="1"/>
  <c r="AC247" i="15"/>
  <c r="X558" i="15"/>
  <c r="X561" i="15"/>
  <c r="BJ371" i="15"/>
  <c r="AP264" i="15"/>
  <c r="AO267" i="15"/>
  <c r="AO179" i="15"/>
  <c r="M29" i="15"/>
  <c r="M33" i="15" s="1"/>
  <c r="M484" i="15"/>
  <c r="BC90" i="72"/>
  <c r="BA333" i="46"/>
  <c r="BB333" i="46" s="1"/>
  <c r="BA65" i="51"/>
  <c r="BA103" i="46"/>
  <c r="AV197" i="72"/>
  <c r="AU198" i="72"/>
  <c r="AU208" i="72" s="1"/>
  <c r="AU57" i="51"/>
  <c r="AZ113" i="72"/>
  <c r="AZ127" i="72"/>
  <c r="AM36" i="72"/>
  <c r="AM65" i="72"/>
  <c r="N28" i="72"/>
  <c r="N32" i="72"/>
  <c r="N235" i="72"/>
  <c r="N248" i="72" s="1"/>
  <c r="I36" i="72"/>
  <c r="I65" i="72"/>
  <c r="AI97" i="72"/>
  <c r="AN97" i="72"/>
  <c r="F201" i="46"/>
  <c r="AG113" i="46"/>
  <c r="AH113" i="46" s="1"/>
  <c r="AH115" i="46" s="1"/>
  <c r="AF51" i="51"/>
  <c r="AF53" i="51" s="1"/>
  <c r="AF115" i="46"/>
  <c r="AF131" i="46" s="1"/>
  <c r="N508" i="15"/>
  <c r="AF448" i="15"/>
  <c r="AF450" i="15" s="1"/>
  <c r="AF451" i="15" s="1"/>
  <c r="AF429" i="15"/>
  <c r="AI172" i="15"/>
  <c r="AI309" i="15"/>
  <c r="AI310" i="15"/>
  <c r="AQ21" i="15"/>
  <c r="AQ25" i="15"/>
  <c r="AL25" i="15"/>
  <c r="AL21" i="15"/>
  <c r="S135" i="46"/>
  <c r="T133" i="46" s="1"/>
  <c r="AB32" i="46"/>
  <c r="AB206" i="46"/>
  <c r="AC206" i="46" s="1"/>
  <c r="AB28" i="46"/>
  <c r="AD206" i="46"/>
  <c r="AF206" i="46"/>
  <c r="AE206" i="46"/>
  <c r="W21" i="51"/>
  <c r="W25" i="51"/>
  <c r="W29" i="51" s="1"/>
  <c r="CU97" i="59"/>
  <c r="CP102" i="59"/>
  <c r="CP112" i="59" s="1"/>
  <c r="AZ60" i="51"/>
  <c r="BK60" i="51"/>
  <c r="BL288" i="15"/>
  <c r="BL209" i="15"/>
  <c r="CC229" i="15"/>
  <c r="CC208" i="15"/>
  <c r="AF400" i="15"/>
  <c r="AF403" i="15" s="1"/>
  <c r="AF399" i="15"/>
  <c r="AF173" i="15"/>
  <c r="AF257" i="15"/>
  <c r="AF258" i="15" s="1"/>
  <c r="AF124" i="15" s="1"/>
  <c r="AF336" i="15"/>
  <c r="AF338" i="15" s="1"/>
  <c r="AF131" i="15" s="1"/>
  <c r="AF337" i="15"/>
  <c r="AF171" i="15"/>
  <c r="AF165" i="15"/>
  <c r="AQ337" i="15"/>
  <c r="AQ338" i="15" s="1"/>
  <c r="AQ131" i="15" s="1"/>
  <c r="AB338" i="15"/>
  <c r="AB131" i="15" s="1"/>
  <c r="AL271" i="15"/>
  <c r="AL125" i="15" s="1"/>
  <c r="R12" i="59"/>
  <c r="AT12" i="59"/>
  <c r="BF83" i="46"/>
  <c r="BF123" i="46" s="1"/>
  <c r="AN49" i="46"/>
  <c r="BF33" i="51"/>
  <c r="BF37" i="15"/>
  <c r="BF127" i="46"/>
  <c r="BD60" i="51"/>
  <c r="Y10" i="59"/>
  <c r="Y12" i="59" s="1"/>
  <c r="BG515" i="15"/>
  <c r="BJ139" i="72"/>
  <c r="BE137" i="72"/>
  <c r="BE18" i="72" s="1"/>
  <c r="BH123" i="72"/>
  <c r="BC129" i="72"/>
  <c r="BC124" i="72"/>
  <c r="BG123" i="72"/>
  <c r="BG124" i="72" s="1"/>
  <c r="AL97" i="72"/>
  <c r="BF9" i="72"/>
  <c r="BF132" i="72"/>
  <c r="BF133" i="72" s="1"/>
  <c r="BP193" i="72"/>
  <c r="BP114" i="46" s="1"/>
  <c r="BP52" i="51" s="1"/>
  <c r="AT231" i="15"/>
  <c r="AW230" i="15"/>
  <c r="BG98" i="46"/>
  <c r="AV25" i="51"/>
  <c r="AV29" i="51" s="1"/>
  <c r="AV21" i="51"/>
  <c r="AI165" i="15"/>
  <c r="BO389" i="15"/>
  <c r="BO369" i="15"/>
  <c r="BO409" i="15"/>
  <c r="BO329" i="15"/>
  <c r="H32" i="46"/>
  <c r="H206" i="46"/>
  <c r="I206" i="46" s="1"/>
  <c r="L206" i="46"/>
  <c r="J206" i="46"/>
  <c r="H28" i="46"/>
  <c r="K206" i="46"/>
  <c r="AY257" i="15"/>
  <c r="AY258" i="15" s="1"/>
  <c r="AY124" i="15" s="1"/>
  <c r="AT206" i="46"/>
  <c r="AQ32" i="46"/>
  <c r="AQ28" i="46"/>
  <c r="AU206" i="46"/>
  <c r="BV36" i="59"/>
  <c r="BV10" i="59"/>
  <c r="BV12" i="59" s="1"/>
  <c r="AA49" i="46"/>
  <c r="AA50" i="46" s="1"/>
  <c r="AX533" i="15"/>
  <c r="BB515" i="15"/>
  <c r="BB521" i="15" s="1"/>
  <c r="AX521" i="15"/>
  <c r="AG69" i="15"/>
  <c r="AG315" i="15" s="1"/>
  <c r="AG323" i="15" s="1"/>
  <c r="AH67" i="15"/>
  <c r="AH69" i="15" s="1"/>
  <c r="AH315" i="15" s="1"/>
  <c r="BM83" i="46"/>
  <c r="BA12" i="59"/>
  <c r="AX82" i="46"/>
  <c r="AL12" i="59"/>
  <c r="AG21" i="51"/>
  <c r="AG25" i="51"/>
  <c r="AG29" i="51" s="1"/>
  <c r="Y258" i="15"/>
  <c r="Y124" i="15" s="1"/>
  <c r="Z211" i="72"/>
  <c r="AA209" i="72" s="1"/>
  <c r="AU257" i="15"/>
  <c r="AU258" i="15" s="1"/>
  <c r="AU124" i="15" s="1"/>
  <c r="BB112" i="15"/>
  <c r="BB329" i="15" s="1"/>
  <c r="BB110" i="15"/>
  <c r="BB111" i="15"/>
  <c r="BB409" i="15" s="1"/>
  <c r="AJ254" i="15"/>
  <c r="AJ253" i="15"/>
  <c r="BC383" i="15"/>
  <c r="AR177" i="15"/>
  <c r="AS291" i="15"/>
  <c r="BM71" i="15"/>
  <c r="BM75" i="15"/>
  <c r="BC417" i="15"/>
  <c r="AZ414" i="15"/>
  <c r="AT338" i="15"/>
  <c r="AT131" i="15" s="1"/>
  <c r="S12" i="71"/>
  <c r="S70" i="46"/>
  <c r="AC237" i="15"/>
  <c r="AC238" i="15" s="1"/>
  <c r="AU349" i="15"/>
  <c r="BN223" i="15"/>
  <c r="BN230" i="15" s="1"/>
  <c r="BW38" i="77"/>
  <c r="BX52" i="77"/>
  <c r="CC38" i="77"/>
  <c r="BP76" i="15"/>
  <c r="BP222" i="15" s="1"/>
  <c r="BP230" i="15" s="1"/>
  <c r="BP72" i="15"/>
  <c r="AZ337" i="15"/>
  <c r="AZ338" i="15" s="1"/>
  <c r="AZ131" i="15" s="1"/>
  <c r="BI333" i="15"/>
  <c r="AV394" i="15"/>
  <c r="AV402" i="15" s="1"/>
  <c r="AZ86" i="77"/>
  <c r="AZ24" i="77" s="1"/>
  <c r="BB86" i="77"/>
  <c r="BB24" i="77" s="1"/>
  <c r="BA86" i="77"/>
  <c r="BA24" i="77" s="1"/>
  <c r="AY86" i="77"/>
  <c r="BX73" i="77"/>
  <c r="AS206" i="46"/>
  <c r="AX154" i="72"/>
  <c r="AX149" i="72"/>
  <c r="AP25" i="51"/>
  <c r="AP29" i="51" s="1"/>
  <c r="AP21" i="51"/>
  <c r="AC21" i="46"/>
  <c r="AC23" i="46" s="1"/>
  <c r="Y23" i="46"/>
  <c r="BG496" i="15"/>
  <c r="AY14" i="72"/>
  <c r="AY10" i="46"/>
  <c r="BQ200" i="72"/>
  <c r="BQ206" i="72" s="1"/>
  <c r="BQ515" i="15"/>
  <c r="AW396" i="15"/>
  <c r="AS397" i="15"/>
  <c r="CB208" i="15"/>
  <c r="CB229" i="15"/>
  <c r="CB231" i="15" s="1"/>
  <c r="AW206" i="15" s="1"/>
  <c r="BD112" i="72"/>
  <c r="BI115" i="72"/>
  <c r="AI404" i="15"/>
  <c r="AI134" i="15" s="1"/>
  <c r="AM402" i="15"/>
  <c r="BH336" i="15"/>
  <c r="BH337" i="15"/>
  <c r="BA212" i="15"/>
  <c r="AX212" i="15"/>
  <c r="AY212" i="15"/>
  <c r="AH101" i="15"/>
  <c r="AD105" i="15"/>
  <c r="AD102" i="15"/>
  <c r="BG100" i="15"/>
  <c r="BC102" i="15"/>
  <c r="BJ247" i="15"/>
  <c r="BI248" i="15"/>
  <c r="AH87" i="59"/>
  <c r="AH10" i="59"/>
  <c r="AH12" i="59" s="1"/>
  <c r="G490" i="15"/>
  <c r="I515" i="15"/>
  <c r="I521" i="15" s="1"/>
  <c r="I523" i="15" s="1"/>
  <c r="I526" i="15" s="1"/>
  <c r="G60" i="51"/>
  <c r="G521" i="15"/>
  <c r="G523" i="15" s="1"/>
  <c r="G526" i="15" s="1"/>
  <c r="H524" i="15" s="1"/>
  <c r="H526" i="15" s="1"/>
  <c r="AG66" i="51"/>
  <c r="AG206" i="72"/>
  <c r="AG208" i="72" s="1"/>
  <c r="BH253" i="72"/>
  <c r="BH75" i="46"/>
  <c r="BH77" i="46" s="1"/>
  <c r="BH117" i="46" s="1"/>
  <c r="BI168" i="72"/>
  <c r="BH196" i="72"/>
  <c r="BH198" i="72" s="1"/>
  <c r="BJ168" i="72"/>
  <c r="BK168" i="72" s="1"/>
  <c r="AY112" i="59"/>
  <c r="BK491" i="15"/>
  <c r="BK516" i="15" s="1"/>
  <c r="BK521" i="15" s="1"/>
  <c r="AW75" i="59"/>
  <c r="AG87" i="59"/>
  <c r="AG10" i="59"/>
  <c r="AG12" i="59" s="1"/>
  <c r="I490" i="15"/>
  <c r="AZ419" i="15"/>
  <c r="BE18" i="15"/>
  <c r="AZ25" i="46"/>
  <c r="Y154" i="15"/>
  <c r="BM289" i="15"/>
  <c r="BP289" i="15"/>
  <c r="BO289" i="15"/>
  <c r="BN289" i="15"/>
  <c r="AY65" i="15"/>
  <c r="AY387" i="15"/>
  <c r="AA57" i="51"/>
  <c r="AA198" i="72"/>
  <c r="AZ58" i="72"/>
  <c r="AZ118" i="72" s="1"/>
  <c r="AZ115" i="72" s="1"/>
  <c r="BC118" i="72"/>
  <c r="BC115" i="72" s="1"/>
  <c r="BC112" i="72" s="1"/>
  <c r="BG112" i="72" s="1"/>
  <c r="G132" i="72"/>
  <c r="L133" i="72" s="1"/>
  <c r="G130" i="72"/>
  <c r="R52" i="51"/>
  <c r="R508" i="15"/>
  <c r="AA363" i="15"/>
  <c r="AC355" i="15"/>
  <c r="AR243" i="15"/>
  <c r="AX408" i="15"/>
  <c r="AX242" i="15"/>
  <c r="AX302" i="15"/>
  <c r="BB72" i="15"/>
  <c r="BB302" i="15" s="1"/>
  <c r="BQ81" i="15"/>
  <c r="AR445" i="15"/>
  <c r="S507" i="15"/>
  <c r="S508" i="15" s="1"/>
  <c r="AY465" i="15"/>
  <c r="Z152" i="15"/>
  <c r="Z196" i="15"/>
  <c r="Z153" i="15"/>
  <c r="Z136" i="15"/>
  <c r="AX227" i="15"/>
  <c r="BB221" i="15"/>
  <c r="AJ172" i="15"/>
  <c r="AJ165" i="15"/>
  <c r="W198" i="46"/>
  <c r="W192" i="46"/>
  <c r="W195" i="46"/>
  <c r="AK28" i="72"/>
  <c r="AK32" i="72"/>
  <c r="Q32" i="72"/>
  <c r="Q28" i="72"/>
  <c r="U236" i="72" s="1"/>
  <c r="U235" i="72"/>
  <c r="M235" i="72"/>
  <c r="M28" i="72"/>
  <c r="M236" i="72" s="1"/>
  <c r="M32" i="72"/>
  <c r="J195" i="46"/>
  <c r="J192" i="46"/>
  <c r="U207" i="46"/>
  <c r="L53" i="51"/>
  <c r="AH321" i="15"/>
  <c r="AH163" i="15" s="1"/>
  <c r="AG163" i="15"/>
  <c r="AG324" i="15"/>
  <c r="AZ20" i="51"/>
  <c r="AZ21" i="46"/>
  <c r="AE23" i="46"/>
  <c r="AH20" i="46"/>
  <c r="AH23" i="46" s="1"/>
  <c r="AC236" i="72"/>
  <c r="AC243" i="72" s="1"/>
  <c r="AC22" i="71"/>
  <c r="U53" i="51"/>
  <c r="T207" i="46"/>
  <c r="CA229" i="15"/>
  <c r="CA208" i="15"/>
  <c r="X77" i="46"/>
  <c r="X76" i="46" s="1"/>
  <c r="CP45" i="71" s="1"/>
  <c r="CP46" i="71" s="1"/>
  <c r="X120" i="46"/>
  <c r="BE513" i="15"/>
  <c r="BG510" i="15"/>
  <c r="BG513" i="15" s="1"/>
  <c r="AA172" i="15"/>
  <c r="AA309" i="15"/>
  <c r="AA310" i="15"/>
  <c r="AA165" i="15"/>
  <c r="AB193" i="15"/>
  <c r="AC304" i="15"/>
  <c r="AB307" i="15"/>
  <c r="AB191" i="15"/>
  <c r="AB180" i="15"/>
  <c r="AB182" i="15" s="1"/>
  <c r="AB187" i="15"/>
  <c r="AB188" i="15" s="1"/>
  <c r="AB459" i="15" s="1"/>
  <c r="X20" i="46"/>
  <c r="V23" i="46"/>
  <c r="T65" i="72"/>
  <c r="T36" i="72"/>
  <c r="AH140" i="72"/>
  <c r="AH62" i="72" s="1"/>
  <c r="AH43" i="73" s="1"/>
  <c r="AT195" i="46"/>
  <c r="AT192" i="46"/>
  <c r="AT201" i="46"/>
  <c r="AM200" i="46"/>
  <c r="AM192" i="46"/>
  <c r="AM201" i="46"/>
  <c r="AT58" i="51"/>
  <c r="AT69" i="51" s="1"/>
  <c r="J36" i="46"/>
  <c r="J40" i="46" s="1"/>
  <c r="J94" i="46"/>
  <c r="AB253" i="15"/>
  <c r="AB254" i="15"/>
  <c r="AB256" i="15"/>
  <c r="X523" i="15"/>
  <c r="AF133" i="72"/>
  <c r="AA133" i="72"/>
  <c r="AL284" i="15"/>
  <c r="AL285" i="15" s="1"/>
  <c r="AL126" i="15" s="1"/>
  <c r="AM126" i="15" s="1"/>
  <c r="AM275" i="15"/>
  <c r="AM247" i="15"/>
  <c r="BC537" i="15"/>
  <c r="BB537" i="15"/>
  <c r="BC33" i="51"/>
  <c r="BC127" i="46"/>
  <c r="BC37" i="15"/>
  <c r="BG45" i="46"/>
  <c r="BC46" i="46"/>
  <c r="BE37" i="15"/>
  <c r="BE33" i="51"/>
  <c r="BE127" i="46"/>
  <c r="AW63" i="51"/>
  <c r="AW67" i="51" s="1"/>
  <c r="AV67" i="51"/>
  <c r="AY126" i="72"/>
  <c r="AX52" i="72"/>
  <c r="AX126" i="72" s="1"/>
  <c r="AM236" i="72"/>
  <c r="AM243" i="72" s="1"/>
  <c r="AM22" i="71"/>
  <c r="AM25" i="71" s="1"/>
  <c r="AH22" i="71"/>
  <c r="AH25" i="71" s="1"/>
  <c r="AH236" i="72"/>
  <c r="AH243" i="72" s="1"/>
  <c r="F198" i="46"/>
  <c r="AQ129" i="46"/>
  <c r="AQ66" i="51"/>
  <c r="AQ67" i="51" s="1"/>
  <c r="AQ69" i="51" s="1"/>
  <c r="O36" i="46"/>
  <c r="O40" i="46" s="1"/>
  <c r="O94" i="46"/>
  <c r="AK36" i="46"/>
  <c r="AK40" i="46" s="1"/>
  <c r="AK94" i="46"/>
  <c r="M508" i="15"/>
  <c r="M523" i="15" s="1"/>
  <c r="BZ229" i="15"/>
  <c r="BZ231" i="15" s="1"/>
  <c r="AM206" i="15" s="1"/>
  <c r="BZ208" i="15"/>
  <c r="F53" i="51"/>
  <c r="AH473" i="15"/>
  <c r="AD473" i="15"/>
  <c r="W220" i="72"/>
  <c r="W242" i="72"/>
  <c r="W266" i="72"/>
  <c r="W230" i="72"/>
  <c r="AO237" i="15"/>
  <c r="AO238" i="15" s="1"/>
  <c r="AO123" i="15" s="1"/>
  <c r="AO170" i="15"/>
  <c r="DJ40" i="71"/>
  <c r="DJ52" i="71" s="1"/>
  <c r="BK102" i="46"/>
  <c r="BG67" i="73"/>
  <c r="BL66" i="73"/>
  <c r="AS238" i="15"/>
  <c r="AS123" i="15" s="1"/>
  <c r="AE271" i="15"/>
  <c r="AE125" i="15" s="1"/>
  <c r="AD158" i="72"/>
  <c r="AJ49" i="46"/>
  <c r="AJ50" i="46" s="1"/>
  <c r="AB25" i="51"/>
  <c r="AB29" i="51" s="1"/>
  <c r="AB21" i="51"/>
  <c r="AZ83" i="46"/>
  <c r="AZ123" i="46" s="1"/>
  <c r="AN12" i="59"/>
  <c r="BL102" i="46"/>
  <c r="EI47" i="71"/>
  <c r="EI46" i="71" s="1"/>
  <c r="BQ120" i="46"/>
  <c r="BK112" i="72"/>
  <c r="BK120" i="72" s="1"/>
  <c r="BP115" i="72"/>
  <c r="BP112" i="72" s="1"/>
  <c r="BP120" i="72" s="1"/>
  <c r="AX237" i="72"/>
  <c r="AU431" i="15"/>
  <c r="AT447" i="15"/>
  <c r="AT445" i="15"/>
  <c r="AJ237" i="15"/>
  <c r="AJ238" i="15" s="1"/>
  <c r="AJ123" i="15" s="1"/>
  <c r="AJ164" i="15"/>
  <c r="AJ170" i="15"/>
  <c r="AC337" i="15"/>
  <c r="AI271" i="15"/>
  <c r="AI125" i="15" s="1"/>
  <c r="AM269" i="15"/>
  <c r="AM271" i="15" s="1"/>
  <c r="AL403" i="15"/>
  <c r="AL170" i="15"/>
  <c r="AF32" i="46"/>
  <c r="AI206" i="46"/>
  <c r="AG206" i="46"/>
  <c r="AH206" i="46" s="1"/>
  <c r="AJ206" i="46"/>
  <c r="AF28" i="46"/>
  <c r="BP60" i="51"/>
  <c r="BC122" i="46"/>
  <c r="BG82" i="46"/>
  <c r="BB200" i="72"/>
  <c r="Z206" i="46"/>
  <c r="W32" i="46"/>
  <c r="W28" i="46"/>
  <c r="AA206" i="46"/>
  <c r="CA24" i="59"/>
  <c r="CF19" i="59"/>
  <c r="DJ39" i="71"/>
  <c r="DJ51" i="71" s="1"/>
  <c r="AH63" i="15"/>
  <c r="AG387" i="15"/>
  <c r="AG65" i="15"/>
  <c r="BB137" i="72"/>
  <c r="AX18" i="72"/>
  <c r="BB18" i="72" s="1"/>
  <c r="AW523" i="15"/>
  <c r="AI231" i="15"/>
  <c r="AM230" i="15"/>
  <c r="AJ25" i="51"/>
  <c r="AJ29" i="51" s="1"/>
  <c r="AJ21" i="51"/>
  <c r="AR396" i="15"/>
  <c r="AP397" i="15"/>
  <c r="AC7" i="73"/>
  <c r="AC402" i="15"/>
  <c r="BE214" i="15"/>
  <c r="BE137" i="15" s="1"/>
  <c r="BF207" i="15"/>
  <c r="BF214" i="15" s="1"/>
  <c r="BF137" i="15" s="1"/>
  <c r="AJ256" i="15"/>
  <c r="AO404" i="15"/>
  <c r="AO134" i="15" s="1"/>
  <c r="BC414" i="15"/>
  <c r="DE92" i="73"/>
  <c r="AK271" i="15"/>
  <c r="AK125" i="15" s="1"/>
  <c r="AT399" i="15"/>
  <c r="AT400" i="15"/>
  <c r="AT403" i="15" s="1"/>
  <c r="BA21" i="77"/>
  <c r="BO89" i="15"/>
  <c r="AC123" i="15"/>
  <c r="AR349" i="15"/>
  <c r="AW344" i="15"/>
  <c r="AX344" i="15" s="1"/>
  <c r="AV347" i="15"/>
  <c r="AV349" i="15" s="1"/>
  <c r="BB85" i="77"/>
  <c r="BB23" i="77" s="1"/>
  <c r="AY85" i="77"/>
  <c r="BX72" i="77"/>
  <c r="AZ85" i="77"/>
  <c r="AZ23" i="77" s="1"/>
  <c r="BA85" i="77"/>
  <c r="BA23" i="77" s="1"/>
  <c r="BM90" i="15"/>
  <c r="BP101" i="77"/>
  <c r="BO408" i="15"/>
  <c r="BO416" i="15" s="1"/>
  <c r="BO417" i="15" s="1"/>
  <c r="BO302" i="15"/>
  <c r="BO242" i="15"/>
  <c r="BO250" i="15" s="1"/>
  <c r="BI376" i="15"/>
  <c r="BI377" i="15" s="1"/>
  <c r="BI379" i="15" s="1"/>
  <c r="BI373" i="15"/>
  <c r="BI374" i="15" s="1"/>
  <c r="BA393" i="15"/>
  <c r="BB389" i="15"/>
  <c r="BK316" i="15"/>
  <c r="BK243" i="15"/>
  <c r="AO36" i="46"/>
  <c r="AO40" i="46" s="1"/>
  <c r="AO94" i="46"/>
  <c r="BD516" i="15"/>
  <c r="BG516" i="15" s="1"/>
  <c r="BG491" i="15"/>
  <c r="AY201" i="72"/>
  <c r="BB174" i="72"/>
  <c r="AO12" i="59"/>
  <c r="BA83" i="46"/>
  <c r="BA123" i="46" s="1"/>
  <c r="BN83" i="46"/>
  <c r="BN123" i="46" s="1"/>
  <c r="BB12" i="59"/>
  <c r="AA101" i="46"/>
  <c r="AA105" i="46" s="1"/>
  <c r="AC105" i="46" s="1"/>
  <c r="Y21" i="51"/>
  <c r="Y25" i="51"/>
  <c r="Y29" i="51" s="1"/>
  <c r="BE129" i="72"/>
  <c r="BE13" i="72" s="1"/>
  <c r="BJ130" i="72"/>
  <c r="AH49" i="46"/>
  <c r="AH213" i="46"/>
  <c r="AL21" i="51"/>
  <c r="AL25" i="51"/>
  <c r="AL29" i="51" s="1"/>
  <c r="BA396" i="15"/>
  <c r="BB396" i="15" s="1"/>
  <c r="BE112" i="72"/>
  <c r="BJ115" i="72"/>
  <c r="AR98" i="46"/>
  <c r="AQ105" i="46"/>
  <c r="BI157" i="15"/>
  <c r="AF233" i="15"/>
  <c r="AF234" i="15"/>
  <c r="BJ167" i="46"/>
  <c r="AJ362" i="15"/>
  <c r="AJ310" i="15"/>
  <c r="AA256" i="15"/>
  <c r="AC256" i="15" s="1"/>
  <c r="AA254" i="15"/>
  <c r="AA253" i="15"/>
  <c r="AC253" i="15" s="1"/>
  <c r="BH377" i="15"/>
  <c r="CC36" i="77"/>
  <c r="BX50" i="77"/>
  <c r="BW36" i="77"/>
  <c r="BJ212" i="15"/>
  <c r="BI212" i="15"/>
  <c r="BH212" i="15"/>
  <c r="BK212" i="15"/>
  <c r="BC106" i="15"/>
  <c r="BG104" i="15"/>
  <c r="AZ96" i="72"/>
  <c r="AZ97" i="72" s="1"/>
  <c r="AZ8" i="72"/>
  <c r="AX75" i="59"/>
  <c r="W64" i="51"/>
  <c r="X64" i="51" s="1"/>
  <c r="W98" i="46"/>
  <c r="W206" i="72"/>
  <c r="W208" i="72" s="1"/>
  <c r="W211" i="72" s="1"/>
  <c r="AV87" i="59"/>
  <c r="BH173" i="72"/>
  <c r="BH200" i="72" s="1"/>
  <c r="O10" i="59"/>
  <c r="O12" i="59" s="1"/>
  <c r="O87" i="59"/>
  <c r="AK197" i="72"/>
  <c r="AL197" i="72" s="1"/>
  <c r="AJ57" i="51"/>
  <c r="AJ198" i="72"/>
  <c r="AJ208" i="72" s="1"/>
  <c r="BC88" i="72"/>
  <c r="AX77" i="72"/>
  <c r="BF18" i="15"/>
  <c r="BA25" i="46"/>
  <c r="AB197" i="72"/>
  <c r="AB57" i="51" s="1"/>
  <c r="J97" i="72"/>
  <c r="O97" i="72"/>
  <c r="DE9" i="71"/>
  <c r="AM57" i="71"/>
  <c r="BK99" i="46"/>
  <c r="BK64" i="51"/>
  <c r="BL64" i="51" s="1"/>
  <c r="BN156" i="15"/>
  <c r="BI288" i="15"/>
  <c r="BI209" i="15"/>
  <c r="AD450" i="15"/>
  <c r="AD451" i="15" s="1"/>
  <c r="AH447" i="15"/>
  <c r="AW551" i="15"/>
  <c r="AW562" i="15" s="1"/>
  <c r="AW29" i="15"/>
  <c r="AW33" i="15" s="1"/>
  <c r="AW484" i="15"/>
  <c r="BL223" i="15"/>
  <c r="BG242" i="15"/>
  <c r="AY222" i="15"/>
  <c r="BB76" i="15"/>
  <c r="AQ155" i="72"/>
  <c r="AR254" i="72"/>
  <c r="AR257" i="72" s="1"/>
  <c r="AO155" i="72"/>
  <c r="AP155" i="72"/>
  <c r="AN155" i="72"/>
  <c r="R67" i="51"/>
  <c r="AK207" i="46"/>
  <c r="AL207" i="46"/>
  <c r="AM207" i="46" s="1"/>
  <c r="AI318" i="15"/>
  <c r="AH185" i="15"/>
  <c r="AH188" i="15" s="1"/>
  <c r="AH459" i="15" s="1"/>
  <c r="AH191" i="15"/>
  <c r="AH196" i="15" s="1"/>
  <c r="AH147" i="15" s="1"/>
  <c r="AH193" i="15"/>
  <c r="AH181" i="15"/>
  <c r="AH182" i="15" s="1"/>
  <c r="BA16" i="51"/>
  <c r="BC8" i="51"/>
  <c r="BA10" i="51"/>
  <c r="AR65" i="72"/>
  <c r="AR36" i="72"/>
  <c r="AE32" i="72"/>
  <c r="AE28" i="72"/>
  <c r="AF235" i="72"/>
  <c r="AG235" i="72"/>
  <c r="AE235" i="72"/>
  <c r="P32" i="72"/>
  <c r="P28" i="72"/>
  <c r="T236" i="72" s="1"/>
  <c r="T235" i="72"/>
  <c r="V115" i="46"/>
  <c r="V52" i="51"/>
  <c r="V53" i="51" s="1"/>
  <c r="X114" i="46"/>
  <c r="X115" i="46" s="1"/>
  <c r="P36" i="46"/>
  <c r="P40" i="46" s="1"/>
  <c r="P94" i="46"/>
  <c r="R29" i="15"/>
  <c r="R33" i="15" s="1"/>
  <c r="R484" i="15"/>
  <c r="AA153" i="15"/>
  <c r="AA154" i="15" s="1"/>
  <c r="AA152" i="15"/>
  <c r="AA136" i="15"/>
  <c r="AA196" i="15"/>
  <c r="CP54" i="71"/>
  <c r="BJ84" i="72"/>
  <c r="BE86" i="72"/>
  <c r="BE93" i="72"/>
  <c r="BG84" i="72"/>
  <c r="BG86" i="72" s="1"/>
  <c r="BE77" i="72"/>
  <c r="V28" i="72"/>
  <c r="V236" i="72" s="1"/>
  <c r="Y235" i="72"/>
  <c r="V32" i="72"/>
  <c r="Z235" i="72"/>
  <c r="V235" i="72"/>
  <c r="AT198" i="46"/>
  <c r="DE18" i="71"/>
  <c r="AM63" i="71"/>
  <c r="L94" i="46"/>
  <c r="L36" i="46"/>
  <c r="L40" i="46" s="1"/>
  <c r="J207" i="46"/>
  <c r="H207" i="46"/>
  <c r="I207" i="46" s="1"/>
  <c r="AG195" i="46"/>
  <c r="AG201" i="46"/>
  <c r="AG198" i="46"/>
  <c r="AC472" i="15"/>
  <c r="AC473" i="15" s="1"/>
  <c r="W473" i="15"/>
  <c r="DE40" i="71"/>
  <c r="BD37" i="15"/>
  <c r="BD33" i="51"/>
  <c r="BD46" i="46"/>
  <c r="BE46" i="46" s="1"/>
  <c r="BD127" i="46"/>
  <c r="BI116" i="72"/>
  <c r="BG116" i="72"/>
  <c r="AO23" i="46"/>
  <c r="AR20" i="46"/>
  <c r="AR23" i="46" s="1"/>
  <c r="I236" i="72"/>
  <c r="I243" i="72" s="1"/>
  <c r="I22" i="71"/>
  <c r="I25" i="71" s="1"/>
  <c r="AM140" i="72"/>
  <c r="AM62" i="72" s="1"/>
  <c r="AM43" i="73" s="1"/>
  <c r="AC129" i="72"/>
  <c r="AC93" i="72"/>
  <c r="AC9" i="51"/>
  <c r="CP18" i="71"/>
  <c r="X63" i="71"/>
  <c r="AR66" i="51"/>
  <c r="AR67" i="51" s="1"/>
  <c r="AR69" i="51" s="1"/>
  <c r="R207" i="46"/>
  <c r="S207" i="46" s="1"/>
  <c r="AN207" i="46"/>
  <c r="AO207" i="46"/>
  <c r="M53" i="51"/>
  <c r="AJ133" i="72"/>
  <c r="AE133" i="72"/>
  <c r="AE201" i="46"/>
  <c r="AE195" i="46"/>
  <c r="AE198" i="46"/>
  <c r="AQ306" i="15"/>
  <c r="AN306" i="15"/>
  <c r="AV473" i="15"/>
  <c r="AX473" i="15" s="1"/>
  <c r="BO52" i="51"/>
  <c r="BQ52" i="51" s="1"/>
  <c r="BQ114" i="46"/>
  <c r="V207" i="46"/>
  <c r="AS36" i="46"/>
  <c r="AS40" i="46" s="1"/>
  <c r="AS94" i="46"/>
  <c r="T23" i="46"/>
  <c r="X21" i="46"/>
  <c r="AX497" i="15"/>
  <c r="BB496" i="15"/>
  <c r="BE60" i="51"/>
  <c r="AW133" i="72"/>
  <c r="BK255" i="72"/>
  <c r="BK112" i="46"/>
  <c r="BK50" i="51" s="1"/>
  <c r="BM60" i="51"/>
  <c r="BQ122" i="46"/>
  <c r="EI60" i="71" s="1"/>
  <c r="AE403" i="15"/>
  <c r="AE404" i="15" s="1"/>
  <c r="AE134" i="15" s="1"/>
  <c r="AP334" i="15"/>
  <c r="AR333" i="15"/>
  <c r="AF402" i="15"/>
  <c r="AF404" i="15" s="1"/>
  <c r="AF134" i="15" s="1"/>
  <c r="BM111" i="15"/>
  <c r="BM112" i="15"/>
  <c r="BM110" i="15"/>
  <c r="BM355" i="15" s="1"/>
  <c r="G49" i="46"/>
  <c r="BE152" i="72"/>
  <c r="BE25" i="72" s="1"/>
  <c r="BF159" i="72"/>
  <c r="BA88" i="46"/>
  <c r="CJ12" i="59"/>
  <c r="AL101" i="46"/>
  <c r="AL105" i="46" s="1"/>
  <c r="AH58" i="51"/>
  <c r="AK429" i="15"/>
  <c r="AI338" i="15"/>
  <c r="AI131" i="15" s="1"/>
  <c r="AM131" i="15" s="1"/>
  <c r="AM336" i="15"/>
  <c r="AM338" i="15" s="1"/>
  <c r="AL404" i="15"/>
  <c r="AL134" i="15" s="1"/>
  <c r="AM12" i="71"/>
  <c r="AM70" i="46"/>
  <c r="AY218" i="72"/>
  <c r="AT49" i="46"/>
  <c r="AP49" i="46"/>
  <c r="BQ40" i="71"/>
  <c r="BL40" i="71"/>
  <c r="BL38" i="71"/>
  <c r="BL53" i="71" s="1"/>
  <c r="AG388" i="15"/>
  <c r="AH64" i="15"/>
  <c r="AH71" i="15"/>
  <c r="AG301" i="15"/>
  <c r="AG309" i="15" s="1"/>
  <c r="AG241" i="15"/>
  <c r="AG73" i="15"/>
  <c r="AG210" i="15"/>
  <c r="AG261" i="15"/>
  <c r="AG274" i="15"/>
  <c r="AG283" i="15" s="1"/>
  <c r="AG285" i="15" s="1"/>
  <c r="AG126" i="15" s="1"/>
  <c r="AH126" i="15" s="1"/>
  <c r="AG242" i="15"/>
  <c r="AH72" i="15"/>
  <c r="AH302" i="15" s="1"/>
  <c r="AG302" i="15"/>
  <c r="AG310" i="15" s="1"/>
  <c r="AH310" i="15" s="1"/>
  <c r="AM399" i="15"/>
  <c r="AH59" i="15"/>
  <c r="BB87" i="46"/>
  <c r="AX89" i="46"/>
  <c r="AR393" i="15"/>
  <c r="AP394" i="15"/>
  <c r="AW31" i="51"/>
  <c r="AW36" i="51"/>
  <c r="AG49" i="46"/>
  <c r="AY88" i="46"/>
  <c r="CH12" i="59"/>
  <c r="BF110" i="15"/>
  <c r="BF355" i="15" s="1"/>
  <c r="BF112" i="15"/>
  <c r="BF111" i="15"/>
  <c r="BG109" i="15"/>
  <c r="BK109" i="15"/>
  <c r="BB280" i="15"/>
  <c r="AU357" i="15"/>
  <c r="AT195" i="15"/>
  <c r="BB225" i="15"/>
  <c r="BA231" i="15"/>
  <c r="BA228" i="15"/>
  <c r="BA236" i="15" s="1"/>
  <c r="BD384" i="15"/>
  <c r="BD133" i="15" s="1"/>
  <c r="AQ296" i="15"/>
  <c r="AQ298" i="15" s="1"/>
  <c r="AQ127" i="15" s="1"/>
  <c r="AR294" i="15"/>
  <c r="AQ169" i="15"/>
  <c r="AQ297" i="15"/>
  <c r="N36" i="51"/>
  <c r="N31" i="51"/>
  <c r="N37" i="51" s="1"/>
  <c r="Y164" i="15"/>
  <c r="AM213" i="46"/>
  <c r="AM550" i="15"/>
  <c r="AU399" i="15"/>
  <c r="AU400" i="15"/>
  <c r="AV338" i="15"/>
  <c r="AV131" i="15" s="1"/>
  <c r="AM298" i="15"/>
  <c r="AW394" i="15"/>
  <c r="AT402" i="15"/>
  <c r="AT404" i="15" s="1"/>
  <c r="AT134" i="15" s="1"/>
  <c r="BL253" i="15"/>
  <c r="CY31" i="59"/>
  <c r="CY34" i="59" s="1"/>
  <c r="CX31" i="59"/>
  <c r="CX34" i="59" s="1"/>
  <c r="CQ31" i="59"/>
  <c r="CQ34" i="59" s="1"/>
  <c r="CQ11" i="59" s="1"/>
  <c r="BH87" i="46" s="1"/>
  <c r="BL87" i="46" s="1"/>
  <c r="CR31" i="59"/>
  <c r="CR34" i="59" s="1"/>
  <c r="CR11" i="59" s="1"/>
  <c r="BI87" i="46" s="1"/>
  <c r="CV31" i="59"/>
  <c r="CV34" i="59" s="1"/>
  <c r="CT31" i="59"/>
  <c r="CT34" i="59" s="1"/>
  <c r="CT11" i="59" s="1"/>
  <c r="BK87" i="46" s="1"/>
  <c r="CW31" i="59"/>
  <c r="CW34" i="59" s="1"/>
  <c r="CZ31" i="59"/>
  <c r="CZ34" i="59" s="1"/>
  <c r="CZ11" i="59" s="1"/>
  <c r="CS31" i="59"/>
  <c r="CS34" i="59" s="1"/>
  <c r="CS11" i="59" s="1"/>
  <c r="BJ87" i="46" s="1"/>
  <c r="CU34" i="59"/>
  <c r="CU11" i="59" s="1"/>
  <c r="BE422" i="15"/>
  <c r="BE424" i="15" s="1"/>
  <c r="BE135" i="15" s="1"/>
  <c r="BP75" i="15"/>
  <c r="BP71" i="15"/>
  <c r="BJ419" i="15"/>
  <c r="AZ100" i="77"/>
  <c r="BN87" i="15" s="1"/>
  <c r="BN68" i="15" s="1"/>
  <c r="AY100" i="77"/>
  <c r="BB100" i="77"/>
  <c r="BP87" i="15" s="1"/>
  <c r="BP68" i="15" s="1"/>
  <c r="BA100" i="77"/>
  <c r="BO87" i="15" s="1"/>
  <c r="BO68" i="15" s="1"/>
  <c r="AU338" i="15"/>
  <c r="AU131" i="15" s="1"/>
  <c r="Z140" i="15"/>
  <c r="Z141" i="15" s="1"/>
  <c r="BF194" i="46"/>
  <c r="BG174" i="46"/>
  <c r="BI416" i="15"/>
  <c r="BI417" i="15" s="1"/>
  <c r="BA413" i="15"/>
  <c r="BA414" i="15" s="1"/>
  <c r="BA416" i="15"/>
  <c r="BA417" i="15" s="1"/>
  <c r="AW178" i="15"/>
  <c r="AW194" i="15"/>
  <c r="AX391" i="15"/>
  <c r="BJ116" i="15"/>
  <c r="BJ262" i="15" s="1"/>
  <c r="BJ117" i="15"/>
  <c r="BJ223" i="15" s="1"/>
  <c r="BJ118" i="15"/>
  <c r="BI115" i="15"/>
  <c r="AQ206" i="46"/>
  <c r="AR206" i="46" s="1"/>
  <c r="AL23" i="46"/>
  <c r="DE46" i="71"/>
  <c r="BC20" i="72"/>
  <c r="BG142" i="72"/>
  <c r="BG143" i="72" s="1"/>
  <c r="BH142" i="72"/>
  <c r="BD129" i="72"/>
  <c r="BD13" i="72" s="1"/>
  <c r="BD10" i="46" s="1"/>
  <c r="BI130" i="72"/>
  <c r="P11" i="59"/>
  <c r="P12" i="59" s="1"/>
  <c r="AP237" i="15"/>
  <c r="AP238" i="15" s="1"/>
  <c r="AP123" i="15" s="1"/>
  <c r="BA8" i="72"/>
  <c r="BA10" i="72" s="1"/>
  <c r="BA96" i="72"/>
  <c r="BA97" i="72" s="1"/>
  <c r="AT25" i="51"/>
  <c r="AT29" i="51" s="1"/>
  <c r="AT21" i="51"/>
  <c r="BC58" i="51"/>
  <c r="AJ309" i="15"/>
  <c r="AJ311" i="15" s="1"/>
  <c r="AJ128" i="15" s="1"/>
  <c r="BH374" i="15"/>
  <c r="BP83" i="77"/>
  <c r="BW70" i="77" s="1"/>
  <c r="BY70" i="77" s="1"/>
  <c r="BE41" i="72" l="1"/>
  <c r="BE34" i="51"/>
  <c r="BE38" i="15"/>
  <c r="BE331" i="46"/>
  <c r="BF46" i="46"/>
  <c r="AL198" i="72"/>
  <c r="AL208" i="72" s="1"/>
  <c r="AL57" i="51"/>
  <c r="AL58" i="51" s="1"/>
  <c r="AL69" i="51" s="1"/>
  <c r="BG120" i="46"/>
  <c r="DY47" i="71"/>
  <c r="DY46" i="71" s="1"/>
  <c r="AH131" i="46"/>
  <c r="CZ41" i="71"/>
  <c r="BK196" i="72"/>
  <c r="BK198" i="72" s="1"/>
  <c r="BK75" i="46"/>
  <c r="BK77" i="46" s="1"/>
  <c r="BK117" i="46" s="1"/>
  <c r="BK253" i="72"/>
  <c r="BJ230" i="15"/>
  <c r="BJ227" i="15"/>
  <c r="AM561" i="15"/>
  <c r="AM558" i="15"/>
  <c r="AG250" i="15"/>
  <c r="AG251" i="15" s="1"/>
  <c r="AH242" i="15"/>
  <c r="AT36" i="51"/>
  <c r="AT31" i="51"/>
  <c r="AT37" i="51" s="1"/>
  <c r="AT70" i="46" s="1"/>
  <c r="AT71" i="46" s="1"/>
  <c r="BJ243" i="15"/>
  <c r="BJ316" i="15"/>
  <c r="BG194" i="46"/>
  <c r="BH174" i="46"/>
  <c r="N12" i="71"/>
  <c r="N70" i="46"/>
  <c r="AR169" i="15"/>
  <c r="AR297" i="15"/>
  <c r="AR550" i="15" s="1"/>
  <c r="AR293" i="15"/>
  <c r="BC225" i="15"/>
  <c r="AW59" i="73"/>
  <c r="AW37" i="51"/>
  <c r="AH210" i="15"/>
  <c r="AH301" i="15"/>
  <c r="AH73" i="15"/>
  <c r="AH274" i="15"/>
  <c r="AH283" i="15" s="1"/>
  <c r="AH285" i="15" s="1"/>
  <c r="AH261" i="15"/>
  <c r="AM9" i="73"/>
  <c r="AM18" i="71"/>
  <c r="AX472" i="15"/>
  <c r="AY473" i="15"/>
  <c r="M101" i="46"/>
  <c r="M105" i="46" s="1"/>
  <c r="M69" i="51"/>
  <c r="AC10" i="51"/>
  <c r="AC14" i="51"/>
  <c r="AC16" i="51" s="1"/>
  <c r="AC20" i="51" s="1"/>
  <c r="I30" i="71"/>
  <c r="G56" i="71"/>
  <c r="I29" i="71"/>
  <c r="L42" i="46"/>
  <c r="L48" i="46"/>
  <c r="BE12" i="72"/>
  <c r="BG93" i="72"/>
  <c r="BG94" i="72" s="1"/>
  <c r="P48" i="46"/>
  <c r="P42" i="46"/>
  <c r="AR38" i="72"/>
  <c r="AR44" i="72" s="1"/>
  <c r="AR234" i="72"/>
  <c r="AR43" i="72"/>
  <c r="AR238" i="72"/>
  <c r="AR270" i="72" s="1"/>
  <c r="AR68" i="72" s="1"/>
  <c r="AR45" i="73" s="1"/>
  <c r="AR56" i="73" s="1"/>
  <c r="BC10" i="51"/>
  <c r="BH8" i="51"/>
  <c r="BD8" i="51"/>
  <c r="BC16" i="51"/>
  <c r="AO156" i="72"/>
  <c r="AO158" i="72" s="1"/>
  <c r="AO254" i="72"/>
  <c r="AY230" i="15"/>
  <c r="BB222" i="15"/>
  <c r="BL99" i="46"/>
  <c r="BJ174" i="72"/>
  <c r="BJ201" i="72" s="1"/>
  <c r="BJ206" i="72" s="1"/>
  <c r="AX10" i="59"/>
  <c r="AX87" i="59"/>
  <c r="BG106" i="15"/>
  <c r="AF170" i="15"/>
  <c r="AF174" i="15" s="1"/>
  <c r="AF237" i="15"/>
  <c r="AF238" i="15" s="1"/>
  <c r="AF123" i="15" s="1"/>
  <c r="AF164" i="15"/>
  <c r="AF166" i="15" s="1"/>
  <c r="AF460" i="15" s="1"/>
  <c r="AM50" i="46"/>
  <c r="AH50" i="46"/>
  <c r="AH13" i="71"/>
  <c r="AH58" i="46"/>
  <c r="BN61" i="51"/>
  <c r="BB201" i="72"/>
  <c r="AY206" i="72"/>
  <c r="AO42" i="46"/>
  <c r="AO48" i="46"/>
  <c r="BC420" i="15"/>
  <c r="BC422" i="15"/>
  <c r="AP400" i="15"/>
  <c r="AP399" i="15"/>
  <c r="AR399" i="15" s="1"/>
  <c r="AR397" i="15"/>
  <c r="AG393" i="15"/>
  <c r="AH387" i="15"/>
  <c r="CK19" i="59"/>
  <c r="CF24" i="59"/>
  <c r="W94" i="46"/>
  <c r="W36" i="46"/>
  <c r="W40" i="46" s="1"/>
  <c r="BC60" i="51"/>
  <c r="BG122" i="46"/>
  <c r="DY60" i="71" s="1"/>
  <c r="AM125" i="15"/>
  <c r="BP9" i="72"/>
  <c r="BP132" i="72"/>
  <c r="AB31" i="51"/>
  <c r="AB37" i="51" s="1"/>
  <c r="AB70" i="46" s="1"/>
  <c r="AB71" i="46" s="1"/>
  <c r="AB36" i="51"/>
  <c r="F101" i="46"/>
  <c r="F69" i="51"/>
  <c r="O42" i="46"/>
  <c r="O48" i="46"/>
  <c r="BB126" i="72"/>
  <c r="BB127" i="72" s="1"/>
  <c r="AX127" i="72"/>
  <c r="AX113" i="72"/>
  <c r="BC126" i="72"/>
  <c r="BC38" i="15"/>
  <c r="BC41" i="72"/>
  <c r="BC331" i="46"/>
  <c r="BC34" i="51"/>
  <c r="BG46" i="46"/>
  <c r="BD537" i="15"/>
  <c r="AZ21" i="51"/>
  <c r="AX228" i="15"/>
  <c r="R53" i="51"/>
  <c r="S52" i="51"/>
  <c r="S53" i="51" s="1"/>
  <c r="S69" i="51" s="1"/>
  <c r="AZ112" i="72"/>
  <c r="BB112" i="72" s="1"/>
  <c r="BB115" i="72"/>
  <c r="J524" i="15"/>
  <c r="J526" i="15" s="1"/>
  <c r="K524" i="15" s="1"/>
  <c r="K526" i="15" s="1"/>
  <c r="L524" i="15" s="1"/>
  <c r="L526" i="15" s="1"/>
  <c r="M524" i="15" s="1"/>
  <c r="M526" i="15" s="1"/>
  <c r="N524" i="15"/>
  <c r="AD355" i="15"/>
  <c r="AD243" i="15"/>
  <c r="AH102" i="15"/>
  <c r="BH338" i="15"/>
  <c r="BH131" i="15" s="1"/>
  <c r="AX19" i="72"/>
  <c r="BP242" i="15"/>
  <c r="BP250" i="15" s="1"/>
  <c r="BP408" i="15"/>
  <c r="BP302" i="15"/>
  <c r="AZ84" i="77"/>
  <c r="AZ22" i="77" s="1"/>
  <c r="AY84" i="77"/>
  <c r="BX71" i="77"/>
  <c r="BB84" i="77"/>
  <c r="BB22" i="77" s="1"/>
  <c r="BA84" i="77"/>
  <c r="BA22" i="77" s="1"/>
  <c r="BM221" i="15"/>
  <c r="AG36" i="51"/>
  <c r="AG31" i="51"/>
  <c r="AG37" i="51" s="1"/>
  <c r="AG70" i="46" s="1"/>
  <c r="AG71" i="46" s="1"/>
  <c r="BO333" i="15"/>
  <c r="BC13" i="72"/>
  <c r="BG129" i="72"/>
  <c r="BG130" i="72" s="1"/>
  <c r="BG521" i="15"/>
  <c r="BF61" i="51"/>
  <c r="BF129" i="46"/>
  <c r="AF207" i="46"/>
  <c r="AD207" i="46"/>
  <c r="AB207" i="46"/>
  <c r="AC207" i="46" s="1"/>
  <c r="AE207" i="46"/>
  <c r="AG448" i="15"/>
  <c r="AG429" i="15"/>
  <c r="AH429" i="15" s="1"/>
  <c r="AF69" i="51"/>
  <c r="AF101" i="46"/>
  <c r="AF105" i="46" s="1"/>
  <c r="AM38" i="72"/>
  <c r="AM44" i="72" s="1"/>
  <c r="AM234" i="72"/>
  <c r="AM43" i="72"/>
  <c r="AM238" i="72"/>
  <c r="AM270" i="72" s="1"/>
  <c r="AM68" i="72" s="1"/>
  <c r="AM45" i="73" s="1"/>
  <c r="AM56" i="73" s="1"/>
  <c r="AO269" i="15"/>
  <c r="AO270" i="15"/>
  <c r="AO171" i="15"/>
  <c r="S48" i="46"/>
  <c r="S42" i="46"/>
  <c r="AQ36" i="72"/>
  <c r="AQ65" i="72"/>
  <c r="W236" i="72"/>
  <c r="N42" i="46"/>
  <c r="N48" i="46"/>
  <c r="Q48" i="46"/>
  <c r="Q42" i="46"/>
  <c r="BB77" i="15"/>
  <c r="BB341" i="15"/>
  <c r="BB354" i="15"/>
  <c r="BB328" i="15"/>
  <c r="BB61" i="15"/>
  <c r="BH417" i="15"/>
  <c r="AY148" i="72"/>
  <c r="AX150" i="72"/>
  <c r="AY156" i="72" s="1"/>
  <c r="AY196" i="72"/>
  <c r="AY198" i="72" s="1"/>
  <c r="AY253" i="72"/>
  <c r="AY75" i="46"/>
  <c r="AY77" i="46" s="1"/>
  <c r="AY117" i="46" s="1"/>
  <c r="AZ168" i="72"/>
  <c r="AB62" i="51"/>
  <c r="AB67" i="51" s="1"/>
  <c r="AB206" i="72"/>
  <c r="BQ368" i="15"/>
  <c r="BQ61" i="15"/>
  <c r="AW334" i="15"/>
  <c r="AS336" i="15"/>
  <c r="AS337" i="15"/>
  <c r="AW337" i="15" s="1"/>
  <c r="BK77" i="72"/>
  <c r="BP88" i="72"/>
  <c r="BP77" i="72" s="1"/>
  <c r="AY123" i="46"/>
  <c r="BB83" i="46"/>
  <c r="W207" i="46"/>
  <c r="X207" i="46" s="1"/>
  <c r="Y207" i="46"/>
  <c r="W67" i="51"/>
  <c r="BP21" i="77"/>
  <c r="BA281" i="15"/>
  <c r="BA283" i="15" s="1"/>
  <c r="BB278" i="15"/>
  <c r="BC278" i="15" s="1"/>
  <c r="AM64" i="71"/>
  <c r="AM52" i="71" s="1"/>
  <c r="AI209" i="72"/>
  <c r="AI211" i="72" s="1"/>
  <c r="AJ209" i="72" s="1"/>
  <c r="AJ211" i="72" s="1"/>
  <c r="AK209" i="72" s="1"/>
  <c r="AM209" i="72"/>
  <c r="AM211" i="72" s="1"/>
  <c r="AG227" i="15"/>
  <c r="AH221" i="15"/>
  <c r="AG364" i="15"/>
  <c r="AG132" i="15" s="1"/>
  <c r="AH362" i="15"/>
  <c r="BH127" i="46"/>
  <c r="BH33" i="51"/>
  <c r="BH37" i="15"/>
  <c r="BH46" i="46"/>
  <c r="AR105" i="46"/>
  <c r="BD61" i="51"/>
  <c r="BL112" i="46"/>
  <c r="T36" i="51"/>
  <c r="T31" i="51"/>
  <c r="T37" i="51" s="1"/>
  <c r="T70" i="46" s="1"/>
  <c r="BK20" i="72"/>
  <c r="BK16" i="46" s="1"/>
  <c r="BP142" i="72"/>
  <c r="BP20" i="72" s="1"/>
  <c r="BP16" i="46" s="1"/>
  <c r="AM133" i="72"/>
  <c r="BM280" i="15"/>
  <c r="BP280" i="15"/>
  <c r="AM105" i="46"/>
  <c r="AU69" i="51"/>
  <c r="AU101" i="46"/>
  <c r="AJ36" i="72"/>
  <c r="AJ65" i="72"/>
  <c r="AK172" i="15"/>
  <c r="AK309" i="15"/>
  <c r="AK310" i="15"/>
  <c r="AK165" i="15"/>
  <c r="BB274" i="15"/>
  <c r="BB210" i="15"/>
  <c r="BB261" i="15"/>
  <c r="BB301" i="15"/>
  <c r="BB73" i="15"/>
  <c r="AB198" i="72"/>
  <c r="AB208" i="72" s="1"/>
  <c r="BD77" i="72"/>
  <c r="BI88" i="72"/>
  <c r="BN50" i="51"/>
  <c r="CO39" i="71"/>
  <c r="W101" i="46"/>
  <c r="W69" i="51"/>
  <c r="BG174" i="72"/>
  <c r="BC201" i="72"/>
  <c r="BB21" i="51"/>
  <c r="BB24" i="71" s="1"/>
  <c r="AG288" i="15"/>
  <c r="AG296" i="15" s="1"/>
  <c r="AG209" i="15"/>
  <c r="AJ58" i="51"/>
  <c r="AJ69" i="51" s="1"/>
  <c r="AJ364" i="15"/>
  <c r="AJ132" i="15" s="1"/>
  <c r="BO115" i="72"/>
  <c r="BO112" i="72" s="1"/>
  <c r="BJ112" i="72"/>
  <c r="AL36" i="51"/>
  <c r="AL31" i="51"/>
  <c r="AL37" i="51" s="1"/>
  <c r="AL70" i="46" s="1"/>
  <c r="BO130" i="72"/>
  <c r="BO129" i="72" s="1"/>
  <c r="BO13" i="72" s="1"/>
  <c r="BJ129" i="72"/>
  <c r="BJ13" i="72" s="1"/>
  <c r="BA61" i="51"/>
  <c r="BA67" i="51" s="1"/>
  <c r="BA129" i="46"/>
  <c r="BK250" i="15"/>
  <c r="BK251" i="15" s="1"/>
  <c r="AX347" i="15"/>
  <c r="AY344" i="15"/>
  <c r="AH65" i="15"/>
  <c r="CA10" i="59"/>
  <c r="CA12" i="59" s="1"/>
  <c r="CA36" i="59"/>
  <c r="AU447" i="15"/>
  <c r="AV431" i="15"/>
  <c r="AU445" i="15"/>
  <c r="BK9" i="72"/>
  <c r="BK132" i="72"/>
  <c r="BK133" i="72" s="1"/>
  <c r="AH29" i="71"/>
  <c r="AH30" i="71"/>
  <c r="AY127" i="72"/>
  <c r="BD126" i="72"/>
  <c r="AY113" i="72"/>
  <c r="AY120" i="72" s="1"/>
  <c r="BE126" i="72"/>
  <c r="BE103" i="46"/>
  <c r="BE333" i="46"/>
  <c r="BE65" i="51"/>
  <c r="BG43" i="71"/>
  <c r="BG37" i="15"/>
  <c r="BG33" i="51"/>
  <c r="J48" i="46"/>
  <c r="J42" i="46"/>
  <c r="AB153" i="15"/>
  <c r="AB154" i="15" s="1"/>
  <c r="AB152" i="15"/>
  <c r="AC152" i="15" s="1"/>
  <c r="AB196" i="15"/>
  <c r="AB136" i="15"/>
  <c r="AC136" i="15" s="1"/>
  <c r="AC147" i="15" s="1"/>
  <c r="X52" i="51"/>
  <c r="X53" i="51" s="1"/>
  <c r="L69" i="51"/>
  <c r="L101" i="46"/>
  <c r="M65" i="72"/>
  <c r="M36" i="72"/>
  <c r="AX250" i="15"/>
  <c r="BB242" i="15"/>
  <c r="BI75" i="46"/>
  <c r="BI77" i="46" s="1"/>
  <c r="BI117" i="46" s="1"/>
  <c r="BI253" i="72"/>
  <c r="BI196" i="72"/>
  <c r="BI198" i="72" s="1"/>
  <c r="AH66" i="51"/>
  <c r="AH67" i="51" s="1"/>
  <c r="AG67" i="51"/>
  <c r="BK247" i="15"/>
  <c r="BJ248" i="15"/>
  <c r="AD106" i="15"/>
  <c r="AH105" i="15"/>
  <c r="BN115" i="72"/>
  <c r="BN112" i="72" s="1"/>
  <c r="BI112" i="72"/>
  <c r="AP36" i="51"/>
  <c r="AP31" i="51"/>
  <c r="AP37" i="51" s="1"/>
  <c r="AP70" i="46" s="1"/>
  <c r="AP71" i="46" s="1"/>
  <c r="AZ420" i="15"/>
  <c r="AZ423" i="15" s="1"/>
  <c r="AZ422" i="15"/>
  <c r="BM210" i="15"/>
  <c r="BM261" i="15"/>
  <c r="BM301" i="15"/>
  <c r="BM274" i="15"/>
  <c r="BM407" i="15"/>
  <c r="BM241" i="15"/>
  <c r="BC384" i="15"/>
  <c r="BC133" i="15" s="1"/>
  <c r="AJ257" i="15"/>
  <c r="BM123" i="46"/>
  <c r="BQ83" i="46"/>
  <c r="AT207" i="46"/>
  <c r="AU207" i="46"/>
  <c r="BM123" i="72"/>
  <c r="BH129" i="72"/>
  <c r="BL123" i="72"/>
  <c r="BL124" i="72" s="1"/>
  <c r="BH124" i="72"/>
  <c r="BF65" i="51"/>
  <c r="BF333" i="46"/>
  <c r="BF103" i="46"/>
  <c r="AL29" i="15"/>
  <c r="AL33" i="15" s="1"/>
  <c r="AL484" i="15"/>
  <c r="AI311" i="15"/>
  <c r="AI128" i="15" s="1"/>
  <c r="N65" i="72"/>
  <c r="N36" i="72"/>
  <c r="AV198" i="72"/>
  <c r="AV208" i="72" s="1"/>
  <c r="AV57" i="51"/>
  <c r="M40" i="15"/>
  <c r="M35" i="15"/>
  <c r="M41" i="15" s="1"/>
  <c r="M68" i="46" s="1"/>
  <c r="AQ264" i="15"/>
  <c r="AP267" i="15"/>
  <c r="AP179" i="15"/>
  <c r="AV56" i="51"/>
  <c r="AV120" i="46"/>
  <c r="AV131" i="46" s="1"/>
  <c r="N195" i="46"/>
  <c r="N198" i="46"/>
  <c r="AI65" i="72"/>
  <c r="AI36" i="72"/>
  <c r="DO41" i="71"/>
  <c r="BI414" i="15"/>
  <c r="AL28" i="72"/>
  <c r="AL32" i="72"/>
  <c r="AX146" i="46"/>
  <c r="AX120" i="46"/>
  <c r="AX55" i="51"/>
  <c r="AA206" i="72"/>
  <c r="AA208" i="72" s="1"/>
  <c r="AA211" i="72" s="1"/>
  <c r="AB209" i="72" s="1"/>
  <c r="AB211" i="72" s="1"/>
  <c r="AA62" i="51"/>
  <c r="AA67" i="51" s="1"/>
  <c r="AZ212" i="15"/>
  <c r="BC214" i="15"/>
  <c r="Y403" i="15"/>
  <c r="AC400" i="15"/>
  <c r="Y170" i="15"/>
  <c r="BF96" i="72"/>
  <c r="BF97" i="72" s="1"/>
  <c r="BF8" i="72"/>
  <c r="BF10" i="72" s="1"/>
  <c r="X67" i="51"/>
  <c r="BP103" i="77"/>
  <c r="BJ424" i="15"/>
  <c r="BJ135" i="15" s="1"/>
  <c r="BM245" i="15"/>
  <c r="BN75" i="15"/>
  <c r="BN71" i="15"/>
  <c r="AZ233" i="15"/>
  <c r="AZ234" i="15"/>
  <c r="AL251" i="15"/>
  <c r="AM245" i="15"/>
  <c r="AL186" i="15"/>
  <c r="AL248" i="15"/>
  <c r="AG211" i="72"/>
  <c r="BQ456" i="15"/>
  <c r="BG137" i="72"/>
  <c r="BC18" i="72"/>
  <c r="BG18" i="72" s="1"/>
  <c r="AC338" i="15"/>
  <c r="BD14" i="72"/>
  <c r="BI137" i="72"/>
  <c r="BI18" i="72" s="1"/>
  <c r="BN139" i="72"/>
  <c r="BN137" i="72" s="1"/>
  <c r="BN18" i="72" s="1"/>
  <c r="Z31" i="51"/>
  <c r="Z37" i="51" s="1"/>
  <c r="Z70" i="46" s="1"/>
  <c r="Z71" i="46" s="1"/>
  <c r="Z36" i="51"/>
  <c r="BL50" i="51"/>
  <c r="AE101" i="46"/>
  <c r="AE105" i="46" s="1"/>
  <c r="AE69" i="51"/>
  <c r="S65" i="72"/>
  <c r="S36" i="72"/>
  <c r="AH38" i="72"/>
  <c r="AH44" i="72" s="1"/>
  <c r="AH238" i="72"/>
  <c r="AH270" i="72" s="1"/>
  <c r="AH68" i="72" s="1"/>
  <c r="AH45" i="73" s="1"/>
  <c r="AH56" i="73" s="1"/>
  <c r="AH58" i="73" s="1"/>
  <c r="AH60" i="73" s="1"/>
  <c r="AH62" i="73" s="1"/>
  <c r="AH68" i="73" s="1"/>
  <c r="AH43" i="72"/>
  <c r="AH234" i="72"/>
  <c r="AP236" i="72"/>
  <c r="AS236" i="72"/>
  <c r="AQ236" i="72"/>
  <c r="AO236" i="72"/>
  <c r="BB65" i="51"/>
  <c r="F42" i="46"/>
  <c r="F48" i="46"/>
  <c r="AM101" i="46"/>
  <c r="W65" i="72"/>
  <c r="W36" i="72"/>
  <c r="Q236" i="72"/>
  <c r="O236" i="72"/>
  <c r="P236" i="72"/>
  <c r="R236" i="72"/>
  <c r="AN236" i="72"/>
  <c r="AI48" i="46"/>
  <c r="AI42" i="46"/>
  <c r="CA40" i="71"/>
  <c r="CA52" i="71" s="1"/>
  <c r="CA51" i="71"/>
  <c r="CA53" i="71" s="1"/>
  <c r="CA56" i="71" s="1"/>
  <c r="CA64" i="71" s="1"/>
  <c r="BB407" i="15"/>
  <c r="AX413" i="15"/>
  <c r="AX266" i="15"/>
  <c r="BB266" i="15" s="1"/>
  <c r="BG18" i="15"/>
  <c r="BH18" i="15"/>
  <c r="BC25" i="46"/>
  <c r="AB58" i="51"/>
  <c r="AB69" i="51" s="1"/>
  <c r="AC55" i="51"/>
  <c r="AY96" i="72"/>
  <c r="AY97" i="72" s="1"/>
  <c r="AY8" i="72"/>
  <c r="BP155" i="46"/>
  <c r="BQ155" i="46" s="1"/>
  <c r="CU53" i="71"/>
  <c r="CU56" i="71" s="1"/>
  <c r="CU64" i="71" s="1"/>
  <c r="BL82" i="46"/>
  <c r="BH516" i="15"/>
  <c r="BL491" i="15"/>
  <c r="BL142" i="72"/>
  <c r="BL143" i="72" s="1"/>
  <c r="BH20" i="72"/>
  <c r="BM142" i="72"/>
  <c r="BA420" i="15"/>
  <c r="BA423" i="15" s="1"/>
  <c r="BA422" i="15"/>
  <c r="BA424" i="15" s="1"/>
  <c r="BA135" i="15" s="1"/>
  <c r="BP109" i="15"/>
  <c r="BK111" i="15"/>
  <c r="BK112" i="15"/>
  <c r="BK110" i="15"/>
  <c r="BK355" i="15" s="1"/>
  <c r="BL109" i="15"/>
  <c r="AH341" i="15"/>
  <c r="AH354" i="15"/>
  <c r="AH61" i="15"/>
  <c r="AH328" i="15"/>
  <c r="AC94" i="72"/>
  <c r="AC96" i="72"/>
  <c r="Z236" i="72"/>
  <c r="Y236" i="72"/>
  <c r="X131" i="46"/>
  <c r="CP41" i="71"/>
  <c r="AR259" i="72"/>
  <c r="AS252" i="72"/>
  <c r="AS257" i="72" s="1"/>
  <c r="AT252" i="72" s="1"/>
  <c r="AT257" i="72" s="1"/>
  <c r="AU252" i="72" s="1"/>
  <c r="AU257" i="72" s="1"/>
  <c r="AV252" i="72" s="1"/>
  <c r="AV257" i="72" s="1"/>
  <c r="AW252" i="72"/>
  <c r="AW257" i="72" s="1"/>
  <c r="BA16" i="72"/>
  <c r="BJ266" i="15"/>
  <c r="BM87" i="15"/>
  <c r="BP100" i="77"/>
  <c r="BP301" i="15"/>
  <c r="BP210" i="15"/>
  <c r="BP73" i="15"/>
  <c r="BP274" i="15"/>
  <c r="BP261" i="15"/>
  <c r="BP407" i="15"/>
  <c r="BP241" i="15"/>
  <c r="CX36" i="59"/>
  <c r="CX11" i="59"/>
  <c r="BO87" i="46" s="1"/>
  <c r="AM221" i="46"/>
  <c r="DE24" i="71" s="1"/>
  <c r="AM224" i="46"/>
  <c r="DE27" i="71" s="1"/>
  <c r="BA233" i="15"/>
  <c r="BA234" i="15"/>
  <c r="BG110" i="15"/>
  <c r="BG111" i="15"/>
  <c r="BG112" i="15"/>
  <c r="AH241" i="15"/>
  <c r="AG256" i="15"/>
  <c r="AG396" i="15"/>
  <c r="AH388" i="15"/>
  <c r="AZ218" i="72"/>
  <c r="BQ60" i="51"/>
  <c r="AX23" i="15"/>
  <c r="AS306" i="15"/>
  <c r="AX306" i="15" s="1"/>
  <c r="BC306" i="15" s="1"/>
  <c r="BH306" i="15" s="1"/>
  <c r="BM306" i="15" s="1"/>
  <c r="AV306" i="15"/>
  <c r="BA306" i="15" s="1"/>
  <c r="BF306" i="15" s="1"/>
  <c r="BK306" i="15" s="1"/>
  <c r="BP306" i="15" s="1"/>
  <c r="AC130" i="72"/>
  <c r="AC132" i="72"/>
  <c r="AC133" i="72" s="1"/>
  <c r="BD103" i="46"/>
  <c r="BD333" i="46"/>
  <c r="BD65" i="51"/>
  <c r="DE52" i="71"/>
  <c r="BE8" i="72"/>
  <c r="BE96" i="72"/>
  <c r="BO84" i="72"/>
  <c r="BJ86" i="72"/>
  <c r="BJ93" i="72"/>
  <c r="BL84" i="72"/>
  <c r="BL86" i="72" s="1"/>
  <c r="R35" i="15"/>
  <c r="R41" i="15" s="1"/>
  <c r="R68" i="46" s="1"/>
  <c r="R71" i="46" s="1"/>
  <c r="R40" i="15"/>
  <c r="CN39" i="71"/>
  <c r="V69" i="51"/>
  <c r="V101" i="46"/>
  <c r="V105" i="46" s="1"/>
  <c r="P36" i="72"/>
  <c r="P65" i="72"/>
  <c r="AF236" i="72"/>
  <c r="AE236" i="72"/>
  <c r="AG236" i="72"/>
  <c r="AI321" i="15"/>
  <c r="AI185" i="15"/>
  <c r="AI188" i="15" s="1"/>
  <c r="AI459" i="15" s="1"/>
  <c r="AJ318" i="15"/>
  <c r="AI181" i="15"/>
  <c r="AI182" i="15" s="1"/>
  <c r="AI193" i="15"/>
  <c r="AI191" i="15"/>
  <c r="AN156" i="72"/>
  <c r="AN158" i="72" s="1"/>
  <c r="AN254" i="72"/>
  <c r="AN257" i="72" s="1"/>
  <c r="AO252" i="72" s="1"/>
  <c r="AO257" i="72" s="1"/>
  <c r="AP252" i="72" s="1"/>
  <c r="AQ254" i="72"/>
  <c r="AQ156" i="72"/>
  <c r="AQ158" i="72" s="1"/>
  <c r="AW40" i="15"/>
  <c r="AW35" i="15"/>
  <c r="AX96" i="72"/>
  <c r="AX97" i="72" s="1"/>
  <c r="BB77" i="72"/>
  <c r="AX8" i="72"/>
  <c r="X98" i="46"/>
  <c r="W105" i="46"/>
  <c r="AA173" i="15"/>
  <c r="AA174" i="15" s="1"/>
  <c r="AA257" i="15"/>
  <c r="AA164" i="15"/>
  <c r="AA166" i="15" s="1"/>
  <c r="AA460" i="15" s="1"/>
  <c r="BM76" i="15"/>
  <c r="BM77" i="15" s="1"/>
  <c r="BQ90" i="15"/>
  <c r="BM72" i="15"/>
  <c r="BP85" i="77"/>
  <c r="BW72" i="77" s="1"/>
  <c r="BY72" i="77" s="1"/>
  <c r="AY23" i="77"/>
  <c r="BP23" i="77" s="1"/>
  <c r="BO71" i="15"/>
  <c r="BO75" i="15"/>
  <c r="AJ258" i="15"/>
  <c r="AJ124" i="15" s="1"/>
  <c r="AI233" i="15"/>
  <c r="AM233" i="15" s="1"/>
  <c r="AI234" i="15"/>
  <c r="AM231" i="15"/>
  <c r="AI236" i="15"/>
  <c r="BB206" i="72"/>
  <c r="AZ61" i="51"/>
  <c r="AZ67" i="51" s="1"/>
  <c r="BL67" i="73"/>
  <c r="BQ66" i="73"/>
  <c r="BQ67" i="73" s="1"/>
  <c r="AK42" i="46"/>
  <c r="AK48" i="46"/>
  <c r="AR129" i="46"/>
  <c r="AR131" i="46" s="1"/>
  <c r="AQ131" i="46"/>
  <c r="AM29" i="71"/>
  <c r="AM30" i="71"/>
  <c r="AN275" i="15"/>
  <c r="AM284" i="15"/>
  <c r="AM285" i="15" s="1"/>
  <c r="AB173" i="15"/>
  <c r="AB257" i="15"/>
  <c r="AB258" i="15" s="1"/>
  <c r="AB124" i="15" s="1"/>
  <c r="AB164" i="15"/>
  <c r="AM195" i="46"/>
  <c r="AM198" i="46"/>
  <c r="X23" i="46"/>
  <c r="AB172" i="15"/>
  <c r="AB309" i="15"/>
  <c r="AB311" i="15" s="1"/>
  <c r="AB128" i="15" s="1"/>
  <c r="AB165" i="15"/>
  <c r="AC165" i="15" s="1"/>
  <c r="AB310" i="15"/>
  <c r="AC307" i="15"/>
  <c r="AC306" i="15" s="1"/>
  <c r="AC310" i="15"/>
  <c r="CM39" i="71"/>
  <c r="CM40" i="71" s="1"/>
  <c r="U101" i="46"/>
  <c r="U69" i="51"/>
  <c r="Q36" i="72"/>
  <c r="Q65" i="72"/>
  <c r="Z154" i="15"/>
  <c r="AC154" i="15" s="1"/>
  <c r="AZ465" i="15"/>
  <c r="BA465" i="15"/>
  <c r="BB408" i="15"/>
  <c r="AX416" i="15"/>
  <c r="AC363" i="15"/>
  <c r="AC364" i="15" s="1"/>
  <c r="AA364" i="15"/>
  <c r="AA132" i="15" s="1"/>
  <c r="AC132" i="15" s="1"/>
  <c r="AC57" i="51"/>
  <c r="AA58" i="51"/>
  <c r="AA69" i="51" s="1"/>
  <c r="BH55" i="51"/>
  <c r="BH120" i="46"/>
  <c r="BG102" i="15"/>
  <c r="BC355" i="15"/>
  <c r="AS400" i="15"/>
  <c r="AS399" i="15"/>
  <c r="AW399" i="15" s="1"/>
  <c r="AW397" i="15"/>
  <c r="AS402" i="15"/>
  <c r="AY149" i="72"/>
  <c r="AW347" i="15"/>
  <c r="BQ89" i="15"/>
  <c r="AT291" i="15"/>
  <c r="AS294" i="15"/>
  <c r="AS177" i="15"/>
  <c r="AY533" i="15"/>
  <c r="AQ36" i="46"/>
  <c r="AQ40" i="46" s="1"/>
  <c r="AQ94" i="46"/>
  <c r="BO373" i="15"/>
  <c r="BD67" i="51"/>
  <c r="CU102" i="59"/>
  <c r="CU112" i="59" s="1"/>
  <c r="CZ97" i="59"/>
  <c r="AB36" i="46"/>
  <c r="AB40" i="46" s="1"/>
  <c r="AB94" i="46"/>
  <c r="AQ484" i="15"/>
  <c r="AQ29" i="15"/>
  <c r="AQ33" i="15" s="1"/>
  <c r="N523" i="15"/>
  <c r="CF39" i="71"/>
  <c r="AG51" i="51"/>
  <c r="AG53" i="51" s="1"/>
  <c r="AG115" i="46"/>
  <c r="AG131" i="46" s="1"/>
  <c r="N22" i="71"/>
  <c r="N25" i="71" s="1"/>
  <c r="N236" i="72"/>
  <c r="N243" i="72" s="1"/>
  <c r="AZ120" i="72"/>
  <c r="AK236" i="72"/>
  <c r="AJ236" i="72"/>
  <c r="AL236" i="72"/>
  <c r="AI236" i="72"/>
  <c r="X238" i="72"/>
  <c r="X270" i="72" s="1"/>
  <c r="X68" i="72" s="1"/>
  <c r="X45" i="73" s="1"/>
  <c r="X56" i="73" s="1"/>
  <c r="X58" i="73" s="1"/>
  <c r="X60" i="73" s="1"/>
  <c r="X62" i="73" s="1"/>
  <c r="X234" i="72"/>
  <c r="X43" i="72"/>
  <c r="X38" i="72"/>
  <c r="X44" i="72" s="1"/>
  <c r="AK362" i="15"/>
  <c r="AK364" i="15" s="1"/>
  <c r="AK132" i="15" s="1"/>
  <c r="AK363" i="15"/>
  <c r="AY227" i="15"/>
  <c r="AY228" i="15" s="1"/>
  <c r="AX333" i="15"/>
  <c r="AC62" i="51"/>
  <c r="AC67" i="51" s="1"/>
  <c r="Z67" i="51"/>
  <c r="Z69" i="51" s="1"/>
  <c r="AN222" i="15"/>
  <c r="AN77" i="15"/>
  <c r="AR76" i="15"/>
  <c r="AR77" i="15" s="1"/>
  <c r="BO376" i="15"/>
  <c r="BI334" i="15"/>
  <c r="AL94" i="46"/>
  <c r="AL36" i="46"/>
  <c r="AL40" i="46" s="1"/>
  <c r="U94" i="46"/>
  <c r="U36" i="46"/>
  <c r="U40" i="46" s="1"/>
  <c r="AQ207" i="46"/>
  <c r="AR207" i="46" s="1"/>
  <c r="AV399" i="15"/>
  <c r="BQ243" i="15"/>
  <c r="AZ236" i="15"/>
  <c r="AK254" i="15"/>
  <c r="AK253" i="15"/>
  <c r="AY283" i="15"/>
  <c r="BB281" i="15"/>
  <c r="BA338" i="15"/>
  <c r="BA131" i="15" s="1"/>
  <c r="AH51" i="71"/>
  <c r="AH62" i="71"/>
  <c r="AH64" i="71" s="1"/>
  <c r="AH52" i="71" s="1"/>
  <c r="AC60" i="71"/>
  <c r="AH38" i="71"/>
  <c r="AH53" i="71" s="1"/>
  <c r="AC254" i="15"/>
  <c r="AM403" i="15"/>
  <c r="AM404" i="15" s="1"/>
  <c r="BL139" i="72"/>
  <c r="BM139" i="72"/>
  <c r="BH137" i="72"/>
  <c r="AH77" i="15"/>
  <c r="AH349" i="15"/>
  <c r="AI36" i="51"/>
  <c r="AI31" i="51"/>
  <c r="AI37" i="51" s="1"/>
  <c r="AI70" i="46" s="1"/>
  <c r="AR42" i="46"/>
  <c r="AR48" i="46"/>
  <c r="AC131" i="15"/>
  <c r="BB13" i="72"/>
  <c r="BB14" i="72" s="1"/>
  <c r="AX14" i="72"/>
  <c r="AX21" i="72" s="1"/>
  <c r="AX10" i="46"/>
  <c r="BD521" i="15"/>
  <c r="M94" i="46"/>
  <c r="M36" i="46"/>
  <c r="M40" i="46" s="1"/>
  <c r="R42" i="46"/>
  <c r="R48" i="46"/>
  <c r="AF350" i="15"/>
  <c r="AF351" i="15" s="1"/>
  <c r="AF130" i="15" s="1"/>
  <c r="AG342" i="15"/>
  <c r="I48" i="46"/>
  <c r="I42" i="46"/>
  <c r="X198" i="46"/>
  <c r="X195" i="46"/>
  <c r="S236" i="72"/>
  <c r="S243" i="72" s="1"/>
  <c r="S22" i="71"/>
  <c r="S25" i="71" s="1"/>
  <c r="AO235" i="72"/>
  <c r="BB103" i="46"/>
  <c r="AN271" i="15"/>
  <c r="AN125" i="15" s="1"/>
  <c r="P207" i="46"/>
  <c r="AC550" i="15"/>
  <c r="AC298" i="15"/>
  <c r="G21" i="51"/>
  <c r="G25" i="51"/>
  <c r="G29" i="51" s="1"/>
  <c r="AC238" i="72"/>
  <c r="AC270" i="72" s="1"/>
  <c r="AC68" i="72" s="1"/>
  <c r="AC45" i="73" s="1"/>
  <c r="AC56" i="73" s="1"/>
  <c r="AC58" i="73" s="1"/>
  <c r="AC43" i="72"/>
  <c r="AC234" i="72"/>
  <c r="AC38" i="72"/>
  <c r="AC44" i="72" s="1"/>
  <c r="DE53" i="71"/>
  <c r="DE56" i="71" s="1"/>
  <c r="DE64" i="71" s="1"/>
  <c r="AF65" i="72"/>
  <c r="AF36" i="72"/>
  <c r="AY336" i="15"/>
  <c r="AY338" i="15" s="1"/>
  <c r="AY131" i="15" s="1"/>
  <c r="AY333" i="15"/>
  <c r="AY334" i="15" s="1"/>
  <c r="AY337" i="15" s="1"/>
  <c r="AW25" i="71"/>
  <c r="AW30" i="71" s="1"/>
  <c r="AX209" i="15"/>
  <c r="AX288" i="15"/>
  <c r="BH206" i="15"/>
  <c r="BL207" i="15"/>
  <c r="AY12" i="59"/>
  <c r="BK83" i="46"/>
  <c r="BK123" i="46" s="1"/>
  <c r="BJ88" i="72"/>
  <c r="BO88" i="72" s="1"/>
  <c r="AS12" i="59"/>
  <c r="BE83" i="46"/>
  <c r="BE123" i="46" s="1"/>
  <c r="BL122" i="46"/>
  <c r="ED60" i="71" s="1"/>
  <c r="BH60" i="51"/>
  <c r="CW36" i="59"/>
  <c r="CW11" i="59"/>
  <c r="BN87" i="46" s="1"/>
  <c r="AU403" i="15"/>
  <c r="AU404" i="15" s="1"/>
  <c r="AU134" i="15" s="1"/>
  <c r="AU170" i="15"/>
  <c r="AR394" i="15"/>
  <c r="AP402" i="15"/>
  <c r="AU50" i="46"/>
  <c r="AL429" i="15"/>
  <c r="AM429" i="15" s="1"/>
  <c r="AL448" i="15"/>
  <c r="AR334" i="15"/>
  <c r="AP336" i="15"/>
  <c r="AP337" i="15"/>
  <c r="AR337" i="15" s="1"/>
  <c r="BN116" i="72"/>
  <c r="BQ116" i="72" s="1"/>
  <c r="BL116" i="72"/>
  <c r="BA20" i="51"/>
  <c r="BA21" i="46"/>
  <c r="BB21" i="46" s="1"/>
  <c r="BH380" i="15"/>
  <c r="BH382" i="15"/>
  <c r="BI129" i="72"/>
  <c r="BI13" i="72" s="1"/>
  <c r="BN130" i="72"/>
  <c r="BN129" i="72" s="1"/>
  <c r="BN13" i="72" s="1"/>
  <c r="BC16" i="46"/>
  <c r="BG16" i="46" s="1"/>
  <c r="BG20" i="72"/>
  <c r="BH115" i="15"/>
  <c r="BI116" i="15"/>
  <c r="BI262" i="15" s="1"/>
  <c r="BI118" i="15"/>
  <c r="BI117" i="15"/>
  <c r="BI223" i="15" s="1"/>
  <c r="AX194" i="15"/>
  <c r="AX397" i="15"/>
  <c r="AY391" i="15"/>
  <c r="AX178" i="15"/>
  <c r="BA419" i="15"/>
  <c r="BB419" i="15" s="1"/>
  <c r="BI419" i="15"/>
  <c r="BP221" i="15"/>
  <c r="BP77" i="15"/>
  <c r="CV11" i="59"/>
  <c r="BM87" i="46" s="1"/>
  <c r="CV36" i="59"/>
  <c r="CY11" i="59"/>
  <c r="BP87" i="46" s="1"/>
  <c r="CY36" i="59"/>
  <c r="Y166" i="15"/>
  <c r="AC164" i="15"/>
  <c r="AV357" i="15"/>
  <c r="AU195" i="15"/>
  <c r="AU186" i="15"/>
  <c r="BF389" i="15"/>
  <c r="BF329" i="15"/>
  <c r="BF409" i="15"/>
  <c r="BF369" i="15"/>
  <c r="AX30" i="46"/>
  <c r="AG266" i="15"/>
  <c r="AG311" i="15"/>
  <c r="AG128" i="15" s="1"/>
  <c r="AH128" i="15" s="1"/>
  <c r="AH309" i="15"/>
  <c r="AH311" i="15" s="1"/>
  <c r="BG159" i="72"/>
  <c r="BH159" i="72" s="1"/>
  <c r="BF152" i="72"/>
  <c r="BM389" i="15"/>
  <c r="BM409" i="15"/>
  <c r="BM369" i="15"/>
  <c r="BM329" i="15"/>
  <c r="AS42" i="46"/>
  <c r="AS48" i="46"/>
  <c r="BD41" i="72"/>
  <c r="BD38" i="15"/>
  <c r="BD34" i="51"/>
  <c r="BD331" i="46"/>
  <c r="BL331" i="46" s="1"/>
  <c r="V36" i="72"/>
  <c r="V65" i="72"/>
  <c r="V131" i="46"/>
  <c r="CN41" i="71"/>
  <c r="CN40" i="71" s="1"/>
  <c r="AE65" i="72"/>
  <c r="AE36" i="72"/>
  <c r="AP254" i="72"/>
  <c r="AP156" i="72"/>
  <c r="AP158" i="72" s="1"/>
  <c r="BK18" i="15"/>
  <c r="BH88" i="72"/>
  <c r="BC77" i="72"/>
  <c r="AK198" i="72"/>
  <c r="AK208" i="72" s="1"/>
  <c r="AK57" i="51"/>
  <c r="AK58" i="51" s="1"/>
  <c r="AK69" i="51" s="1"/>
  <c r="BH206" i="72"/>
  <c r="BL200" i="72"/>
  <c r="BX69" i="77"/>
  <c r="AZ82" i="77"/>
  <c r="AY82" i="77"/>
  <c r="BB82" i="77"/>
  <c r="BA82" i="77"/>
  <c r="BH379" i="15"/>
  <c r="AA258" i="15"/>
  <c r="AA124" i="15" s="1"/>
  <c r="AA140" i="15" s="1"/>
  <c r="AA141" i="15" s="1"/>
  <c r="BK167" i="46"/>
  <c r="BL167" i="46" s="1"/>
  <c r="BM167" i="46" s="1"/>
  <c r="BN167" i="46" s="1"/>
  <c r="AH221" i="46"/>
  <c r="CZ24" i="71" s="1"/>
  <c r="AH224" i="46"/>
  <c r="CZ27" i="71" s="1"/>
  <c r="Y36" i="51"/>
  <c r="Y31" i="51"/>
  <c r="Y37" i="51" s="1"/>
  <c r="Y70" i="46" s="1"/>
  <c r="Y71" i="46" s="1"/>
  <c r="BI382" i="15"/>
  <c r="BI380" i="15"/>
  <c r="BI383" i="15" s="1"/>
  <c r="AJ31" i="51"/>
  <c r="AJ37" i="51" s="1"/>
  <c r="AJ70" i="46" s="1"/>
  <c r="AJ36" i="51"/>
  <c r="DJ53" i="71"/>
  <c r="DJ56" i="71" s="1"/>
  <c r="Z207" i="46"/>
  <c r="AA207" i="46"/>
  <c r="AJ207" i="46"/>
  <c r="AI207" i="46"/>
  <c r="AG207" i="46"/>
  <c r="AH207" i="46" s="1"/>
  <c r="AF94" i="46"/>
  <c r="AF36" i="46"/>
  <c r="AF40" i="46" s="1"/>
  <c r="AK206" i="15"/>
  <c r="AI206" i="15"/>
  <c r="AM207" i="15"/>
  <c r="BC65" i="51"/>
  <c r="BG65" i="51" s="1"/>
  <c r="BC103" i="46"/>
  <c r="BG103" i="46" s="1"/>
  <c r="BG127" i="46"/>
  <c r="DY55" i="71" s="1"/>
  <c r="BC333" i="46"/>
  <c r="BG333" i="46" s="1"/>
  <c r="W238" i="72"/>
  <c r="W234" i="72"/>
  <c r="T38" i="72"/>
  <c r="T44" i="72" s="1"/>
  <c r="T43" i="72"/>
  <c r="V234" i="72"/>
  <c r="T234" i="72"/>
  <c r="V238" i="72"/>
  <c r="T238" i="72"/>
  <c r="U238" i="72"/>
  <c r="AC180" i="15"/>
  <c r="AC182" i="15" s="1"/>
  <c r="AC193" i="15"/>
  <c r="AC191" i="15"/>
  <c r="AC196" i="15" s="1"/>
  <c r="AC187" i="15"/>
  <c r="AC188" i="15" s="1"/>
  <c r="AC459" i="15" s="1"/>
  <c r="AA311" i="15"/>
  <c r="AA128" i="15" s="1"/>
  <c r="AC128" i="15" s="1"/>
  <c r="AC309" i="15"/>
  <c r="AC311" i="15" s="1"/>
  <c r="AK36" i="72"/>
  <c r="AK65" i="72"/>
  <c r="S523" i="15"/>
  <c r="CK39" i="71"/>
  <c r="R523" i="15"/>
  <c r="CJ39" i="71"/>
  <c r="CJ40" i="71" s="1"/>
  <c r="BG115" i="72"/>
  <c r="BH115" i="72"/>
  <c r="BH112" i="72" s="1"/>
  <c r="BL112" i="72" s="1"/>
  <c r="AY393" i="15"/>
  <c r="BJ18" i="15"/>
  <c r="BE25" i="46"/>
  <c r="AW87" i="59"/>
  <c r="AW10" i="59"/>
  <c r="BI174" i="72"/>
  <c r="BJ196" i="72"/>
  <c r="BJ198" i="72" s="1"/>
  <c r="BJ75" i="46"/>
  <c r="BJ77" i="46" s="1"/>
  <c r="BJ117" i="46" s="1"/>
  <c r="BJ253" i="72"/>
  <c r="G42" i="51"/>
  <c r="G102" i="46" s="1"/>
  <c r="I60" i="51"/>
  <c r="G67" i="51"/>
  <c r="G69" i="51" s="1"/>
  <c r="AM134" i="15"/>
  <c r="AS206" i="15"/>
  <c r="AW207" i="15"/>
  <c r="AS207" i="15" s="1"/>
  <c r="AT207" i="15" s="1"/>
  <c r="AU207" i="15" s="1"/>
  <c r="AV207" i="15" s="1"/>
  <c r="BP86" i="77"/>
  <c r="BW73" i="77" s="1"/>
  <c r="BY73" i="77" s="1"/>
  <c r="AY24" i="77"/>
  <c r="BP24" i="77" s="1"/>
  <c r="AW349" i="15"/>
  <c r="BC419" i="15"/>
  <c r="AX122" i="46"/>
  <c r="AX190" i="46"/>
  <c r="BB82" i="46"/>
  <c r="AG325" i="15"/>
  <c r="AG129" i="15" s="1"/>
  <c r="AH323" i="15"/>
  <c r="L207" i="46"/>
  <c r="K207" i="46"/>
  <c r="H94" i="46"/>
  <c r="H36" i="46"/>
  <c r="H40" i="46" s="1"/>
  <c r="BO393" i="15"/>
  <c r="BO396" i="15"/>
  <c r="AV31" i="51"/>
  <c r="AV37" i="51" s="1"/>
  <c r="AV70" i="46" s="1"/>
  <c r="AV36" i="51"/>
  <c r="AT233" i="15"/>
  <c r="AW233" i="15" s="1"/>
  <c r="AT234" i="15"/>
  <c r="AW231" i="15"/>
  <c r="AT236" i="15"/>
  <c r="BO139" i="72"/>
  <c r="BO137" i="72" s="1"/>
  <c r="BO18" i="72" s="1"/>
  <c r="BJ137" i="72"/>
  <c r="BJ18" i="72" s="1"/>
  <c r="BD129" i="46"/>
  <c r="AR30" i="71"/>
  <c r="AZ129" i="46"/>
  <c r="W36" i="51"/>
  <c r="W31" i="51"/>
  <c r="W37" i="51" s="1"/>
  <c r="W70" i="46" s="1"/>
  <c r="T135" i="46"/>
  <c r="U133" i="46" s="1"/>
  <c r="U135" i="46" s="1"/>
  <c r="V133" i="46" s="1"/>
  <c r="V135" i="46" s="1"/>
  <c r="W133" i="46" s="1"/>
  <c r="X133" i="46"/>
  <c r="X135" i="46" s="1"/>
  <c r="Y133" i="46" s="1"/>
  <c r="I234" i="72"/>
  <c r="I43" i="72"/>
  <c r="I238" i="72"/>
  <c r="I270" i="72" s="1"/>
  <c r="I68" i="72" s="1"/>
  <c r="I38" i="72"/>
  <c r="I44" i="72" s="1"/>
  <c r="I69" i="46" s="1"/>
  <c r="AW57" i="51"/>
  <c r="BK371" i="15"/>
  <c r="BJ157" i="15"/>
  <c r="BJ377" i="15"/>
  <c r="BJ374" i="15"/>
  <c r="DO54" i="71"/>
  <c r="AW120" i="46"/>
  <c r="AW131" i="46" s="1"/>
  <c r="AT236" i="72"/>
  <c r="AU236" i="72"/>
  <c r="AV101" i="46"/>
  <c r="AV105" i="46" s="1"/>
  <c r="AM359" i="15"/>
  <c r="AN359" i="15" s="1"/>
  <c r="AL360" i="15"/>
  <c r="AR10" i="71"/>
  <c r="K49" i="46"/>
  <c r="AX349" i="15"/>
  <c r="BO255" i="72"/>
  <c r="BO112" i="46"/>
  <c r="BO50" i="51" s="1"/>
  <c r="J133" i="72"/>
  <c r="O133" i="72"/>
  <c r="BB387" i="15"/>
  <c r="AX393" i="15"/>
  <c r="BI18" i="15"/>
  <c r="BD25" i="46"/>
  <c r="AN302" i="15"/>
  <c r="AN242" i="15"/>
  <c r="AN73" i="15"/>
  <c r="AR72" i="15"/>
  <c r="BK331" i="15"/>
  <c r="BJ334" i="15"/>
  <c r="BQ516" i="15"/>
  <c r="BQ521" i="15" s="1"/>
  <c r="BM521" i="15"/>
  <c r="AS207" i="46"/>
  <c r="AV400" i="15"/>
  <c r="BN389" i="15"/>
  <c r="BN329" i="15"/>
  <c r="BN409" i="15"/>
  <c r="BN369" i="15"/>
  <c r="BP102" i="77"/>
  <c r="BQ316" i="15"/>
  <c r="AM58" i="73"/>
  <c r="AM60" i="73" s="1"/>
  <c r="AM62" i="73" s="1"/>
  <c r="AM68" i="73" s="1"/>
  <c r="BL75" i="73"/>
  <c r="BG20" i="73"/>
  <c r="AC257" i="15"/>
  <c r="AC258" i="15" s="1"/>
  <c r="AG333" i="15"/>
  <c r="AG230" i="15"/>
  <c r="AH222" i="15"/>
  <c r="BH40" i="72"/>
  <c r="BI44" i="46"/>
  <c r="BI45" i="46"/>
  <c r="AR37" i="51"/>
  <c r="AR59" i="73"/>
  <c r="M31" i="51"/>
  <c r="M37" i="51" s="1"/>
  <c r="M70" i="46" s="1"/>
  <c r="M36" i="51"/>
  <c r="AE170" i="15"/>
  <c r="AE164" i="15"/>
  <c r="AE166" i="15" s="1"/>
  <c r="AE460" i="15" s="1"/>
  <c r="AE237" i="15"/>
  <c r="AE238" i="15" s="1"/>
  <c r="AE123" i="15" s="1"/>
  <c r="BB88" i="46"/>
  <c r="BO61" i="51"/>
  <c r="AP235" i="72"/>
  <c r="AO65" i="72"/>
  <c r="AO36" i="72"/>
  <c r="DQ59" i="73"/>
  <c r="DR59" i="73" s="1"/>
  <c r="DS59" i="73" s="1"/>
  <c r="DT59" i="73" s="1"/>
  <c r="DU59" i="73" s="1"/>
  <c r="O207" i="46"/>
  <c r="O36" i="72"/>
  <c r="O65" i="72"/>
  <c r="Q36" i="51"/>
  <c r="Q31" i="51"/>
  <c r="Q37" i="51" s="1"/>
  <c r="Q70" i="46" s="1"/>
  <c r="AC224" i="46"/>
  <c r="CU27" i="71" s="1"/>
  <c r="AC221" i="46"/>
  <c r="CU24" i="71" s="1"/>
  <c r="BF55" i="51"/>
  <c r="BF120" i="46"/>
  <c r="AW50" i="51"/>
  <c r="AW53" i="51" s="1"/>
  <c r="X30" i="71"/>
  <c r="X29" i="71"/>
  <c r="AN235" i="72"/>
  <c r="AV234" i="72"/>
  <c r="AV43" i="72"/>
  <c r="AV238" i="72"/>
  <c r="AV38" i="72"/>
  <c r="AV44" i="72" s="1"/>
  <c r="BD334" i="15"/>
  <c r="CE70" i="73"/>
  <c r="CE41" i="73"/>
  <c r="CE42" i="73" s="1"/>
  <c r="CE49" i="73" s="1"/>
  <c r="AM304" i="15"/>
  <c r="AL307" i="15"/>
  <c r="AL180" i="15"/>
  <c r="AL187" i="15"/>
  <c r="BB241" i="15"/>
  <c r="AC155" i="72"/>
  <c r="AC158" i="72"/>
  <c r="BB25" i="46"/>
  <c r="Y316" i="15"/>
  <c r="AC106" i="15"/>
  <c r="BP191" i="72"/>
  <c r="AR52" i="71"/>
  <c r="W131" i="46"/>
  <c r="CO41" i="71"/>
  <c r="CO40" i="71" s="1"/>
  <c r="BC83" i="46"/>
  <c r="AQ12" i="59"/>
  <c r="BJ60" i="51"/>
  <c r="H42" i="51"/>
  <c r="H102" i="46" s="1"/>
  <c r="H105" i="46" s="1"/>
  <c r="H67" i="51"/>
  <c r="H69" i="51" s="1"/>
  <c r="BH83" i="46"/>
  <c r="AV12" i="59"/>
  <c r="CE50" i="73" l="1"/>
  <c r="CE54" i="73" s="1"/>
  <c r="AC166" i="15"/>
  <c r="AB140" i="15"/>
  <c r="AB141" i="15" s="1"/>
  <c r="AC124" i="15"/>
  <c r="BG83" i="46"/>
  <c r="BC123" i="46"/>
  <c r="BP255" i="72"/>
  <c r="BP112" i="46"/>
  <c r="BP50" i="51" s="1"/>
  <c r="AO43" i="72"/>
  <c r="AQ238" i="72"/>
  <c r="AS238" i="72"/>
  <c r="AO38" i="72"/>
  <c r="AO44" i="72" s="1"/>
  <c r="AS234" i="72"/>
  <c r="AQ234" i="72"/>
  <c r="AG334" i="15"/>
  <c r="AH333" i="15"/>
  <c r="BG75" i="73"/>
  <c r="BB20" i="73"/>
  <c r="BL331" i="15"/>
  <c r="BM331" i="15" s="1"/>
  <c r="AR7" i="73"/>
  <c r="BL371" i="15"/>
  <c r="BM371" i="15" s="1"/>
  <c r="BK157" i="15"/>
  <c r="W135" i="46"/>
  <c r="AW236" i="15"/>
  <c r="AY190" i="46"/>
  <c r="AW12" i="59"/>
  <c r="BI83" i="46"/>
  <c r="BI123" i="46" s="1"/>
  <c r="AJ206" i="15"/>
  <c r="BO167" i="46"/>
  <c r="BP167" i="46" s="1"/>
  <c r="BQ167" i="46" s="1"/>
  <c r="BA20" i="77"/>
  <c r="BO86" i="15"/>
  <c r="BO67" i="15" s="1"/>
  <c r="BO69" i="15" s="1"/>
  <c r="BO315" i="15" s="1"/>
  <c r="BP18" i="15"/>
  <c r="Y238" i="72"/>
  <c r="V43" i="72"/>
  <c r="Y234" i="72"/>
  <c r="Z234" i="72"/>
  <c r="V38" i="72"/>
  <c r="V44" i="72" s="1"/>
  <c r="Z238" i="72"/>
  <c r="BM333" i="15"/>
  <c r="BF25" i="72"/>
  <c r="BG152" i="72"/>
  <c r="BF373" i="15"/>
  <c r="BF376" i="15"/>
  <c r="AW357" i="15"/>
  <c r="AV195" i="15"/>
  <c r="AV186" i="15"/>
  <c r="BI266" i="15"/>
  <c r="BN14" i="72"/>
  <c r="BN10" i="46"/>
  <c r="BH383" i="15"/>
  <c r="AL450" i="15"/>
  <c r="AL451" i="15" s="1"/>
  <c r="AM448" i="15"/>
  <c r="AM450" i="15" s="1"/>
  <c r="AM451" i="15" s="1"/>
  <c r="AR402" i="15"/>
  <c r="BE61" i="51"/>
  <c r="BE67" i="51" s="1"/>
  <c r="BE129" i="46"/>
  <c r="BH214" i="15"/>
  <c r="BI206" i="15"/>
  <c r="AC45" i="72"/>
  <c r="AC69" i="46"/>
  <c r="G31" i="51"/>
  <c r="G37" i="51" s="1"/>
  <c r="G70" i="46" s="1"/>
  <c r="G71" i="46" s="1"/>
  <c r="G36" i="51"/>
  <c r="AC561" i="15"/>
  <c r="AC558" i="15"/>
  <c r="R49" i="46"/>
  <c r="BH18" i="72"/>
  <c r="BL18" i="72" s="1"/>
  <c r="BL137" i="72"/>
  <c r="AL42" i="46"/>
  <c r="AL205" i="46" s="1"/>
  <c r="AM205" i="46" s="1"/>
  <c r="AL48" i="46"/>
  <c r="X244" i="72"/>
  <c r="X247" i="72"/>
  <c r="AZ9" i="72"/>
  <c r="AZ10" i="72" s="1"/>
  <c r="AZ132" i="72"/>
  <c r="AZ133" i="72" s="1"/>
  <c r="AG101" i="46"/>
  <c r="AG105" i="46" s="1"/>
  <c r="AG69" i="51"/>
  <c r="U105" i="46"/>
  <c r="X105" i="46" s="1"/>
  <c r="X101" i="46"/>
  <c r="AI237" i="15"/>
  <c r="AM237" i="15" s="1"/>
  <c r="AM234" i="15"/>
  <c r="AI164" i="15"/>
  <c r="AI170" i="15"/>
  <c r="BB96" i="72"/>
  <c r="BB97" i="72" s="1"/>
  <c r="BB88" i="72"/>
  <c r="AW41" i="15"/>
  <c r="AW68" i="46" s="1"/>
  <c r="AP257" i="72"/>
  <c r="AQ252" i="72" s="1"/>
  <c r="AQ257" i="72" s="1"/>
  <c r="P38" i="72"/>
  <c r="P44" i="72" s="1"/>
  <c r="P43" i="72"/>
  <c r="BJ12" i="72"/>
  <c r="BL93" i="72"/>
  <c r="BL94" i="72" s="1"/>
  <c r="BL111" i="15"/>
  <c r="BL110" i="15"/>
  <c r="BL112" i="15"/>
  <c r="BP111" i="15"/>
  <c r="BP112" i="15"/>
  <c r="BP110" i="15"/>
  <c r="BP355" i="15" s="1"/>
  <c r="BQ109" i="15"/>
  <c r="BH16" i="46"/>
  <c r="BL16" i="46" s="1"/>
  <c r="BL20" i="72"/>
  <c r="AL209" i="46"/>
  <c r="AM209" i="46" s="1"/>
  <c r="AI49" i="46"/>
  <c r="AK205" i="46"/>
  <c r="AK209" i="46"/>
  <c r="AH244" i="72"/>
  <c r="AH247" i="72"/>
  <c r="S38" i="72"/>
  <c r="S44" i="72" s="1"/>
  <c r="S43" i="72"/>
  <c r="S238" i="72"/>
  <c r="S270" i="72" s="1"/>
  <c r="S68" i="72" s="1"/>
  <c r="S234" i="72"/>
  <c r="AL256" i="15"/>
  <c r="AM248" i="15"/>
  <c r="BN221" i="15"/>
  <c r="BN77" i="15"/>
  <c r="AC170" i="15"/>
  <c r="Y174" i="15"/>
  <c r="BC137" i="15"/>
  <c r="BG137" i="15" s="1"/>
  <c r="BG214" i="15"/>
  <c r="AX58" i="51"/>
  <c r="BI420" i="15"/>
  <c r="BI423" i="15" s="1"/>
  <c r="BI422" i="15"/>
  <c r="BI424" i="15" s="1"/>
  <c r="BI135" i="15" s="1"/>
  <c r="AI43" i="72"/>
  <c r="AI38" i="72"/>
  <c r="AI44" i="72" s="1"/>
  <c r="AK234" i="72"/>
  <c r="AI238" i="72"/>
  <c r="AI234" i="72"/>
  <c r="AJ238" i="72"/>
  <c r="AK238" i="72"/>
  <c r="AP269" i="15"/>
  <c r="AP270" i="15"/>
  <c r="AP171" i="15"/>
  <c r="BM413" i="15"/>
  <c r="AD316" i="15"/>
  <c r="AH106" i="15"/>
  <c r="M43" i="72"/>
  <c r="M238" i="72"/>
  <c r="M234" i="72"/>
  <c r="M38" i="72"/>
  <c r="M44" i="72" s="1"/>
  <c r="P234" i="72"/>
  <c r="X69" i="51"/>
  <c r="CP39" i="71"/>
  <c r="CP51" i="71" s="1"/>
  <c r="BD113" i="72"/>
  <c r="BD120" i="72" s="1"/>
  <c r="BD127" i="72"/>
  <c r="BI126" i="72"/>
  <c r="AY347" i="15"/>
  <c r="AY349" i="15" s="1"/>
  <c r="AZ344" i="15"/>
  <c r="AZ347" i="15" s="1"/>
  <c r="AZ349" i="15" s="1"/>
  <c r="BA344" i="15"/>
  <c r="BQ112" i="46"/>
  <c r="AH133" i="72"/>
  <c r="BH34" i="51"/>
  <c r="BH331" i="46"/>
  <c r="BH38" i="15"/>
  <c r="BH41" i="72"/>
  <c r="BH333" i="46"/>
  <c r="BH103" i="46"/>
  <c r="BH65" i="51"/>
  <c r="AC173" i="15"/>
  <c r="BP96" i="72"/>
  <c r="BP8" i="72"/>
  <c r="BP10" i="72" s="1"/>
  <c r="AW336" i="15"/>
  <c r="AW338" i="15" s="1"/>
  <c r="AS338" i="15"/>
  <c r="AS131" i="15" s="1"/>
  <c r="AW131" i="15" s="1"/>
  <c r="AM69" i="46"/>
  <c r="AM45" i="72"/>
  <c r="AG450" i="15"/>
  <c r="AG451" i="15" s="1"/>
  <c r="AH448" i="15"/>
  <c r="AH450" i="15" s="1"/>
  <c r="AH451" i="15" s="1"/>
  <c r="BF67" i="51"/>
  <c r="BC14" i="72"/>
  <c r="BC10" i="46"/>
  <c r="BG13" i="72"/>
  <c r="BM227" i="15"/>
  <c r="AD250" i="15"/>
  <c r="AH243" i="15"/>
  <c r="N526" i="15"/>
  <c r="BG34" i="51"/>
  <c r="BG38" i="15"/>
  <c r="DD8" i="73"/>
  <c r="DD9" i="73" s="1"/>
  <c r="BG44" i="71"/>
  <c r="BG41" i="72"/>
  <c r="BG61" i="73" s="1"/>
  <c r="F105" i="46"/>
  <c r="I101" i="46"/>
  <c r="CF10" i="59"/>
  <c r="CF12" i="59" s="1"/>
  <c r="CF36" i="59"/>
  <c r="AH393" i="15"/>
  <c r="AG394" i="15"/>
  <c r="BM8" i="51"/>
  <c r="BH10" i="51"/>
  <c r="BH16" i="51"/>
  <c r="AR244" i="72"/>
  <c r="AR247" i="72"/>
  <c r="AX466" i="15"/>
  <c r="BJ250" i="15"/>
  <c r="BJ251" i="15" s="1"/>
  <c r="BJ254" i="15" s="1"/>
  <c r="BJ257" i="15"/>
  <c r="AG254" i="15"/>
  <c r="AG253" i="15"/>
  <c r="AB155" i="72"/>
  <c r="AB156" i="72" s="1"/>
  <c r="AB158" i="72" s="1"/>
  <c r="Y155" i="72"/>
  <c r="Y156" i="72" s="1"/>
  <c r="Y158" i="72" s="1"/>
  <c r="Z155" i="72"/>
  <c r="Z156" i="72" s="1"/>
  <c r="Z158" i="72" s="1"/>
  <c r="AA155" i="72"/>
  <c r="AA156" i="72" s="1"/>
  <c r="AA158" i="72" s="1"/>
  <c r="DO39" i="71"/>
  <c r="DO51" i="71" s="1"/>
  <c r="O38" i="72"/>
  <c r="O44" i="72" s="1"/>
  <c r="O43" i="72"/>
  <c r="Q234" i="72"/>
  <c r="Q238" i="72"/>
  <c r="O234" i="72"/>
  <c r="R238" i="72"/>
  <c r="P238" i="72"/>
  <c r="O238" i="72"/>
  <c r="R234" i="72"/>
  <c r="AE174" i="15"/>
  <c r="AR12" i="71"/>
  <c r="AR9" i="73" s="1"/>
  <c r="AR70" i="46"/>
  <c r="BN333" i="15"/>
  <c r="AR302" i="15"/>
  <c r="AR73" i="15"/>
  <c r="AL363" i="15"/>
  <c r="AM363" i="15" s="1"/>
  <c r="AL362" i="15"/>
  <c r="AL364" i="15" s="1"/>
  <c r="AL132" i="15" s="1"/>
  <c r="BJ382" i="15"/>
  <c r="BJ380" i="15"/>
  <c r="BJ383" i="15" s="1"/>
  <c r="I244" i="72"/>
  <c r="I247" i="72"/>
  <c r="H48" i="46"/>
  <c r="H42" i="46"/>
  <c r="J209" i="46" s="1"/>
  <c r="AX129" i="46"/>
  <c r="AX60" i="51"/>
  <c r="BB122" i="46"/>
  <c r="DT60" i="71" s="1"/>
  <c r="BJ120" i="46"/>
  <c r="BJ55" i="51"/>
  <c r="BJ58" i="51" s="1"/>
  <c r="AL206" i="15"/>
  <c r="AF48" i="46"/>
  <c r="AF42" i="46"/>
  <c r="BB20" i="77"/>
  <c r="BP86" i="15"/>
  <c r="BP67" i="15" s="1"/>
  <c r="BP69" i="15" s="1"/>
  <c r="BP315" i="15" s="1"/>
  <c r="BC8" i="72"/>
  <c r="BG77" i="72"/>
  <c r="BC96" i="72"/>
  <c r="BC97" i="72" s="1"/>
  <c r="BM376" i="15"/>
  <c r="BM373" i="15"/>
  <c r="BI159" i="72"/>
  <c r="BH152" i="72"/>
  <c r="BH25" i="72" s="1"/>
  <c r="AG267" i="15"/>
  <c r="AH266" i="15"/>
  <c r="BF413" i="15"/>
  <c r="BF416" i="15"/>
  <c r="BP227" i="15"/>
  <c r="AY397" i="15"/>
  <c r="AZ391" i="15"/>
  <c r="AY394" i="15"/>
  <c r="BA391" i="15"/>
  <c r="AY194" i="15"/>
  <c r="AY178" i="15"/>
  <c r="BH118" i="15"/>
  <c r="BH116" i="15"/>
  <c r="BH262" i="15" s="1"/>
  <c r="BH117" i="15"/>
  <c r="BH223" i="15" s="1"/>
  <c r="BG115" i="15"/>
  <c r="BI10" i="46"/>
  <c r="BI14" i="72"/>
  <c r="AN448" i="15"/>
  <c r="AN429" i="15" s="1"/>
  <c r="BL60" i="51"/>
  <c r="AW29" i="71"/>
  <c r="AW52" i="71"/>
  <c r="AF38" i="72"/>
  <c r="AF44" i="72" s="1"/>
  <c r="AF43" i="72"/>
  <c r="AJ234" i="72"/>
  <c r="AC244" i="72"/>
  <c r="AC247" i="72"/>
  <c r="AG350" i="15"/>
  <c r="AG351" i="15" s="1"/>
  <c r="AG130" i="15" s="1"/>
  <c r="AH130" i="15" s="1"/>
  <c r="AH342" i="15"/>
  <c r="BB10" i="46"/>
  <c r="BM137" i="72"/>
  <c r="BQ139" i="72"/>
  <c r="AK257" i="15"/>
  <c r="AK258" i="15" s="1"/>
  <c r="AK124" i="15" s="1"/>
  <c r="AK164" i="15"/>
  <c r="U48" i="46"/>
  <c r="U42" i="46"/>
  <c r="V209" i="46" s="1"/>
  <c r="AX334" i="15"/>
  <c r="BB333" i="15"/>
  <c r="CF40" i="71"/>
  <c r="CF52" i="71" s="1"/>
  <c r="CF51" i="71"/>
  <c r="CF53" i="71" s="1"/>
  <c r="CF56" i="71" s="1"/>
  <c r="CF64" i="71" s="1"/>
  <c r="AT177" i="15"/>
  <c r="AU291" i="15"/>
  <c r="AT294" i="15"/>
  <c r="BH58" i="51"/>
  <c r="BB465" i="15"/>
  <c r="BC465" i="15" s="1"/>
  <c r="Q43" i="72"/>
  <c r="Q38" i="72"/>
  <c r="Q44" i="72" s="1"/>
  <c r="U234" i="72"/>
  <c r="AK49" i="46"/>
  <c r="AO205" i="46"/>
  <c r="AO209" i="46"/>
  <c r="AN209" i="46"/>
  <c r="AN205" i="46"/>
  <c r="BO77" i="15"/>
  <c r="BO221" i="15"/>
  <c r="BM302" i="15"/>
  <c r="BM242" i="15"/>
  <c r="BQ72" i="15"/>
  <c r="BQ302" i="15" s="1"/>
  <c r="BM408" i="15"/>
  <c r="AJ321" i="15"/>
  <c r="AK318" i="15"/>
  <c r="AJ185" i="15"/>
  <c r="AJ188" i="15" s="1"/>
  <c r="AJ459" i="15" s="1"/>
  <c r="AJ193" i="15"/>
  <c r="AJ181" i="15"/>
  <c r="AJ182" i="15" s="1"/>
  <c r="AJ191" i="15"/>
  <c r="AG397" i="15"/>
  <c r="AH396" i="15"/>
  <c r="BG329" i="15"/>
  <c r="BG389" i="15"/>
  <c r="BG409" i="15"/>
  <c r="BG369" i="15"/>
  <c r="BP288" i="15"/>
  <c r="BP209" i="15"/>
  <c r="BP214" i="15" s="1"/>
  <c r="BP137" i="15" s="1"/>
  <c r="BQ87" i="15"/>
  <c r="BM68" i="15"/>
  <c r="BQ68" i="15" s="1"/>
  <c r="AR53" i="73"/>
  <c r="AR58" i="73" s="1"/>
  <c r="AR60" i="73" s="1"/>
  <c r="AR62" i="73" s="1"/>
  <c r="AR68" i="73" s="1"/>
  <c r="AR260" i="72"/>
  <c r="BL355" i="15"/>
  <c r="AC58" i="51"/>
  <c r="AC69" i="51" s="1"/>
  <c r="W43" i="72"/>
  <c r="AA238" i="72"/>
  <c r="W38" i="72"/>
  <c r="W44" i="72" s="1"/>
  <c r="AA234" i="72"/>
  <c r="J205" i="46"/>
  <c r="F49" i="46"/>
  <c r="K50" i="46" s="1"/>
  <c r="H205" i="46"/>
  <c r="I205" i="46" s="1"/>
  <c r="H209" i="46"/>
  <c r="I209" i="46" s="1"/>
  <c r="AZ237" i="15"/>
  <c r="AL65" i="72"/>
  <c r="AL36" i="72"/>
  <c r="AV58" i="51"/>
  <c r="AV69" i="51" s="1"/>
  <c r="AW56" i="51"/>
  <c r="AW58" i="51" s="1"/>
  <c r="AW69" i="51" s="1"/>
  <c r="AR264" i="15"/>
  <c r="AQ267" i="15"/>
  <c r="AQ179" i="15"/>
  <c r="BM61" i="51"/>
  <c r="BK158" i="46"/>
  <c r="BQ123" i="46"/>
  <c r="EI61" i="71" s="1"/>
  <c r="BM73" i="15"/>
  <c r="BM266" i="15"/>
  <c r="BB250" i="15"/>
  <c r="AX251" i="15"/>
  <c r="J49" i="46"/>
  <c r="J50" i="46" s="1"/>
  <c r="AM362" i="15"/>
  <c r="AM57" i="51"/>
  <c r="AM58" i="51" s="1"/>
  <c r="AM69" i="51" s="1"/>
  <c r="BQ50" i="51"/>
  <c r="AR267" i="15"/>
  <c r="AR209" i="72"/>
  <c r="AR211" i="72" s="1"/>
  <c r="AN209" i="72"/>
  <c r="AN211" i="72" s="1"/>
  <c r="AO209" i="72" s="1"/>
  <c r="AO211" i="72" s="1"/>
  <c r="AP209" i="72" s="1"/>
  <c r="AP210" i="72" s="1"/>
  <c r="BK96" i="72"/>
  <c r="BK97" i="72" s="1"/>
  <c r="BK8" i="72"/>
  <c r="BK10" i="72" s="1"/>
  <c r="Q49" i="46"/>
  <c r="U205" i="46"/>
  <c r="AQ43" i="72"/>
  <c r="AQ38" i="72"/>
  <c r="AQ44" i="72" s="1"/>
  <c r="AT238" i="72"/>
  <c r="AU234" i="72"/>
  <c r="AU238" i="72"/>
  <c r="AT234" i="72"/>
  <c r="BP84" i="77"/>
  <c r="BW71" i="77" s="1"/>
  <c r="BY71" i="77" s="1"/>
  <c r="AY22" i="77"/>
  <c r="BP22" i="77" s="1"/>
  <c r="AD363" i="15"/>
  <c r="AH355" i="15"/>
  <c r="BH126" i="72"/>
  <c r="BC113" i="72"/>
  <c r="BC127" i="72"/>
  <c r="BG126" i="72"/>
  <c r="BG127" i="72" s="1"/>
  <c r="BG60" i="51"/>
  <c r="CK24" i="59"/>
  <c r="CP19" i="59"/>
  <c r="AH56" i="71"/>
  <c r="AH58" i="71"/>
  <c r="AH18" i="71"/>
  <c r="AR45" i="72"/>
  <c r="AW45" i="72"/>
  <c r="AR69" i="46"/>
  <c r="BE10" i="46"/>
  <c r="BE14" i="72"/>
  <c r="BG12" i="72"/>
  <c r="BG14" i="72" s="1"/>
  <c r="AW70" i="46"/>
  <c r="AW12" i="71"/>
  <c r="AW9" i="73" s="1"/>
  <c r="AW63" i="73" s="1"/>
  <c r="AR558" i="15"/>
  <c r="AR561" i="15"/>
  <c r="BH194" i="46"/>
  <c r="BI174" i="46"/>
  <c r="BK120" i="46"/>
  <c r="BK55" i="51"/>
  <c r="BK58" i="51" s="1"/>
  <c r="AM360" i="15"/>
  <c r="BH123" i="46"/>
  <c r="BC158" i="46" s="1"/>
  <c r="Y324" i="15"/>
  <c r="AC316" i="15"/>
  <c r="AL172" i="15"/>
  <c r="AL309" i="15"/>
  <c r="AL165" i="15"/>
  <c r="AM165" i="15" s="1"/>
  <c r="AL310" i="15"/>
  <c r="AM310" i="15" s="1"/>
  <c r="AM307" i="15"/>
  <c r="AM306" i="15" s="1"/>
  <c r="AV45" i="72"/>
  <c r="AV69" i="46"/>
  <c r="AV71" i="46" s="1"/>
  <c r="BI127" i="46"/>
  <c r="BI33" i="51"/>
  <c r="BI37" i="15"/>
  <c r="BI46" i="46"/>
  <c r="AG231" i="15"/>
  <c r="AH230" i="15"/>
  <c r="BN393" i="15"/>
  <c r="BN396" i="15"/>
  <c r="AN288" i="15"/>
  <c r="AN296" i="15" s="1"/>
  <c r="AN209" i="15"/>
  <c r="AN214" i="15" s="1"/>
  <c r="BN18" i="15"/>
  <c r="AO359" i="15"/>
  <c r="AN360" i="15"/>
  <c r="BJ379" i="15"/>
  <c r="I57" i="46"/>
  <c r="I11" i="71"/>
  <c r="I71" i="46"/>
  <c r="AT237" i="15"/>
  <c r="AW237" i="15" s="1"/>
  <c r="AT170" i="15"/>
  <c r="AW234" i="15"/>
  <c r="AS214" i="15"/>
  <c r="AT206" i="15"/>
  <c r="I42" i="51"/>
  <c r="I67" i="51"/>
  <c r="I69" i="51" s="1"/>
  <c r="BO18" i="15"/>
  <c r="AK43" i="72"/>
  <c r="AK38" i="72"/>
  <c r="AK44" i="72" s="1"/>
  <c r="AO234" i="72"/>
  <c r="AY20" i="77"/>
  <c r="BP20" i="77" s="1"/>
  <c r="BM86" i="15"/>
  <c r="BP82" i="77"/>
  <c r="BW69" i="77" s="1"/>
  <c r="BY69" i="77" s="1"/>
  <c r="BM88" i="72"/>
  <c r="BM77" i="72" s="1"/>
  <c r="BH77" i="72"/>
  <c r="AV205" i="46"/>
  <c r="AW205" i="46" s="1"/>
  <c r="AS49" i="46"/>
  <c r="AS50" i="46" s="1"/>
  <c r="AV209" i="46"/>
  <c r="AW209" i="46" s="1"/>
  <c r="BF333" i="15"/>
  <c r="BI230" i="15"/>
  <c r="BI227" i="15"/>
  <c r="BH384" i="15"/>
  <c r="BH133" i="15" s="1"/>
  <c r="BA21" i="51"/>
  <c r="AR336" i="15"/>
  <c r="AR338" i="15" s="1"/>
  <c r="AP338" i="15"/>
  <c r="AP131" i="15" s="1"/>
  <c r="AR131" i="15" s="1"/>
  <c r="M48" i="46"/>
  <c r="M42" i="46"/>
  <c r="M205" i="46" s="1"/>
  <c r="N205" i="46" s="1"/>
  <c r="AR49" i="46"/>
  <c r="AR213" i="46"/>
  <c r="X60" i="71"/>
  <c r="AC51" i="71"/>
  <c r="AC38" i="71"/>
  <c r="AC53" i="71" s="1"/>
  <c r="AC62" i="71"/>
  <c r="AC64" i="71" s="1"/>
  <c r="AZ238" i="15"/>
  <c r="AZ123" i="15" s="1"/>
  <c r="BI336" i="15"/>
  <c r="BI337" i="15"/>
  <c r="X69" i="46"/>
  <c r="X45" i="72"/>
  <c r="H56" i="71"/>
  <c r="N29" i="71"/>
  <c r="N30" i="71"/>
  <c r="AB42" i="46"/>
  <c r="AB48" i="46"/>
  <c r="BA533" i="15"/>
  <c r="AZ533" i="15"/>
  <c r="AW400" i="15"/>
  <c r="AS403" i="15"/>
  <c r="AW403" i="15" s="1"/>
  <c r="AS170" i="15"/>
  <c r="BG355" i="15"/>
  <c r="AX417" i="15"/>
  <c r="BB417" i="15" s="1"/>
  <c r="BB416" i="15"/>
  <c r="AM236" i="15"/>
  <c r="AM238" i="15" s="1"/>
  <c r="AI238" i="15"/>
  <c r="AI123" i="15" s="1"/>
  <c r="BO407" i="15"/>
  <c r="BO413" i="15" s="1"/>
  <c r="BO414" i="15" s="1"/>
  <c r="BO301" i="15"/>
  <c r="BO210" i="15"/>
  <c r="BO241" i="15"/>
  <c r="BO73" i="15"/>
  <c r="BO261" i="15"/>
  <c r="BO274" i="15"/>
  <c r="AI152" i="15"/>
  <c r="AI136" i="15"/>
  <c r="AI153" i="15"/>
  <c r="AI196" i="15"/>
  <c r="BJ77" i="72"/>
  <c r="BO86" i="72"/>
  <c r="BQ84" i="72"/>
  <c r="BQ86" i="72" s="1"/>
  <c r="BO77" i="72"/>
  <c r="BO93" i="72"/>
  <c r="CP40" i="71"/>
  <c r="CP52" i="71" s="1"/>
  <c r="AC97" i="72"/>
  <c r="AH97" i="72"/>
  <c r="BM18" i="15"/>
  <c r="BL18" i="15"/>
  <c r="BH25" i="46"/>
  <c r="AN245" i="15"/>
  <c r="AM186" i="15"/>
  <c r="BF16" i="72"/>
  <c r="AC403" i="15"/>
  <c r="AC404" i="15" s="1"/>
  <c r="Y404" i="15"/>
  <c r="Y134" i="15" s="1"/>
  <c r="AC134" i="15" s="1"/>
  <c r="N43" i="72"/>
  <c r="N238" i="72"/>
  <c r="N270" i="72" s="1"/>
  <c r="N68" i="72" s="1"/>
  <c r="N38" i="72"/>
  <c r="N44" i="72" s="1"/>
  <c r="N234" i="72"/>
  <c r="BH13" i="72"/>
  <c r="BL129" i="72"/>
  <c r="BL130" i="72" s="1"/>
  <c r="BK248" i="15"/>
  <c r="BK256" i="15" s="1"/>
  <c r="BL247" i="15"/>
  <c r="L105" i="46"/>
  <c r="N105" i="46" s="1"/>
  <c r="N101" i="46"/>
  <c r="BE113" i="72"/>
  <c r="BE120" i="72" s="1"/>
  <c r="BE127" i="72"/>
  <c r="BJ126" i="72"/>
  <c r="AM132" i="15"/>
  <c r="BI77" i="72"/>
  <c r="BN88" i="72"/>
  <c r="BN77" i="72" s="1"/>
  <c r="AK311" i="15"/>
  <c r="AK128" i="15" s="1"/>
  <c r="AJ43" i="72"/>
  <c r="AJ38" i="72"/>
  <c r="AJ44" i="72" s="1"/>
  <c r="AN234" i="72"/>
  <c r="AN238" i="72"/>
  <c r="AH51" i="51"/>
  <c r="AH53" i="51" s="1"/>
  <c r="AK211" i="72"/>
  <c r="AL209" i="72" s="1"/>
  <c r="AL211" i="72" s="1"/>
  <c r="BC281" i="15"/>
  <c r="BD278" i="15"/>
  <c r="BN416" i="15"/>
  <c r="BN417" i="15" s="1"/>
  <c r="AZ75" i="46"/>
  <c r="AZ77" i="46" s="1"/>
  <c r="AZ117" i="46" s="1"/>
  <c r="AZ196" i="72"/>
  <c r="AZ198" i="72" s="1"/>
  <c r="AZ253" i="72"/>
  <c r="BA168" i="72"/>
  <c r="AY154" i="72"/>
  <c r="N49" i="46"/>
  <c r="N213" i="46"/>
  <c r="S49" i="46"/>
  <c r="S213" i="46"/>
  <c r="BL248" i="15"/>
  <c r="AX234" i="15"/>
  <c r="BB228" i="15"/>
  <c r="AX233" i="15"/>
  <c r="AX236" i="15"/>
  <c r="BB113" i="72"/>
  <c r="BB120" i="72" s="1"/>
  <c r="BB132" i="72" s="1"/>
  <c r="BB133" i="72" s="1"/>
  <c r="AX120" i="72"/>
  <c r="R205" i="46"/>
  <c r="S205" i="46" s="1"/>
  <c r="O49" i="46"/>
  <c r="R209" i="46"/>
  <c r="S209" i="46" s="1"/>
  <c r="W42" i="46"/>
  <c r="W48" i="46"/>
  <c r="BJ83" i="46"/>
  <c r="BJ123" i="46" s="1"/>
  <c r="AX12" i="59"/>
  <c r="BB230" i="15"/>
  <c r="AY231" i="15"/>
  <c r="BC20" i="51"/>
  <c r="BC21" i="46"/>
  <c r="P49" i="46"/>
  <c r="P50" i="46" s="1"/>
  <c r="T205" i="46"/>
  <c r="T209" i="46"/>
  <c r="BY227" i="15"/>
  <c r="BY231" i="15" s="1"/>
  <c r="AH206" i="15" s="1"/>
  <c r="AH288" i="15"/>
  <c r="AH209" i="15"/>
  <c r="BD225" i="15"/>
  <c r="DY15" i="71"/>
  <c r="BF34" i="51"/>
  <c r="BF41" i="72"/>
  <c r="BF38" i="15"/>
  <c r="BF331" i="46"/>
  <c r="AM180" i="15"/>
  <c r="AN304" i="15"/>
  <c r="AM187" i="15"/>
  <c r="BD337" i="15"/>
  <c r="BD336" i="15"/>
  <c r="BF58" i="51"/>
  <c r="BG55" i="51"/>
  <c r="BG58" i="51" s="1"/>
  <c r="BI40" i="72"/>
  <c r="BJ44" i="46"/>
  <c r="BJ45" i="46"/>
  <c r="BN376" i="15"/>
  <c r="BN373" i="15"/>
  <c r="AV170" i="15"/>
  <c r="AV403" i="15"/>
  <c r="AV404" i="15" s="1"/>
  <c r="AV134" i="15" s="1"/>
  <c r="BJ336" i="15"/>
  <c r="BJ337" i="15"/>
  <c r="AN250" i="15"/>
  <c r="AR250" i="15" s="1"/>
  <c r="AR242" i="15"/>
  <c r="BB393" i="15"/>
  <c r="BL157" i="15"/>
  <c r="Y135" i="46"/>
  <c r="Z133" i="46" s="1"/>
  <c r="Z135" i="46" s="1"/>
  <c r="AA133" i="46" s="1"/>
  <c r="AA135" i="46" s="1"/>
  <c r="AB133" i="46" s="1"/>
  <c r="AB135" i="46" s="1"/>
  <c r="AC133" i="46"/>
  <c r="AC135" i="46" s="1"/>
  <c r="AD133" i="46" s="1"/>
  <c r="I102" i="46"/>
  <c r="BI201" i="72"/>
  <c r="BL174" i="72"/>
  <c r="BM115" i="72"/>
  <c r="BQ115" i="72" s="1"/>
  <c r="BL115" i="72"/>
  <c r="CK51" i="71"/>
  <c r="CK53" i="71" s="1"/>
  <c r="CK56" i="71" s="1"/>
  <c r="CK64" i="71" s="1"/>
  <c r="CK40" i="71"/>
  <c r="CK52" i="71" s="1"/>
  <c r="T69" i="46"/>
  <c r="T71" i="46" s="1"/>
  <c r="T45" i="72"/>
  <c r="Y45" i="72"/>
  <c r="AI207" i="15"/>
  <c r="AJ207" i="15" s="1"/>
  <c r="AK207" i="15"/>
  <c r="AL207" i="15" s="1"/>
  <c r="BI384" i="15"/>
  <c r="BI133" i="15" s="1"/>
  <c r="AZ20" i="77"/>
  <c r="BN86" i="15"/>
  <c r="BN67" i="15" s="1"/>
  <c r="BN69" i="15" s="1"/>
  <c r="BN315" i="15" s="1"/>
  <c r="AE43" i="72"/>
  <c r="AE38" i="72"/>
  <c r="AE44" i="72" s="1"/>
  <c r="AG234" i="72"/>
  <c r="AG238" i="72"/>
  <c r="AE238" i="72"/>
  <c r="AF234" i="72"/>
  <c r="AF238" i="72"/>
  <c r="AE234" i="72"/>
  <c r="BM393" i="15"/>
  <c r="BM396" i="15"/>
  <c r="AX208" i="46"/>
  <c r="AX23" i="51"/>
  <c r="AX25" i="51" s="1"/>
  <c r="BF396" i="15"/>
  <c r="BG396" i="15" s="1"/>
  <c r="BF393" i="15"/>
  <c r="BG393" i="15" s="1"/>
  <c r="BQ87" i="46"/>
  <c r="AX394" i="15"/>
  <c r="BI316" i="15"/>
  <c r="BI243" i="15"/>
  <c r="BK61" i="51"/>
  <c r="BJ158" i="46"/>
  <c r="S29" i="71"/>
  <c r="S30" i="71"/>
  <c r="I213" i="46"/>
  <c r="I49" i="46"/>
  <c r="AN230" i="15"/>
  <c r="AR222" i="15"/>
  <c r="AQ35" i="15"/>
  <c r="AQ41" i="15" s="1"/>
  <c r="AQ68" i="46" s="1"/>
  <c r="AQ40" i="15"/>
  <c r="CY97" i="59"/>
  <c r="CY102" i="59" s="1"/>
  <c r="CV97" i="59"/>
  <c r="CV102" i="59" s="1"/>
  <c r="CZ102" i="59"/>
  <c r="CZ112" i="59" s="1"/>
  <c r="CW97" i="59"/>
  <c r="CW102" i="59" s="1"/>
  <c r="CX97" i="59"/>
  <c r="CX102" i="59" s="1"/>
  <c r="AQ48" i="46"/>
  <c r="AQ42" i="46"/>
  <c r="AS205" i="46" s="1"/>
  <c r="AS297" i="15"/>
  <c r="AS169" i="15"/>
  <c r="AS296" i="15"/>
  <c r="AS404" i="15"/>
  <c r="AS134" i="15" s="1"/>
  <c r="AW134" i="15" s="1"/>
  <c r="AW402" i="15"/>
  <c r="AW404" i="15" s="1"/>
  <c r="BL117" i="46"/>
  <c r="AC172" i="15"/>
  <c r="AB174" i="15"/>
  <c r="AB166" i="15"/>
  <c r="AB460" i="15" s="1"/>
  <c r="AO275" i="15"/>
  <c r="AN284" i="15"/>
  <c r="AN285" i="15" s="1"/>
  <c r="AN126" i="15" s="1"/>
  <c r="BQ76" i="15"/>
  <c r="BM222" i="15"/>
  <c r="BB8" i="72"/>
  <c r="AI163" i="15"/>
  <c r="AI166" i="15" s="1"/>
  <c r="AI460" i="15" s="1"/>
  <c r="AI324" i="15"/>
  <c r="AI173" i="15"/>
  <c r="AI323" i="15"/>
  <c r="BE97" i="72"/>
  <c r="BA218" i="72"/>
  <c r="BA237" i="15"/>
  <c r="BP266" i="15"/>
  <c r="BB252" i="72"/>
  <c r="AW270" i="72"/>
  <c r="AW68" i="72" s="1"/>
  <c r="AW45" i="73" s="1"/>
  <c r="AW56" i="73" s="1"/>
  <c r="AX252" i="72"/>
  <c r="AW259" i="72"/>
  <c r="BK389" i="15"/>
  <c r="BK329" i="15"/>
  <c r="BK409" i="15"/>
  <c r="BK369" i="15"/>
  <c r="BM20" i="72"/>
  <c r="BQ142" i="72"/>
  <c r="BQ143" i="72" s="1"/>
  <c r="BL516" i="15"/>
  <c r="BL521" i="15" s="1"/>
  <c r="BH521" i="15"/>
  <c r="AY10" i="72"/>
  <c r="AX414" i="15"/>
  <c r="BB413" i="15"/>
  <c r="AH69" i="46"/>
  <c r="AH45" i="72"/>
  <c r="AH105" i="46"/>
  <c r="AL254" i="15"/>
  <c r="AL253" i="15"/>
  <c r="AM253" i="15" s="1"/>
  <c r="AM251" i="15"/>
  <c r="BN301" i="15"/>
  <c r="BN210" i="15"/>
  <c r="BN274" i="15"/>
  <c r="BN241" i="15"/>
  <c r="BN73" i="15"/>
  <c r="BN407" i="15"/>
  <c r="BN413" i="15" s="1"/>
  <c r="BN414" i="15" s="1"/>
  <c r="BN261" i="15"/>
  <c r="BM248" i="15"/>
  <c r="BN245" i="15"/>
  <c r="BM253" i="15"/>
  <c r="AY146" i="46"/>
  <c r="DO40" i="71"/>
  <c r="DO52" i="71" s="1"/>
  <c r="AL40" i="15"/>
  <c r="AL35" i="15"/>
  <c r="AL41" i="15" s="1"/>
  <c r="AL68" i="46" s="1"/>
  <c r="BM112" i="72"/>
  <c r="BQ112" i="72" s="1"/>
  <c r="BQ123" i="72"/>
  <c r="BQ124" i="72" s="1"/>
  <c r="BM129" i="72"/>
  <c r="BM124" i="72"/>
  <c r="AM254" i="15"/>
  <c r="BQ71" i="15"/>
  <c r="AZ424" i="15"/>
  <c r="AZ135" i="15" s="1"/>
  <c r="BI55" i="51"/>
  <c r="BI58" i="51" s="1"/>
  <c r="BI120" i="46"/>
  <c r="AY132" i="72"/>
  <c r="AY133" i="72" s="1"/>
  <c r="AY9" i="72"/>
  <c r="AW431" i="15"/>
  <c r="AX431" i="15" s="1"/>
  <c r="AV447" i="15"/>
  <c r="AW447" i="15" s="1"/>
  <c r="AV445" i="15"/>
  <c r="BK254" i="15"/>
  <c r="AH296" i="15"/>
  <c r="AH298" i="15" s="1"/>
  <c r="AG298" i="15"/>
  <c r="AG127" i="15" s="1"/>
  <c r="AH127" i="15" s="1"/>
  <c r="BG201" i="72"/>
  <c r="BG206" i="72" s="1"/>
  <c r="BC206" i="72"/>
  <c r="BD96" i="72"/>
  <c r="BD97" i="72" s="1"/>
  <c r="BD8" i="72"/>
  <c r="BB209" i="15"/>
  <c r="BB288" i="15"/>
  <c r="CC227" i="15"/>
  <c r="CC231" i="15" s="1"/>
  <c r="BB206" i="15" s="1"/>
  <c r="BB283" i="15"/>
  <c r="AU105" i="46"/>
  <c r="AW105" i="46" s="1"/>
  <c r="AW101" i="46"/>
  <c r="G105" i="46"/>
  <c r="AG228" i="15"/>
  <c r="AH227" i="15"/>
  <c r="AX158" i="46"/>
  <c r="BB123" i="46"/>
  <c r="DT61" i="71" s="1"/>
  <c r="AY61" i="51"/>
  <c r="AY129" i="46"/>
  <c r="AY120" i="46"/>
  <c r="AY55" i="51"/>
  <c r="AY58" i="51" s="1"/>
  <c r="AY150" i="72"/>
  <c r="BA148" i="72"/>
  <c r="AZ148" i="72"/>
  <c r="BH419" i="15"/>
  <c r="BH422" i="15"/>
  <c r="BH420" i="15"/>
  <c r="AO271" i="15"/>
  <c r="AO125" i="15" s="1"/>
  <c r="AM247" i="72"/>
  <c r="AM244" i="72"/>
  <c r="BQ75" i="15"/>
  <c r="BQ77" i="15" s="1"/>
  <c r="AX190" i="72"/>
  <c r="AC153" i="15"/>
  <c r="R69" i="51"/>
  <c r="R101" i="46"/>
  <c r="BB227" i="15"/>
  <c r="BE537" i="15"/>
  <c r="BP133" i="72"/>
  <c r="AP403" i="15"/>
  <c r="AR403" i="15" s="1"/>
  <c r="AR400" i="15"/>
  <c r="AP170" i="15"/>
  <c r="BC423" i="15"/>
  <c r="AO49" i="46"/>
  <c r="AS209" i="46"/>
  <c r="AQ205" i="46"/>
  <c r="AR205" i="46" s="1"/>
  <c r="BD16" i="51"/>
  <c r="BI8" i="51"/>
  <c r="BE8" i="51"/>
  <c r="BD10" i="51"/>
  <c r="L49" i="46"/>
  <c r="L50" i="46" s="1"/>
  <c r="P205" i="46"/>
  <c r="P209" i="46"/>
  <c r="AC21" i="51"/>
  <c r="AC24" i="71" s="1"/>
  <c r="AC25" i="51"/>
  <c r="AC29" i="51" s="1"/>
  <c r="BA473" i="15"/>
  <c r="AZ473" i="15"/>
  <c r="AW445" i="15"/>
  <c r="BQ221" i="15" l="1"/>
  <c r="AO448" i="15"/>
  <c r="AO450" i="15" s="1"/>
  <c r="AO451" i="15" s="1"/>
  <c r="BK396" i="15"/>
  <c r="BL396" i="15" s="1"/>
  <c r="BK393" i="15"/>
  <c r="BL393" i="15" s="1"/>
  <c r="BL389" i="15"/>
  <c r="R105" i="46"/>
  <c r="S105" i="46" s="1"/>
  <c r="S101" i="46"/>
  <c r="BB148" i="72"/>
  <c r="BD20" i="51"/>
  <c r="BD21" i="46"/>
  <c r="AO50" i="46"/>
  <c r="AT50" i="46"/>
  <c r="AX254" i="72"/>
  <c r="BA156" i="72"/>
  <c r="AZ156" i="72"/>
  <c r="BK257" i="15"/>
  <c r="BN422" i="15"/>
  <c r="BN420" i="15"/>
  <c r="BN423" i="15" s="1"/>
  <c r="BK413" i="15"/>
  <c r="BK416" i="15"/>
  <c r="AC25" i="71"/>
  <c r="AC29" i="71" s="1"/>
  <c r="AQ209" i="46"/>
  <c r="AR209" i="46" s="1"/>
  <c r="BF537" i="15"/>
  <c r="AH228" i="15"/>
  <c r="AG236" i="15"/>
  <c r="BQ274" i="15"/>
  <c r="BQ73" i="15"/>
  <c r="BQ261" i="15"/>
  <c r="BQ210" i="15"/>
  <c r="BQ301" i="15"/>
  <c r="AZ146" i="46"/>
  <c r="BN288" i="15"/>
  <c r="BN209" i="15"/>
  <c r="BN214" i="15" s="1"/>
  <c r="BN137" i="15" s="1"/>
  <c r="AX422" i="15"/>
  <c r="AX420" i="15"/>
  <c r="BB414" i="15"/>
  <c r="BK333" i="15"/>
  <c r="AS298" i="15"/>
  <c r="AS127" i="15" s="1"/>
  <c r="BO496" i="15"/>
  <c r="CX112" i="59"/>
  <c r="CX10" i="59"/>
  <c r="CY112" i="59"/>
  <c r="CY10" i="59"/>
  <c r="BP496" i="15"/>
  <c r="AN231" i="15"/>
  <c r="AR230" i="15"/>
  <c r="I13" i="71"/>
  <c r="I18" i="71" s="1"/>
  <c r="I58" i="46"/>
  <c r="AX402" i="15"/>
  <c r="AH133" i="46"/>
  <c r="AH135" i="46" s="1"/>
  <c r="AI133" i="46" s="1"/>
  <c r="AD135" i="46"/>
  <c r="AE133" i="46" s="1"/>
  <c r="AE135" i="46" s="1"/>
  <c r="AF133" i="46" s="1"/>
  <c r="AF135" i="46" s="1"/>
  <c r="AG133" i="46" s="1"/>
  <c r="AG135" i="46" s="1"/>
  <c r="AH207" i="15"/>
  <c r="AD207" i="15" s="1"/>
  <c r="AE207" i="15" s="1"/>
  <c r="AF207" i="15" s="1"/>
  <c r="AG207" i="15" s="1"/>
  <c r="AD206" i="15"/>
  <c r="O50" i="46"/>
  <c r="T50" i="46"/>
  <c r="N224" i="46"/>
  <c r="CF27" i="71" s="1"/>
  <c r="N221" i="46"/>
  <c r="CF24" i="71" s="1"/>
  <c r="BA75" i="46"/>
  <c r="BA77" i="46" s="1"/>
  <c r="BA117" i="46" s="1"/>
  <c r="BA253" i="72"/>
  <c r="BA196" i="72"/>
  <c r="BA198" i="72" s="1"/>
  <c r="BN419" i="15"/>
  <c r="AJ69" i="46"/>
  <c r="AJ71" i="46" s="1"/>
  <c r="AJ45" i="72"/>
  <c r="BI8" i="72"/>
  <c r="BI96" i="72"/>
  <c r="BI97" i="72" s="1"/>
  <c r="BK258" i="15"/>
  <c r="BK124" i="15" s="1"/>
  <c r="N244" i="72"/>
  <c r="N247" i="72"/>
  <c r="AO245" i="15"/>
  <c r="AN251" i="15"/>
  <c r="AN248" i="15"/>
  <c r="AN186" i="15"/>
  <c r="AI154" i="15"/>
  <c r="BO266" i="15"/>
  <c r="BB533" i="15"/>
  <c r="X62" i="71"/>
  <c r="X64" i="71" s="1"/>
  <c r="X52" i="71" s="1"/>
  <c r="X38" i="71"/>
  <c r="X53" i="71" s="1"/>
  <c r="X51" i="71"/>
  <c r="S60" i="71"/>
  <c r="AX399" i="15"/>
  <c r="BQ77" i="72"/>
  <c r="BM96" i="72"/>
  <c r="BM8" i="72"/>
  <c r="AU206" i="15"/>
  <c r="AT214" i="15"/>
  <c r="AT137" i="15" s="1"/>
  <c r="I39" i="71"/>
  <c r="AP359" i="15"/>
  <c r="AO360" i="15"/>
  <c r="BI331" i="46"/>
  <c r="BQ331" i="46" s="1"/>
  <c r="BI41" i="72"/>
  <c r="BI34" i="51"/>
  <c r="BI38" i="15"/>
  <c r="BJ174" i="46"/>
  <c r="BI194" i="46"/>
  <c r="BM126" i="72"/>
  <c r="BH127" i="72"/>
  <c r="BH113" i="72"/>
  <c r="BL126" i="72"/>
  <c r="BL127" i="72" s="1"/>
  <c r="U209" i="46"/>
  <c r="AP211" i="72"/>
  <c r="AQ209" i="72" s="1"/>
  <c r="AQ210" i="72"/>
  <c r="AQ211" i="72" s="1"/>
  <c r="BJ256" i="15"/>
  <c r="BJ258" i="15" s="1"/>
  <c r="BJ124" i="15" s="1"/>
  <c r="BQ61" i="51"/>
  <c r="AQ270" i="15"/>
  <c r="AQ269" i="15"/>
  <c r="AQ271" i="15" s="1"/>
  <c r="AQ125" i="15" s="1"/>
  <c r="AQ171" i="15"/>
  <c r="AL38" i="72"/>
  <c r="AL44" i="72" s="1"/>
  <c r="AL43" i="72"/>
  <c r="W69" i="46"/>
  <c r="W71" i="46" s="1"/>
  <c r="AB45" i="72"/>
  <c r="W45" i="72"/>
  <c r="AJ153" i="15"/>
  <c r="AJ196" i="15"/>
  <c r="AJ152" i="15"/>
  <c r="AJ136" i="15"/>
  <c r="AL318" i="15"/>
  <c r="AK185" i="15"/>
  <c r="AK188" i="15" s="1"/>
  <c r="AK459" i="15" s="1"/>
  <c r="AK321" i="15"/>
  <c r="AK181" i="15"/>
  <c r="AK182" i="15" s="1"/>
  <c r="AK191" i="15"/>
  <c r="AK193" i="15"/>
  <c r="BM250" i="15"/>
  <c r="BQ242" i="15"/>
  <c r="AP50" i="46"/>
  <c r="BD465" i="15"/>
  <c r="BQ137" i="72"/>
  <c r="BM18" i="72"/>
  <c r="BQ18" i="72" s="1"/>
  <c r="AI342" i="15"/>
  <c r="AH350" i="15"/>
  <c r="AH351" i="15" s="1"/>
  <c r="BG118" i="15"/>
  <c r="BG116" i="15"/>
  <c r="BG262" i="15" s="1"/>
  <c r="BF115" i="15"/>
  <c r="BG117" i="15"/>
  <c r="AY402" i="15"/>
  <c r="BG88" i="72"/>
  <c r="BG96" i="72"/>
  <c r="BG97" i="72" s="1"/>
  <c r="AL214" i="15"/>
  <c r="AL137" i="15" s="1"/>
  <c r="AX67" i="51"/>
  <c r="BB60" i="51"/>
  <c r="BJ384" i="15"/>
  <c r="BJ133" i="15" s="1"/>
  <c r="CA227" i="15"/>
  <c r="CA231" i="15" s="1"/>
  <c r="AR206" i="15" s="1"/>
  <c r="AR209" i="15"/>
  <c r="AR288" i="15"/>
  <c r="O69" i="46"/>
  <c r="O71" i="46" s="1"/>
  <c r="O45" i="72"/>
  <c r="I105" i="46"/>
  <c r="BP16" i="72"/>
  <c r="BD9" i="72"/>
  <c r="BD132" i="72"/>
  <c r="BD133" i="72" s="1"/>
  <c r="M69" i="46"/>
  <c r="M71" i="46" s="1"/>
  <c r="M45" i="72"/>
  <c r="R45" i="72"/>
  <c r="BM414" i="15"/>
  <c r="AR270" i="15"/>
  <c r="AL238" i="72"/>
  <c r="CO71" i="73"/>
  <c r="CO75" i="73" s="1"/>
  <c r="BG215" i="15"/>
  <c r="S247" i="72"/>
  <c r="S244" i="72"/>
  <c r="BP389" i="15"/>
  <c r="BP369" i="15"/>
  <c r="BP409" i="15"/>
  <c r="BP329" i="15"/>
  <c r="BJ14" i="72"/>
  <c r="BJ10" i="46"/>
  <c r="BL12" i="72"/>
  <c r="AI174" i="15"/>
  <c r="AM170" i="15"/>
  <c r="AC11" i="71"/>
  <c r="AC57" i="46"/>
  <c r="AP404" i="15"/>
  <c r="AP134" i="15" s="1"/>
  <c r="AR134" i="15" s="1"/>
  <c r="BF374" i="15"/>
  <c r="BG373" i="15"/>
  <c r="AT238" i="15"/>
  <c r="AT123" i="15" s="1"/>
  <c r="BN371" i="15"/>
  <c r="BM377" i="15"/>
  <c r="BM157" i="15"/>
  <c r="BB75" i="73"/>
  <c r="AW20" i="73"/>
  <c r="AO45" i="72"/>
  <c r="AO69" i="46"/>
  <c r="AO71" i="46" s="1"/>
  <c r="AT45" i="72"/>
  <c r="BG123" i="46"/>
  <c r="DY61" i="71" s="1"/>
  <c r="BC61" i="51"/>
  <c r="BA158" i="46"/>
  <c r="AY158" i="46"/>
  <c r="AZ158" i="46"/>
  <c r="BC129" i="46"/>
  <c r="BG129" i="46" s="1"/>
  <c r="BF8" i="51"/>
  <c r="BE10" i="51"/>
  <c r="BE16" i="51"/>
  <c r="BJ8" i="51"/>
  <c r="BG8" i="51"/>
  <c r="BD10" i="72"/>
  <c r="BM13" i="72"/>
  <c r="BQ129" i="72"/>
  <c r="BQ130" i="72" s="1"/>
  <c r="AY16" i="72"/>
  <c r="BB218" i="72"/>
  <c r="AP275" i="15"/>
  <c r="AO284" i="15"/>
  <c r="AO285" i="15" s="1"/>
  <c r="AO126" i="15" s="1"/>
  <c r="ED47" i="71"/>
  <c r="ED46" i="71" s="1"/>
  <c r="BL120" i="46"/>
  <c r="BN496" i="15"/>
  <c r="CW112" i="59"/>
  <c r="CW10" i="59"/>
  <c r="I224" i="46"/>
  <c r="CA27" i="71" s="1"/>
  <c r="I221" i="46"/>
  <c r="CA24" i="71" s="1"/>
  <c r="AE69" i="46"/>
  <c r="AE71" i="46" s="1"/>
  <c r="AE45" i="72"/>
  <c r="BL201" i="72"/>
  <c r="BL206" i="72" s="1"/>
  <c r="BI206" i="72"/>
  <c r="BD338" i="15"/>
  <c r="BD131" i="15" s="1"/>
  <c r="BE225" i="15"/>
  <c r="BC21" i="51"/>
  <c r="BJ61" i="51"/>
  <c r="BI158" i="46"/>
  <c r="N13" i="71"/>
  <c r="N58" i="46"/>
  <c r="N50" i="46"/>
  <c r="BD281" i="15"/>
  <c r="BD283" i="15" s="1"/>
  <c r="BE278" i="15"/>
  <c r="AH101" i="46"/>
  <c r="AH69" i="51"/>
  <c r="CZ39" i="71"/>
  <c r="BE9" i="72"/>
  <c r="BE10" i="72" s="1"/>
  <c r="BE132" i="72"/>
  <c r="BE133" i="72" s="1"/>
  <c r="N69" i="46"/>
  <c r="N45" i="72"/>
  <c r="BO288" i="15"/>
  <c r="BO209" i="15"/>
  <c r="BO214" i="15" s="1"/>
  <c r="BO137" i="15" s="1"/>
  <c r="BO420" i="15"/>
  <c r="BO423" i="15" s="1"/>
  <c r="BO422" i="15"/>
  <c r="BO419" i="15"/>
  <c r="AC52" i="71"/>
  <c r="AR221" i="46"/>
  <c r="DJ24" i="71" s="1"/>
  <c r="AR224" i="46"/>
  <c r="DJ27" i="71" s="1"/>
  <c r="BF334" i="15"/>
  <c r="BG333" i="15"/>
  <c r="AS137" i="15"/>
  <c r="AN137" i="15"/>
  <c r="AC324" i="15"/>
  <c r="AC325" i="15" s="1"/>
  <c r="Y325" i="15"/>
  <c r="Y129" i="15" s="1"/>
  <c r="CR19" i="59"/>
  <c r="CR24" i="59" s="1"/>
  <c r="CQ19" i="59"/>
  <c r="CQ24" i="59" s="1"/>
  <c r="CO19" i="59"/>
  <c r="CO24" i="59" s="1"/>
  <c r="CL19" i="59"/>
  <c r="CL24" i="59" s="1"/>
  <c r="CU19" i="59"/>
  <c r="CT19" i="59"/>
  <c r="CT24" i="59" s="1"/>
  <c r="CS19" i="59"/>
  <c r="CS24" i="59" s="1"/>
  <c r="CM19" i="59"/>
  <c r="CM24" i="59" s="1"/>
  <c r="CN19" i="59"/>
  <c r="CN24" i="59" s="1"/>
  <c r="CP24" i="59"/>
  <c r="AQ69" i="46"/>
  <c r="AQ45" i="72"/>
  <c r="Q50" i="46"/>
  <c r="V50" i="46"/>
  <c r="AS209" i="72"/>
  <c r="AS211" i="72" s="1"/>
  <c r="AT209" i="72" s="1"/>
  <c r="AT211" i="72" s="1"/>
  <c r="AU209" i="72" s="1"/>
  <c r="AU210" i="72" s="1"/>
  <c r="AW209" i="72"/>
  <c r="AW211" i="72" s="1"/>
  <c r="AM364" i="15"/>
  <c r="AS264" i="15"/>
  <c r="AR179" i="15"/>
  <c r="AJ324" i="15"/>
  <c r="AJ163" i="15"/>
  <c r="AJ166" i="15" s="1"/>
  <c r="AJ460" i="15" s="1"/>
  <c r="AJ323" i="15"/>
  <c r="AJ325" i="15" s="1"/>
  <c r="AJ129" i="15" s="1"/>
  <c r="AJ173" i="15"/>
  <c r="AJ174" i="15" s="1"/>
  <c r="AU177" i="15"/>
  <c r="AV291" i="15"/>
  <c r="AU294" i="15"/>
  <c r="BB334" i="15"/>
  <c r="AX337" i="15"/>
  <c r="BB337" i="15" s="1"/>
  <c r="AX336" i="15"/>
  <c r="AN450" i="15"/>
  <c r="AN451" i="15" s="1"/>
  <c r="BH227" i="15"/>
  <c r="BL227" i="15" s="1"/>
  <c r="BH230" i="15"/>
  <c r="BL230" i="15" s="1"/>
  <c r="AZ394" i="15"/>
  <c r="AZ402" i="15" s="1"/>
  <c r="AZ194" i="15"/>
  <c r="AZ397" i="15"/>
  <c r="AZ178" i="15"/>
  <c r="BF417" i="15"/>
  <c r="BG416" i="15"/>
  <c r="AG165" i="15"/>
  <c r="AH165" i="15" s="1"/>
  <c r="AG270" i="15"/>
  <c r="AH270" i="15" s="1"/>
  <c r="AG171" i="15"/>
  <c r="AH171" i="15" s="1"/>
  <c r="AH267" i="15"/>
  <c r="AG269" i="15"/>
  <c r="BM374" i="15"/>
  <c r="BG8" i="72"/>
  <c r="AF49" i="46"/>
  <c r="AF50" i="46" s="1"/>
  <c r="AJ205" i="46"/>
  <c r="AG205" i="46"/>
  <c r="AH205" i="46" s="1"/>
  <c r="AI209" i="46"/>
  <c r="AI205" i="46"/>
  <c r="AG209" i="46"/>
  <c r="AH209" i="46" s="1"/>
  <c r="AJ209" i="46"/>
  <c r="BB129" i="46"/>
  <c r="DO53" i="71"/>
  <c r="DO56" i="71" s="1"/>
  <c r="AG173" i="15"/>
  <c r="AG257" i="15"/>
  <c r="AG258" i="15" s="1"/>
  <c r="AG124" i="15" s="1"/>
  <c r="BM10" i="51"/>
  <c r="BM16" i="51"/>
  <c r="AH250" i="15"/>
  <c r="AD251" i="15"/>
  <c r="AM11" i="71"/>
  <c r="AM57" i="46"/>
  <c r="AM71" i="46"/>
  <c r="BP97" i="72"/>
  <c r="CP53" i="71"/>
  <c r="CP56" i="71" s="1"/>
  <c r="CP64" i="71" s="1"/>
  <c r="AD324" i="15"/>
  <c r="AH316" i="15"/>
  <c r="AP271" i="15"/>
  <c r="AP125" i="15" s="1"/>
  <c r="AR125" i="15" s="1"/>
  <c r="AR269" i="15"/>
  <c r="AR271" i="15" s="1"/>
  <c r="AI45" i="72"/>
  <c r="AN45" i="72"/>
  <c r="AI69" i="46"/>
  <c r="AI71" i="46" s="1"/>
  <c r="BN227" i="15"/>
  <c r="BQ227" i="15" s="1"/>
  <c r="AI50" i="46"/>
  <c r="AN50" i="46"/>
  <c r="BQ111" i="15"/>
  <c r="BQ112" i="15"/>
  <c r="BQ110" i="15"/>
  <c r="AW10" i="71"/>
  <c r="AW71" i="46"/>
  <c r="AX357" i="15"/>
  <c r="AW195" i="15"/>
  <c r="AW186" i="15"/>
  <c r="AJ214" i="15"/>
  <c r="AJ137" i="15" s="1"/>
  <c r="AX164" i="46"/>
  <c r="BN331" i="15"/>
  <c r="BM334" i="15"/>
  <c r="AO238" i="72"/>
  <c r="AP238" i="72"/>
  <c r="AC460" i="15"/>
  <c r="BM16" i="46"/>
  <c r="BQ16" i="46" s="1"/>
  <c r="BQ20" i="72"/>
  <c r="BN8" i="51"/>
  <c r="BI10" i="51"/>
  <c r="BI16" i="51"/>
  <c r="BA206" i="15"/>
  <c r="AZ206" i="15"/>
  <c r="AY206" i="15"/>
  <c r="AX206" i="15"/>
  <c r="BB207" i="15"/>
  <c r="AY431" i="15"/>
  <c r="AX447" i="15"/>
  <c r="AX445" i="15"/>
  <c r="BQ241" i="15"/>
  <c r="BN266" i="15"/>
  <c r="BQ266" i="15" s="1"/>
  <c r="AH57" i="46"/>
  <c r="AH11" i="71"/>
  <c r="AH71" i="46"/>
  <c r="BK373" i="15"/>
  <c r="BK376" i="15"/>
  <c r="AW260" i="72"/>
  <c r="AW53" i="73"/>
  <c r="AW58" i="73" s="1"/>
  <c r="AW60" i="73" s="1"/>
  <c r="AW62" i="73" s="1"/>
  <c r="AW68" i="73" s="1"/>
  <c r="BQ222" i="15"/>
  <c r="BM230" i="15"/>
  <c r="BQ230" i="15" s="1"/>
  <c r="AU209" i="46"/>
  <c r="AU205" i="46"/>
  <c r="AQ49" i="46"/>
  <c r="AT205" i="46"/>
  <c r="AT209" i="46"/>
  <c r="AQ71" i="46"/>
  <c r="BI250" i="15"/>
  <c r="BI251" i="15" s="1"/>
  <c r="BJ127" i="46"/>
  <c r="BJ37" i="15"/>
  <c r="BJ33" i="51"/>
  <c r="BJ46" i="46"/>
  <c r="AY233" i="15"/>
  <c r="BB233" i="15" s="1"/>
  <c r="AY234" i="15"/>
  <c r="BB231" i="15"/>
  <c r="AY236" i="15"/>
  <c r="AA205" i="46"/>
  <c r="AA209" i="46"/>
  <c r="Z205" i="46"/>
  <c r="W49" i="46"/>
  <c r="W50" i="46" s="1"/>
  <c r="Z209" i="46"/>
  <c r="AX9" i="72"/>
  <c r="AX132" i="72"/>
  <c r="AX133" i="72" s="1"/>
  <c r="S224" i="46"/>
  <c r="CK27" i="71" s="1"/>
  <c r="S221" i="46"/>
  <c r="CK24" i="71" s="1"/>
  <c r="BO12" i="72"/>
  <c r="BQ93" i="72"/>
  <c r="BQ94" i="72" s="1"/>
  <c r="BJ96" i="72"/>
  <c r="BJ97" i="72" s="1"/>
  <c r="BJ8" i="72"/>
  <c r="AW170" i="15"/>
  <c r="AB49" i="46"/>
  <c r="AF205" i="46"/>
  <c r="AF209" i="46"/>
  <c r="AB209" i="46"/>
  <c r="AC209" i="46" s="1"/>
  <c r="AE209" i="46"/>
  <c r="AD205" i="46"/>
  <c r="AD209" i="46"/>
  <c r="AE205" i="46"/>
  <c r="AB205" i="46"/>
  <c r="AC205" i="46" s="1"/>
  <c r="BI338" i="15"/>
  <c r="BI131" i="15" s="1"/>
  <c r="AR13" i="71"/>
  <c r="AR58" i="46"/>
  <c r="AW50" i="46"/>
  <c r="AR50" i="46"/>
  <c r="AX400" i="15"/>
  <c r="BQ86" i="15"/>
  <c r="BM67" i="15"/>
  <c r="AK45" i="72"/>
  <c r="AK69" i="46"/>
  <c r="AK71" i="46" s="1"/>
  <c r="AP45" i="72"/>
  <c r="AR296" i="15"/>
  <c r="AR298" i="15" s="1"/>
  <c r="AN298" i="15"/>
  <c r="AN127" i="15" s="1"/>
  <c r="AR127" i="15" s="1"/>
  <c r="AL311" i="15"/>
  <c r="AL128" i="15" s="1"/>
  <c r="AM128" i="15" s="1"/>
  <c r="AM309" i="15"/>
  <c r="AM311" i="15" s="1"/>
  <c r="BH61" i="51"/>
  <c r="BL123" i="46"/>
  <c r="ED61" i="71" s="1"/>
  <c r="BF158" i="46"/>
  <c r="BH129" i="46"/>
  <c r="BE158" i="46"/>
  <c r="AR11" i="71"/>
  <c r="AR57" i="46"/>
  <c r="AR71" i="46"/>
  <c r="CK10" i="59"/>
  <c r="CK12" i="59" s="1"/>
  <c r="CK36" i="59"/>
  <c r="AH363" i="15"/>
  <c r="AH364" i="15" s="1"/>
  <c r="AD364" i="15"/>
  <c r="AD132" i="15" s="1"/>
  <c r="AH132" i="15" s="1"/>
  <c r="BK16" i="72"/>
  <c r="AX254" i="15"/>
  <c r="BB251" i="15"/>
  <c r="AX256" i="15"/>
  <c r="BM416" i="15"/>
  <c r="BQ408" i="15"/>
  <c r="BO227" i="15"/>
  <c r="Q69" i="46"/>
  <c r="Q71" i="46" s="1"/>
  <c r="Q45" i="72"/>
  <c r="BL55" i="51"/>
  <c r="BL58" i="51" s="1"/>
  <c r="Y209" i="46"/>
  <c r="W209" i="46"/>
  <c r="X209" i="46" s="1"/>
  <c r="U49" i="46"/>
  <c r="W205" i="46"/>
  <c r="X205" i="46" s="1"/>
  <c r="Y205" i="46"/>
  <c r="AF45" i="72"/>
  <c r="AF69" i="46"/>
  <c r="AF71" i="46" s="1"/>
  <c r="BH266" i="15"/>
  <c r="BL266" i="15" s="1"/>
  <c r="AY399" i="15"/>
  <c r="AY400" i="15"/>
  <c r="AY403" i="15" s="1"/>
  <c r="BH20" i="51"/>
  <c r="BH21" i="46"/>
  <c r="O524" i="15"/>
  <c r="O526" i="15" s="1"/>
  <c r="P524" i="15" s="1"/>
  <c r="P526" i="15" s="1"/>
  <c r="Q524" i="15" s="1"/>
  <c r="Q526" i="15" s="1"/>
  <c r="R524" i="15" s="1"/>
  <c r="R526" i="15" s="1"/>
  <c r="S524" i="15"/>
  <c r="S526" i="15" s="1"/>
  <c r="BB344" i="15"/>
  <c r="BC344" i="15" s="1"/>
  <c r="BA347" i="15"/>
  <c r="BN126" i="72"/>
  <c r="BI127" i="72"/>
  <c r="BI113" i="72"/>
  <c r="BI120" i="72" s="1"/>
  <c r="AL234" i="72"/>
  <c r="BQ355" i="15"/>
  <c r="U45" i="72"/>
  <c r="P45" i="72"/>
  <c r="P69" i="46"/>
  <c r="P71" i="46" s="1"/>
  <c r="AZ16" i="72"/>
  <c r="AL49" i="46"/>
  <c r="AL50" i="46" s="1"/>
  <c r="AP209" i="46"/>
  <c r="AP205" i="46"/>
  <c r="V205" i="46"/>
  <c r="BJ206" i="15"/>
  <c r="BI214" i="15"/>
  <c r="BI137" i="15" s="1"/>
  <c r="BD158" i="46"/>
  <c r="BF377" i="15"/>
  <c r="BG376" i="15"/>
  <c r="BG25" i="72"/>
  <c r="BF25" i="46"/>
  <c r="BG25" i="46" s="1"/>
  <c r="AA45" i="72"/>
  <c r="V45" i="72"/>
  <c r="V69" i="46"/>
  <c r="V71" i="46" s="1"/>
  <c r="AI214" i="15"/>
  <c r="AZ190" i="46"/>
  <c r="AY164" i="46"/>
  <c r="BC473" i="15"/>
  <c r="BH423" i="15"/>
  <c r="AC31" i="51"/>
  <c r="AC36" i="51"/>
  <c r="BB61" i="51"/>
  <c r="AY67" i="51"/>
  <c r="BN253" i="15"/>
  <c r="BO245" i="15"/>
  <c r="BN248" i="15"/>
  <c r="BN251" i="15"/>
  <c r="BN254" i="15" s="1"/>
  <c r="AL257" i="15"/>
  <c r="AM257" i="15" s="1"/>
  <c r="AL164" i="15"/>
  <c r="AM164" i="15" s="1"/>
  <c r="AX257" i="72"/>
  <c r="AY252" i="72" s="1"/>
  <c r="BA238" i="15"/>
  <c r="BA123" i="15" s="1"/>
  <c r="AI325" i="15"/>
  <c r="AI129" i="15" s="1"/>
  <c r="CV112" i="59"/>
  <c r="BM496" i="15"/>
  <c r="BQ496" i="15" s="1"/>
  <c r="CV10" i="59"/>
  <c r="BJ338" i="15"/>
  <c r="BJ131" i="15" s="1"/>
  <c r="BN374" i="15"/>
  <c r="BJ40" i="72"/>
  <c r="BK44" i="46"/>
  <c r="AO304" i="15"/>
  <c r="AN307" i="15"/>
  <c r="AN180" i="15"/>
  <c r="AN187" i="15"/>
  <c r="BC424" i="15"/>
  <c r="BC135" i="15" s="1"/>
  <c r="AX237" i="15"/>
  <c r="BB234" i="15"/>
  <c r="AX170" i="15"/>
  <c r="S13" i="71"/>
  <c r="S50" i="46"/>
  <c r="X50" i="46"/>
  <c r="S58" i="46"/>
  <c r="AY19" i="72"/>
  <c r="AZ55" i="51"/>
  <c r="AZ58" i="51" s="1"/>
  <c r="AZ120" i="46"/>
  <c r="BB117" i="46"/>
  <c r="BC283" i="15"/>
  <c r="BN8" i="72"/>
  <c r="BN96" i="72"/>
  <c r="BN97" i="72" s="1"/>
  <c r="BJ113" i="72"/>
  <c r="BJ120" i="72" s="1"/>
  <c r="BJ127" i="72"/>
  <c r="BO126" i="72"/>
  <c r="BH14" i="72"/>
  <c r="BH10" i="46"/>
  <c r="BL13" i="72"/>
  <c r="BQ18" i="15"/>
  <c r="BO8" i="72"/>
  <c r="BO96" i="72"/>
  <c r="BO97" i="72" s="1"/>
  <c r="AM123" i="15"/>
  <c r="X57" i="46"/>
  <c r="X11" i="71"/>
  <c r="X71" i="46"/>
  <c r="M49" i="46"/>
  <c r="Q205" i="46"/>
  <c r="Q209" i="46"/>
  <c r="O205" i="46"/>
  <c r="O209" i="46"/>
  <c r="BL77" i="72"/>
  <c r="BH8" i="72"/>
  <c r="BH96" i="72"/>
  <c r="BH97" i="72" s="1"/>
  <c r="AN363" i="15"/>
  <c r="AN362" i="15"/>
  <c r="AG234" i="15"/>
  <c r="AG233" i="15"/>
  <c r="AH233" i="15" s="1"/>
  <c r="AH231" i="15"/>
  <c r="BI103" i="46"/>
  <c r="BI333" i="46"/>
  <c r="BI65" i="51"/>
  <c r="AM172" i="15"/>
  <c r="BL83" i="46"/>
  <c r="BG113" i="72"/>
  <c r="BG120" i="72" s="1"/>
  <c r="BG132" i="72" s="1"/>
  <c r="BG133" i="72" s="1"/>
  <c r="BC120" i="72"/>
  <c r="M209" i="46"/>
  <c r="N209" i="46" s="1"/>
  <c r="BM288" i="15"/>
  <c r="BM209" i="15"/>
  <c r="BM214" i="15" s="1"/>
  <c r="BL158" i="46"/>
  <c r="AG400" i="15"/>
  <c r="AG399" i="15"/>
  <c r="AH399" i="15" s="1"/>
  <c r="AH397" i="15"/>
  <c r="AT297" i="15"/>
  <c r="AT296" i="15"/>
  <c r="AT169" i="15"/>
  <c r="BH243" i="15"/>
  <c r="BH316" i="15"/>
  <c r="BA394" i="15"/>
  <c r="BA402" i="15" s="1"/>
  <c r="BA194" i="15"/>
  <c r="BA397" i="15"/>
  <c r="BB391" i="15"/>
  <c r="BA178" i="15"/>
  <c r="BF414" i="15"/>
  <c r="BG413" i="15"/>
  <c r="BJ159" i="72"/>
  <c r="BI152" i="72"/>
  <c r="BI25" i="72" s="1"/>
  <c r="AK214" i="15"/>
  <c r="AK137" i="15" s="1"/>
  <c r="H49" i="46"/>
  <c r="L209" i="46"/>
  <c r="L205" i="46"/>
  <c r="K205" i="46"/>
  <c r="K209" i="46"/>
  <c r="AX467" i="15"/>
  <c r="AY472" i="15" s="1"/>
  <c r="AH394" i="15"/>
  <c r="AG402" i="15"/>
  <c r="BG10" i="46"/>
  <c r="BQ407" i="15"/>
  <c r="AR171" i="15"/>
  <c r="AC174" i="15"/>
  <c r="AL258" i="15"/>
  <c r="AL124" i="15" s="1"/>
  <c r="AM256" i="15"/>
  <c r="S45" i="72"/>
  <c r="S69" i="46"/>
  <c r="BL369" i="15"/>
  <c r="BL329" i="15"/>
  <c r="BL409" i="15"/>
  <c r="R50" i="46"/>
  <c r="BH137" i="15"/>
  <c r="AR404" i="15"/>
  <c r="BI61" i="51"/>
  <c r="BI67" i="51" s="1"/>
  <c r="BH158" i="46"/>
  <c r="BI129" i="46"/>
  <c r="AW238" i="15"/>
  <c r="AG337" i="15"/>
  <c r="AH337" i="15" s="1"/>
  <c r="AH334" i="15"/>
  <c r="AG336" i="15"/>
  <c r="AP234" i="72"/>
  <c r="BO424" i="15" l="1"/>
  <c r="BO135" i="15" s="1"/>
  <c r="BN424" i="15"/>
  <c r="BN135" i="15" s="1"/>
  <c r="AM124" i="15"/>
  <c r="BL316" i="15"/>
  <c r="BK40" i="72"/>
  <c r="BL44" i="46"/>
  <c r="AH402" i="15"/>
  <c r="AH404" i="15" s="1"/>
  <c r="BF422" i="15"/>
  <c r="BF420" i="15"/>
  <c r="BG414" i="15"/>
  <c r="BA400" i="15"/>
  <c r="BA399" i="15"/>
  <c r="BL243" i="15"/>
  <c r="BH250" i="15"/>
  <c r="AT298" i="15"/>
  <c r="AT127" i="15" s="1"/>
  <c r="AG403" i="15"/>
  <c r="AH403" i="15" s="1"/>
  <c r="AH400" i="15"/>
  <c r="BC9" i="72"/>
  <c r="BC132" i="72"/>
  <c r="BC133" i="72" s="1"/>
  <c r="BL8" i="72"/>
  <c r="X8" i="73"/>
  <c r="X17" i="71"/>
  <c r="X39" i="71"/>
  <c r="BL10" i="46"/>
  <c r="BJ132" i="72"/>
  <c r="BJ133" i="72" s="1"/>
  <c r="BJ9" i="72"/>
  <c r="BJ10" i="72" s="1"/>
  <c r="BM88" i="46"/>
  <c r="CV12" i="59"/>
  <c r="AC59" i="73"/>
  <c r="AC60" i="73" s="1"/>
  <c r="AC62" i="73" s="1"/>
  <c r="AC37" i="51"/>
  <c r="BD473" i="15"/>
  <c r="BI9" i="72"/>
  <c r="BI132" i="72"/>
  <c r="BI133" i="72" s="1"/>
  <c r="BD344" i="15"/>
  <c r="BC347" i="15"/>
  <c r="AR8" i="73"/>
  <c r="AR17" i="71"/>
  <c r="AR39" i="71"/>
  <c r="BG158" i="46"/>
  <c r="AX403" i="15"/>
  <c r="AB50" i="46"/>
  <c r="AG50" i="46"/>
  <c r="BJ333" i="46"/>
  <c r="BJ103" i="46"/>
  <c r="BJ65" i="51"/>
  <c r="BL376" i="15"/>
  <c r="BK377" i="15"/>
  <c r="AH8" i="73"/>
  <c r="AH17" i="71"/>
  <c r="AH39" i="71"/>
  <c r="AX12" i="15"/>
  <c r="BO331" i="15"/>
  <c r="BN334" i="15"/>
  <c r="AY357" i="15"/>
  <c r="AX195" i="15"/>
  <c r="AX186" i="15"/>
  <c r="AW7" i="73"/>
  <c r="AW10" i="73" s="1"/>
  <c r="AW17" i="73" s="1"/>
  <c r="AW19" i="73" s="1"/>
  <c r="AW18" i="71"/>
  <c r="AZ399" i="15"/>
  <c r="AZ400" i="15"/>
  <c r="BB397" i="15"/>
  <c r="AX338" i="15"/>
  <c r="AX131" i="15" s="1"/>
  <c r="BB131" i="15" s="1"/>
  <c r="BB336" i="15"/>
  <c r="BB338" i="15" s="1"/>
  <c r="AU296" i="15"/>
  <c r="AU297" i="15"/>
  <c r="AU169" i="15"/>
  <c r="AT264" i="15"/>
  <c r="AS267" i="15"/>
  <c r="AS179" i="15"/>
  <c r="AV210" i="72"/>
  <c r="AV211" i="72" s="1"/>
  <c r="AU211" i="72"/>
  <c r="AV209" i="72" s="1"/>
  <c r="CS10" i="59"/>
  <c r="CS36" i="59"/>
  <c r="CO10" i="59"/>
  <c r="CO36" i="59"/>
  <c r="AC129" i="15"/>
  <c r="Y140" i="15"/>
  <c r="Y141" i="15" s="1"/>
  <c r="BF336" i="15"/>
  <c r="BG334" i="15"/>
  <c r="BF337" i="15"/>
  <c r="BG337" i="15" s="1"/>
  <c r="N57" i="46"/>
  <c r="N11" i="71"/>
  <c r="N71" i="46"/>
  <c r="BJ129" i="46"/>
  <c r="AQ275" i="15"/>
  <c r="AP284" i="15"/>
  <c r="AP285" i="15" s="1"/>
  <c r="AP126" i="15" s="1"/>
  <c r="BQ13" i="72"/>
  <c r="BM14" i="72"/>
  <c r="BM10" i="46"/>
  <c r="BE21" i="46"/>
  <c r="BE20" i="51"/>
  <c r="BM379" i="15"/>
  <c r="BP333" i="15"/>
  <c r="BQ333" i="15" s="1"/>
  <c r="BE115" i="15"/>
  <c r="BF118" i="15"/>
  <c r="BF116" i="15"/>
  <c r="BF262" i="15" s="1"/>
  <c r="BF117" i="15"/>
  <c r="BF223" i="15" s="1"/>
  <c r="AJ342" i="15"/>
  <c r="AI350" i="15"/>
  <c r="AI351" i="15" s="1"/>
  <c r="AI130" i="15" s="1"/>
  <c r="BM127" i="72"/>
  <c r="BM113" i="72"/>
  <c r="BQ126" i="72"/>
  <c r="BQ127" i="72" s="1"/>
  <c r="BK174" i="46"/>
  <c r="BJ194" i="46"/>
  <c r="I17" i="71"/>
  <c r="BQ8" i="72"/>
  <c r="N60" i="71"/>
  <c r="S51" i="71"/>
  <c r="S38" i="71"/>
  <c r="S53" i="71" s="1"/>
  <c r="S62" i="71"/>
  <c r="S64" i="71" s="1"/>
  <c r="S52" i="71" s="1"/>
  <c r="BC533" i="15"/>
  <c r="AN254" i="15"/>
  <c r="AN253" i="15"/>
  <c r="BL333" i="15"/>
  <c r="BK334" i="15"/>
  <c r="AC30" i="71"/>
  <c r="AZ154" i="72"/>
  <c r="AZ149" i="72"/>
  <c r="AZ150" i="72" s="1"/>
  <c r="BB156" i="72"/>
  <c r="BC148" i="72"/>
  <c r="BI25" i="46"/>
  <c r="BQ214" i="15"/>
  <c r="BM137" i="15"/>
  <c r="BQ137" i="15" s="1"/>
  <c r="AN364" i="15"/>
  <c r="AN132" i="15" s="1"/>
  <c r="BL96" i="72"/>
  <c r="BL97" i="72" s="1"/>
  <c r="BL88" i="72"/>
  <c r="AN309" i="15"/>
  <c r="AN172" i="15"/>
  <c r="AN165" i="15"/>
  <c r="AN310" i="15"/>
  <c r="BK45" i="46"/>
  <c r="BA190" i="46"/>
  <c r="AZ164" i="46"/>
  <c r="BB256" i="15"/>
  <c r="AR58" i="71"/>
  <c r="AR56" i="71"/>
  <c r="AR51" i="71"/>
  <c r="BJ41" i="72"/>
  <c r="BJ38" i="15"/>
  <c r="BJ331" i="46"/>
  <c r="BJ34" i="51"/>
  <c r="AZ431" i="15"/>
  <c r="AY447" i="15"/>
  <c r="AY12" i="15" s="1"/>
  <c r="AY14" i="46" s="1"/>
  <c r="AY445" i="15"/>
  <c r="BA431" i="15"/>
  <c r="BN16" i="51"/>
  <c r="BN10" i="51"/>
  <c r="AR18" i="71"/>
  <c r="AM8" i="73"/>
  <c r="AM39" i="71"/>
  <c r="AM17" i="71"/>
  <c r="BM21" i="46"/>
  <c r="BM20" i="51"/>
  <c r="BF419" i="15"/>
  <c r="BG419" i="15" s="1"/>
  <c r="BG417" i="15"/>
  <c r="CP10" i="59"/>
  <c r="CP12" i="59" s="1"/>
  <c r="CP36" i="59"/>
  <c r="CT10" i="59"/>
  <c r="CT36" i="59"/>
  <c r="CQ10" i="59"/>
  <c r="CQ36" i="59"/>
  <c r="BF225" i="15"/>
  <c r="BD16" i="72"/>
  <c r="AW21" i="73"/>
  <c r="AW75" i="73"/>
  <c r="AR20" i="73"/>
  <c r="BO371" i="15"/>
  <c r="BN377" i="15"/>
  <c r="BN379" i="15" s="1"/>
  <c r="BN157" i="15"/>
  <c r="BF382" i="15"/>
  <c r="BF380" i="15"/>
  <c r="BG374" i="15"/>
  <c r="BL14" i="72"/>
  <c r="BP413" i="15"/>
  <c r="BP416" i="15"/>
  <c r="BP417" i="15" s="1"/>
  <c r="BB67" i="51"/>
  <c r="BE465" i="15"/>
  <c r="BQ250" i="15"/>
  <c r="BM251" i="15"/>
  <c r="AK324" i="15"/>
  <c r="AK163" i="15"/>
  <c r="AK166" i="15" s="1"/>
  <c r="AK460" i="15" s="1"/>
  <c r="AK323" i="15"/>
  <c r="AK173" i="15"/>
  <c r="AK174" i="15" s="1"/>
  <c r="BM97" i="72"/>
  <c r="BA120" i="46"/>
  <c r="BA55" i="51"/>
  <c r="BB236" i="15"/>
  <c r="BB402" i="15"/>
  <c r="AX404" i="15"/>
  <c r="AX134" i="15" s="1"/>
  <c r="CY12" i="59"/>
  <c r="BP88" i="46"/>
  <c r="BA146" i="46"/>
  <c r="AH236" i="15"/>
  <c r="BH537" i="15"/>
  <c r="BG537" i="15"/>
  <c r="BA154" i="72"/>
  <c r="BA19" i="72" s="1"/>
  <c r="BA149" i="72"/>
  <c r="BK159" i="72"/>
  <c r="BJ152" i="72"/>
  <c r="BJ25" i="72" s="1"/>
  <c r="M50" i="46"/>
  <c r="BO127" i="72"/>
  <c r="BO113" i="72"/>
  <c r="BO120" i="72" s="1"/>
  <c r="DT47" i="71"/>
  <c r="DT46" i="71" s="1"/>
  <c r="BB120" i="46"/>
  <c r="AY190" i="72"/>
  <c r="AY21" i="72"/>
  <c r="AY23" i="72" s="1"/>
  <c r="S56" i="71"/>
  <c r="S58" i="71"/>
  <c r="S18" i="71"/>
  <c r="BB237" i="15"/>
  <c r="AP304" i="15"/>
  <c r="AO307" i="15"/>
  <c r="AO180" i="15"/>
  <c r="AO187" i="15"/>
  <c r="BN380" i="15"/>
  <c r="BN383" i="15" s="1"/>
  <c r="BO248" i="15"/>
  <c r="BO253" i="15"/>
  <c r="BP245" i="15"/>
  <c r="BO251" i="15"/>
  <c r="BO254" i="15" s="1"/>
  <c r="AI137" i="15"/>
  <c r="AM137" i="15" s="1"/>
  <c r="AM214" i="15"/>
  <c r="BF379" i="15"/>
  <c r="BG379" i="15" s="1"/>
  <c r="BG377" i="15"/>
  <c r="BJ214" i="15"/>
  <c r="BK206" i="15"/>
  <c r="BK214" i="15" s="1"/>
  <c r="BK137" i="15" s="1"/>
  <c r="BN127" i="72"/>
  <c r="BN113" i="72"/>
  <c r="BN120" i="72" s="1"/>
  <c r="BH21" i="51"/>
  <c r="U50" i="46"/>
  <c r="Z50" i="46"/>
  <c r="BL61" i="51"/>
  <c r="BH67" i="51"/>
  <c r="BM69" i="15"/>
  <c r="BM315" i="15" s="1"/>
  <c r="BQ67" i="15"/>
  <c r="BQ69" i="15" s="1"/>
  <c r="BQ315" i="15" s="1"/>
  <c r="BB9" i="72"/>
  <c r="BB10" i="72" s="1"/>
  <c r="AX10" i="72"/>
  <c r="AY170" i="15"/>
  <c r="AY237" i="15"/>
  <c r="AY238" i="15" s="1"/>
  <c r="AY123" i="15" s="1"/>
  <c r="BK374" i="15"/>
  <c r="BL373" i="15"/>
  <c r="BA207" i="15"/>
  <c r="AZ207" i="15"/>
  <c r="AZ214" i="15" s="1"/>
  <c r="AZ137" i="15" s="1"/>
  <c r="AY207" i="15"/>
  <c r="AY214" i="15" s="1"/>
  <c r="AY137" i="15" s="1"/>
  <c r="AX207" i="15"/>
  <c r="BA214" i="15"/>
  <c r="BA137" i="15" s="1"/>
  <c r="BM380" i="15"/>
  <c r="BM382" i="15"/>
  <c r="AV177" i="15"/>
  <c r="AW291" i="15"/>
  <c r="AV294" i="15"/>
  <c r="AW294" i="15" s="1"/>
  <c r="CN36" i="59"/>
  <c r="CN10" i="59"/>
  <c r="CU24" i="59"/>
  <c r="CZ19" i="59"/>
  <c r="CZ24" i="59" s="1"/>
  <c r="CR10" i="59"/>
  <c r="CR36" i="59"/>
  <c r="BE16" i="72"/>
  <c r="BF278" i="15"/>
  <c r="BE281" i="15"/>
  <c r="N58" i="71"/>
  <c r="N56" i="71"/>
  <c r="N18" i="71"/>
  <c r="BJ67" i="51"/>
  <c r="CW12" i="59"/>
  <c r="BN88" i="46"/>
  <c r="BC218" i="72"/>
  <c r="BN256" i="15"/>
  <c r="BN258" i="15" s="1"/>
  <c r="BN124" i="15" s="1"/>
  <c r="BG16" i="51"/>
  <c r="BG20" i="51" s="1"/>
  <c r="BG10" i="51"/>
  <c r="BF10" i="51"/>
  <c r="BK8" i="51"/>
  <c r="BF16" i="51"/>
  <c r="BB158" i="46"/>
  <c r="AW123" i="15"/>
  <c r="AC17" i="71"/>
  <c r="AC8" i="73"/>
  <c r="AC39" i="71"/>
  <c r="BP376" i="15"/>
  <c r="BQ376" i="15" s="1"/>
  <c r="BP373" i="15"/>
  <c r="AY404" i="15"/>
  <c r="AY134" i="15" s="1"/>
  <c r="BG316" i="15"/>
  <c r="BG243" i="15"/>
  <c r="AL45" i="72"/>
  <c r="AL69" i="46"/>
  <c r="AL71" i="46" s="1"/>
  <c r="BL113" i="72"/>
  <c r="BL120" i="72" s="1"/>
  <c r="BL132" i="72" s="1"/>
  <c r="BL133" i="72" s="1"/>
  <c r="BH120" i="72"/>
  <c r="AO363" i="15"/>
  <c r="AO362" i="15"/>
  <c r="BQ96" i="72"/>
  <c r="BQ97" i="72" s="1"/>
  <c r="BQ88" i="72"/>
  <c r="AP245" i="15"/>
  <c r="AO251" i="15"/>
  <c r="AO248" i="15"/>
  <c r="AO256" i="15" s="1"/>
  <c r="AO186" i="15"/>
  <c r="AX238" i="15"/>
  <c r="AX123" i="15" s="1"/>
  <c r="AE206" i="15"/>
  <c r="AD214" i="15"/>
  <c r="AI135" i="46"/>
  <c r="AJ133" i="46" s="1"/>
  <c r="AJ135" i="46" s="1"/>
  <c r="AK133" i="46" s="1"/>
  <c r="AK135" i="46" s="1"/>
  <c r="AL133" i="46" s="1"/>
  <c r="AL135" i="46" s="1"/>
  <c r="AM133" i="46"/>
  <c r="AM135" i="46" s="1"/>
  <c r="AN133" i="46" s="1"/>
  <c r="BB394" i="15"/>
  <c r="BB420" i="15"/>
  <c r="AX423" i="15"/>
  <c r="BB423" i="15" s="1"/>
  <c r="BQ209" i="15"/>
  <c r="BQ288" i="15"/>
  <c r="BK417" i="15"/>
  <c r="BL416" i="15"/>
  <c r="BH424" i="15"/>
  <c r="BH135" i="15" s="1"/>
  <c r="BD21" i="51"/>
  <c r="AO429" i="15"/>
  <c r="AM258" i="15"/>
  <c r="AG338" i="15"/>
  <c r="AG131" i="15" s="1"/>
  <c r="AH131" i="15" s="1"/>
  <c r="AH336" i="15"/>
  <c r="AH338" i="15" s="1"/>
  <c r="S57" i="46"/>
  <c r="S11" i="71"/>
  <c r="S71" i="46"/>
  <c r="AY466" i="15"/>
  <c r="BC391" i="15"/>
  <c r="BB194" i="15"/>
  <c r="BB178" i="15"/>
  <c r="AG170" i="15"/>
  <c r="AG237" i="15"/>
  <c r="AH237" i="15" s="1"/>
  <c r="AG164" i="15"/>
  <c r="AG166" i="15" s="1"/>
  <c r="AG460" i="15" s="1"/>
  <c r="AH234" i="15"/>
  <c r="BN257" i="15"/>
  <c r="BA349" i="15"/>
  <c r="BB347" i="15"/>
  <c r="T524" i="15"/>
  <c r="T526" i="15" s="1"/>
  <c r="U524" i="15" s="1"/>
  <c r="U526" i="15" s="1"/>
  <c r="V524" i="15" s="1"/>
  <c r="V526" i="15" s="1"/>
  <c r="W524" i="15" s="1"/>
  <c r="W526" i="15" s="1"/>
  <c r="X524" i="15"/>
  <c r="X526" i="15" s="1"/>
  <c r="BM417" i="15"/>
  <c r="AX257" i="15"/>
  <c r="BB257" i="15" s="1"/>
  <c r="BB254" i="15"/>
  <c r="BO10" i="46"/>
  <c r="BO14" i="72"/>
  <c r="BQ12" i="72"/>
  <c r="BQ14" i="72" s="1"/>
  <c r="BI254" i="15"/>
  <c r="BI256" i="15"/>
  <c r="AV50" i="46"/>
  <c r="AQ50" i="46"/>
  <c r="AX214" i="15"/>
  <c r="BI21" i="46"/>
  <c r="BI20" i="51"/>
  <c r="BM336" i="15"/>
  <c r="BM337" i="15"/>
  <c r="BQ369" i="15"/>
  <c r="BQ329" i="15"/>
  <c r="BQ409" i="15"/>
  <c r="AH324" i="15"/>
  <c r="AH325" i="15" s="1"/>
  <c r="AD325" i="15"/>
  <c r="AD129" i="15" s="1"/>
  <c r="AH129" i="15" s="1"/>
  <c r="AD254" i="15"/>
  <c r="AD256" i="15"/>
  <c r="AD253" i="15"/>
  <c r="AH253" i="15" s="1"/>
  <c r="AH251" i="15"/>
  <c r="AG271" i="15"/>
  <c r="AG125" i="15" s="1"/>
  <c r="AH125" i="15" s="1"/>
  <c r="AH269" i="15"/>
  <c r="AH271" i="15" s="1"/>
  <c r="BB209" i="72"/>
  <c r="AX209" i="72"/>
  <c r="CM36" i="59"/>
  <c r="CM10" i="59"/>
  <c r="CL36" i="59"/>
  <c r="CL10" i="59"/>
  <c r="CZ51" i="71"/>
  <c r="CZ53" i="71" s="1"/>
  <c r="CZ56" i="71" s="1"/>
  <c r="CZ64" i="71" s="1"/>
  <c r="CZ40" i="71"/>
  <c r="CZ52" i="71" s="1"/>
  <c r="BO8" i="51"/>
  <c r="BJ10" i="51"/>
  <c r="BJ16" i="51"/>
  <c r="BG61" i="51"/>
  <c r="BG67" i="51" s="1"/>
  <c r="BC67" i="51"/>
  <c r="BP393" i="15"/>
  <c r="BQ393" i="15" s="1"/>
  <c r="BP396" i="15"/>
  <c r="BQ396" i="15" s="1"/>
  <c r="BQ389" i="15"/>
  <c r="BM420" i="15"/>
  <c r="AR207" i="15"/>
  <c r="AO207" i="15" s="1"/>
  <c r="AP207" i="15" s="1"/>
  <c r="AQ207" i="15" s="1"/>
  <c r="AO206" i="15"/>
  <c r="AK50" i="46"/>
  <c r="AK196" i="15"/>
  <c r="AK152" i="15"/>
  <c r="AK153" i="15"/>
  <c r="AK136" i="15"/>
  <c r="AM318" i="15"/>
  <c r="AL321" i="15"/>
  <c r="AM321" i="15" s="1"/>
  <c r="AM163" i="15" s="1"/>
  <c r="AM166" i="15" s="1"/>
  <c r="AL185" i="15"/>
  <c r="AL188" i="15" s="1"/>
  <c r="AL459" i="15" s="1"/>
  <c r="AL193" i="15"/>
  <c r="AL191" i="15"/>
  <c r="AL181" i="15"/>
  <c r="AL182" i="15" s="1"/>
  <c r="AJ154" i="15"/>
  <c r="AQ359" i="15"/>
  <c r="AP360" i="15"/>
  <c r="AU214" i="15"/>
  <c r="AV206" i="15"/>
  <c r="AV214" i="15" s="1"/>
  <c r="AV137" i="15" s="1"/>
  <c r="BB399" i="15"/>
  <c r="AN256" i="15"/>
  <c r="BI10" i="72"/>
  <c r="AN234" i="15"/>
  <c r="AR231" i="15"/>
  <c r="AN233" i="15"/>
  <c r="AR233" i="15" s="1"/>
  <c r="AN236" i="15"/>
  <c r="CX12" i="59"/>
  <c r="BO88" i="46"/>
  <c r="BB422" i="15"/>
  <c r="BB424" i="15" s="1"/>
  <c r="AX424" i="15"/>
  <c r="AX135" i="15" s="1"/>
  <c r="BB135" i="15" s="1"/>
  <c r="BK414" i="15"/>
  <c r="BL413" i="15"/>
  <c r="BQ416" i="15" l="1"/>
  <c r="AM460" i="15"/>
  <c r="AW169" i="15"/>
  <c r="AW297" i="15"/>
  <c r="AW293" i="15"/>
  <c r="BJ16" i="72"/>
  <c r="AL196" i="15"/>
  <c r="AL153" i="15"/>
  <c r="AL154" i="15" s="1"/>
  <c r="AL152" i="15"/>
  <c r="AL136" i="15"/>
  <c r="AD173" i="15"/>
  <c r="AH254" i="15"/>
  <c r="AD164" i="15"/>
  <c r="AD257" i="15"/>
  <c r="AH257" i="15" s="1"/>
  <c r="BB214" i="15"/>
  <c r="AX137" i="15"/>
  <c r="BB137" i="15" s="1"/>
  <c r="BM419" i="15"/>
  <c r="BQ417" i="15"/>
  <c r="BB349" i="15"/>
  <c r="AY467" i="15"/>
  <c r="AP448" i="15"/>
  <c r="AP429" i="15"/>
  <c r="AD137" i="15"/>
  <c r="BH9" i="72"/>
  <c r="BH132" i="72"/>
  <c r="BH133" i="72" s="1"/>
  <c r="BK10" i="51"/>
  <c r="BP8" i="51"/>
  <c r="BK16" i="51"/>
  <c r="BG278" i="15"/>
  <c r="BF281" i="15"/>
  <c r="BF283" i="15" s="1"/>
  <c r="BG280" i="15"/>
  <c r="BI88" i="46"/>
  <c r="CR12" i="59"/>
  <c r="BK382" i="15"/>
  <c r="BK380" i="15"/>
  <c r="BL374" i="15"/>
  <c r="AX16" i="72"/>
  <c r="AX23" i="72"/>
  <c r="BN9" i="72"/>
  <c r="BN10" i="72" s="1"/>
  <c r="BN132" i="72"/>
  <c r="BN133" i="72" s="1"/>
  <c r="BB149" i="72"/>
  <c r="BA150" i="72"/>
  <c r="BI537" i="15"/>
  <c r="BB146" i="46"/>
  <c r="AK325" i="15"/>
  <c r="AK129" i="15" s="1"/>
  <c r="BK88" i="46"/>
  <c r="CT12" i="59"/>
  <c r="BN21" i="46"/>
  <c r="BN20" i="51"/>
  <c r="AN311" i="15"/>
  <c r="AN128" i="15" s="1"/>
  <c r="AZ19" i="72"/>
  <c r="BB154" i="72"/>
  <c r="BF266" i="15"/>
  <c r="AZ357" i="15"/>
  <c r="BA357" i="15"/>
  <c r="AY195" i="15"/>
  <c r="AY186" i="15"/>
  <c r="BC349" i="15"/>
  <c r="BE473" i="15"/>
  <c r="BL250" i="15"/>
  <c r="BH251" i="15"/>
  <c r="BA403" i="15"/>
  <c r="BA404" i="15" s="1"/>
  <c r="BA134" i="15" s="1"/>
  <c r="BA170" i="15"/>
  <c r="BL8" i="51"/>
  <c r="Y524" i="15"/>
  <c r="Y526" i="15" s="1"/>
  <c r="Z524" i="15" s="1"/>
  <c r="Z526" i="15" s="1"/>
  <c r="AA524" i="15" s="1"/>
  <c r="AA526" i="15" s="1"/>
  <c r="AB524" i="15" s="1"/>
  <c r="AB526" i="15" s="1"/>
  <c r="AC524" i="15"/>
  <c r="AC526" i="15" s="1"/>
  <c r="BK419" i="15"/>
  <c r="BL419" i="15" s="1"/>
  <c r="BL417" i="15"/>
  <c r="AE214" i="15"/>
  <c r="AE137" i="15" s="1"/>
  <c r="AE140" i="15" s="1"/>
  <c r="AE141" i="15" s="1"/>
  <c r="AF206" i="15"/>
  <c r="AO253" i="15"/>
  <c r="AO254" i="15"/>
  <c r="CZ36" i="59"/>
  <c r="CZ10" i="59"/>
  <c r="CZ12" i="59" s="1"/>
  <c r="BB16" i="72"/>
  <c r="AO172" i="15"/>
  <c r="AO309" i="15"/>
  <c r="AO310" i="15"/>
  <c r="AO165" i="15"/>
  <c r="BA190" i="72"/>
  <c r="BA21" i="72"/>
  <c r="BA23" i="72" s="1"/>
  <c r="AH238" i="15"/>
  <c r="BB238" i="15"/>
  <c r="BF465" i="15"/>
  <c r="BP414" i="15"/>
  <c r="BQ413" i="15"/>
  <c r="BG380" i="15"/>
  <c r="BF383" i="15"/>
  <c r="BG383" i="15" s="1"/>
  <c r="BP371" i="15"/>
  <c r="BO377" i="15"/>
  <c r="BO157" i="15"/>
  <c r="BO374" i="15"/>
  <c r="BG225" i="15"/>
  <c r="BM21" i="51"/>
  <c r="AM63" i="73"/>
  <c r="AM10" i="73"/>
  <c r="AM17" i="73" s="1"/>
  <c r="AM19" i="73" s="1"/>
  <c r="AZ445" i="15"/>
  <c r="AZ447" i="15"/>
  <c r="AZ12" i="15" s="1"/>
  <c r="AZ14" i="46" s="1"/>
  <c r="BB258" i="15"/>
  <c r="BA164" i="46"/>
  <c r="BB190" i="46"/>
  <c r="CY71" i="73"/>
  <c r="BD148" i="72"/>
  <c r="AN257" i="15"/>
  <c r="BQ113" i="72"/>
  <c r="BQ120" i="72" s="1"/>
  <c r="BQ132" i="72" s="1"/>
  <c r="BQ133" i="72" s="1"/>
  <c r="BM120" i="72"/>
  <c r="AI140" i="15"/>
  <c r="AI141" i="15" s="1"/>
  <c r="BF316" i="15"/>
  <c r="BF243" i="15"/>
  <c r="BE21" i="51"/>
  <c r="AC144" i="15"/>
  <c r="AC145" i="15" s="1"/>
  <c r="AC140" i="15"/>
  <c r="BJ88" i="46"/>
  <c r="CS12" i="59"/>
  <c r="AU298" i="15"/>
  <c r="AU127" i="15" s="1"/>
  <c r="AZ403" i="15"/>
  <c r="AZ404" i="15" s="1"/>
  <c r="AZ134" i="15" s="1"/>
  <c r="AZ170" i="15"/>
  <c r="BB170" i="15" s="1"/>
  <c r="AX14" i="46"/>
  <c r="BB14" i="46" s="1"/>
  <c r="BR14" i="46" s="1"/>
  <c r="AH63" i="73"/>
  <c r="AH10" i="73"/>
  <c r="AH17" i="73" s="1"/>
  <c r="AH19" i="73" s="1"/>
  <c r="BB400" i="15"/>
  <c r="BE344" i="15"/>
  <c r="BD347" i="15"/>
  <c r="BD349" i="15" s="1"/>
  <c r="AC12" i="71"/>
  <c r="AC70" i="46"/>
  <c r="AC71" i="46" s="1"/>
  <c r="BQ88" i="46"/>
  <c r="AG404" i="15"/>
  <c r="AG134" i="15" s="1"/>
  <c r="AH134" i="15" s="1"/>
  <c r="BL40" i="72"/>
  <c r="BL42" i="71"/>
  <c r="BM45" i="46"/>
  <c r="BM44" i="46"/>
  <c r="BI16" i="72"/>
  <c r="BC88" i="46"/>
  <c r="CL12" i="59"/>
  <c r="BK420" i="15"/>
  <c r="BK422" i="15"/>
  <c r="BL414" i="15"/>
  <c r="AU137" i="15"/>
  <c r="AW137" i="15" s="1"/>
  <c r="AW214" i="15"/>
  <c r="AK154" i="15"/>
  <c r="AM154" i="15" s="1"/>
  <c r="AO214" i="15"/>
  <c r="AP206" i="15"/>
  <c r="BM422" i="15"/>
  <c r="BI21" i="51"/>
  <c r="BI257" i="15"/>
  <c r="BI258" i="15" s="1"/>
  <c r="BI124" i="15" s="1"/>
  <c r="S39" i="71"/>
  <c r="S17" i="71"/>
  <c r="AR133" i="46"/>
  <c r="AN135" i="46"/>
  <c r="AO133" i="46" s="1"/>
  <c r="AO135" i="46" s="1"/>
  <c r="AP133" i="46" s="1"/>
  <c r="AP134" i="46" s="1"/>
  <c r="BB123" i="15"/>
  <c r="AQ245" i="15"/>
  <c r="AP251" i="15"/>
  <c r="AP248" i="15"/>
  <c r="AP186" i="15"/>
  <c r="AO364" i="15"/>
  <c r="AO132" i="15" s="1"/>
  <c r="BD218" i="72"/>
  <c r="BE283" i="15"/>
  <c r="BG281" i="15"/>
  <c r="BG283" i="15" s="1"/>
  <c r="CU36" i="59"/>
  <c r="CU10" i="59"/>
  <c r="CU12" i="59" s="1"/>
  <c r="AV297" i="15"/>
  <c r="AV169" i="15"/>
  <c r="AV296" i="15"/>
  <c r="AW177" i="15"/>
  <c r="AX291" i="15"/>
  <c r="AM215" i="15"/>
  <c r="BY71" i="73"/>
  <c r="BO257" i="15"/>
  <c r="BO256" i="15"/>
  <c r="BO258" i="15" s="1"/>
  <c r="BO124" i="15" s="1"/>
  <c r="AP307" i="15"/>
  <c r="AP180" i="15"/>
  <c r="AQ304" i="15"/>
  <c r="AP187" i="15"/>
  <c r="AY27" i="72"/>
  <c r="AY20" i="46"/>
  <c r="BJ25" i="46"/>
  <c r="AG238" i="15"/>
  <c r="AG123" i="15" s="1"/>
  <c r="BA58" i="51"/>
  <c r="BB55" i="51"/>
  <c r="BB58" i="51" s="1"/>
  <c r="BF384" i="15"/>
  <c r="BF133" i="15" s="1"/>
  <c r="BG133" i="15" s="1"/>
  <c r="BG382" i="15"/>
  <c r="BG384" i="15" s="1"/>
  <c r="AR75" i="73"/>
  <c r="AM20" i="73"/>
  <c r="BY22" i="73"/>
  <c r="BW22" i="73"/>
  <c r="BX22" i="73"/>
  <c r="BH88" i="46"/>
  <c r="BL88" i="46" s="1"/>
  <c r="CQ12" i="59"/>
  <c r="BA447" i="15"/>
  <c r="BA12" i="15" s="1"/>
  <c r="BA14" i="46" s="1"/>
  <c r="BB431" i="15"/>
  <c r="BC431" i="15" s="1"/>
  <c r="BA445" i="15"/>
  <c r="AX258" i="15"/>
  <c r="AX124" i="15" s="1"/>
  <c r="BB124" i="15" s="1"/>
  <c r="BK336" i="15"/>
  <c r="BL334" i="15"/>
  <c r="BK337" i="15"/>
  <c r="BL337" i="15" s="1"/>
  <c r="BD533" i="15"/>
  <c r="BH61" i="46"/>
  <c r="BE61" i="46"/>
  <c r="N62" i="71"/>
  <c r="N64" i="71" s="1"/>
  <c r="N52" i="71" s="1"/>
  <c r="BA61" i="46"/>
  <c r="I38" i="71"/>
  <c r="BJ61" i="46"/>
  <c r="BO61" i="46"/>
  <c r="AZ61" i="46"/>
  <c r="BM61" i="46"/>
  <c r="BN61" i="46"/>
  <c r="BQ61" i="46"/>
  <c r="BG61" i="46"/>
  <c r="BP61" i="46"/>
  <c r="N51" i="71"/>
  <c r="BL61" i="46"/>
  <c r="BI61" i="46"/>
  <c r="BB61" i="46"/>
  <c r="BC61" i="46"/>
  <c r="AX61" i="46"/>
  <c r="N38" i="71"/>
  <c r="N53" i="71" s="1"/>
  <c r="BD61" i="46"/>
  <c r="BF61" i="46"/>
  <c r="BK61" i="46"/>
  <c r="AY61" i="46"/>
  <c r="AK342" i="15"/>
  <c r="AJ350" i="15"/>
  <c r="AJ351" i="15" s="1"/>
  <c r="AJ130" i="15" s="1"/>
  <c r="AJ140" i="15" s="1"/>
  <c r="AJ141" i="15" s="1"/>
  <c r="BD115" i="15"/>
  <c r="BE116" i="15"/>
  <c r="BE262" i="15" s="1"/>
  <c r="BE118" i="15"/>
  <c r="BE117" i="15"/>
  <c r="BE223" i="15" s="1"/>
  <c r="N39" i="71"/>
  <c r="N17" i="71"/>
  <c r="AS270" i="15"/>
  <c r="AS269" i="15"/>
  <c r="AS171" i="15"/>
  <c r="BN336" i="15"/>
  <c r="BN338" i="15" s="1"/>
  <c r="BN131" i="15" s="1"/>
  <c r="BN337" i="15"/>
  <c r="BB447" i="15"/>
  <c r="BK379" i="15"/>
  <c r="BL379" i="15" s="1"/>
  <c r="BL377" i="15"/>
  <c r="X63" i="73"/>
  <c r="X10" i="73"/>
  <c r="BG9" i="72"/>
  <c r="BG10" i="72" s="1"/>
  <c r="BC10" i="72"/>
  <c r="BF423" i="15"/>
  <c r="BG423" i="15" s="1"/>
  <c r="BG420" i="15"/>
  <c r="AN237" i="15"/>
  <c r="AR237" i="15" s="1"/>
  <c r="AR234" i="15"/>
  <c r="AN164" i="15"/>
  <c r="AN170" i="15"/>
  <c r="AR359" i="15"/>
  <c r="AS359" i="15" s="1"/>
  <c r="AQ360" i="15"/>
  <c r="AN318" i="15"/>
  <c r="AM185" i="15"/>
  <c r="AM188" i="15" s="1"/>
  <c r="AM459" i="15" s="1"/>
  <c r="AM181" i="15"/>
  <c r="AM182" i="15" s="1"/>
  <c r="AM193" i="15"/>
  <c r="AM191" i="15"/>
  <c r="AM196" i="15" s="1"/>
  <c r="BM423" i="15"/>
  <c r="AN238" i="15"/>
  <c r="AN123" i="15" s="1"/>
  <c r="AR236" i="15"/>
  <c r="AR238" i="15" s="1"/>
  <c r="AM136" i="15"/>
  <c r="BJ20" i="51"/>
  <c r="BJ21" i="46"/>
  <c r="AN258" i="15"/>
  <c r="AN124" i="15" s="1"/>
  <c r="AP362" i="15"/>
  <c r="AP364" i="15" s="1"/>
  <c r="AP132" i="15" s="1"/>
  <c r="AP363" i="15"/>
  <c r="AR360" i="15"/>
  <c r="AL163" i="15"/>
  <c r="AL166" i="15" s="1"/>
  <c r="AL460" i="15" s="1"/>
  <c r="AL324" i="15"/>
  <c r="AM324" i="15" s="1"/>
  <c r="AL323" i="15"/>
  <c r="AL173" i="15"/>
  <c r="AM152" i="15"/>
  <c r="BO16" i="51"/>
  <c r="BO10" i="51"/>
  <c r="BD88" i="46"/>
  <c r="CM12" i="59"/>
  <c r="AD258" i="15"/>
  <c r="AD124" i="15" s="1"/>
  <c r="AH256" i="15"/>
  <c r="AH258" i="15" s="1"/>
  <c r="BM338" i="15"/>
  <c r="BM131" i="15" s="1"/>
  <c r="AG174" i="15"/>
  <c r="AH170" i="15"/>
  <c r="BC397" i="15"/>
  <c r="BD391" i="15"/>
  <c r="BC194" i="15"/>
  <c r="BC394" i="15"/>
  <c r="BC178" i="15"/>
  <c r="BP374" i="15"/>
  <c r="BQ373" i="15"/>
  <c r="BF20" i="51"/>
  <c r="BF21" i="46"/>
  <c r="BG21" i="46" s="1"/>
  <c r="BG21" i="51"/>
  <c r="BG24" i="71" s="1"/>
  <c r="BE88" i="46"/>
  <c r="CN12" i="59"/>
  <c r="BM383" i="15"/>
  <c r="BM384" i="15" s="1"/>
  <c r="BM133" i="15" s="1"/>
  <c r="BJ137" i="15"/>
  <c r="BL137" i="15" s="1"/>
  <c r="BL214" i="15"/>
  <c r="BP253" i="15"/>
  <c r="BQ253" i="15" s="1"/>
  <c r="BQ245" i="15"/>
  <c r="BP248" i="15"/>
  <c r="BP256" i="15" s="1"/>
  <c r="BP251" i="15"/>
  <c r="BN382" i="15"/>
  <c r="BN384" i="15" s="1"/>
  <c r="BN133" i="15" s="1"/>
  <c r="AY254" i="72"/>
  <c r="AY257" i="72" s="1"/>
  <c r="BO9" i="72"/>
  <c r="BO10" i="72" s="1"/>
  <c r="BO132" i="72"/>
  <c r="BO133" i="72" s="1"/>
  <c r="BK152" i="72"/>
  <c r="BL159" i="72"/>
  <c r="BM159" i="72" s="1"/>
  <c r="BB134" i="15"/>
  <c r="BQ251" i="15"/>
  <c r="BM254" i="15"/>
  <c r="BM256" i="15"/>
  <c r="BK33" i="51"/>
  <c r="BK37" i="15"/>
  <c r="BK127" i="46"/>
  <c r="BK46" i="46"/>
  <c r="BL45" i="46"/>
  <c r="BL174" i="46"/>
  <c r="BK194" i="46"/>
  <c r="BF227" i="15"/>
  <c r="BF228" i="15" s="1"/>
  <c r="BF230" i="15"/>
  <c r="BF231" i="15" s="1"/>
  <c r="BQ10" i="46"/>
  <c r="AR275" i="15"/>
  <c r="AQ284" i="15"/>
  <c r="AQ285" i="15" s="1"/>
  <c r="AQ126" i="15" s="1"/>
  <c r="AR126" i="15" s="1"/>
  <c r="BF338" i="15"/>
  <c r="BF131" i="15" s="1"/>
  <c r="BG131" i="15" s="1"/>
  <c r="BG336" i="15"/>
  <c r="BG338" i="15" s="1"/>
  <c r="BF88" i="46"/>
  <c r="CO12" i="59"/>
  <c r="AU264" i="15"/>
  <c r="AT267" i="15"/>
  <c r="AT179" i="15"/>
  <c r="BP331" i="15"/>
  <c r="BO334" i="15"/>
  <c r="AR63" i="73"/>
  <c r="AR10" i="73"/>
  <c r="AR17" i="73" s="1"/>
  <c r="AR19" i="73" s="1"/>
  <c r="AR21" i="73" s="1"/>
  <c r="BG422" i="15"/>
  <c r="BG424" i="15" s="1"/>
  <c r="AM153" i="15"/>
  <c r="BF233" i="15" l="1"/>
  <c r="BF234" i="15"/>
  <c r="BF236" i="15"/>
  <c r="BO336" i="15"/>
  <c r="BO337" i="15"/>
  <c r="BL152" i="72"/>
  <c r="BK25" i="72"/>
  <c r="BP254" i="15"/>
  <c r="BF21" i="51"/>
  <c r="BD394" i="15"/>
  <c r="BD402" i="15" s="1"/>
  <c r="BE391" i="15"/>
  <c r="BD397" i="15"/>
  <c r="BD194" i="15"/>
  <c r="BD178" i="15"/>
  <c r="AH124" i="15"/>
  <c r="AD140" i="15"/>
  <c r="AD141" i="15" s="1"/>
  <c r="BE230" i="15"/>
  <c r="BE231" i="15" s="1"/>
  <c r="BE227" i="15"/>
  <c r="BE228" i="15" s="1"/>
  <c r="BF424" i="15"/>
  <c r="BF135" i="15" s="1"/>
  <c r="BG135" i="15" s="1"/>
  <c r="BQ331" i="15"/>
  <c r="BP334" i="15"/>
  <c r="BQ334" i="15" s="1"/>
  <c r="AT270" i="15"/>
  <c r="AT269" i="15"/>
  <c r="AT271" i="15" s="1"/>
  <c r="AT125" i="15" s="1"/>
  <c r="AT171" i="15"/>
  <c r="BK103" i="46"/>
  <c r="BL103" i="46" s="1"/>
  <c r="BK333" i="46"/>
  <c r="BL333" i="46" s="1"/>
  <c r="BK65" i="51"/>
  <c r="BK129" i="46"/>
  <c r="BL129" i="46" s="1"/>
  <c r="BL127" i="46"/>
  <c r="ED55" i="71" s="1"/>
  <c r="CT71" i="73"/>
  <c r="BC399" i="15"/>
  <c r="BC400" i="15"/>
  <c r="AM147" i="15"/>
  <c r="AR170" i="15"/>
  <c r="BC16" i="72"/>
  <c r="BE243" i="15"/>
  <c r="BE316" i="15"/>
  <c r="AL342" i="15"/>
  <c r="AK350" i="15"/>
  <c r="AK351" i="15" s="1"/>
  <c r="AK130" i="15" s="1"/>
  <c r="BE533" i="15"/>
  <c r="BK338" i="15"/>
  <c r="BK131" i="15" s="1"/>
  <c r="BL131" i="15" s="1"/>
  <c r="BL336" i="15"/>
  <c r="BL338" i="15" s="1"/>
  <c r="AM75" i="73"/>
  <c r="AH20" i="73"/>
  <c r="AM21" i="73"/>
  <c r="AR304" i="15"/>
  <c r="AQ307" i="15"/>
  <c r="AR307" i="15" s="1"/>
  <c r="AR306" i="15" s="1"/>
  <c r="AQ180" i="15"/>
  <c r="AQ187" i="15"/>
  <c r="AP256" i="15"/>
  <c r="AR248" i="15"/>
  <c r="AQ206" i="15"/>
  <c r="AQ214" i="15" s="1"/>
  <c r="AQ137" i="15" s="1"/>
  <c r="AP214" i="15"/>
  <c r="AP137" i="15" s="1"/>
  <c r="BM40" i="72"/>
  <c r="BN44" i="46"/>
  <c r="BN45" i="46"/>
  <c r="BC190" i="46"/>
  <c r="DT12" i="71"/>
  <c r="BB445" i="15"/>
  <c r="BO379" i="15"/>
  <c r="AO257" i="15"/>
  <c r="AO258" i="15" s="1"/>
  <c r="AO124" i="15" s="1"/>
  <c r="AO164" i="15"/>
  <c r="AZ190" i="72"/>
  <c r="AZ21" i="72"/>
  <c r="AZ23" i="72" s="1"/>
  <c r="BB19" i="72"/>
  <c r="BB21" i="72" s="1"/>
  <c r="BB23" i="72" s="1"/>
  <c r="BB27" i="72" s="1"/>
  <c r="BJ537" i="15"/>
  <c r="BP10" i="51"/>
  <c r="BP16" i="51"/>
  <c r="BQ8" i="51"/>
  <c r="CJ71" i="73"/>
  <c r="CJ75" i="73" s="1"/>
  <c r="BB215" i="15"/>
  <c r="AD174" i="15"/>
  <c r="AH173" i="15"/>
  <c r="AV264" i="15"/>
  <c r="AU267" i="15"/>
  <c r="AU179" i="15"/>
  <c r="BC402" i="15"/>
  <c r="AH174" i="15"/>
  <c r="AL174" i="15"/>
  <c r="AM173" i="15"/>
  <c r="AM174" i="15" s="1"/>
  <c r="AN321" i="15"/>
  <c r="AN185" i="15"/>
  <c r="AN188" i="15" s="1"/>
  <c r="AN459" i="15" s="1"/>
  <c r="AO318" i="15"/>
  <c r="AN191" i="15"/>
  <c r="AN181" i="15"/>
  <c r="AN182" i="15" s="1"/>
  <c r="AN193" i="15"/>
  <c r="BQ248" i="15"/>
  <c r="BG16" i="72"/>
  <c r="AS271" i="15"/>
  <c r="AS125" i="15" s="1"/>
  <c r="BE266" i="15"/>
  <c r="AX177" i="15"/>
  <c r="AX294" i="15"/>
  <c r="AY291" i="15"/>
  <c r="AV298" i="15"/>
  <c r="AV127" i="15" s="1"/>
  <c r="AW296" i="15"/>
  <c r="AW298" i="15" s="1"/>
  <c r="AP253" i="15"/>
  <c r="AP254" i="15"/>
  <c r="AO137" i="15"/>
  <c r="AR137" i="15" s="1"/>
  <c r="AR214" i="15"/>
  <c r="BG88" i="46"/>
  <c r="BM127" i="46"/>
  <c r="BM37" i="15"/>
  <c r="BM33" i="51"/>
  <c r="BM46" i="46"/>
  <c r="BF344" i="15"/>
  <c r="BE347" i="15"/>
  <c r="BE349" i="15" s="1"/>
  <c r="AC141" i="15"/>
  <c r="AC159" i="15"/>
  <c r="BB164" i="46"/>
  <c r="BQ371" i="15"/>
  <c r="BP377" i="15"/>
  <c r="BP380" i="15" s="1"/>
  <c r="BP383" i="15" s="1"/>
  <c r="BP157" i="15"/>
  <c r="BP422" i="15"/>
  <c r="BP420" i="15"/>
  <c r="BQ414" i="15"/>
  <c r="BN21" i="51"/>
  <c r="BP419" i="15"/>
  <c r="BC146" i="46"/>
  <c r="BL9" i="72"/>
  <c r="BL10" i="72" s="1"/>
  <c r="BH10" i="72"/>
  <c r="AQ429" i="15"/>
  <c r="AR429" i="15" s="1"/>
  <c r="AQ448" i="15"/>
  <c r="AQ450" i="15" s="1"/>
  <c r="AQ451" i="15" s="1"/>
  <c r="BQ419" i="15"/>
  <c r="BA252" i="72"/>
  <c r="BA257" i="72" s="1"/>
  <c r="AZ252" i="72"/>
  <c r="BL33" i="51"/>
  <c r="BL37" i="15"/>
  <c r="BL43" i="71"/>
  <c r="BQ254" i="15"/>
  <c r="BM257" i="15"/>
  <c r="BM152" i="72"/>
  <c r="BM25" i="72" s="1"/>
  <c r="BN159" i="72"/>
  <c r="AL325" i="15"/>
  <c r="AL129" i="15" s="1"/>
  <c r="AR123" i="15"/>
  <c r="AQ363" i="15"/>
  <c r="AR363" i="15" s="1"/>
  <c r="AQ362" i="15"/>
  <c r="AQ364" i="15" s="1"/>
  <c r="AQ132" i="15" s="1"/>
  <c r="AR132" i="15" s="1"/>
  <c r="BD117" i="15"/>
  <c r="BD223" i="15" s="1"/>
  <c r="BC115" i="15"/>
  <c r="BD118" i="15"/>
  <c r="BD116" i="15"/>
  <c r="BD262" i="15" s="1"/>
  <c r="AP172" i="15"/>
  <c r="AP309" i="15"/>
  <c r="AP311" i="15" s="1"/>
  <c r="AP128" i="15" s="1"/>
  <c r="AP310" i="15"/>
  <c r="AP165" i="15"/>
  <c r="BY72" i="73"/>
  <c r="BY74" i="73" s="1"/>
  <c r="BE218" i="72"/>
  <c r="AR245" i="15"/>
  <c r="AQ186" i="15"/>
  <c r="AQ248" i="15"/>
  <c r="AQ251" i="15"/>
  <c r="AR134" i="46"/>
  <c r="AP135" i="46"/>
  <c r="AQ133" i="46" s="1"/>
  <c r="AQ135" i="46" s="1"/>
  <c r="BL422" i="15"/>
  <c r="BB12" i="15"/>
  <c r="AW127" i="15"/>
  <c r="BF250" i="15"/>
  <c r="BF251" i="15" s="1"/>
  <c r="BM9" i="72"/>
  <c r="BM132" i="72"/>
  <c r="BM133" i="72" s="1"/>
  <c r="BH225" i="15"/>
  <c r="BO380" i="15"/>
  <c r="BO382" i="15"/>
  <c r="BQ374" i="15"/>
  <c r="BA20" i="46"/>
  <c r="BA27" i="72"/>
  <c r="AO311" i="15"/>
  <c r="AO128" i="15" s="1"/>
  <c r="AF214" i="15"/>
  <c r="AF137" i="15" s="1"/>
  <c r="AF140" i="15" s="1"/>
  <c r="AF141" i="15" s="1"/>
  <c r="AG206" i="15"/>
  <c r="AG214" i="15" s="1"/>
  <c r="AG137" i="15" s="1"/>
  <c r="AG140" i="15" s="1"/>
  <c r="AG141" i="15" s="1"/>
  <c r="AD524" i="15"/>
  <c r="AD526" i="15" s="1"/>
  <c r="AE524" i="15" s="1"/>
  <c r="AE526" i="15" s="1"/>
  <c r="AF524" i="15" s="1"/>
  <c r="AF526" i="15" s="1"/>
  <c r="AG524" i="15" s="1"/>
  <c r="AG526" i="15" s="1"/>
  <c r="AH524" i="15"/>
  <c r="AH526" i="15" s="1"/>
  <c r="BL16" i="51"/>
  <c r="BL20" i="51" s="1"/>
  <c r="BL10" i="51"/>
  <c r="BH254" i="15"/>
  <c r="BL251" i="15"/>
  <c r="BH256" i="15"/>
  <c r="BF473" i="15"/>
  <c r="BB357" i="15"/>
  <c r="BA195" i="15"/>
  <c r="BA186" i="15"/>
  <c r="AM323" i="15"/>
  <c r="AM325" i="15" s="1"/>
  <c r="BB150" i="72"/>
  <c r="BB158" i="72" s="1"/>
  <c r="BC158" i="72" s="1"/>
  <c r="BN16" i="72"/>
  <c r="BL380" i="15"/>
  <c r="BK383" i="15"/>
  <c r="BL383" i="15" s="1"/>
  <c r="BH278" i="15"/>
  <c r="AP450" i="15"/>
  <c r="AP451" i="15" s="1"/>
  <c r="AR448" i="15"/>
  <c r="AR450" i="15" s="1"/>
  <c r="AR451" i="15" s="1"/>
  <c r="AD166" i="15"/>
  <c r="AD460" i="15" s="1"/>
  <c r="AH164" i="15"/>
  <c r="AH166" i="15" s="1"/>
  <c r="AW213" i="46"/>
  <c r="AW550" i="15"/>
  <c r="BQ256" i="15"/>
  <c r="BM258" i="15"/>
  <c r="BM124" i="15" s="1"/>
  <c r="BO16" i="72"/>
  <c r="BL194" i="46"/>
  <c r="BM174" i="46"/>
  <c r="AR284" i="15"/>
  <c r="AR285" i="15" s="1"/>
  <c r="AS275" i="15"/>
  <c r="BK41" i="72"/>
  <c r="BK38" i="15"/>
  <c r="BK331" i="46"/>
  <c r="BK34" i="51"/>
  <c r="BL46" i="46"/>
  <c r="BO21" i="46"/>
  <c r="BO20" i="51"/>
  <c r="BJ21" i="51"/>
  <c r="AT359" i="15"/>
  <c r="AS360" i="15"/>
  <c r="BD431" i="15"/>
  <c r="BC447" i="15"/>
  <c r="BC445" i="15"/>
  <c r="AH123" i="15"/>
  <c r="AY28" i="72"/>
  <c r="BQ422" i="15"/>
  <c r="BM424" i="15"/>
  <c r="BM135" i="15" s="1"/>
  <c r="CE71" i="73"/>
  <c r="AW215" i="15"/>
  <c r="BK423" i="15"/>
  <c r="BL423" i="15" s="1"/>
  <c r="BL420" i="15"/>
  <c r="AC9" i="73"/>
  <c r="AC18" i="71"/>
  <c r="BE148" i="72"/>
  <c r="BQ157" i="15"/>
  <c r="BG465" i="15"/>
  <c r="BH465" i="15" s="1"/>
  <c r="BA254" i="72"/>
  <c r="BB403" i="15"/>
  <c r="BB404" i="15" s="1"/>
  <c r="AZ195" i="15"/>
  <c r="AZ186" i="15"/>
  <c r="AK140" i="15"/>
  <c r="AK141" i="15" s="1"/>
  <c r="AM129" i="15"/>
  <c r="AX20" i="46"/>
  <c r="AX27" i="72"/>
  <c r="BK384" i="15"/>
  <c r="BK133" i="15" s="1"/>
  <c r="BL133" i="15" s="1"/>
  <c r="BL382" i="15"/>
  <c r="BL384" i="15" s="1"/>
  <c r="BK20" i="51"/>
  <c r="BK21" i="46"/>
  <c r="BL21" i="46" s="1"/>
  <c r="BA472" i="15"/>
  <c r="AZ472" i="15"/>
  <c r="BI465" i="15" l="1"/>
  <c r="AH137" i="15"/>
  <c r="AH144" i="15" s="1"/>
  <c r="AH145" i="15" s="1"/>
  <c r="BC12" i="15"/>
  <c r="BL41" i="72"/>
  <c r="BL61" i="73" s="1"/>
  <c r="DE8" i="73"/>
  <c r="DE9" i="73" s="1"/>
  <c r="BL38" i="15"/>
  <c r="BL215" i="15" s="1"/>
  <c r="BL34" i="51"/>
  <c r="BL44" i="71"/>
  <c r="BN174" i="46"/>
  <c r="BM194" i="46"/>
  <c r="AH460" i="15"/>
  <c r="BC357" i="15"/>
  <c r="BB195" i="15"/>
  <c r="BB186" i="15"/>
  <c r="AI524" i="15"/>
  <c r="AI526" i="15" s="1"/>
  <c r="AJ524" i="15" s="1"/>
  <c r="AJ526" i="15" s="1"/>
  <c r="AK524" i="15" s="1"/>
  <c r="AK526" i="15" s="1"/>
  <c r="AL524" i="15" s="1"/>
  <c r="AL526" i="15" s="1"/>
  <c r="AM524" i="15"/>
  <c r="AM526" i="15" s="1"/>
  <c r="BO384" i="15"/>
  <c r="BO133" i="15" s="1"/>
  <c r="BK424" i="15"/>
  <c r="BK135" i="15" s="1"/>
  <c r="BL135" i="15" s="1"/>
  <c r="BL16" i="72"/>
  <c r="AX28" i="72"/>
  <c r="AX32" i="72"/>
  <c r="AY235" i="72"/>
  <c r="AX235" i="72"/>
  <c r="AC63" i="73"/>
  <c r="AC10" i="73"/>
  <c r="CE75" i="73"/>
  <c r="CE77" i="73" s="1"/>
  <c r="CE79" i="73" s="1"/>
  <c r="CE81" i="73" s="1"/>
  <c r="CE72" i="73"/>
  <c r="CE74" i="73" s="1"/>
  <c r="BD445" i="15"/>
  <c r="BE431" i="15"/>
  <c r="BD447" i="15"/>
  <c r="BD12" i="15" s="1"/>
  <c r="BD14" i="46" s="1"/>
  <c r="AU359" i="15"/>
  <c r="AT360" i="15"/>
  <c r="BO21" i="51"/>
  <c r="AS284" i="15"/>
  <c r="AS285" i="15" s="1"/>
  <c r="AS126" i="15" s="1"/>
  <c r="AT275" i="15"/>
  <c r="ED15" i="71"/>
  <c r="BL254" i="15"/>
  <c r="BH257" i="15"/>
  <c r="BL257" i="15" s="1"/>
  <c r="BA28" i="72"/>
  <c r="BO383" i="15"/>
  <c r="BQ383" i="15" s="1"/>
  <c r="BQ380" i="15"/>
  <c r="AQ256" i="15"/>
  <c r="BF218" i="72"/>
  <c r="BD230" i="15"/>
  <c r="BD231" i="15" s="1"/>
  <c r="BD227" i="15"/>
  <c r="BD228" i="15" s="1"/>
  <c r="BO159" i="72"/>
  <c r="BN152" i="72"/>
  <c r="BN25" i="72" s="1"/>
  <c r="BN25" i="46" s="1"/>
  <c r="BP423" i="15"/>
  <c r="BQ423" i="15" s="1"/>
  <c r="BQ420" i="15"/>
  <c r="BM38" i="15"/>
  <c r="BM34" i="51"/>
  <c r="BM41" i="72"/>
  <c r="BM331" i="46"/>
  <c r="BM65" i="51"/>
  <c r="BM103" i="46"/>
  <c r="BM333" i="46"/>
  <c r="BM129" i="46"/>
  <c r="AN323" i="15"/>
  <c r="AN163" i="15"/>
  <c r="AN166" i="15" s="1"/>
  <c r="AN460" i="15" s="1"/>
  <c r="AN324" i="15"/>
  <c r="AN173" i="15"/>
  <c r="AW264" i="15"/>
  <c r="AV267" i="15"/>
  <c r="AV179" i="15"/>
  <c r="BP20" i="51"/>
  <c r="BP21" i="46"/>
  <c r="BQ21" i="46" s="1"/>
  <c r="BB28" i="72"/>
  <c r="BB235" i="72"/>
  <c r="BD190" i="46"/>
  <c r="BC164" i="46"/>
  <c r="BN40" i="72"/>
  <c r="BO44" i="46"/>
  <c r="BO45" i="46" s="1"/>
  <c r="AH75" i="73"/>
  <c r="AH21" i="73"/>
  <c r="AM342" i="15"/>
  <c r="AL350" i="15"/>
  <c r="AL351" i="15" s="1"/>
  <c r="AL130" i="15" s="1"/>
  <c r="AM130" i="15" s="1"/>
  <c r="AM144" i="15" s="1"/>
  <c r="AM145" i="15" s="1"/>
  <c r="AR362" i="15"/>
  <c r="AR364" i="15" s="1"/>
  <c r="BE236" i="15"/>
  <c r="BD399" i="15"/>
  <c r="BD400" i="15"/>
  <c r="BD403" i="15" s="1"/>
  <c r="BD404" i="15" s="1"/>
  <c r="BD134" i="15" s="1"/>
  <c r="AR309" i="15"/>
  <c r="AW561" i="15"/>
  <c r="AW558" i="15"/>
  <c r="BH473" i="15"/>
  <c r="BQ9" i="72"/>
  <c r="BQ10" i="72" s="1"/>
  <c r="BM10" i="72"/>
  <c r="AR135" i="46"/>
  <c r="AS133" i="46" s="1"/>
  <c r="DJ62" i="71"/>
  <c r="DJ64" i="71" s="1"/>
  <c r="BD266" i="15"/>
  <c r="BM25" i="46"/>
  <c r="AS448" i="15"/>
  <c r="AS429" i="15" s="1"/>
  <c r="BP424" i="15"/>
  <c r="BP135" i="15" s="1"/>
  <c r="AP257" i="15"/>
  <c r="AP164" i="15"/>
  <c r="AN152" i="15"/>
  <c r="AN136" i="15"/>
  <c r="AN196" i="15"/>
  <c r="AN153" i="15"/>
  <c r="AZ20" i="46"/>
  <c r="AZ27" i="72"/>
  <c r="AQ310" i="15"/>
  <c r="AR310" i="15" s="1"/>
  <c r="AQ172" i="15"/>
  <c r="AQ309" i="15"/>
  <c r="AQ165" i="15"/>
  <c r="CT75" i="73"/>
  <c r="CY75" i="73"/>
  <c r="BK67" i="51"/>
  <c r="BL65" i="51"/>
  <c r="BL67" i="51" s="1"/>
  <c r="BP336" i="15"/>
  <c r="BP337" i="15"/>
  <c r="BQ337" i="15" s="1"/>
  <c r="BE234" i="15"/>
  <c r="BE233" i="15"/>
  <c r="BE397" i="15"/>
  <c r="BE194" i="15"/>
  <c r="BF391" i="15"/>
  <c r="BE394" i="15"/>
  <c r="BE178" i="15"/>
  <c r="BP257" i="15"/>
  <c r="BP258" i="15" s="1"/>
  <c r="BP124" i="15" s="1"/>
  <c r="BQ124" i="15" s="1"/>
  <c r="BB472" i="15"/>
  <c r="AZ466" i="15"/>
  <c r="AZ467" i="15" s="1"/>
  <c r="BK21" i="51"/>
  <c r="BQ135" i="15"/>
  <c r="AM140" i="15"/>
  <c r="AW224" i="46"/>
  <c r="DO27" i="71" s="1"/>
  <c r="AW221" i="46"/>
  <c r="DO24" i="71" s="1"/>
  <c r="BH281" i="15"/>
  <c r="BI278" i="15"/>
  <c r="BL256" i="15"/>
  <c r="BH258" i="15"/>
  <c r="BH124" i="15" s="1"/>
  <c r="BL124" i="15" s="1"/>
  <c r="BL21" i="51"/>
  <c r="BL24" i="71" s="1"/>
  <c r="BF256" i="15"/>
  <c r="BF254" i="15"/>
  <c r="BL424" i="15"/>
  <c r="AQ254" i="15"/>
  <c r="AR254" i="15" s="1"/>
  <c r="AQ253" i="15"/>
  <c r="AR253" i="15" s="1"/>
  <c r="AR251" i="15"/>
  <c r="AR186" i="15"/>
  <c r="AS245" i="15"/>
  <c r="AR172" i="15"/>
  <c r="BD316" i="15"/>
  <c r="BD243" i="15"/>
  <c r="AL140" i="15"/>
  <c r="AL141" i="15" s="1"/>
  <c r="BQ257" i="15"/>
  <c r="BQ258" i="15" s="1"/>
  <c r="BH16" i="72"/>
  <c r="BD146" i="46"/>
  <c r="BZ71" i="73"/>
  <c r="AR215" i="15"/>
  <c r="AY294" i="15"/>
  <c r="AZ291" i="15"/>
  <c r="AY177" i="15"/>
  <c r="BA291" i="15"/>
  <c r="AP318" i="15"/>
  <c r="AO321" i="15"/>
  <c r="AO185" i="15"/>
  <c r="AO188" i="15" s="1"/>
  <c r="AO459" i="15" s="1"/>
  <c r="AO193" i="15"/>
  <c r="AO181" i="15"/>
  <c r="AO182" i="15" s="1"/>
  <c r="AO191" i="15"/>
  <c r="AU269" i="15"/>
  <c r="AU270" i="15"/>
  <c r="AU171" i="15"/>
  <c r="AW267" i="15"/>
  <c r="AH214" i="15"/>
  <c r="AZ254" i="72"/>
  <c r="AZ257" i="72" s="1"/>
  <c r="BB190" i="72"/>
  <c r="BB254" i="72" s="1"/>
  <c r="BB257" i="72" s="1"/>
  <c r="AP258" i="15"/>
  <c r="AP124" i="15" s="1"/>
  <c r="AR256" i="15"/>
  <c r="AR180" i="15"/>
  <c r="AS304" i="15"/>
  <c r="AR187" i="15"/>
  <c r="BF533" i="15"/>
  <c r="BE250" i="15"/>
  <c r="BE251" i="15" s="1"/>
  <c r="BC403" i="15"/>
  <c r="BK25" i="46"/>
  <c r="BL25" i="46" s="1"/>
  <c r="BL25" i="72"/>
  <c r="BO338" i="15"/>
  <c r="BO131" i="15" s="1"/>
  <c r="BQ336" i="15"/>
  <c r="BF237" i="15"/>
  <c r="BB20" i="46"/>
  <c r="BF148" i="72"/>
  <c r="BA466" i="15"/>
  <c r="BQ424" i="15"/>
  <c r="AS362" i="15"/>
  <c r="AS363" i="15"/>
  <c r="BC156" i="72"/>
  <c r="BD158" i="72"/>
  <c r="BI225" i="15"/>
  <c r="BH231" i="15"/>
  <c r="BH228" i="15"/>
  <c r="AR165" i="15"/>
  <c r="BC116" i="15"/>
  <c r="BC262" i="15" s="1"/>
  <c r="BC118" i="15"/>
  <c r="BC117" i="15"/>
  <c r="BC223" i="15" s="1"/>
  <c r="BP379" i="15"/>
  <c r="BQ379" i="15" s="1"/>
  <c r="BQ377" i="15"/>
  <c r="BG344" i="15"/>
  <c r="BH344" i="15" s="1"/>
  <c r="BF347" i="15"/>
  <c r="AX297" i="15"/>
  <c r="AX169" i="15"/>
  <c r="AX296" i="15"/>
  <c r="BP382" i="15"/>
  <c r="BP384" i="15" s="1"/>
  <c r="BP133" i="15" s="1"/>
  <c r="BQ16" i="51"/>
  <c r="BQ20" i="51" s="1"/>
  <c r="BQ10" i="51"/>
  <c r="BK537" i="15"/>
  <c r="BN37" i="15"/>
  <c r="BN127" i="46"/>
  <c r="BN33" i="51"/>
  <c r="BN46" i="46"/>
  <c r="BF238" i="15"/>
  <c r="BF123" i="15" s="1"/>
  <c r="AT429" i="15" l="1"/>
  <c r="AT448" i="15"/>
  <c r="AT450" i="15" s="1"/>
  <c r="AT451" i="15" s="1"/>
  <c r="BO33" i="51"/>
  <c r="BO37" i="15"/>
  <c r="BO127" i="46"/>
  <c r="BO46" i="46"/>
  <c r="BM537" i="15"/>
  <c r="BL537" i="15"/>
  <c r="BN34" i="51"/>
  <c r="BN41" i="72"/>
  <c r="BN331" i="46"/>
  <c r="BN38" i="15"/>
  <c r="BC227" i="15"/>
  <c r="BG223" i="15"/>
  <c r="BC230" i="15"/>
  <c r="BB466" i="15"/>
  <c r="BA467" i="15"/>
  <c r="BB467" i="15" s="1"/>
  <c r="BC472" i="15" s="1"/>
  <c r="BC466" i="15" s="1"/>
  <c r="BG533" i="15"/>
  <c r="AS180" i="15"/>
  <c r="AT304" i="15"/>
  <c r="AS307" i="15"/>
  <c r="AS187" i="15"/>
  <c r="AO324" i="15"/>
  <c r="AO323" i="15"/>
  <c r="AO163" i="15"/>
  <c r="AO166" i="15" s="1"/>
  <c r="AO460" i="15" s="1"/>
  <c r="AO173" i="15"/>
  <c r="AO174" i="15" s="1"/>
  <c r="BQ21" i="51"/>
  <c r="BQ24" i="71" s="1"/>
  <c r="BI344" i="15"/>
  <c r="BH347" i="15"/>
  <c r="BC316" i="15"/>
  <c r="BC243" i="15"/>
  <c r="BH236" i="15"/>
  <c r="BE158" i="72"/>
  <c r="BE256" i="15"/>
  <c r="BE254" i="15"/>
  <c r="AP185" i="15"/>
  <c r="AP188" i="15" s="1"/>
  <c r="AP459" i="15" s="1"/>
  <c r="AQ318" i="15"/>
  <c r="AP321" i="15"/>
  <c r="AP181" i="15"/>
  <c r="AP182" i="15" s="1"/>
  <c r="AP193" i="15"/>
  <c r="AP191" i="15"/>
  <c r="BA294" i="15"/>
  <c r="BA177" i="15"/>
  <c r="BB291" i="15"/>
  <c r="AY297" i="15"/>
  <c r="AY296" i="15"/>
  <c r="AY169" i="15"/>
  <c r="BD250" i="15"/>
  <c r="BD251" i="15" s="1"/>
  <c r="AT245" i="15"/>
  <c r="AS251" i="15"/>
  <c r="AS253" i="15"/>
  <c r="AS248" i="15"/>
  <c r="AS186" i="15"/>
  <c r="BL258" i="15"/>
  <c r="BH283" i="15"/>
  <c r="BE402" i="15"/>
  <c r="AQ311" i="15"/>
  <c r="AQ128" i="15" s="1"/>
  <c r="AR128" i="15" s="1"/>
  <c r="AN342" i="15"/>
  <c r="AM350" i="15"/>
  <c r="AM351" i="15" s="1"/>
  <c r="BD164" i="46"/>
  <c r="BE190" i="46"/>
  <c r="BB22" i="71"/>
  <c r="BB236" i="72"/>
  <c r="AN174" i="15"/>
  <c r="AN325" i="15"/>
  <c r="AN129" i="15" s="1"/>
  <c r="BM67" i="51"/>
  <c r="BD236" i="15"/>
  <c r="BG218" i="72"/>
  <c r="AU275" i="15"/>
  <c r="AT284" i="15"/>
  <c r="AT285" i="15" s="1"/>
  <c r="AT126" i="15" s="1"/>
  <c r="AT362" i="15"/>
  <c r="AT363" i="15"/>
  <c r="AX34" i="72"/>
  <c r="AX36" i="72" s="1"/>
  <c r="BC195" i="15"/>
  <c r="BD357" i="15"/>
  <c r="BC186" i="15"/>
  <c r="BC14" i="46"/>
  <c r="BN333" i="46"/>
  <c r="BN103" i="46"/>
  <c r="BN65" i="51"/>
  <c r="BN67" i="51" s="1"/>
  <c r="BN129" i="46"/>
  <c r="BC266" i="15"/>
  <c r="BG266" i="15" s="1"/>
  <c r="BH234" i="15"/>
  <c r="BH233" i="15"/>
  <c r="BC154" i="72"/>
  <c r="BC149" i="72"/>
  <c r="AS364" i="15"/>
  <c r="AS132" i="15" s="1"/>
  <c r="BG148" i="72"/>
  <c r="AH215" i="15"/>
  <c r="BX71" i="73"/>
  <c r="BQ382" i="15"/>
  <c r="BQ384" i="15" s="1"/>
  <c r="AQ164" i="15"/>
  <c r="AR164" i="15" s="1"/>
  <c r="AQ257" i="15"/>
  <c r="AR257" i="15" s="1"/>
  <c r="AR258" i="15" s="1"/>
  <c r="AM141" i="15"/>
  <c r="AM159" i="15"/>
  <c r="BF394" i="15"/>
  <c r="BF402" i="15" s="1"/>
  <c r="BF194" i="15"/>
  <c r="BG391" i="15"/>
  <c r="BF397" i="15"/>
  <c r="BF178" i="15"/>
  <c r="BE237" i="15"/>
  <c r="AZ28" i="72"/>
  <c r="AS135" i="46"/>
  <c r="AT133" i="46" s="1"/>
  <c r="AT135" i="46" s="1"/>
  <c r="AU133" i="46" s="1"/>
  <c r="AU134" i="46" s="1"/>
  <c r="AW133" i="46"/>
  <c r="BI473" i="15"/>
  <c r="AR311" i="15"/>
  <c r="BP44" i="46"/>
  <c r="BP45" i="46"/>
  <c r="BO40" i="72"/>
  <c r="AV171" i="15"/>
  <c r="AV270" i="15"/>
  <c r="AW270" i="15" s="1"/>
  <c r="AV269" i="15"/>
  <c r="AV359" i="15"/>
  <c r="AU360" i="15"/>
  <c r="AZ235" i="72"/>
  <c r="BN194" i="46"/>
  <c r="BO174" i="46"/>
  <c r="AH140" i="15"/>
  <c r="AU271" i="15"/>
  <c r="AU125" i="15" s="1"/>
  <c r="AW269" i="15"/>
  <c r="AZ177" i="15"/>
  <c r="AZ294" i="15"/>
  <c r="BZ72" i="73"/>
  <c r="BZ74" i="73" s="1"/>
  <c r="BZ75" i="73"/>
  <c r="BY75" i="73"/>
  <c r="BY77" i="73" s="1"/>
  <c r="BY79" i="73" s="1"/>
  <c r="BY81" i="73" s="1"/>
  <c r="BE146" i="46"/>
  <c r="BJ278" i="15"/>
  <c r="BI281" i="15"/>
  <c r="BI283" i="15" s="1"/>
  <c r="BB473" i="15"/>
  <c r="DV59" i="73"/>
  <c r="BC404" i="15"/>
  <c r="BC134" i="15" s="1"/>
  <c r="AS450" i="15"/>
  <c r="AS451" i="15" s="1"/>
  <c r="BM16" i="72"/>
  <c r="BP21" i="51"/>
  <c r="AX264" i="15"/>
  <c r="AW179" i="15"/>
  <c r="BD234" i="15"/>
  <c r="BD233" i="15"/>
  <c r="BA235" i="72"/>
  <c r="AX236" i="72"/>
  <c r="BA236" i="72"/>
  <c r="AY236" i="72"/>
  <c r="AZ236" i="72"/>
  <c r="BQ133" i="15"/>
  <c r="BJ465" i="15"/>
  <c r="AX298" i="15"/>
  <c r="AX127" i="15" s="1"/>
  <c r="BJ225" i="15"/>
  <c r="BI228" i="15"/>
  <c r="BI236" i="15" s="1"/>
  <c r="BI231" i="15"/>
  <c r="BF349" i="15"/>
  <c r="BG347" i="15"/>
  <c r="BQ338" i="15"/>
  <c r="BC252" i="72"/>
  <c r="BB259" i="72"/>
  <c r="BG252" i="72"/>
  <c r="AO196" i="15"/>
  <c r="AO153" i="15"/>
  <c r="AO149" i="15"/>
  <c r="BF257" i="15"/>
  <c r="BF258" i="15" s="1"/>
  <c r="BF124" i="15" s="1"/>
  <c r="BE399" i="15"/>
  <c r="BE400" i="15"/>
  <c r="BE170" i="15" s="1"/>
  <c r="BG397" i="15"/>
  <c r="BP338" i="15"/>
  <c r="BP131" i="15" s="1"/>
  <c r="BQ131" i="15" s="1"/>
  <c r="AN154" i="15"/>
  <c r="BQ16" i="72"/>
  <c r="BP159" i="72"/>
  <c r="BO152" i="72"/>
  <c r="BO25" i="72" s="1"/>
  <c r="BO25" i="46" s="1"/>
  <c r="BE447" i="15"/>
  <c r="BE12" i="15" s="1"/>
  <c r="BE14" i="46" s="1"/>
  <c r="BF431" i="15"/>
  <c r="BE445" i="15"/>
  <c r="AR524" i="15"/>
  <c r="AN524" i="15"/>
  <c r="AN526" i="15" s="1"/>
  <c r="AO524" i="15" s="1"/>
  <c r="AO526" i="15" s="1"/>
  <c r="AP524" i="15" s="1"/>
  <c r="AP525" i="15" s="1"/>
  <c r="AX38" i="72" l="1"/>
  <c r="AX44" i="72" s="1"/>
  <c r="AX234" i="72"/>
  <c r="AX238" i="72"/>
  <c r="AX43" i="72"/>
  <c r="AX189" i="72"/>
  <c r="BD466" i="15"/>
  <c r="BC467" i="15"/>
  <c r="BD472" i="15" s="1"/>
  <c r="BK465" i="15"/>
  <c r="BG431" i="15"/>
  <c r="BH431" i="15" s="1"/>
  <c r="BF447" i="15"/>
  <c r="BF445" i="15"/>
  <c r="AO151" i="15"/>
  <c r="BG349" i="15"/>
  <c r="BF146" i="46"/>
  <c r="AW271" i="15"/>
  <c r="BD195" i="15"/>
  <c r="BE357" i="15"/>
  <c r="BD186" i="15"/>
  <c r="AR525" i="15"/>
  <c r="AR526" i="15" s="1"/>
  <c r="AP526" i="15"/>
  <c r="AQ524" i="15" s="1"/>
  <c r="AQ526" i="15" s="1"/>
  <c r="AP532" i="15"/>
  <c r="BG394" i="15"/>
  <c r="BG399" i="15"/>
  <c r="BI234" i="15"/>
  <c r="BI233" i="15"/>
  <c r="BJ228" i="15"/>
  <c r="BJ231" i="15"/>
  <c r="BK225" i="15"/>
  <c r="AZ297" i="15"/>
  <c r="AZ296" i="15"/>
  <c r="AZ169" i="15"/>
  <c r="BB294" i="15"/>
  <c r="AW125" i="15"/>
  <c r="AQ258" i="15"/>
  <c r="AQ124" i="15" s="1"/>
  <c r="AV271" i="15"/>
  <c r="AV125" i="15" s="1"/>
  <c r="AV275" i="15"/>
  <c r="AU284" i="15"/>
  <c r="AU285" i="15" s="1"/>
  <c r="AU126" i="15" s="1"/>
  <c r="AS254" i="15"/>
  <c r="AO325" i="15"/>
  <c r="AO129" i="15" s="1"/>
  <c r="AS310" i="15"/>
  <c r="AS172" i="15"/>
  <c r="AS309" i="15"/>
  <c r="AS165" i="15"/>
  <c r="BG227" i="15"/>
  <c r="BC228" i="15"/>
  <c r="BN537" i="15"/>
  <c r="BO333" i="46"/>
  <c r="BO103" i="46"/>
  <c r="BO65" i="51"/>
  <c r="BO67" i="51" s="1"/>
  <c r="BO129" i="46"/>
  <c r="AU362" i="15"/>
  <c r="AU363" i="15"/>
  <c r="AU164" i="15"/>
  <c r="BP127" i="46"/>
  <c r="BP33" i="51"/>
  <c r="BP37" i="15"/>
  <c r="BP46" i="46"/>
  <c r="BQ46" i="46" s="1"/>
  <c r="BJ473" i="15"/>
  <c r="BH148" i="72"/>
  <c r="BC150" i="72"/>
  <c r="BD156" i="72" s="1"/>
  <c r="BG445" i="15"/>
  <c r="AO342" i="15"/>
  <c r="AN350" i="15"/>
  <c r="AN351" i="15" s="1"/>
  <c r="AN130" i="15" s="1"/>
  <c r="AN140" i="15" s="1"/>
  <c r="AN141" i="15" s="1"/>
  <c r="AT248" i="15"/>
  <c r="AT251" i="15"/>
  <c r="AT254" i="15" s="1"/>
  <c r="AT186" i="15"/>
  <c r="BA297" i="15"/>
  <c r="BA169" i="15"/>
  <c r="BA296" i="15"/>
  <c r="AP163" i="15"/>
  <c r="AP166" i="15" s="1"/>
  <c r="AP460" i="15" s="1"/>
  <c r="AP323" i="15"/>
  <c r="AP324" i="15"/>
  <c r="AP173" i="15"/>
  <c r="BH349" i="15"/>
  <c r="AU304" i="15"/>
  <c r="AT307" i="15"/>
  <c r="AT180" i="15"/>
  <c r="AT187" i="15"/>
  <c r="BH533" i="15"/>
  <c r="BG230" i="15"/>
  <c r="BC231" i="15"/>
  <c r="AU448" i="15"/>
  <c r="AU429" i="15"/>
  <c r="BQ159" i="72"/>
  <c r="BP152" i="72"/>
  <c r="AY264" i="15"/>
  <c r="AX267" i="15"/>
  <c r="AX179" i="15"/>
  <c r="BJ281" i="15"/>
  <c r="BJ283" i="15" s="1"/>
  <c r="BK278" i="15"/>
  <c r="BZ77" i="73"/>
  <c r="BZ79" i="73" s="1"/>
  <c r="BZ81" i="73" s="1"/>
  <c r="AH141" i="15"/>
  <c r="AH159" i="15"/>
  <c r="BP174" i="46"/>
  <c r="BO194" i="46"/>
  <c r="AW359" i="15"/>
  <c r="AX359" i="15" s="1"/>
  <c r="AV360" i="15"/>
  <c r="AW360" i="15" s="1"/>
  <c r="BQ44" i="46"/>
  <c r="BP40" i="72"/>
  <c r="BF399" i="15"/>
  <c r="BF400" i="15"/>
  <c r="BX72" i="73"/>
  <c r="BX74" i="73" s="1"/>
  <c r="BX75" i="73"/>
  <c r="BX77" i="73" s="1"/>
  <c r="BX79" i="73" s="1"/>
  <c r="BX81" i="73" s="1"/>
  <c r="BH237" i="15"/>
  <c r="AT364" i="15"/>
  <c r="AT132" i="15" s="1"/>
  <c r="BH218" i="72"/>
  <c r="BF190" i="46"/>
  <c r="BE164" i="46"/>
  <c r="AW248" i="15"/>
  <c r="AS256" i="15"/>
  <c r="BD254" i="15"/>
  <c r="BD256" i="15"/>
  <c r="AY298" i="15"/>
  <c r="AY127" i="15" s="1"/>
  <c r="AP196" i="15"/>
  <c r="AP149" i="15"/>
  <c r="AP151" i="15" s="1"/>
  <c r="AP152" i="15" s="1"/>
  <c r="AP136" i="15" s="1"/>
  <c r="AP153" i="15"/>
  <c r="AQ321" i="15"/>
  <c r="AR318" i="15"/>
  <c r="AQ185" i="15"/>
  <c r="AQ188" i="15" s="1"/>
  <c r="AQ459" i="15" s="1"/>
  <c r="AQ191" i="15"/>
  <c r="AQ193" i="15"/>
  <c r="AQ181" i="15"/>
  <c r="AQ182" i="15" s="1"/>
  <c r="BE257" i="15"/>
  <c r="BE258" i="15" s="1"/>
  <c r="BE124" i="15" s="1"/>
  <c r="BH238" i="15"/>
  <c r="BH123" i="15" s="1"/>
  <c r="BJ344" i="15"/>
  <c r="BI347" i="15"/>
  <c r="BI349" i="15" s="1"/>
  <c r="AW171" i="15"/>
  <c r="BQ45" i="46"/>
  <c r="BL280" i="15"/>
  <c r="BD170" i="15"/>
  <c r="BD237" i="15"/>
  <c r="BE403" i="15"/>
  <c r="BG400" i="15"/>
  <c r="BB53" i="73"/>
  <c r="BB260" i="72"/>
  <c r="AW134" i="46"/>
  <c r="AU135" i="46"/>
  <c r="AV133" i="46" s="1"/>
  <c r="AV135" i="46" s="1"/>
  <c r="BH391" i="15"/>
  <c r="BG194" i="15"/>
  <c r="BG178" i="15"/>
  <c r="BC19" i="72"/>
  <c r="BD238" i="15"/>
  <c r="BD123" i="15" s="1"/>
  <c r="BE238" i="15"/>
  <c r="BE123" i="15" s="1"/>
  <c r="BE404" i="15"/>
  <c r="BE134" i="15" s="1"/>
  <c r="BG402" i="15"/>
  <c r="BB177" i="15"/>
  <c r="BC291" i="15"/>
  <c r="BF158" i="72"/>
  <c r="BC250" i="15"/>
  <c r="BO38" i="15"/>
  <c r="BO41" i="72"/>
  <c r="BO34" i="51"/>
  <c r="BO331" i="46"/>
  <c r="AS524" i="15" l="1"/>
  <c r="AS526" i="15" s="1"/>
  <c r="AT524" i="15" s="1"/>
  <c r="AT526" i="15" s="1"/>
  <c r="AU524" i="15" s="1"/>
  <c r="AU525" i="15" s="1"/>
  <c r="AW524" i="15"/>
  <c r="DF8" i="73"/>
  <c r="BQ34" i="51"/>
  <c r="BQ44" i="71"/>
  <c r="BQ38" i="15"/>
  <c r="BQ215" i="15" s="1"/>
  <c r="BQ41" i="72"/>
  <c r="BQ61" i="73" s="1"/>
  <c r="BG134" i="15"/>
  <c r="BC251" i="15"/>
  <c r="BG250" i="15"/>
  <c r="BG404" i="15"/>
  <c r="BH394" i="15"/>
  <c r="BH397" i="15"/>
  <c r="BH194" i="15"/>
  <c r="BI391" i="15"/>
  <c r="BH178" i="15"/>
  <c r="BK344" i="15"/>
  <c r="BJ347" i="15"/>
  <c r="BJ349" i="15" s="1"/>
  <c r="BD257" i="15"/>
  <c r="BD258" i="15" s="1"/>
  <c r="BD124" i="15" s="1"/>
  <c r="BG190" i="46"/>
  <c r="BF164" i="46"/>
  <c r="BF403" i="15"/>
  <c r="BF404" i="15" s="1"/>
  <c r="BF134" i="15" s="1"/>
  <c r="BF170" i="15"/>
  <c r="AY267" i="15"/>
  <c r="BA264" i="15"/>
  <c r="AZ264" i="15"/>
  <c r="AY179" i="15"/>
  <c r="AP174" i="15"/>
  <c r="AT256" i="15"/>
  <c r="BG403" i="15"/>
  <c r="BQ43" i="71"/>
  <c r="BQ33" i="51"/>
  <c r="BQ37" i="15"/>
  <c r="AS318" i="15"/>
  <c r="AR185" i="15"/>
  <c r="AR188" i="15" s="1"/>
  <c r="AR459" i="15" s="1"/>
  <c r="AR181" i="15"/>
  <c r="AR182" i="15" s="1"/>
  <c r="AR191" i="15"/>
  <c r="AR193" i="15"/>
  <c r="AW256" i="15"/>
  <c r="AY359" i="15"/>
  <c r="AX360" i="15"/>
  <c r="BL278" i="15"/>
  <c r="BK281" i="15"/>
  <c r="BK283" i="15" s="1"/>
  <c r="BI533" i="15"/>
  <c r="BI148" i="72"/>
  <c r="AV284" i="15"/>
  <c r="AV285" i="15" s="1"/>
  <c r="AV126" i="15" s="1"/>
  <c r="AW275" i="15"/>
  <c r="AR124" i="15"/>
  <c r="BL225" i="15"/>
  <c r="BK231" i="15"/>
  <c r="BK228" i="15"/>
  <c r="BE195" i="15"/>
  <c r="BF357" i="15"/>
  <c r="BE186" i="15"/>
  <c r="AX69" i="46"/>
  <c r="AX45" i="72"/>
  <c r="AQ324" i="15"/>
  <c r="AR324" i="15" s="1"/>
  <c r="AQ323" i="15"/>
  <c r="AQ325" i="15" s="1"/>
  <c r="AQ129" i="15" s="1"/>
  <c r="AQ163" i="15"/>
  <c r="AQ166" i="15" s="1"/>
  <c r="AQ460" i="15" s="1"/>
  <c r="AQ173" i="15"/>
  <c r="AQ174" i="15" s="1"/>
  <c r="AR321" i="15"/>
  <c r="AR163" i="15" s="1"/>
  <c r="AR166" i="15" s="1"/>
  <c r="AV448" i="15"/>
  <c r="AV450" i="15" s="1"/>
  <c r="AV451" i="15" s="1"/>
  <c r="AV429" i="15"/>
  <c r="AW429" i="15" s="1"/>
  <c r="AT309" i="15"/>
  <c r="AT172" i="15"/>
  <c r="AT310" i="15"/>
  <c r="AT165" i="15"/>
  <c r="AP325" i="15"/>
  <c r="AP129" i="15" s="1"/>
  <c r="AR323" i="15"/>
  <c r="AT257" i="15"/>
  <c r="AT164" i="15"/>
  <c r="BL281" i="15"/>
  <c r="BL283" i="15" s="1"/>
  <c r="BK473" i="15"/>
  <c r="BP103" i="46"/>
  <c r="BP65" i="51"/>
  <c r="BP67" i="51" s="1"/>
  <c r="BP333" i="46"/>
  <c r="BQ333" i="46" s="1"/>
  <c r="BP129" i="46"/>
  <c r="BQ127" i="46"/>
  <c r="EI55" i="71" s="1"/>
  <c r="BQ129" i="46"/>
  <c r="AW251" i="15"/>
  <c r="BJ234" i="15"/>
  <c r="BJ233" i="15"/>
  <c r="BL231" i="15"/>
  <c r="BL465" i="15"/>
  <c r="BM465" i="15" s="1"/>
  <c r="BE466" i="15"/>
  <c r="BD467" i="15"/>
  <c r="BE472" i="15" s="1"/>
  <c r="BC294" i="15"/>
  <c r="BD291" i="15"/>
  <c r="BC177" i="15"/>
  <c r="BC21" i="72"/>
  <c r="BC23" i="72" s="1"/>
  <c r="BC190" i="72"/>
  <c r="AP154" i="15"/>
  <c r="BI218" i="72"/>
  <c r="BQ42" i="71"/>
  <c r="BQ40" i="72"/>
  <c r="BQ174" i="46"/>
  <c r="BQ194" i="46" s="1"/>
  <c r="BP194" i="46"/>
  <c r="AX270" i="15"/>
  <c r="AX171" i="15"/>
  <c r="AX269" i="15"/>
  <c r="BQ152" i="72"/>
  <c r="BP25" i="72"/>
  <c r="AU450" i="15"/>
  <c r="AU451" i="15" s="1"/>
  <c r="AW448" i="15"/>
  <c r="AW450" i="15" s="1"/>
  <c r="AW451" i="15" s="1"/>
  <c r="AU307" i="15"/>
  <c r="AV304" i="15"/>
  <c r="AU180" i="15"/>
  <c r="AU187" i="15"/>
  <c r="AT253" i="15"/>
  <c r="AW253" i="15" s="1"/>
  <c r="BD154" i="72"/>
  <c r="BP331" i="46"/>
  <c r="BP41" i="72"/>
  <c r="BP38" i="15"/>
  <c r="BP34" i="51"/>
  <c r="AU364" i="15"/>
  <c r="AU132" i="15" s="1"/>
  <c r="BO537" i="15"/>
  <c r="AS311" i="15"/>
  <c r="AS128" i="15" s="1"/>
  <c r="AS257" i="15"/>
  <c r="AW257" i="15" s="1"/>
  <c r="AW254" i="15"/>
  <c r="AS164" i="15"/>
  <c r="AR129" i="15"/>
  <c r="AZ298" i="15"/>
  <c r="AZ127" i="15" s="1"/>
  <c r="BB127" i="15" s="1"/>
  <c r="BB296" i="15"/>
  <c r="BI237" i="15"/>
  <c r="BF12" i="15"/>
  <c r="BG447" i="15"/>
  <c r="AQ196" i="15"/>
  <c r="AQ149" i="15"/>
  <c r="AQ151" i="15" s="1"/>
  <c r="AQ152" i="15" s="1"/>
  <c r="AQ136" i="15" s="1"/>
  <c r="AQ153" i="15"/>
  <c r="AQ154" i="15" s="1"/>
  <c r="AW135" i="46"/>
  <c r="AX133" i="46" s="1"/>
  <c r="BB133" i="46" s="1"/>
  <c r="DO62" i="71"/>
  <c r="DO64" i="71" s="1"/>
  <c r="AV362" i="15"/>
  <c r="AW362" i="15" s="1"/>
  <c r="AW364" i="15" s="1"/>
  <c r="AV363" i="15"/>
  <c r="AW363" i="15" s="1"/>
  <c r="AV164" i="15"/>
  <c r="BG231" i="15"/>
  <c r="BC234" i="15"/>
  <c r="BC233" i="15"/>
  <c r="BG233" i="15" s="1"/>
  <c r="BA298" i="15"/>
  <c r="BA127" i="15" s="1"/>
  <c r="AP342" i="15"/>
  <c r="AO350" i="15"/>
  <c r="AO351" i="15" s="1"/>
  <c r="AO130" i="15" s="1"/>
  <c r="BD149" i="72"/>
  <c r="BQ103" i="46"/>
  <c r="BC236" i="15"/>
  <c r="BG228" i="15"/>
  <c r="AW126" i="15"/>
  <c r="BB297" i="15"/>
  <c r="BB169" i="15"/>
  <c r="BB293" i="15"/>
  <c r="BJ236" i="15"/>
  <c r="AP534" i="15"/>
  <c r="AP548" i="15"/>
  <c r="BG146" i="46"/>
  <c r="AO152" i="15"/>
  <c r="AR151" i="15"/>
  <c r="BI431" i="15"/>
  <c r="BH445" i="15"/>
  <c r="BH447" i="15"/>
  <c r="AX194" i="72"/>
  <c r="AX208" i="72" s="1"/>
  <c r="AX210" i="72" s="1"/>
  <c r="AX225" i="72"/>
  <c r="AX217" i="72" l="1"/>
  <c r="AX211" i="72"/>
  <c r="AP549" i="15"/>
  <c r="BF14" i="46"/>
  <c r="BG14" i="46" s="1"/>
  <c r="BG12" i="15"/>
  <c r="BB298" i="15"/>
  <c r="AU172" i="15"/>
  <c r="AU310" i="15"/>
  <c r="AU309" i="15"/>
  <c r="AU165" i="15"/>
  <c r="BC169" i="15"/>
  <c r="BC297" i="15"/>
  <c r="BC296" i="15"/>
  <c r="BM473" i="15"/>
  <c r="AX448" i="15"/>
  <c r="AX429" i="15" s="1"/>
  <c r="BJ533" i="15"/>
  <c r="BM278" i="15"/>
  <c r="AS258" i="15"/>
  <c r="AS124" i="15" s="1"/>
  <c r="AZ267" i="15"/>
  <c r="AZ179" i="15"/>
  <c r="BH399" i="15"/>
  <c r="BH400" i="15"/>
  <c r="BG251" i="15"/>
  <c r="BC256" i="15"/>
  <c r="BC254" i="15"/>
  <c r="BH12" i="15"/>
  <c r="AO136" i="15"/>
  <c r="AR152" i="15"/>
  <c r="AO154" i="15"/>
  <c r="AR154" i="15" s="1"/>
  <c r="AP543" i="15"/>
  <c r="AP535" i="15" s="1"/>
  <c r="BD150" i="72"/>
  <c r="BE156" i="72" s="1"/>
  <c r="BI238" i="15"/>
  <c r="BI123" i="15" s="1"/>
  <c r="AX271" i="15"/>
  <c r="AX125" i="15" s="1"/>
  <c r="AR153" i="15"/>
  <c r="BJ237" i="15"/>
  <c r="BL234" i="15"/>
  <c r="AR149" i="15"/>
  <c r="BK234" i="15"/>
  <c r="BK233" i="15"/>
  <c r="BL233" i="15" s="1"/>
  <c r="BJ148" i="72"/>
  <c r="AX363" i="15"/>
  <c r="AX362" i="15"/>
  <c r="AX164" i="15"/>
  <c r="AW258" i="15"/>
  <c r="AT258" i="15"/>
  <c r="AT124" i="15" s="1"/>
  <c r="BA267" i="15"/>
  <c r="BA179" i="15"/>
  <c r="BB264" i="15"/>
  <c r="BL344" i="15"/>
  <c r="BM344" i="15" s="1"/>
  <c r="BK347" i="15"/>
  <c r="BH402" i="15"/>
  <c r="BH146" i="46"/>
  <c r="BG234" i="15"/>
  <c r="BC170" i="15"/>
  <c r="BG170" i="15" s="1"/>
  <c r="BC237" i="15"/>
  <c r="BC254" i="72"/>
  <c r="BC257" i="72" s="1"/>
  <c r="BD252" i="72" s="1"/>
  <c r="BE291" i="15"/>
  <c r="BD177" i="15"/>
  <c r="BD294" i="15"/>
  <c r="BF466" i="15"/>
  <c r="BE467" i="15"/>
  <c r="BF472" i="15" s="1"/>
  <c r="BG472" i="15" s="1"/>
  <c r="AR325" i="15"/>
  <c r="BA359" i="15"/>
  <c r="AZ359" i="15"/>
  <c r="AZ360" i="15" s="1"/>
  <c r="AY360" i="15"/>
  <c r="AT318" i="15"/>
  <c r="AS321" i="15"/>
  <c r="AS185" i="15"/>
  <c r="AS188" i="15" s="1"/>
  <c r="AS459" i="15" s="1"/>
  <c r="AS191" i="15"/>
  <c r="AS193" i="15"/>
  <c r="AS181" i="15"/>
  <c r="AS182" i="15" s="1"/>
  <c r="AR173" i="15"/>
  <c r="AR174" i="15" s="1"/>
  <c r="AY270" i="15"/>
  <c r="AY269" i="15"/>
  <c r="AY171" i="15"/>
  <c r="BG164" i="46"/>
  <c r="BI397" i="15"/>
  <c r="BJ391" i="15"/>
  <c r="BI194" i="15"/>
  <c r="BI394" i="15"/>
  <c r="BI178" i="15"/>
  <c r="BJ238" i="15"/>
  <c r="BJ123" i="15" s="1"/>
  <c r="BJ431" i="15"/>
  <c r="BI445" i="15"/>
  <c r="BI447" i="15"/>
  <c r="BI12" i="15" s="1"/>
  <c r="BI14" i="46" s="1"/>
  <c r="BG236" i="15"/>
  <c r="BC238" i="15"/>
  <c r="BC123" i="15" s="1"/>
  <c r="AQ342" i="15"/>
  <c r="AP350" i="15"/>
  <c r="AP351" i="15" s="1"/>
  <c r="AP130" i="15" s="1"/>
  <c r="AP140" i="15" s="1"/>
  <c r="AP141" i="15" s="1"/>
  <c r="AV364" i="15"/>
  <c r="AV132" i="15" s="1"/>
  <c r="AW132" i="15" s="1"/>
  <c r="AW164" i="15"/>
  <c r="BP537" i="15"/>
  <c r="BD19" i="72"/>
  <c r="AV307" i="15"/>
  <c r="AW304" i="15"/>
  <c r="AV180" i="15"/>
  <c r="AV187" i="15"/>
  <c r="BP25" i="46"/>
  <c r="BQ25" i="46" s="1"/>
  <c r="BQ25" i="72"/>
  <c r="EI15" i="71"/>
  <c r="BJ218" i="72"/>
  <c r="BC20" i="46"/>
  <c r="BC27" i="72"/>
  <c r="BN465" i="15"/>
  <c r="AT311" i="15"/>
  <c r="AT128" i="15" s="1"/>
  <c r="AR460" i="15"/>
  <c r="BF195" i="15"/>
  <c r="BG357" i="15"/>
  <c r="BF186" i="15"/>
  <c r="BK236" i="15"/>
  <c r="BL228" i="15"/>
  <c r="BM225" i="15"/>
  <c r="AW284" i="15"/>
  <c r="AW285" i="15" s="1"/>
  <c r="AX275" i="15"/>
  <c r="BQ65" i="51"/>
  <c r="BQ67" i="51" s="1"/>
  <c r="AR196" i="15"/>
  <c r="DY12" i="71"/>
  <c r="BH190" i="46"/>
  <c r="DG8" i="73"/>
  <c r="DF9" i="73"/>
  <c r="AW525" i="15"/>
  <c r="AW526" i="15" s="1"/>
  <c r="AX524" i="15" s="1"/>
  <c r="BB524" i="15" s="1"/>
  <c r="AU532" i="15"/>
  <c r="AU526" i="15"/>
  <c r="AV524" i="15" s="1"/>
  <c r="AV526" i="15" s="1"/>
  <c r="AY448" i="15" l="1"/>
  <c r="AY429" i="15"/>
  <c r="DW59" i="73"/>
  <c r="DH8" i="73"/>
  <c r="DG9" i="73"/>
  <c r="BH357" i="15"/>
  <c r="BG195" i="15"/>
  <c r="BG186" i="15"/>
  <c r="BO465" i="15"/>
  <c r="BG123" i="15"/>
  <c r="BJ194" i="15"/>
  <c r="BK391" i="15"/>
  <c r="BJ394" i="15"/>
  <c r="BJ397" i="15"/>
  <c r="BJ178" i="15"/>
  <c r="AZ362" i="15"/>
  <c r="AZ363" i="15"/>
  <c r="AZ164" i="15"/>
  <c r="BH466" i="15"/>
  <c r="BG466" i="15"/>
  <c r="BF467" i="15"/>
  <c r="BG467" i="15" s="1"/>
  <c r="BH472" i="15" s="1"/>
  <c r="AX364" i="15"/>
  <c r="AX132" i="15" s="1"/>
  <c r="AR136" i="15"/>
  <c r="AR147" i="15" s="1"/>
  <c r="AO140" i="15"/>
  <c r="AO141" i="15" s="1"/>
  <c r="BG256" i="15"/>
  <c r="AZ171" i="15"/>
  <c r="AZ270" i="15"/>
  <c r="AZ269" i="15"/>
  <c r="BB267" i="15"/>
  <c r="BM281" i="15"/>
  <c r="BN278" i="15"/>
  <c r="AX219" i="72"/>
  <c r="BK218" i="72"/>
  <c r="AS324" i="15"/>
  <c r="AS323" i="15"/>
  <c r="AS163" i="15"/>
  <c r="AS166" i="15" s="1"/>
  <c r="AS460" i="15" s="1"/>
  <c r="AS173" i="15"/>
  <c r="BD169" i="15"/>
  <c r="BD297" i="15"/>
  <c r="BD296" i="15"/>
  <c r="BD298" i="15" s="1"/>
  <c r="BD127" i="15" s="1"/>
  <c r="AP538" i="15"/>
  <c r="AP541" i="15"/>
  <c r="AP544" i="15"/>
  <c r="AP555" i="15"/>
  <c r="AW124" i="15"/>
  <c r="AX13" i="15"/>
  <c r="AX450" i="15"/>
  <c r="AX451" i="15" s="1"/>
  <c r="BC298" i="15"/>
  <c r="BC127" i="15" s="1"/>
  <c r="AP556" i="15"/>
  <c r="BD21" i="72"/>
  <c r="BD23" i="72" s="1"/>
  <c r="BD190" i="72"/>
  <c r="BK431" i="15"/>
  <c r="BJ445" i="15"/>
  <c r="BJ447" i="15"/>
  <c r="BB359" i="15"/>
  <c r="BC359" i="15" s="1"/>
  <c r="BA360" i="15"/>
  <c r="BB179" i="15"/>
  <c r="BC264" i="15"/>
  <c r="BE154" i="72"/>
  <c r="BC28" i="72"/>
  <c r="BC235" i="72"/>
  <c r="AW180" i="15"/>
  <c r="AX304" i="15"/>
  <c r="AW187" i="15"/>
  <c r="BG238" i="15"/>
  <c r="BL236" i="15"/>
  <c r="BI402" i="15"/>
  <c r="AY271" i="15"/>
  <c r="AY125" i="15" s="1"/>
  <c r="AT321" i="15"/>
  <c r="AU318" i="15"/>
  <c r="AT185" i="15"/>
  <c r="AT188" i="15" s="1"/>
  <c r="AT459" i="15" s="1"/>
  <c r="AT193" i="15"/>
  <c r="AT191" i="15"/>
  <c r="AT181" i="15"/>
  <c r="AT182" i="15" s="1"/>
  <c r="BG237" i="15"/>
  <c r="BI146" i="46"/>
  <c r="BK349" i="15"/>
  <c r="BL347" i="15"/>
  <c r="BE149" i="72"/>
  <c r="BH14" i="46"/>
  <c r="BH403" i="15"/>
  <c r="BH404" i="15" s="1"/>
  <c r="BH134" i="15" s="1"/>
  <c r="BH170" i="15"/>
  <c r="AU311" i="15"/>
  <c r="AU128" i="15" s="1"/>
  <c r="AW128" i="15" s="1"/>
  <c r="AY209" i="72"/>
  <c r="AX215" i="72"/>
  <c r="AY181" i="72" s="1"/>
  <c r="BI400" i="15"/>
  <c r="BI399" i="15"/>
  <c r="AU548" i="15"/>
  <c r="AU534" i="15"/>
  <c r="BH164" i="46"/>
  <c r="BI190" i="46"/>
  <c r="AY275" i="15"/>
  <c r="AX284" i="15"/>
  <c r="BN225" i="15"/>
  <c r="BM231" i="15"/>
  <c r="BM228" i="15"/>
  <c r="AV310" i="15"/>
  <c r="AW310" i="15" s="1"/>
  <c r="AV309" i="15"/>
  <c r="AV311" i="15" s="1"/>
  <c r="AV128" i="15" s="1"/>
  <c r="AV172" i="15"/>
  <c r="AV165" i="15"/>
  <c r="AW165" i="15" s="1"/>
  <c r="AW307" i="15"/>
  <c r="AW306" i="15" s="1"/>
  <c r="BQ537" i="15"/>
  <c r="AR342" i="15"/>
  <c r="AQ350" i="15"/>
  <c r="AQ351" i="15" s="1"/>
  <c r="AQ130" i="15" s="1"/>
  <c r="AQ140" i="15" s="1"/>
  <c r="AQ141" i="15" s="1"/>
  <c r="AS149" i="15"/>
  <c r="AS196" i="15"/>
  <c r="AS153" i="15"/>
  <c r="AY363" i="15"/>
  <c r="AY362" i="15"/>
  <c r="AY364" i="15" s="1"/>
  <c r="AY132" i="15" s="1"/>
  <c r="AY164" i="15"/>
  <c r="BE294" i="15"/>
  <c r="BF291" i="15"/>
  <c r="BE177" i="15"/>
  <c r="BM347" i="15"/>
  <c r="BN344" i="15"/>
  <c r="BA269" i="15"/>
  <c r="BA171" i="15"/>
  <c r="BB171" i="15" s="1"/>
  <c r="BA270" i="15"/>
  <c r="BK148" i="72"/>
  <c r="BK237" i="15"/>
  <c r="BG254" i="15"/>
  <c r="BC257" i="15"/>
  <c r="BG257" i="15" s="1"/>
  <c r="BK533" i="15"/>
  <c r="BN473" i="15"/>
  <c r="AY30" i="72" l="1"/>
  <c r="BL349" i="15"/>
  <c r="AY304" i="15"/>
  <c r="AX307" i="15"/>
  <c r="AX180" i="15"/>
  <c r="AX187" i="15"/>
  <c r="BD254" i="72"/>
  <c r="BD257" i="72" s="1"/>
  <c r="BE252" i="72" s="1"/>
  <c r="AS325" i="15"/>
  <c r="AS129" i="15" s="1"/>
  <c r="AR130" i="15"/>
  <c r="BI466" i="15"/>
  <c r="BH467" i="15"/>
  <c r="BI472" i="15" s="1"/>
  <c r="BJ402" i="15"/>
  <c r="BP465" i="15"/>
  <c r="BH195" i="15"/>
  <c r="BI357" i="15"/>
  <c r="BH186" i="15"/>
  <c r="AZ429" i="15"/>
  <c r="BA448" i="15"/>
  <c r="BA429" i="15"/>
  <c r="BB429" i="15" s="1"/>
  <c r="AZ448" i="15"/>
  <c r="BL533" i="15"/>
  <c r="AU535" i="15"/>
  <c r="AU543" i="15"/>
  <c r="AW309" i="15"/>
  <c r="AW311" i="15" s="1"/>
  <c r="BL148" i="72"/>
  <c r="BF294" i="15"/>
  <c r="BG291" i="15"/>
  <c r="BF177" i="15"/>
  <c r="BA275" i="15"/>
  <c r="AY284" i="15"/>
  <c r="AZ275" i="15"/>
  <c r="AZ284" i="15" s="1"/>
  <c r="AZ285" i="15" s="1"/>
  <c r="AZ126" i="15" s="1"/>
  <c r="AU549" i="15"/>
  <c r="AU556" i="15"/>
  <c r="BI403" i="15"/>
  <c r="BI170" i="15"/>
  <c r="BE150" i="72"/>
  <c r="BF156" i="72" s="1"/>
  <c r="BE19" i="72"/>
  <c r="BA362" i="15"/>
  <c r="BA364" i="15" s="1"/>
  <c r="BA132" i="15" s="1"/>
  <c r="BA363" i="15"/>
  <c r="BB363" i="15" s="1"/>
  <c r="BA164" i="15"/>
  <c r="BB164" i="15" s="1"/>
  <c r="BK445" i="15"/>
  <c r="BL445" i="15" s="1"/>
  <c r="BL431" i="15"/>
  <c r="BM431" i="15" s="1"/>
  <c r="BK447" i="15"/>
  <c r="BK12" i="15" s="1"/>
  <c r="BK14" i="46" s="1"/>
  <c r="BD20" i="46"/>
  <c r="BD27" i="72"/>
  <c r="AS174" i="15"/>
  <c r="BM283" i="15"/>
  <c r="AZ271" i="15"/>
  <c r="AZ125" i="15" s="1"/>
  <c r="BB125" i="15" s="1"/>
  <c r="BC258" i="15"/>
  <c r="BC124" i="15" s="1"/>
  <c r="BL391" i="15"/>
  <c r="BK397" i="15"/>
  <c r="BK394" i="15"/>
  <c r="BK402" i="15" s="1"/>
  <c r="BK194" i="15"/>
  <c r="BK178" i="15"/>
  <c r="BG473" i="15"/>
  <c r="AY13" i="15"/>
  <c r="AY450" i="15"/>
  <c r="AY451" i="15" s="1"/>
  <c r="BM349" i="15"/>
  <c r="BM234" i="15"/>
  <c r="BM233" i="15"/>
  <c r="BA271" i="15"/>
  <c r="BA125" i="15" s="1"/>
  <c r="BE296" i="15"/>
  <c r="BE169" i="15"/>
  <c r="BE297" i="15"/>
  <c r="AS342" i="15"/>
  <c r="AR350" i="15"/>
  <c r="AR351" i="15" s="1"/>
  <c r="BO225" i="15"/>
  <c r="BN231" i="15"/>
  <c r="BN228" i="15"/>
  <c r="BJ146" i="46"/>
  <c r="AU321" i="15"/>
  <c r="AV318" i="15"/>
  <c r="AU181" i="15"/>
  <c r="AU182" i="15" s="1"/>
  <c r="AU185" i="15"/>
  <c r="AU188" i="15" s="1"/>
  <c r="AU459" i="15" s="1"/>
  <c r="AU193" i="15"/>
  <c r="AU191" i="15"/>
  <c r="BI404" i="15"/>
  <c r="BI134" i="15" s="1"/>
  <c r="BC236" i="72"/>
  <c r="BD264" i="15"/>
  <c r="BC179" i="15"/>
  <c r="BC267" i="15"/>
  <c r="BD359" i="15"/>
  <c r="BC360" i="15"/>
  <c r="BO278" i="15"/>
  <c r="BN281" i="15"/>
  <c r="BN283" i="15" s="1"/>
  <c r="BG258" i="15"/>
  <c r="BB360" i="15"/>
  <c r="BB269" i="15"/>
  <c r="AX285" i="15"/>
  <c r="AX126" i="15" s="1"/>
  <c r="BO473" i="15"/>
  <c r="BL237" i="15"/>
  <c r="AS151" i="15"/>
  <c r="BJ190" i="46"/>
  <c r="BI164" i="46"/>
  <c r="BG294" i="15"/>
  <c r="BO344" i="15"/>
  <c r="BN347" i="15"/>
  <c r="BN349" i="15" s="1"/>
  <c r="AW172" i="15"/>
  <c r="BM236" i="15"/>
  <c r="AT153" i="15"/>
  <c r="AT149" i="15"/>
  <c r="AT151" i="15" s="1"/>
  <c r="AT152" i="15" s="1"/>
  <c r="AT136" i="15" s="1"/>
  <c r="AT196" i="15"/>
  <c r="AT324" i="15"/>
  <c r="AT323" i="15"/>
  <c r="AT325" i="15" s="1"/>
  <c r="AT129" i="15" s="1"/>
  <c r="AT163" i="15"/>
  <c r="AT166" i="15" s="1"/>
  <c r="AT460" i="15" s="1"/>
  <c r="AT173" i="15"/>
  <c r="AT174" i="15" s="1"/>
  <c r="BL238" i="15"/>
  <c r="BJ12" i="15"/>
  <c r="BL447" i="15"/>
  <c r="BK238" i="15"/>
  <c r="BK123" i="15" s="1"/>
  <c r="AX504" i="15"/>
  <c r="AX15" i="46"/>
  <c r="BL218" i="72"/>
  <c r="AX220" i="72"/>
  <c r="AX266" i="72"/>
  <c r="AX229" i="72"/>
  <c r="AX242" i="72" s="1"/>
  <c r="AZ364" i="15"/>
  <c r="AZ132" i="15" s="1"/>
  <c r="BB132" i="15" s="1"/>
  <c r="BJ399" i="15"/>
  <c r="BJ400" i="15"/>
  <c r="DI8" i="73"/>
  <c r="DH9" i="73"/>
  <c r="BB270" i="15"/>
  <c r="BN236" i="15" l="1"/>
  <c r="BL399" i="15"/>
  <c r="BJ403" i="15"/>
  <c r="BJ170" i="15"/>
  <c r="BL123" i="15"/>
  <c r="BP473" i="15"/>
  <c r="BB271" i="15"/>
  <c r="AU149" i="15"/>
  <c r="AU196" i="15"/>
  <c r="AU153" i="15"/>
  <c r="AV321" i="15"/>
  <c r="AW318" i="15"/>
  <c r="AV181" i="15"/>
  <c r="AV182" i="15" s="1"/>
  <c r="AV185" i="15"/>
  <c r="AV188" i="15" s="1"/>
  <c r="AV459" i="15" s="1"/>
  <c r="AV193" i="15"/>
  <c r="AV191" i="15"/>
  <c r="BP225" i="15"/>
  <c r="BO228" i="15"/>
  <c r="BO231" i="15"/>
  <c r="BK399" i="15"/>
  <c r="BK400" i="15"/>
  <c r="BL397" i="15"/>
  <c r="BF154" i="72"/>
  <c r="BG156" i="72"/>
  <c r="BF297" i="15"/>
  <c r="BF296" i="15"/>
  <c r="BF169" i="15"/>
  <c r="AU544" i="15"/>
  <c r="AU538" i="15"/>
  <c r="AU541" i="15"/>
  <c r="AU555" i="15"/>
  <c r="AZ450" i="15"/>
  <c r="AZ451" i="15" s="1"/>
  <c r="AZ13" i="15"/>
  <c r="BB448" i="15"/>
  <c r="BB450" i="15" s="1"/>
  <c r="BB451" i="15" s="1"/>
  <c r="BL394" i="15"/>
  <c r="AR144" i="15"/>
  <c r="AR145" i="15" s="1"/>
  <c r="AR140" i="15"/>
  <c r="BG297" i="15"/>
  <c r="BG169" i="15"/>
  <c r="BC171" i="15"/>
  <c r="BC269" i="15"/>
  <c r="BC270" i="15"/>
  <c r="AX111" i="46"/>
  <c r="AX147" i="46"/>
  <c r="BJ14" i="46"/>
  <c r="BL14" i="46" s="1"/>
  <c r="BL12" i="15"/>
  <c r="AT154" i="15"/>
  <c r="BP344" i="15"/>
  <c r="BO347" i="15"/>
  <c r="BK190" i="46"/>
  <c r="BJ164" i="46"/>
  <c r="BC362" i="15"/>
  <c r="BC363" i="15"/>
  <c r="BC164" i="15"/>
  <c r="BE264" i="15"/>
  <c r="BD179" i="15"/>
  <c r="BD267" i="15"/>
  <c r="AU323" i="15"/>
  <c r="AU324" i="15"/>
  <c r="AU163" i="15"/>
  <c r="AU166" i="15" s="1"/>
  <c r="AU460" i="15" s="1"/>
  <c r="AU173" i="15"/>
  <c r="AU174" i="15" s="1"/>
  <c r="BM237" i="15"/>
  <c r="AY504" i="15"/>
  <c r="AY15" i="46"/>
  <c r="AY111" i="46" s="1"/>
  <c r="AY49" i="51" s="1"/>
  <c r="BL194" i="15"/>
  <c r="BM391" i="15"/>
  <c r="BL178" i="15"/>
  <c r="BE21" i="72"/>
  <c r="BE23" i="72" s="1"/>
  <c r="BE190" i="72"/>
  <c r="BF149" i="72"/>
  <c r="AY285" i="15"/>
  <c r="AY126" i="15" s="1"/>
  <c r="BM148" i="72"/>
  <c r="BC448" i="15"/>
  <c r="BC429" i="15"/>
  <c r="BJ404" i="15"/>
  <c r="BJ134" i="15" s="1"/>
  <c r="BL402" i="15"/>
  <c r="AX223" i="72"/>
  <c r="AX241" i="72"/>
  <c r="AX226" i="72"/>
  <c r="DI9" i="73"/>
  <c r="DJ8" i="73"/>
  <c r="AX230" i="72"/>
  <c r="BM218" i="72"/>
  <c r="BG293" i="15"/>
  <c r="AS152" i="15"/>
  <c r="BE359" i="15"/>
  <c r="BD360" i="15"/>
  <c r="BK146" i="46"/>
  <c r="BN233" i="15"/>
  <c r="BN234" i="15"/>
  <c r="BE298" i="15"/>
  <c r="BE127" i="15" s="1"/>
  <c r="BG296" i="15"/>
  <c r="BG298" i="15" s="1"/>
  <c r="BB362" i="15"/>
  <c r="BB364" i="15" s="1"/>
  <c r="BN431" i="15"/>
  <c r="BM445" i="15"/>
  <c r="BM447" i="15"/>
  <c r="BL400" i="15"/>
  <c r="BB275" i="15"/>
  <c r="BA284" i="15"/>
  <c r="BA450" i="15"/>
  <c r="BA451" i="15" s="1"/>
  <c r="BA13" i="15"/>
  <c r="BI195" i="15"/>
  <c r="BJ357" i="15"/>
  <c r="BI186" i="15"/>
  <c r="BQ465" i="15"/>
  <c r="AX172" i="15"/>
  <c r="AX309" i="15"/>
  <c r="AX310" i="15"/>
  <c r="AX165" i="15"/>
  <c r="BO281" i="15"/>
  <c r="BP278" i="15"/>
  <c r="AT342" i="15"/>
  <c r="AS350" i="15"/>
  <c r="AS351" i="15" s="1"/>
  <c r="AS130" i="15" s="1"/>
  <c r="BG124" i="15"/>
  <c r="BD28" i="72"/>
  <c r="BD235" i="72"/>
  <c r="BG177" i="15"/>
  <c r="BH291" i="15"/>
  <c r="BM533" i="15"/>
  <c r="BJ466" i="15"/>
  <c r="BI467" i="15"/>
  <c r="BJ472" i="15" s="1"/>
  <c r="AZ304" i="15"/>
  <c r="AY307" i="15"/>
  <c r="AY180" i="15"/>
  <c r="BA304" i="15"/>
  <c r="AY187" i="15"/>
  <c r="AY237" i="72"/>
  <c r="AY32" i="72"/>
  <c r="BK357" i="15" l="1"/>
  <c r="BJ195" i="15"/>
  <c r="BJ186" i="15"/>
  <c r="BC364" i="15"/>
  <c r="BC132" i="15" s="1"/>
  <c r="BI291" i="15"/>
  <c r="BH177" i="15"/>
  <c r="BH294" i="15"/>
  <c r="BD236" i="72"/>
  <c r="BO283" i="15"/>
  <c r="BQ281" i="15"/>
  <c r="BQ283" i="15" s="1"/>
  <c r="BA285" i="15"/>
  <c r="BA126" i="15" s="1"/>
  <c r="AS136" i="15"/>
  <c r="AS140" i="15" s="1"/>
  <c r="AS141" i="15" s="1"/>
  <c r="AS154" i="15"/>
  <c r="BG149" i="72"/>
  <c r="BF150" i="72"/>
  <c r="BO349" i="15"/>
  <c r="BQ347" i="15"/>
  <c r="AX49" i="51"/>
  <c r="BK403" i="15"/>
  <c r="BK404" i="15" s="1"/>
  <c r="BK134" i="15" s="1"/>
  <c r="BL134" i="15" s="1"/>
  <c r="BK170" i="15"/>
  <c r="BL170" i="15" s="1"/>
  <c r="AV324" i="15"/>
  <c r="AW324" i="15" s="1"/>
  <c r="AV323" i="15"/>
  <c r="AV163" i="15"/>
  <c r="AV166" i="15" s="1"/>
  <c r="AV460" i="15" s="1"/>
  <c r="AV173" i="15"/>
  <c r="AV174" i="15" s="1"/>
  <c r="AW321" i="15"/>
  <c r="AW163" i="15" s="1"/>
  <c r="AW166" i="15" s="1"/>
  <c r="BA307" i="15"/>
  <c r="BB304" i="15"/>
  <c r="BA180" i="15"/>
  <c r="BA187" i="15"/>
  <c r="BQ278" i="15"/>
  <c r="BP281" i="15"/>
  <c r="BP283" i="15" s="1"/>
  <c r="BQ280" i="15"/>
  <c r="BL146" i="46"/>
  <c r="BE20" i="46"/>
  <c r="BE27" i="72"/>
  <c r="AY172" i="15"/>
  <c r="AY310" i="15"/>
  <c r="AY309" i="15"/>
  <c r="AY165" i="15"/>
  <c r="BN533" i="15"/>
  <c r="AX311" i="15"/>
  <c r="AX128" i="15" s="1"/>
  <c r="BB284" i="15"/>
  <c r="BB285" i="15" s="1"/>
  <c r="BC275" i="15"/>
  <c r="BN445" i="15"/>
  <c r="BN447" i="15"/>
  <c r="BN12" i="15" s="1"/>
  <c r="BN14" i="46" s="1"/>
  <c r="BO431" i="15"/>
  <c r="BN237" i="15"/>
  <c r="BD363" i="15"/>
  <c r="BD362" i="15"/>
  <c r="BD164" i="15"/>
  <c r="DK8" i="73"/>
  <c r="DJ9" i="73"/>
  <c r="BL404" i="15"/>
  <c r="BD448" i="15"/>
  <c r="BD429" i="15" s="1"/>
  <c r="BB126" i="15"/>
  <c r="BQ344" i="15"/>
  <c r="BP347" i="15"/>
  <c r="BP349" i="15" s="1"/>
  <c r="BF19" i="72"/>
  <c r="BG154" i="72"/>
  <c r="BM12" i="15"/>
  <c r="AY34" i="72"/>
  <c r="AY36" i="72" s="1"/>
  <c r="BK466" i="15"/>
  <c r="BJ467" i="15"/>
  <c r="BK472" i="15" s="1"/>
  <c r="AZ307" i="15"/>
  <c r="AZ180" i="15"/>
  <c r="AZ187" i="15"/>
  <c r="AU342" i="15"/>
  <c r="AT350" i="15"/>
  <c r="AT351" i="15" s="1"/>
  <c r="AT130" i="15" s="1"/>
  <c r="AT140" i="15" s="1"/>
  <c r="AT141" i="15" s="1"/>
  <c r="BB307" i="15"/>
  <c r="BB306" i="15" s="1"/>
  <c r="BA504" i="15"/>
  <c r="BA15" i="46"/>
  <c r="BA111" i="46" s="1"/>
  <c r="AW173" i="15"/>
  <c r="AW174" i="15" s="1"/>
  <c r="BF359" i="15"/>
  <c r="BE360" i="15"/>
  <c r="BN218" i="72"/>
  <c r="BC450" i="15"/>
  <c r="BC451" i="15" s="1"/>
  <c r="BC13" i="15"/>
  <c r="BE254" i="72"/>
  <c r="BE257" i="72" s="1"/>
  <c r="BF252" i="72" s="1"/>
  <c r="AU325" i="15"/>
  <c r="AU129" i="15" s="1"/>
  <c r="BF264" i="15"/>
  <c r="BE179" i="15"/>
  <c r="BE267" i="15"/>
  <c r="BB15" i="46"/>
  <c r="BC271" i="15"/>
  <c r="BC125" i="15" s="1"/>
  <c r="AR141" i="15"/>
  <c r="AR159" i="15"/>
  <c r="AZ504" i="15"/>
  <c r="BB504" i="15" s="1"/>
  <c r="AZ15" i="46"/>
  <c r="AZ111" i="46" s="1"/>
  <c r="BB13" i="15"/>
  <c r="CJ39" i="73" s="1"/>
  <c r="BF298" i="15"/>
  <c r="BF127" i="15" s="1"/>
  <c r="BG127" i="15" s="1"/>
  <c r="BO233" i="15"/>
  <c r="BO234" i="15"/>
  <c r="BQ225" i="15"/>
  <c r="BP231" i="15"/>
  <c r="BP228" i="15"/>
  <c r="BP236" i="15" s="1"/>
  <c r="BM238" i="15"/>
  <c r="BM123" i="15" s="1"/>
  <c r="BL403" i="15"/>
  <c r="BN148" i="72"/>
  <c r="BM194" i="15"/>
  <c r="BN391" i="15"/>
  <c r="BM397" i="15"/>
  <c r="BM394" i="15"/>
  <c r="BM178" i="15"/>
  <c r="BD171" i="15"/>
  <c r="BD269" i="15"/>
  <c r="BD270" i="15"/>
  <c r="BK164" i="46"/>
  <c r="BL190" i="46"/>
  <c r="AY147" i="46"/>
  <c r="AX148" i="46"/>
  <c r="BO236" i="15"/>
  <c r="AV153" i="15"/>
  <c r="AV154" i="15" s="1"/>
  <c r="AV196" i="15"/>
  <c r="AV149" i="15"/>
  <c r="AV151" i="15" s="1"/>
  <c r="AV152" i="15" s="1"/>
  <c r="AV136" i="15" s="1"/>
  <c r="AX318" i="15"/>
  <c r="AW181" i="15"/>
  <c r="AW182" i="15" s="1"/>
  <c r="AW185" i="15"/>
  <c r="AW188" i="15" s="1"/>
  <c r="AW459" i="15" s="1"/>
  <c r="AW191" i="15"/>
  <c r="AW196" i="15" s="1"/>
  <c r="AW193" i="15"/>
  <c r="AU151" i="15"/>
  <c r="AW149" i="15"/>
  <c r="BE448" i="15" l="1"/>
  <c r="BE429" i="15"/>
  <c r="AY43" i="72"/>
  <c r="AY189" i="72"/>
  <c r="AY38" i="72"/>
  <c r="AY44" i="72" s="1"/>
  <c r="AY238" i="72"/>
  <c r="AY234" i="72"/>
  <c r="BO391" i="15"/>
  <c r="BN194" i="15"/>
  <c r="BN397" i="15"/>
  <c r="BN394" i="15"/>
  <c r="BN402" i="15" s="1"/>
  <c r="BN178" i="15"/>
  <c r="AX321" i="15"/>
  <c r="AY318" i="15"/>
  <c r="AX181" i="15"/>
  <c r="AX182" i="15" s="1"/>
  <c r="AX185" i="15"/>
  <c r="AX188" i="15" s="1"/>
  <c r="AX459" i="15" s="1"/>
  <c r="AY192" i="15"/>
  <c r="AX193" i="15"/>
  <c r="AY191" i="15"/>
  <c r="AX191" i="15"/>
  <c r="BQ228" i="15"/>
  <c r="AZ147" i="46"/>
  <c r="AY148" i="46"/>
  <c r="BP234" i="15"/>
  <c r="BP233" i="15"/>
  <c r="BQ233" i="15" s="1"/>
  <c r="BO237" i="15"/>
  <c r="AZ49" i="51"/>
  <c r="BF179" i="15"/>
  <c r="BG264" i="15"/>
  <c r="BF267" i="15"/>
  <c r="BO218" i="72"/>
  <c r="BA49" i="51"/>
  <c r="AV342" i="15"/>
  <c r="AU350" i="15"/>
  <c r="AU351" i="15" s="1"/>
  <c r="AU130" i="15" s="1"/>
  <c r="BD364" i="15"/>
  <c r="BD132" i="15" s="1"/>
  <c r="BD275" i="15"/>
  <c r="BC284" i="15"/>
  <c r="BO533" i="15"/>
  <c r="BB180" i="15"/>
  <c r="BC304" i="15"/>
  <c r="BB187" i="15"/>
  <c r="BQ349" i="15"/>
  <c r="BG150" i="72"/>
  <c r="BG158" i="72" s="1"/>
  <c r="BH158" i="72" s="1"/>
  <c r="AW153" i="15"/>
  <c r="BO238" i="15"/>
  <c r="BO123" i="15" s="1"/>
  <c r="BQ236" i="15"/>
  <c r="BM190" i="46"/>
  <c r="ED12" i="71"/>
  <c r="BD271" i="15"/>
  <c r="BD125" i="15" s="1"/>
  <c r="BM402" i="15"/>
  <c r="BO148" i="72"/>
  <c r="BE362" i="15"/>
  <c r="BE363" i="15"/>
  <c r="BE164" i="15"/>
  <c r="AZ310" i="15"/>
  <c r="BB310" i="15" s="1"/>
  <c r="AZ309" i="15"/>
  <c r="AZ172" i="15"/>
  <c r="AZ165" i="15"/>
  <c r="BB165" i="15" s="1"/>
  <c r="BF21" i="72"/>
  <c r="BF23" i="72" s="1"/>
  <c r="BF190" i="72"/>
  <c r="BG19" i="72"/>
  <c r="BG21" i="72" s="1"/>
  <c r="BG23" i="72" s="1"/>
  <c r="BG27" i="72" s="1"/>
  <c r="DL8" i="73"/>
  <c r="DK9" i="73"/>
  <c r="BO445" i="15"/>
  <c r="BO447" i="15"/>
  <c r="BP431" i="15"/>
  <c r="BA310" i="15"/>
  <c r="BA172" i="15"/>
  <c r="BA309" i="15"/>
  <c r="BA165" i="15"/>
  <c r="AV325" i="15"/>
  <c r="AV129" i="15" s="1"/>
  <c r="AW323" i="15"/>
  <c r="AW325" i="15" s="1"/>
  <c r="BB49" i="51"/>
  <c r="BJ291" i="15"/>
  <c r="BI294" i="15"/>
  <c r="BI177" i="15"/>
  <c r="BL357" i="15"/>
  <c r="BK195" i="15"/>
  <c r="BK186" i="15"/>
  <c r="BL164" i="46"/>
  <c r="BM400" i="15"/>
  <c r="BM399" i="15"/>
  <c r="BE171" i="15"/>
  <c r="BE269" i="15"/>
  <c r="BE270" i="15"/>
  <c r="AW129" i="15"/>
  <c r="BC504" i="15"/>
  <c r="BC15" i="46"/>
  <c r="BG359" i="15"/>
  <c r="BH359" i="15" s="1"/>
  <c r="BF360" i="15"/>
  <c r="BM14" i="46"/>
  <c r="BD450" i="15"/>
  <c r="BD451" i="15" s="1"/>
  <c r="BD13" i="15"/>
  <c r="BN238" i="15"/>
  <c r="BN123" i="15" s="1"/>
  <c r="AY311" i="15"/>
  <c r="AY128" i="15" s="1"/>
  <c r="BM146" i="46"/>
  <c r="AW460" i="15"/>
  <c r="BB111" i="46"/>
  <c r="BQ234" i="15"/>
  <c r="AU152" i="15"/>
  <c r="AW151" i="15"/>
  <c r="BL466" i="15"/>
  <c r="BK467" i="15"/>
  <c r="BL467" i="15" s="1"/>
  <c r="BM472" i="15" s="1"/>
  <c r="BE28" i="72"/>
  <c r="BE235" i="72"/>
  <c r="BH297" i="15"/>
  <c r="BH169" i="15"/>
  <c r="BH296" i="15"/>
  <c r="BL472" i="15"/>
  <c r="BQ231" i="15"/>
  <c r="BA311" i="15" l="1"/>
  <c r="BA128" i="15" s="1"/>
  <c r="BP447" i="15"/>
  <c r="BP12" i="15" s="1"/>
  <c r="BP14" i="46" s="1"/>
  <c r="BQ431" i="15"/>
  <c r="BP445" i="15"/>
  <c r="DM8" i="73"/>
  <c r="DL9" i="73"/>
  <c r="BF27" i="72"/>
  <c r="BF20" i="46"/>
  <c r="BG20" i="46" s="1"/>
  <c r="AZ311" i="15"/>
  <c r="AZ128" i="15" s="1"/>
  <c r="BB309" i="15"/>
  <c r="BB311" i="15" s="1"/>
  <c r="BP148" i="72"/>
  <c r="BI158" i="72"/>
  <c r="BH156" i="72"/>
  <c r="BP533" i="15"/>
  <c r="BE275" i="15"/>
  <c r="BD284" i="15"/>
  <c r="AX324" i="15"/>
  <c r="AX323" i="15"/>
  <c r="AX163" i="15"/>
  <c r="AX166" i="15" s="1"/>
  <c r="AX460" i="15" s="1"/>
  <c r="AX173" i="15"/>
  <c r="AY69" i="46"/>
  <c r="AY45" i="72"/>
  <c r="BF448" i="15"/>
  <c r="BF429" i="15"/>
  <c r="BG429" i="15" s="1"/>
  <c r="AU136" i="15"/>
  <c r="AW152" i="15"/>
  <c r="AU154" i="15"/>
  <c r="AW154" i="15" s="1"/>
  <c r="BI359" i="15"/>
  <c r="BH360" i="15"/>
  <c r="BD504" i="15"/>
  <c r="BD15" i="46"/>
  <c r="BD111" i="46" s="1"/>
  <c r="BC111" i="46"/>
  <c r="BE271" i="15"/>
  <c r="BE125" i="15" s="1"/>
  <c r="BM403" i="15"/>
  <c r="BM404" i="15" s="1"/>
  <c r="BM134" i="15" s="1"/>
  <c r="BM170" i="15"/>
  <c r="BI297" i="15"/>
  <c r="BI169" i="15"/>
  <c r="BI296" i="15"/>
  <c r="BO12" i="15"/>
  <c r="BQ447" i="15"/>
  <c r="BE364" i="15"/>
  <c r="BE132" i="15" s="1"/>
  <c r="BD304" i="15"/>
  <c r="BC180" i="15"/>
  <c r="BC307" i="15"/>
  <c r="BC187" i="15"/>
  <c r="BF171" i="15"/>
  <c r="BF269" i="15"/>
  <c r="BF270" i="15"/>
  <c r="BP237" i="15"/>
  <c r="AX196" i="15"/>
  <c r="AX149" i="15"/>
  <c r="AX153" i="15"/>
  <c r="BN399" i="15"/>
  <c r="BN400" i="15"/>
  <c r="AY194" i="72"/>
  <c r="AY208" i="72" s="1"/>
  <c r="AY210" i="72" s="1"/>
  <c r="AY225" i="72"/>
  <c r="BE450" i="15"/>
  <c r="BE451" i="15" s="1"/>
  <c r="BE13" i="15"/>
  <c r="BG448" i="15"/>
  <c r="BG450" i="15" s="1"/>
  <c r="BG451" i="15" s="1"/>
  <c r="BL473" i="15"/>
  <c r="DX59" i="73"/>
  <c r="BH298" i="15"/>
  <c r="BH127" i="15" s="1"/>
  <c r="BE236" i="72"/>
  <c r="BM466" i="15"/>
  <c r="BN146" i="46"/>
  <c r="BF362" i="15"/>
  <c r="BF364" i="15" s="1"/>
  <c r="BF132" i="15" s="1"/>
  <c r="BF363" i="15"/>
  <c r="BG363" i="15" s="1"/>
  <c r="BF164" i="15"/>
  <c r="BG164" i="15" s="1"/>
  <c r="BG360" i="15"/>
  <c r="BM357" i="15"/>
  <c r="BL195" i="15"/>
  <c r="BL186" i="15"/>
  <c r="BJ177" i="15"/>
  <c r="BJ294" i="15"/>
  <c r="BK291" i="15"/>
  <c r="BG28" i="72"/>
  <c r="BG235" i="72"/>
  <c r="BM164" i="46"/>
  <c r="BN190" i="46"/>
  <c r="BP218" i="72"/>
  <c r="BG179" i="15"/>
  <c r="BH264" i="15"/>
  <c r="AY149" i="15"/>
  <c r="AY151" i="15" s="1"/>
  <c r="AY196" i="15"/>
  <c r="AZ153" i="15"/>
  <c r="AY153" i="15"/>
  <c r="BG267" i="15"/>
  <c r="BF254" i="72"/>
  <c r="BF257" i="72" s="1"/>
  <c r="BG190" i="72"/>
  <c r="BG254" i="72" s="1"/>
  <c r="BG257" i="72" s="1"/>
  <c r="BB172" i="15"/>
  <c r="BC285" i="15"/>
  <c r="BC126" i="15" s="1"/>
  <c r="AW342" i="15"/>
  <c r="AV350" i="15"/>
  <c r="AV351" i="15" s="1"/>
  <c r="AV130" i="15" s="1"/>
  <c r="AW130" i="15" s="1"/>
  <c r="AW144" i="15" s="1"/>
  <c r="AW145" i="15" s="1"/>
  <c r="BA147" i="46"/>
  <c r="AZ148" i="46"/>
  <c r="AY321" i="15"/>
  <c r="AZ318" i="15"/>
  <c r="BA318" i="15"/>
  <c r="AY181" i="15"/>
  <c r="AY182" i="15" s="1"/>
  <c r="AY185" i="15"/>
  <c r="AY188" i="15" s="1"/>
  <c r="AY459" i="15" s="1"/>
  <c r="AZ191" i="15"/>
  <c r="AZ192" i="15"/>
  <c r="BO194" i="15"/>
  <c r="BP391" i="15"/>
  <c r="BO394" i="15"/>
  <c r="BO397" i="15"/>
  <c r="BO178" i="15"/>
  <c r="BG270" i="15"/>
  <c r="BQ445" i="15"/>
  <c r="AX342" i="15" l="1"/>
  <c r="AW350" i="15"/>
  <c r="AW351" i="15" s="1"/>
  <c r="AY211" i="72"/>
  <c r="AY217" i="72"/>
  <c r="BO402" i="15"/>
  <c r="AZ196" i="15"/>
  <c r="AZ321" i="15"/>
  <c r="AZ181" i="15"/>
  <c r="AZ182" i="15" s="1"/>
  <c r="AZ185" i="15"/>
  <c r="AZ188" i="15" s="1"/>
  <c r="AZ459" i="15" s="1"/>
  <c r="BQ218" i="72"/>
  <c r="BO146" i="46"/>
  <c r="BE15" i="46"/>
  <c r="BE111" i="46" s="1"/>
  <c r="BE49" i="51" s="1"/>
  <c r="BE504" i="15"/>
  <c r="BN403" i="15"/>
  <c r="BN404" i="15" s="1"/>
  <c r="BN134" i="15" s="1"/>
  <c r="BN170" i="15"/>
  <c r="BC309" i="15"/>
  <c r="BC310" i="15"/>
  <c r="BC172" i="15"/>
  <c r="BC165" i="15"/>
  <c r="BG132" i="15"/>
  <c r="BF450" i="15"/>
  <c r="BF451" i="15" s="1"/>
  <c r="BF13" i="15"/>
  <c r="AX174" i="15"/>
  <c r="BJ158" i="72"/>
  <c r="BQ148" i="72"/>
  <c r="AY152" i="15"/>
  <c r="AY136" i="15" s="1"/>
  <c r="AZ152" i="15"/>
  <c r="AZ136" i="15" s="1"/>
  <c r="BM467" i="15"/>
  <c r="BN472" i="15" s="1"/>
  <c r="BP194" i="15"/>
  <c r="BQ391" i="15"/>
  <c r="BP394" i="15"/>
  <c r="BP397" i="15"/>
  <c r="BP178" i="15"/>
  <c r="AY324" i="15"/>
  <c r="AY323" i="15"/>
  <c r="AY163" i="15"/>
  <c r="AY166" i="15" s="1"/>
  <c r="AY460" i="15" s="1"/>
  <c r="AY173" i="15"/>
  <c r="AY174" i="15" s="1"/>
  <c r="BH179" i="15"/>
  <c r="BI264" i="15"/>
  <c r="BH267" i="15"/>
  <c r="BG22" i="71"/>
  <c r="BG236" i="72"/>
  <c r="BM195" i="15"/>
  <c r="BN357" i="15"/>
  <c r="BM186" i="15"/>
  <c r="BQ237" i="15"/>
  <c r="BQ238" i="15" s="1"/>
  <c r="BP238" i="15"/>
  <c r="BP123" i="15" s="1"/>
  <c r="BF271" i="15"/>
  <c r="BF125" i="15" s="1"/>
  <c r="BG269" i="15"/>
  <c r="BG271" i="15" s="1"/>
  <c r="BI298" i="15"/>
  <c r="BI127" i="15" s="1"/>
  <c r="BD49" i="51"/>
  <c r="BF28" i="72"/>
  <c r="BF236" i="72" s="1"/>
  <c r="BF235" i="72"/>
  <c r="AV140" i="15"/>
  <c r="AV141" i="15" s="1"/>
  <c r="BO400" i="15"/>
  <c r="BO399" i="15"/>
  <c r="BQ397" i="15"/>
  <c r="BB318" i="15"/>
  <c r="BA321" i="15"/>
  <c r="BA181" i="15"/>
  <c r="BA182" i="15" s="1"/>
  <c r="BA185" i="15"/>
  <c r="BA188" i="15" s="1"/>
  <c r="BA459" i="15" s="1"/>
  <c r="BA191" i="15"/>
  <c r="BA192" i="15"/>
  <c r="BB192" i="15" s="1"/>
  <c r="BJ297" i="15"/>
  <c r="BJ169" i="15"/>
  <c r="BJ296" i="15"/>
  <c r="BL294" i="15"/>
  <c r="BG259" i="72"/>
  <c r="BH252" i="72"/>
  <c r="BL252" i="72"/>
  <c r="BL291" i="15"/>
  <c r="BK294" i="15"/>
  <c r="BK177" i="15"/>
  <c r="BD307" i="15"/>
  <c r="BD180" i="15"/>
  <c r="BE304" i="15"/>
  <c r="BD187" i="15"/>
  <c r="BG125" i="15"/>
  <c r="BH362" i="15"/>
  <c r="BH363" i="15"/>
  <c r="BH164" i="15"/>
  <c r="AU140" i="15"/>
  <c r="AU141" i="15" s="1"/>
  <c r="AW136" i="15"/>
  <c r="AX325" i="15"/>
  <c r="AX129" i="15" s="1"/>
  <c r="BD285" i="15"/>
  <c r="BD126" i="15" s="1"/>
  <c r="BQ533" i="15"/>
  <c r="BG171" i="15"/>
  <c r="BB147" i="46"/>
  <c r="BA148" i="46"/>
  <c r="BN164" i="46"/>
  <c r="BO190" i="46"/>
  <c r="BB149" i="15"/>
  <c r="AX151" i="15"/>
  <c r="BG362" i="15"/>
  <c r="BG364" i="15" s="1"/>
  <c r="BO14" i="46"/>
  <c r="BQ14" i="46" s="1"/>
  <c r="BQ12" i="15"/>
  <c r="BC49" i="51"/>
  <c r="BJ359" i="15"/>
  <c r="BI360" i="15"/>
  <c r="BH448" i="15"/>
  <c r="BH429" i="15"/>
  <c r="BB321" i="15"/>
  <c r="BB163" i="15" s="1"/>
  <c r="BB166" i="15" s="1"/>
  <c r="BF275" i="15"/>
  <c r="BE284" i="15"/>
  <c r="BH154" i="72"/>
  <c r="BH149" i="72"/>
  <c r="DN8" i="73"/>
  <c r="DM9" i="73"/>
  <c r="BB128" i="15"/>
  <c r="BC147" i="46" l="1"/>
  <c r="BB148" i="46"/>
  <c r="AW147" i="15"/>
  <c r="AW140" i="15"/>
  <c r="BE180" i="15"/>
  <c r="BE307" i="15"/>
  <c r="BF304" i="15"/>
  <c r="BE187" i="15"/>
  <c r="BO357" i="15"/>
  <c r="BN195" i="15"/>
  <c r="BN186" i="15"/>
  <c r="BH171" i="15"/>
  <c r="BH269" i="15"/>
  <c r="BH270" i="15"/>
  <c r="BQ194" i="15"/>
  <c r="BQ178" i="15"/>
  <c r="BF504" i="15"/>
  <c r="BF15" i="46"/>
  <c r="BF111" i="46" s="1"/>
  <c r="AZ154" i="15"/>
  <c r="BK359" i="15"/>
  <c r="BJ360" i="15"/>
  <c r="BH19" i="72"/>
  <c r="BH364" i="15"/>
  <c r="BH132" i="15" s="1"/>
  <c r="BM291" i="15"/>
  <c r="BL177" i="15"/>
  <c r="BG260" i="72"/>
  <c r="BG53" i="73"/>
  <c r="BL169" i="15"/>
  <c r="BL297" i="15"/>
  <c r="BQ123" i="15"/>
  <c r="BC311" i="15"/>
  <c r="BC128" i="15" s="1"/>
  <c r="BP146" i="46"/>
  <c r="AY154" i="15"/>
  <c r="AZ324" i="15"/>
  <c r="AZ323" i="15"/>
  <c r="AZ163" i="15"/>
  <c r="AZ166" i="15" s="1"/>
  <c r="AZ460" i="15" s="1"/>
  <c r="AZ173" i="15"/>
  <c r="AZ174" i="15" s="1"/>
  <c r="AY219" i="72"/>
  <c r="AY342" i="15"/>
  <c r="AX350" i="15"/>
  <c r="BB460" i="15"/>
  <c r="DO8" i="73"/>
  <c r="DN9" i="73"/>
  <c r="BE285" i="15"/>
  <c r="BE126" i="15" s="1"/>
  <c r="BH450" i="15"/>
  <c r="BH451" i="15" s="1"/>
  <c r="BH13" i="15"/>
  <c r="BD310" i="15"/>
  <c r="BD172" i="15"/>
  <c r="BD309" i="15"/>
  <c r="BD165" i="15"/>
  <c r="BJ298" i="15"/>
  <c r="BJ127" i="15" s="1"/>
  <c r="BA324" i="15"/>
  <c r="BA323" i="15"/>
  <c r="BA163" i="15"/>
  <c r="BA166" i="15" s="1"/>
  <c r="BA460" i="15" s="1"/>
  <c r="BA173" i="15"/>
  <c r="BA174" i="15" s="1"/>
  <c r="BO403" i="15"/>
  <c r="BO170" i="15"/>
  <c r="BJ264" i="15"/>
  <c r="BI179" i="15"/>
  <c r="BI267" i="15"/>
  <c r="AY325" i="15"/>
  <c r="AY129" i="15" s="1"/>
  <c r="AY8" i="15"/>
  <c r="BP399" i="15"/>
  <c r="BQ399" i="15" s="1"/>
  <c r="BP400" i="15"/>
  <c r="BG15" i="46"/>
  <c r="BG13" i="15"/>
  <c r="CO39" i="73" s="1"/>
  <c r="BI448" i="15"/>
  <c r="BO164" i="46"/>
  <c r="BP190" i="46"/>
  <c r="BH150" i="72"/>
  <c r="BI156" i="72" s="1"/>
  <c r="BG275" i="15"/>
  <c r="BF284" i="15"/>
  <c r="BI362" i="15"/>
  <c r="BI363" i="15"/>
  <c r="BI164" i="15"/>
  <c r="AX152" i="15"/>
  <c r="BB151" i="15"/>
  <c r="BL293" i="15"/>
  <c r="BK297" i="15"/>
  <c r="BK296" i="15"/>
  <c r="BL296" i="15" s="1"/>
  <c r="BL298" i="15" s="1"/>
  <c r="BK169" i="15"/>
  <c r="BB191" i="15"/>
  <c r="BB196" i="15" s="1"/>
  <c r="BA196" i="15"/>
  <c r="BA152" i="15"/>
  <c r="BA136" i="15"/>
  <c r="BA153" i="15"/>
  <c r="BC318" i="15"/>
  <c r="BB181" i="15"/>
  <c r="BB182" i="15" s="1"/>
  <c r="BB185" i="15"/>
  <c r="BB188" i="15" s="1"/>
  <c r="BB459" i="15" s="1"/>
  <c r="BP402" i="15"/>
  <c r="BQ402" i="15" s="1"/>
  <c r="BN466" i="15"/>
  <c r="BK158" i="72"/>
  <c r="BB173" i="15"/>
  <c r="BB174" i="15" s="1"/>
  <c r="BQ400" i="15"/>
  <c r="BG504" i="15"/>
  <c r="BQ394" i="15"/>
  <c r="AY215" i="72"/>
  <c r="BA181" i="72" s="1"/>
  <c r="BA30" i="72" s="1"/>
  <c r="AZ209" i="72"/>
  <c r="BA32" i="72" l="1"/>
  <c r="AY8" i="46"/>
  <c r="BI154" i="72"/>
  <c r="BI450" i="15"/>
  <c r="BI451" i="15" s="1"/>
  <c r="BI13" i="15"/>
  <c r="BD311" i="15"/>
  <c r="BD128" i="15" s="1"/>
  <c r="BA342" i="15"/>
  <c r="AZ342" i="15"/>
  <c r="AZ350" i="15" s="1"/>
  <c r="AZ351" i="15" s="1"/>
  <c r="AZ130" i="15" s="1"/>
  <c r="AY350" i="15"/>
  <c r="AY220" i="72"/>
  <c r="AY242" i="72"/>
  <c r="AY266" i="72"/>
  <c r="AY229" i="72"/>
  <c r="AZ9" i="15"/>
  <c r="BB324" i="15"/>
  <c r="BJ362" i="15"/>
  <c r="BJ363" i="15"/>
  <c r="BJ164" i="15"/>
  <c r="BE172" i="15"/>
  <c r="BE310" i="15"/>
  <c r="BE309" i="15"/>
  <c r="BE165" i="15"/>
  <c r="BD318" i="15"/>
  <c r="BC321" i="15"/>
  <c r="BC181" i="15"/>
  <c r="BC182" i="15" s="1"/>
  <c r="BC185" i="15"/>
  <c r="BC188" i="15" s="1"/>
  <c r="BC459" i="15" s="1"/>
  <c r="BC191" i="15"/>
  <c r="BC192" i="15"/>
  <c r="BB152" i="15"/>
  <c r="AX136" i="15"/>
  <c r="AX154" i="15"/>
  <c r="BI364" i="15"/>
  <c r="BI132" i="15" s="1"/>
  <c r="BI149" i="72"/>
  <c r="BI429" i="15"/>
  <c r="BP403" i="15"/>
  <c r="BQ403" i="15" s="1"/>
  <c r="BQ404" i="15" s="1"/>
  <c r="BP170" i="15"/>
  <c r="BI171" i="15"/>
  <c r="BI269" i="15"/>
  <c r="BI270" i="15"/>
  <c r="BH15" i="46"/>
  <c r="BH504" i="15"/>
  <c r="AZ181" i="72"/>
  <c r="BM177" i="15"/>
  <c r="BN291" i="15"/>
  <c r="BM294" i="15"/>
  <c r="BL359" i="15"/>
  <c r="BM359" i="15" s="1"/>
  <c r="BK360" i="15"/>
  <c r="BF49" i="51"/>
  <c r="BG49" i="51" s="1"/>
  <c r="BG111" i="46"/>
  <c r="BH275" i="15"/>
  <c r="BG284" i="15"/>
  <c r="BG285" i="15" s="1"/>
  <c r="BJ179" i="15"/>
  <c r="BK264" i="15"/>
  <c r="BJ267" i="15"/>
  <c r="BN467" i="15"/>
  <c r="BO472" i="15" s="1"/>
  <c r="BA154" i="15"/>
  <c r="BB153" i="15"/>
  <c r="BK298" i="15"/>
  <c r="BK127" i="15" s="1"/>
  <c r="BL127" i="15" s="1"/>
  <c r="BF285" i="15"/>
  <c r="BF126" i="15" s="1"/>
  <c r="BP164" i="46"/>
  <c r="BQ190" i="46"/>
  <c r="EI12" i="71" s="1"/>
  <c r="BQ170" i="15"/>
  <c r="BA325" i="15"/>
  <c r="BA129" i="15" s="1"/>
  <c r="BA8" i="15"/>
  <c r="BD147" i="46"/>
  <c r="BC148" i="46"/>
  <c r="BL360" i="15"/>
  <c r="BP404" i="15"/>
  <c r="BP134" i="15" s="1"/>
  <c r="DP8" i="73"/>
  <c r="DO9" i="73"/>
  <c r="AX351" i="15"/>
  <c r="AX130" i="15" s="1"/>
  <c r="AX9" i="15"/>
  <c r="AZ325" i="15"/>
  <c r="AZ129" i="15" s="1"/>
  <c r="BB129" i="15" s="1"/>
  <c r="AZ8" i="15"/>
  <c r="BB323" i="15"/>
  <c r="BB325" i="15" s="1"/>
  <c r="BQ146" i="46"/>
  <c r="BH21" i="72"/>
  <c r="BH23" i="72" s="1"/>
  <c r="BH190" i="72"/>
  <c r="BO404" i="15"/>
  <c r="BO134" i="15" s="1"/>
  <c r="BH271" i="15"/>
  <c r="BH125" i="15" s="1"/>
  <c r="BP357" i="15"/>
  <c r="BO195" i="15"/>
  <c r="BO186" i="15"/>
  <c r="BF180" i="15"/>
  <c r="BG304" i="15"/>
  <c r="BF307" i="15"/>
  <c r="BG307" i="15" s="1"/>
  <c r="BG306" i="15" s="1"/>
  <c r="BF187" i="15"/>
  <c r="AW141" i="15"/>
  <c r="AW159" i="15"/>
  <c r="BG126" i="15"/>
  <c r="AZ8" i="46" l="1"/>
  <c r="AZ10" i="15"/>
  <c r="BG180" i="15"/>
  <c r="BH304" i="15"/>
  <c r="BG187" i="15"/>
  <c r="BH20" i="46"/>
  <c r="BH27" i="72"/>
  <c r="DP9" i="73"/>
  <c r="DQ8" i="73"/>
  <c r="BK362" i="15"/>
  <c r="BL362" i="15" s="1"/>
  <c r="BK363" i="15"/>
  <c r="BL363" i="15" s="1"/>
  <c r="BK164" i="15"/>
  <c r="BL164" i="15" s="1"/>
  <c r="BJ429" i="15"/>
  <c r="BJ448" i="15"/>
  <c r="BB136" i="15"/>
  <c r="AX140" i="15"/>
  <c r="AX141" i="15" s="1"/>
  <c r="AX8" i="15"/>
  <c r="BE311" i="15"/>
  <c r="BE128" i="15" s="1"/>
  <c r="AZ140" i="15"/>
  <c r="AZ141" i="15" s="1"/>
  <c r="BI504" i="15"/>
  <c r="BF309" i="15"/>
  <c r="BF172" i="15"/>
  <c r="BF310" i="15"/>
  <c r="BF165" i="15"/>
  <c r="BG165" i="15" s="1"/>
  <c r="AX11" i="46"/>
  <c r="AX14" i="15"/>
  <c r="BA8" i="46"/>
  <c r="BO466" i="15"/>
  <c r="BN359" i="15"/>
  <c r="BM360" i="15"/>
  <c r="BM169" i="15"/>
  <c r="BM297" i="15"/>
  <c r="BM296" i="15"/>
  <c r="BJ149" i="72"/>
  <c r="BI150" i="72"/>
  <c r="BJ156" i="72" s="1"/>
  <c r="BG310" i="15"/>
  <c r="AZ11" i="46"/>
  <c r="AZ17" i="46" s="1"/>
  <c r="AZ14" i="15"/>
  <c r="AZ16" i="15" s="1"/>
  <c r="BB342" i="15"/>
  <c r="BA350" i="15"/>
  <c r="BH254" i="72"/>
  <c r="BH257" i="72" s="1"/>
  <c r="BI252" i="72" s="1"/>
  <c r="BL264" i="15"/>
  <c r="BK179" i="15"/>
  <c r="BK267" i="15"/>
  <c r="BQ357" i="15"/>
  <c r="BP195" i="15"/>
  <c r="BP186" i="15"/>
  <c r="BQ134" i="15"/>
  <c r="BE147" i="46"/>
  <c r="BD148" i="46"/>
  <c r="BQ164" i="46"/>
  <c r="BJ269" i="15"/>
  <c r="BJ171" i="15"/>
  <c r="BJ270" i="15"/>
  <c r="BN177" i="15"/>
  <c r="BN294" i="15"/>
  <c r="BO291" i="15"/>
  <c r="AZ30" i="72"/>
  <c r="BB181" i="72"/>
  <c r="BH111" i="46"/>
  <c r="BI271" i="15"/>
  <c r="BI125" i="15" s="1"/>
  <c r="BC323" i="15"/>
  <c r="BC324" i="15"/>
  <c r="BC163" i="15"/>
  <c r="BC166" i="15" s="1"/>
  <c r="BC460" i="15" s="1"/>
  <c r="BC173" i="15"/>
  <c r="BG172" i="15"/>
  <c r="BJ364" i="15"/>
  <c r="BJ132" i="15" s="1"/>
  <c r="AY223" i="72"/>
  <c r="AY241" i="72"/>
  <c r="AY226" i="72"/>
  <c r="AY230" i="72"/>
  <c r="BL267" i="15"/>
  <c r="BI275" i="15"/>
  <c r="BH284" i="15"/>
  <c r="BB154" i="15"/>
  <c r="BC196" i="15"/>
  <c r="BC153" i="15"/>
  <c r="BC152" i="15"/>
  <c r="BC136" i="15" s="1"/>
  <c r="BE318" i="15"/>
  <c r="BD321" i="15"/>
  <c r="BD181" i="15"/>
  <c r="BD182" i="15" s="1"/>
  <c r="BD185" i="15"/>
  <c r="BD188" i="15" s="1"/>
  <c r="BD459" i="15" s="1"/>
  <c r="AY351" i="15"/>
  <c r="AY130" i="15" s="1"/>
  <c r="AY140" i="15" s="1"/>
  <c r="AY141" i="15" s="1"/>
  <c r="AY9" i="15"/>
  <c r="BI19" i="72"/>
  <c r="BI15" i="46" s="1"/>
  <c r="BA34" i="72"/>
  <c r="BA36" i="72" s="1"/>
  <c r="BI111" i="46" l="1"/>
  <c r="BA189" i="72"/>
  <c r="BA38" i="72"/>
  <c r="BA44" i="72" s="1"/>
  <c r="BA43" i="72"/>
  <c r="AZ19" i="46"/>
  <c r="AZ20" i="15"/>
  <c r="BL364" i="15"/>
  <c r="BC174" i="15"/>
  <c r="BJ271" i="15"/>
  <c r="BJ125" i="15" s="1"/>
  <c r="BM298" i="15"/>
  <c r="BM127" i="15" s="1"/>
  <c r="BO467" i="15"/>
  <c r="BP472" i="15" s="1"/>
  <c r="BF311" i="15"/>
  <c r="BF128" i="15" s="1"/>
  <c r="BG128" i="15" s="1"/>
  <c r="BG309" i="15"/>
  <c r="BG311" i="15" s="1"/>
  <c r="BF318" i="15"/>
  <c r="BE321" i="15"/>
  <c r="BE181" i="15"/>
  <c r="BE182" i="15" s="1"/>
  <c r="BE185" i="15"/>
  <c r="BE188" i="15" s="1"/>
  <c r="BE459" i="15" s="1"/>
  <c r="BE191" i="15"/>
  <c r="BE192" i="15"/>
  <c r="BD192" i="15" s="1"/>
  <c r="BC154" i="15"/>
  <c r="BJ275" i="15"/>
  <c r="BI284" i="15"/>
  <c r="BH49" i="51"/>
  <c r="BF147" i="46"/>
  <c r="BE148" i="46"/>
  <c r="BM264" i="15"/>
  <c r="BL179" i="15"/>
  <c r="BJ154" i="72"/>
  <c r="BM362" i="15"/>
  <c r="BM363" i="15"/>
  <c r="BM164" i="15"/>
  <c r="BJ450" i="15"/>
  <c r="BJ451" i="15" s="1"/>
  <c r="BJ13" i="15"/>
  <c r="BI304" i="15"/>
  <c r="BH307" i="15"/>
  <c r="BH180" i="15"/>
  <c r="BH187" i="15"/>
  <c r="BD323" i="15"/>
  <c r="BD324" i="15"/>
  <c r="BD163" i="15"/>
  <c r="BD166" i="15" s="1"/>
  <c r="BD460" i="15" s="1"/>
  <c r="BD173" i="15"/>
  <c r="BD174" i="15" s="1"/>
  <c r="BH285" i="15"/>
  <c r="BH126" i="15" s="1"/>
  <c r="BC325" i="15"/>
  <c r="BC129" i="15" s="1"/>
  <c r="BC8" i="15"/>
  <c r="BO177" i="15"/>
  <c r="BO294" i="15"/>
  <c r="BP291" i="15"/>
  <c r="BK269" i="15"/>
  <c r="BK171" i="15"/>
  <c r="BK270" i="15"/>
  <c r="BJ150" i="72"/>
  <c r="BK156" i="72" s="1"/>
  <c r="BK154" i="72" s="1"/>
  <c r="BK19" i="72" s="1"/>
  <c r="BO359" i="15"/>
  <c r="BN360" i="15"/>
  <c r="AX17" i="46"/>
  <c r="AX10" i="15"/>
  <c r="AX8" i="46"/>
  <c r="AX16" i="15"/>
  <c r="BB8" i="15"/>
  <c r="BK448" i="15"/>
  <c r="BL448" i="15" s="1"/>
  <c r="BL450" i="15" s="1"/>
  <c r="BL451" i="15" s="1"/>
  <c r="BK429" i="15"/>
  <c r="BL429" i="15" s="1"/>
  <c r="DQ9" i="73"/>
  <c r="DR8" i="73"/>
  <c r="BH28" i="72"/>
  <c r="BH235" i="72"/>
  <c r="BI21" i="72"/>
  <c r="BI23" i="72" s="1"/>
  <c r="BI190" i="72"/>
  <c r="AY11" i="46"/>
  <c r="AY14" i="15"/>
  <c r="AY16" i="15" s="1"/>
  <c r="AY10" i="15"/>
  <c r="AZ32" i="72"/>
  <c r="BB30" i="72"/>
  <c r="AZ237" i="72"/>
  <c r="BA237" i="72"/>
  <c r="BN169" i="15"/>
  <c r="BN297" i="15"/>
  <c r="BN296" i="15"/>
  <c r="BA351" i="15"/>
  <c r="BA130" i="15" s="1"/>
  <c r="BA140" i="15" s="1"/>
  <c r="BA141" i="15" s="1"/>
  <c r="BA9" i="15"/>
  <c r="BK364" i="15"/>
  <c r="BK132" i="15" s="1"/>
  <c r="BL132" i="15" s="1"/>
  <c r="BQ195" i="15"/>
  <c r="BQ186" i="15"/>
  <c r="BC342" i="15"/>
  <c r="BB350" i="15"/>
  <c r="BB351" i="15" s="1"/>
  <c r="BB9" i="15"/>
  <c r="BB14" i="15" s="1"/>
  <c r="BB147" i="15"/>
  <c r="AZ12" i="46"/>
  <c r="AZ22" i="46"/>
  <c r="BL171" i="15"/>
  <c r="BB237" i="72" l="1"/>
  <c r="BB248" i="72" s="1"/>
  <c r="BB32" i="72"/>
  <c r="BH236" i="72"/>
  <c r="AX19" i="46"/>
  <c r="AX20" i="15"/>
  <c r="BK21" i="72"/>
  <c r="BK23" i="72" s="1"/>
  <c r="BK190" i="72"/>
  <c r="BL270" i="15"/>
  <c r="BC8" i="46"/>
  <c r="BD325" i="15"/>
  <c r="BD129" i="15" s="1"/>
  <c r="BM364" i="15"/>
  <c r="BM132" i="15" s="1"/>
  <c r="BG147" i="46"/>
  <c r="BF148" i="46"/>
  <c r="BI285" i="15"/>
  <c r="BI126" i="15" s="1"/>
  <c r="BE323" i="15"/>
  <c r="BE324" i="15"/>
  <c r="BE163" i="15"/>
  <c r="BE166" i="15" s="1"/>
  <c r="BE460" i="15" s="1"/>
  <c r="BE173" i="15"/>
  <c r="BE174" i="15" s="1"/>
  <c r="BA194" i="72"/>
  <c r="BA208" i="72" s="1"/>
  <c r="BA225" i="72"/>
  <c r="DS8" i="73"/>
  <c r="DR9" i="73"/>
  <c r="BB130" i="15"/>
  <c r="BD342" i="15"/>
  <c r="BC350" i="15"/>
  <c r="AZ27" i="46"/>
  <c r="AZ23" i="46"/>
  <c r="AZ34" i="72"/>
  <c r="BB34" i="72" s="1"/>
  <c r="AY20" i="15"/>
  <c r="AY19" i="46"/>
  <c r="BI254" i="72"/>
  <c r="BI257" i="72" s="1"/>
  <c r="BJ252" i="72" s="1"/>
  <c r="BM448" i="15"/>
  <c r="BM429" i="15"/>
  <c r="AX12" i="46"/>
  <c r="BB8" i="46"/>
  <c r="AX22" i="46"/>
  <c r="BK149" i="72"/>
  <c r="BQ291" i="15"/>
  <c r="BP177" i="15"/>
  <c r="BP294" i="15"/>
  <c r="BH310" i="15"/>
  <c r="BH309" i="15"/>
  <c r="BH172" i="15"/>
  <c r="BH165" i="15"/>
  <c r="BJ504" i="15"/>
  <c r="BK275" i="15"/>
  <c r="BJ284" i="15"/>
  <c r="BE196" i="15"/>
  <c r="BE152" i="15"/>
  <c r="BE136" i="15" s="1"/>
  <c r="BE153" i="15"/>
  <c r="BE154" i="15" s="1"/>
  <c r="BD191" i="15"/>
  <c r="BF321" i="15"/>
  <c r="BG318" i="15"/>
  <c r="BF181" i="15"/>
  <c r="BF182" i="15" s="1"/>
  <c r="BF185" i="15"/>
  <c r="BF188" i="15" s="1"/>
  <c r="BF459" i="15" s="1"/>
  <c r="BF192" i="15"/>
  <c r="BF191" i="15"/>
  <c r="BQ472" i="15"/>
  <c r="AZ21" i="15"/>
  <c r="BB10" i="15"/>
  <c r="BB16" i="15"/>
  <c r="BB20" i="15" s="1"/>
  <c r="BA11" i="46"/>
  <c r="BA14" i="15"/>
  <c r="BA16" i="15" s="1"/>
  <c r="BA10" i="15"/>
  <c r="BN298" i="15"/>
  <c r="BN127" i="15" s="1"/>
  <c r="AY17" i="46"/>
  <c r="AY22" i="46" s="1"/>
  <c r="AY12" i="46"/>
  <c r="BI27" i="72"/>
  <c r="BI20" i="46"/>
  <c r="BK450" i="15"/>
  <c r="BK451" i="15" s="1"/>
  <c r="BK13" i="15"/>
  <c r="BN362" i="15"/>
  <c r="BN363" i="15"/>
  <c r="BN164" i="15"/>
  <c r="BK271" i="15"/>
  <c r="BK125" i="15" s="1"/>
  <c r="BL125" i="15" s="1"/>
  <c r="BO169" i="15"/>
  <c r="BO297" i="15"/>
  <c r="BO296" i="15"/>
  <c r="BO298" i="15" s="1"/>
  <c r="BO127" i="15" s="1"/>
  <c r="BI307" i="15"/>
  <c r="BJ304" i="15"/>
  <c r="BI180" i="15"/>
  <c r="BI187" i="15"/>
  <c r="BL156" i="72"/>
  <c r="BN264" i="15"/>
  <c r="BM179" i="15"/>
  <c r="BM267" i="15"/>
  <c r="BP466" i="15"/>
  <c r="BL269" i="15"/>
  <c r="BL271" i="15" s="1"/>
  <c r="BP359" i="15"/>
  <c r="BO360" i="15"/>
  <c r="BJ19" i="72"/>
  <c r="BL154" i="72"/>
  <c r="BA69" i="46"/>
  <c r="BA45" i="72"/>
  <c r="BI49" i="51"/>
  <c r="BQ466" i="15" l="1"/>
  <c r="BP467" i="15"/>
  <c r="BQ467" i="15" s="1"/>
  <c r="BQ473" i="15"/>
  <c r="DY59" i="73"/>
  <c r="BJ21" i="72"/>
  <c r="BJ23" i="72" s="1"/>
  <c r="BJ190" i="72"/>
  <c r="BL19" i="72"/>
  <c r="BL21" i="72" s="1"/>
  <c r="BL23" i="72" s="1"/>
  <c r="BL27" i="72" s="1"/>
  <c r="BQ359" i="15"/>
  <c r="BP360" i="15"/>
  <c r="BQ360" i="15" s="1"/>
  <c r="BN179" i="15"/>
  <c r="BO264" i="15"/>
  <c r="BN267" i="15"/>
  <c r="AY23" i="46"/>
  <c r="AY27" i="46"/>
  <c r="BA17" i="46"/>
  <c r="BA22" i="46" s="1"/>
  <c r="BA12" i="46"/>
  <c r="BJ285" i="15"/>
  <c r="BJ126" i="15" s="1"/>
  <c r="BH311" i="15"/>
  <c r="BH128" i="15" s="1"/>
  <c r="AX23" i="46"/>
  <c r="AX27" i="46"/>
  <c r="BM450" i="15"/>
  <c r="BM451" i="15" s="1"/>
  <c r="BM13" i="15"/>
  <c r="BB225" i="72"/>
  <c r="BB36" i="72"/>
  <c r="BB11" i="46"/>
  <c r="BB17" i="46" s="1"/>
  <c r="BA19" i="46"/>
  <c r="BB19" i="46" s="1"/>
  <c r="BA20" i="15"/>
  <c r="BJ307" i="15"/>
  <c r="BK304" i="15"/>
  <c r="BJ180" i="15"/>
  <c r="BJ187" i="15"/>
  <c r="BF196" i="15"/>
  <c r="BF153" i="15"/>
  <c r="BF154" i="15" s="1"/>
  <c r="BF152" i="15"/>
  <c r="BF136" i="15"/>
  <c r="BH318" i="15"/>
  <c r="BG181" i="15"/>
  <c r="BG182" i="15" s="1"/>
  <c r="BG185" i="15"/>
  <c r="BG188" i="15" s="1"/>
  <c r="BG459" i="15" s="1"/>
  <c r="BG191" i="15"/>
  <c r="BG196" i="15" s="1"/>
  <c r="BG192" i="15"/>
  <c r="BL275" i="15"/>
  <c r="BK284" i="15"/>
  <c r="BJ15" i="46"/>
  <c r="BQ177" i="15"/>
  <c r="BB12" i="46"/>
  <c r="BB22" i="46"/>
  <c r="AY21" i="15"/>
  <c r="AZ28" i="46"/>
  <c r="BB144" i="15"/>
  <c r="BB145" i="15" s="1"/>
  <c r="BB140" i="15"/>
  <c r="BK254" i="72"/>
  <c r="BM171" i="15"/>
  <c r="BM270" i="15"/>
  <c r="BM269" i="15"/>
  <c r="BI172" i="15"/>
  <c r="BI310" i="15"/>
  <c r="BI309" i="15"/>
  <c r="BI165" i="15"/>
  <c r="BN364" i="15"/>
  <c r="BN132" i="15" s="1"/>
  <c r="BI28" i="72"/>
  <c r="BI235" i="72"/>
  <c r="BB21" i="15"/>
  <c r="BF323" i="15"/>
  <c r="BF324" i="15"/>
  <c r="BF163" i="15"/>
  <c r="BF166" i="15" s="1"/>
  <c r="BF460" i="15" s="1"/>
  <c r="BF173" i="15"/>
  <c r="BG321" i="15"/>
  <c r="BG163" i="15" s="1"/>
  <c r="BG166" i="15" s="1"/>
  <c r="AZ36" i="72"/>
  <c r="BC351" i="15"/>
  <c r="BC130" i="15" s="1"/>
  <c r="BC9" i="15"/>
  <c r="DC13" i="73"/>
  <c r="BY15" i="73" s="1"/>
  <c r="BK20" i="46"/>
  <c r="BK27" i="72"/>
  <c r="BO362" i="15"/>
  <c r="BO364" i="15" s="1"/>
  <c r="BO132" i="15" s="1"/>
  <c r="BO363" i="15"/>
  <c r="BO164" i="15"/>
  <c r="BK15" i="46"/>
  <c r="BK111" i="46" s="1"/>
  <c r="BK49" i="51" s="1"/>
  <c r="BK504" i="15"/>
  <c r="BL504" i="15" s="1"/>
  <c r="BD196" i="15"/>
  <c r="BD153" i="15"/>
  <c r="BD152" i="15"/>
  <c r="BG152" i="15" s="1"/>
  <c r="BL13" i="15"/>
  <c r="CT39" i="73" s="1"/>
  <c r="BP169" i="15"/>
  <c r="BP297" i="15"/>
  <c r="BP296" i="15"/>
  <c r="BQ294" i="15"/>
  <c r="BL149" i="72"/>
  <c r="BK150" i="72"/>
  <c r="BN448" i="15"/>
  <c r="BE342" i="15"/>
  <c r="BD350" i="15"/>
  <c r="DT8" i="73"/>
  <c r="DS9" i="73"/>
  <c r="BE325" i="15"/>
  <c r="BE129" i="15" s="1"/>
  <c r="BE8" i="15"/>
  <c r="BH147" i="46"/>
  <c r="BG148" i="46"/>
  <c r="AX25" i="15"/>
  <c r="AX21" i="15"/>
  <c r="BI311" i="15" l="1"/>
  <c r="BI128" i="15" s="1"/>
  <c r="BB27" i="46"/>
  <c r="BB23" i="46"/>
  <c r="AX27" i="15"/>
  <c r="AX29" i="15"/>
  <c r="AX33" i="15" s="1"/>
  <c r="BF342" i="15"/>
  <c r="BE350" i="15"/>
  <c r="BD154" i="15"/>
  <c r="BG154" i="15" s="1"/>
  <c r="BG153" i="15"/>
  <c r="BC140" i="15"/>
  <c r="BC141" i="15" s="1"/>
  <c r="BG460" i="15"/>
  <c r="BF325" i="15"/>
  <c r="BF129" i="15" s="1"/>
  <c r="BG129" i="15" s="1"/>
  <c r="BF8" i="15"/>
  <c r="BG323" i="15"/>
  <c r="BK285" i="15"/>
  <c r="BK126" i="15" s="1"/>
  <c r="BM504" i="15"/>
  <c r="BJ254" i="72"/>
  <c r="BJ257" i="72" s="1"/>
  <c r="BK252" i="72" s="1"/>
  <c r="BK257" i="72" s="1"/>
  <c r="BL190" i="72"/>
  <c r="BL254" i="72" s="1"/>
  <c r="BL257" i="72" s="1"/>
  <c r="BE8" i="46"/>
  <c r="BP298" i="15"/>
  <c r="BP127" i="15" s="1"/>
  <c r="BQ127" i="15" s="1"/>
  <c r="BQ296" i="15"/>
  <c r="BM271" i="15"/>
  <c r="BM125" i="15" s="1"/>
  <c r="BL150" i="72"/>
  <c r="BL158" i="72" s="1"/>
  <c r="BM158" i="72" s="1"/>
  <c r="BK28" i="72"/>
  <c r="AZ189" i="72"/>
  <c r="AZ43" i="72"/>
  <c r="AZ38" i="72"/>
  <c r="AZ44" i="72" s="1"/>
  <c r="AZ234" i="72"/>
  <c r="BA234" i="72"/>
  <c r="AZ238" i="72"/>
  <c r="BA238" i="72"/>
  <c r="BF174" i="15"/>
  <c r="BG173" i="15"/>
  <c r="BG174" i="15" s="1"/>
  <c r="BB141" i="15"/>
  <c r="BB159" i="15"/>
  <c r="BM275" i="15"/>
  <c r="BL284" i="15"/>
  <c r="BL285" i="15" s="1"/>
  <c r="BL304" i="15"/>
  <c r="BK307" i="15"/>
  <c r="BK180" i="15"/>
  <c r="BK187" i="15"/>
  <c r="BA27" i="46"/>
  <c r="BA23" i="46"/>
  <c r="BN171" i="15"/>
  <c r="BN270" i="15"/>
  <c r="BN269" i="15"/>
  <c r="BP362" i="15"/>
  <c r="BP363" i="15"/>
  <c r="BQ363" i="15" s="1"/>
  <c r="BP164" i="15"/>
  <c r="BQ164" i="15" s="1"/>
  <c r="BJ20" i="46"/>
  <c r="BL20" i="46" s="1"/>
  <c r="BJ27" i="72"/>
  <c r="BQ362" i="15"/>
  <c r="BN450" i="15"/>
  <c r="BN451" i="15" s="1"/>
  <c r="BN13" i="15"/>
  <c r="BI236" i="72"/>
  <c r="BI147" i="46"/>
  <c r="BH148" i="46"/>
  <c r="DU8" i="73"/>
  <c r="DT9" i="73"/>
  <c r="BN429" i="15"/>
  <c r="BQ169" i="15"/>
  <c r="BQ297" i="15"/>
  <c r="BQ293" i="15"/>
  <c r="BD136" i="15"/>
  <c r="CJ38" i="73"/>
  <c r="BB23" i="71"/>
  <c r="BI318" i="15"/>
  <c r="BH321" i="15"/>
  <c r="BH181" i="15"/>
  <c r="BH182" i="15" s="1"/>
  <c r="BH185" i="15"/>
  <c r="BH188" i="15" s="1"/>
  <c r="BH459" i="15" s="1"/>
  <c r="BH192" i="15"/>
  <c r="BH191" i="15"/>
  <c r="BJ309" i="15"/>
  <c r="BJ172" i="15"/>
  <c r="BJ310" i="15"/>
  <c r="BJ165" i="15"/>
  <c r="AZ206" i="46"/>
  <c r="AY28" i="46"/>
  <c r="BD351" i="15"/>
  <c r="BD130" i="15" s="1"/>
  <c r="BD9" i="15"/>
  <c r="BC14" i="15"/>
  <c r="BC16" i="15" s="1"/>
  <c r="BC11" i="46"/>
  <c r="BC10" i="15"/>
  <c r="BJ111" i="46"/>
  <c r="BL15" i="46"/>
  <c r="BA21" i="15"/>
  <c r="BB38" i="72"/>
  <c r="BB44" i="72" s="1"/>
  <c r="BB189" i="72"/>
  <c r="BB194" i="72" s="1"/>
  <c r="BB43" i="72"/>
  <c r="BB238" i="72"/>
  <c r="BB270" i="72" s="1"/>
  <c r="BB68" i="72" s="1"/>
  <c r="BB45" i="73" s="1"/>
  <c r="BB56" i="73" s="1"/>
  <c r="BB234" i="72"/>
  <c r="AX206" i="46"/>
  <c r="AX32" i="46"/>
  <c r="BA206" i="46"/>
  <c r="BB206" i="46" s="1"/>
  <c r="AX28" i="46"/>
  <c r="AY206" i="46"/>
  <c r="BL126" i="15"/>
  <c r="BO179" i="15"/>
  <c r="BP264" i="15"/>
  <c r="BO267" i="15"/>
  <c r="BL28" i="72"/>
  <c r="BL235" i="72"/>
  <c r="BG324" i="15"/>
  <c r="AX34" i="46" l="1"/>
  <c r="BC20" i="15"/>
  <c r="BC19" i="46"/>
  <c r="BH323" i="15"/>
  <c r="BH324" i="15"/>
  <c r="BH163" i="15"/>
  <c r="BH166" i="15" s="1"/>
  <c r="BH460" i="15" s="1"/>
  <c r="BH173" i="15"/>
  <c r="BL236" i="72"/>
  <c r="BL22" i="71"/>
  <c r="DT38" i="71"/>
  <c r="DT50" i="71" s="1"/>
  <c r="BB208" i="72"/>
  <c r="BD11" i="46"/>
  <c r="BD17" i="46" s="1"/>
  <c r="BD14" i="15"/>
  <c r="BI321" i="15"/>
  <c r="BJ318" i="15"/>
  <c r="BI181" i="15"/>
  <c r="BI182" i="15" s="1"/>
  <c r="BI185" i="15"/>
  <c r="BI188" i="15" s="1"/>
  <c r="BI459" i="15" s="1"/>
  <c r="BO429" i="15"/>
  <c r="BO448" i="15"/>
  <c r="BJ147" i="46"/>
  <c r="BI148" i="46"/>
  <c r="BN504" i="15"/>
  <c r="BP364" i="15"/>
  <c r="BP132" i="15" s="1"/>
  <c r="BQ132" i="15" s="1"/>
  <c r="BL180" i="15"/>
  <c r="BM304" i="15"/>
  <c r="BL187" i="15"/>
  <c r="BN158" i="72"/>
  <c r="BM156" i="72"/>
  <c r="BQ298" i="15"/>
  <c r="BG325" i="15"/>
  <c r="BB28" i="46"/>
  <c r="BO171" i="15"/>
  <c r="BO270" i="15"/>
  <c r="BO269" i="15"/>
  <c r="AY207" i="46"/>
  <c r="AX207" i="46"/>
  <c r="BB247" i="72"/>
  <c r="BB45" i="72"/>
  <c r="BB69" i="46"/>
  <c r="AZ207" i="46"/>
  <c r="BN271" i="15"/>
  <c r="BN125" i="15" s="1"/>
  <c r="AZ194" i="72"/>
  <c r="AZ208" i="72" s="1"/>
  <c r="AZ210" i="72" s="1"/>
  <c r="AZ225" i="72"/>
  <c r="BM252" i="72"/>
  <c r="BL259" i="72"/>
  <c r="BQ252" i="72"/>
  <c r="BF8" i="46"/>
  <c r="AX540" i="15"/>
  <c r="AX503" i="15"/>
  <c r="AX35" i="15"/>
  <c r="AX41" i="15" s="1"/>
  <c r="AX68" i="46" s="1"/>
  <c r="AX40" i="15"/>
  <c r="BQ264" i="15"/>
  <c r="BP179" i="15"/>
  <c r="BP267" i="15"/>
  <c r="BJ49" i="51"/>
  <c r="BL49" i="51" s="1"/>
  <c r="BL111" i="46"/>
  <c r="BC17" i="46"/>
  <c r="BC22" i="46" s="1"/>
  <c r="BC12" i="46"/>
  <c r="BJ311" i="15"/>
  <c r="BJ128" i="15" s="1"/>
  <c r="BB25" i="71"/>
  <c r="BB29" i="71" s="1"/>
  <c r="BD140" i="15"/>
  <c r="BD141" i="15" s="1"/>
  <c r="BG136" i="15"/>
  <c r="BD8" i="15"/>
  <c r="DV8" i="73"/>
  <c r="DU9" i="73"/>
  <c r="BQ364" i="15"/>
  <c r="BA28" i="46"/>
  <c r="BN275" i="15"/>
  <c r="BM284" i="15"/>
  <c r="BE351" i="15"/>
  <c r="BE130" i="15" s="1"/>
  <c r="BE140" i="15" s="1"/>
  <c r="BE141" i="15" s="1"/>
  <c r="BE9" i="15"/>
  <c r="BH196" i="15"/>
  <c r="BH153" i="15"/>
  <c r="BH152" i="15"/>
  <c r="CJ70" i="73"/>
  <c r="CJ72" i="73" s="1"/>
  <c r="CJ74" i="73" s="1"/>
  <c r="CJ77" i="73" s="1"/>
  <c r="BJ28" i="72"/>
  <c r="BK235" i="72"/>
  <c r="BJ235" i="72"/>
  <c r="BK172" i="15"/>
  <c r="BL172" i="15" s="1"/>
  <c r="BK310" i="15"/>
  <c r="BK309" i="15"/>
  <c r="BK165" i="15"/>
  <c r="BL165" i="15" s="1"/>
  <c r="BL307" i="15"/>
  <c r="BL306" i="15" s="1"/>
  <c r="AZ45" i="72"/>
  <c r="AZ69" i="46"/>
  <c r="BF350" i="15"/>
  <c r="BG342" i="15"/>
  <c r="BE14" i="15" l="1"/>
  <c r="BE16" i="15" s="1"/>
  <c r="BE11" i="46"/>
  <c r="BE10" i="15"/>
  <c r="AX508" i="15"/>
  <c r="AX523" i="15" s="1"/>
  <c r="BA207" i="46"/>
  <c r="BB207" i="46" s="1"/>
  <c r="BP448" i="15"/>
  <c r="BP429" i="15" s="1"/>
  <c r="BQ429" i="15" s="1"/>
  <c r="BK318" i="15"/>
  <c r="BJ321" i="15"/>
  <c r="BJ181" i="15"/>
  <c r="BJ182" i="15" s="1"/>
  <c r="BJ185" i="15"/>
  <c r="BJ188" i="15" s="1"/>
  <c r="BJ459" i="15" s="1"/>
  <c r="BJ192" i="15"/>
  <c r="BI192" i="15" s="1"/>
  <c r="BJ191" i="15"/>
  <c r="AX27" i="51"/>
  <c r="AX29" i="51" s="1"/>
  <c r="BG350" i="15"/>
  <c r="BG351" i="15" s="1"/>
  <c r="BH342" i="15"/>
  <c r="BK311" i="15"/>
  <c r="BK128" i="15" s="1"/>
  <c r="BL309" i="15"/>
  <c r="BH154" i="15"/>
  <c r="BD8" i="46"/>
  <c r="BD10" i="15"/>
  <c r="BD16" i="15"/>
  <c r="BG8" i="15"/>
  <c r="BB30" i="71"/>
  <c r="BC23" i="46"/>
  <c r="BC27" i="46"/>
  <c r="BQ179" i="15"/>
  <c r="BI323" i="15"/>
  <c r="BI324" i="15"/>
  <c r="BI163" i="15"/>
  <c r="BI166" i="15" s="1"/>
  <c r="BI460" i="15" s="1"/>
  <c r="BI173" i="15"/>
  <c r="BI174" i="15" s="1"/>
  <c r="BF351" i="15"/>
  <c r="BF130" i="15" s="1"/>
  <c r="BF140" i="15" s="1"/>
  <c r="BF141" i="15" s="1"/>
  <c r="BF9" i="15"/>
  <c r="BL310" i="15"/>
  <c r="BM285" i="15"/>
  <c r="BM126" i="15" s="1"/>
  <c r="BG147" i="15"/>
  <c r="BP171" i="15"/>
  <c r="BP270" i="15"/>
  <c r="BP269" i="15"/>
  <c r="BQ269" i="15" s="1"/>
  <c r="AZ211" i="72"/>
  <c r="AZ217" i="72"/>
  <c r="BQ267" i="15"/>
  <c r="BM154" i="72"/>
  <c r="BM149" i="72"/>
  <c r="BK147" i="46"/>
  <c r="BJ148" i="46"/>
  <c r="BC21" i="15"/>
  <c r="BC25" i="15"/>
  <c r="BJ236" i="72"/>
  <c r="BK236" i="72"/>
  <c r="BH136" i="15"/>
  <c r="BN284" i="15"/>
  <c r="BO275" i="15"/>
  <c r="DW8" i="73"/>
  <c r="DV9" i="73"/>
  <c r="BL128" i="15"/>
  <c r="BL260" i="72"/>
  <c r="BT260" i="72" s="1"/>
  <c r="BL53" i="73"/>
  <c r="BB57" i="46"/>
  <c r="BB11" i="71"/>
  <c r="BO271" i="15"/>
  <c r="BO125" i="15" s="1"/>
  <c r="BO158" i="72"/>
  <c r="BN304" i="15"/>
  <c r="BM180" i="15"/>
  <c r="BM307" i="15"/>
  <c r="BM187" i="15"/>
  <c r="BO450" i="15"/>
  <c r="BO451" i="15" s="1"/>
  <c r="BO13" i="15"/>
  <c r="BQ448" i="15"/>
  <c r="BQ450" i="15" s="1"/>
  <c r="BQ451" i="15" s="1"/>
  <c r="BH174" i="15"/>
  <c r="BH325" i="15"/>
  <c r="BH129" i="15" s="1"/>
  <c r="AX36" i="46"/>
  <c r="AX40" i="46" s="1"/>
  <c r="BM19" i="72" l="1"/>
  <c r="BQ270" i="15"/>
  <c r="BQ271" i="15" s="1"/>
  <c r="BF14" i="15"/>
  <c r="BF16" i="15" s="1"/>
  <c r="BF11" i="46"/>
  <c r="BF10" i="15"/>
  <c r="BC28" i="46"/>
  <c r="BC206" i="46"/>
  <c r="BD20" i="15"/>
  <c r="BD19" i="46"/>
  <c r="BI342" i="15"/>
  <c r="BH350" i="15"/>
  <c r="BJ153" i="15"/>
  <c r="BJ152" i="15"/>
  <c r="BJ136" i="15" s="1"/>
  <c r="BJ196" i="15"/>
  <c r="BI191" i="15"/>
  <c r="BJ323" i="15"/>
  <c r="BJ324" i="15"/>
  <c r="BJ163" i="15"/>
  <c r="BJ166" i="15" s="1"/>
  <c r="BJ460" i="15" s="1"/>
  <c r="BJ173" i="15"/>
  <c r="AX525" i="15"/>
  <c r="AX530" i="15"/>
  <c r="BE19" i="46"/>
  <c r="BE20" i="15"/>
  <c r="BP158" i="72"/>
  <c r="BB8" i="73"/>
  <c r="BB39" i="71"/>
  <c r="DX8" i="73"/>
  <c r="DW9" i="73"/>
  <c r="AZ219" i="72"/>
  <c r="BL311" i="15"/>
  <c r="BL318" i="15"/>
  <c r="BK321" i="15"/>
  <c r="BK181" i="15"/>
  <c r="BK182" i="15" s="1"/>
  <c r="BK185" i="15"/>
  <c r="BK188" i="15" s="1"/>
  <c r="BK459" i="15" s="1"/>
  <c r="BK191" i="15"/>
  <c r="BK192" i="15"/>
  <c r="BP275" i="15"/>
  <c r="BO284" i="15"/>
  <c r="BC27" i="15"/>
  <c r="BC29" i="15"/>
  <c r="BC33" i="15" s="1"/>
  <c r="BL147" i="46"/>
  <c r="BK148" i="46"/>
  <c r="BQ171" i="15"/>
  <c r="BG130" i="15"/>
  <c r="BI325" i="15"/>
  <c r="BI129" i="15" s="1"/>
  <c r="BD22" i="46"/>
  <c r="BD12" i="46"/>
  <c r="BG8" i="46"/>
  <c r="AX31" i="51"/>
  <c r="AX37" i="51" s="1"/>
  <c r="AX70" i="46" s="1"/>
  <c r="AX71" i="46" s="1"/>
  <c r="AX36" i="51"/>
  <c r="BG9" i="15"/>
  <c r="BG14" i="15" s="1"/>
  <c r="BH8" i="15"/>
  <c r="BM172" i="15"/>
  <c r="BM309" i="15"/>
  <c r="BM310" i="15"/>
  <c r="BM165" i="15"/>
  <c r="AX176" i="46"/>
  <c r="AX110" i="46"/>
  <c r="AX48" i="46"/>
  <c r="AX42" i="46"/>
  <c r="BO504" i="15"/>
  <c r="BQ13" i="15"/>
  <c r="CY39" i="73" s="1"/>
  <c r="BO304" i="15"/>
  <c r="BN307" i="15"/>
  <c r="BN180" i="15"/>
  <c r="BN187" i="15"/>
  <c r="BN285" i="15"/>
  <c r="BN126" i="15" s="1"/>
  <c r="BM150" i="72"/>
  <c r="BN156" i="72" s="1"/>
  <c r="BN149" i="72" s="1"/>
  <c r="AZ215" i="72"/>
  <c r="BA209" i="72"/>
  <c r="BA210" i="72" s="1"/>
  <c r="BA217" i="72" s="1"/>
  <c r="BP271" i="15"/>
  <c r="BP125" i="15" s="1"/>
  <c r="BG16" i="15"/>
  <c r="BG20" i="15" s="1"/>
  <c r="BG10" i="15"/>
  <c r="BP450" i="15"/>
  <c r="BP451" i="15" s="1"/>
  <c r="BP13" i="15"/>
  <c r="BE17" i="46"/>
  <c r="BE22" i="46" s="1"/>
  <c r="BE12" i="46"/>
  <c r="BG11" i="46"/>
  <c r="BG17" i="46" s="1"/>
  <c r="BA219" i="72" l="1"/>
  <c r="BB217" i="72"/>
  <c r="BO149" i="72"/>
  <c r="BN150" i="72"/>
  <c r="BO156" i="72" s="1"/>
  <c r="BO154" i="72" s="1"/>
  <c r="BO19" i="72" s="1"/>
  <c r="BE27" i="46"/>
  <c r="BE23" i="46"/>
  <c r="BN172" i="15"/>
  <c r="BN310" i="15"/>
  <c r="BN309" i="15"/>
  <c r="BN165" i="15"/>
  <c r="AX179" i="46"/>
  <c r="BH8" i="46"/>
  <c r="BG22" i="46"/>
  <c r="BG12" i="46"/>
  <c r="BO285" i="15"/>
  <c r="BO126" i="15" s="1"/>
  <c r="DX9" i="73"/>
  <c r="DY8" i="73"/>
  <c r="BE21" i="15"/>
  <c r="BE25" i="15"/>
  <c r="BJ174" i="15"/>
  <c r="BI196" i="15"/>
  <c r="BI152" i="15"/>
  <c r="BI153" i="15"/>
  <c r="BH351" i="15"/>
  <c r="BH130" i="15" s="1"/>
  <c r="BH9" i="15"/>
  <c r="BH10" i="15" s="1"/>
  <c r="BF19" i="46"/>
  <c r="BF20" i="15"/>
  <c r="BP504" i="15"/>
  <c r="BQ504" i="15" s="1"/>
  <c r="BG21" i="15"/>
  <c r="BG25" i="15"/>
  <c r="BA211" i="72"/>
  <c r="BA215" i="72" s="1"/>
  <c r="BB210" i="72"/>
  <c r="BB211" i="72" s="1"/>
  <c r="BP304" i="15"/>
  <c r="BO180" i="15"/>
  <c r="BO307" i="15"/>
  <c r="BO187" i="15"/>
  <c r="AX49" i="46"/>
  <c r="AX50" i="46" s="1"/>
  <c r="AX205" i="46"/>
  <c r="AX209" i="46"/>
  <c r="BQ125" i="15"/>
  <c r="BM311" i="15"/>
  <c r="BM128" i="15" s="1"/>
  <c r="BL148" i="46"/>
  <c r="BQ275" i="15"/>
  <c r="BQ284" i="15" s="1"/>
  <c r="BQ285" i="15" s="1"/>
  <c r="BP284" i="15"/>
  <c r="AZ266" i="72"/>
  <c r="AZ229" i="72"/>
  <c r="AZ220" i="72" s="1"/>
  <c r="BJ342" i="15"/>
  <c r="BI350" i="15"/>
  <c r="BC207" i="46"/>
  <c r="BD27" i="46"/>
  <c r="BD23" i="46"/>
  <c r="BG144" i="15"/>
  <c r="BG145" i="15" s="1"/>
  <c r="BG140" i="15"/>
  <c r="BC503" i="15"/>
  <c r="BC35" i="15"/>
  <c r="BC41" i="15" s="1"/>
  <c r="BC68" i="46" s="1"/>
  <c r="BC40" i="15"/>
  <c r="BK323" i="15"/>
  <c r="BK324" i="15"/>
  <c r="BK163" i="15"/>
  <c r="BK166" i="15" s="1"/>
  <c r="BK460" i="15" s="1"/>
  <c r="BK173" i="15"/>
  <c r="BK174" i="15" s="1"/>
  <c r="BL321" i="15"/>
  <c r="BL163" i="15" s="1"/>
  <c r="BL166" i="15" s="1"/>
  <c r="BL324" i="15"/>
  <c r="BG19" i="46"/>
  <c r="BM21" i="72"/>
  <c r="BM23" i="72" s="1"/>
  <c r="BM190" i="72"/>
  <c r="BM15" i="46"/>
  <c r="BM147" i="46" s="1"/>
  <c r="BN154" i="72"/>
  <c r="AX48" i="51"/>
  <c r="AX115" i="46"/>
  <c r="AX131" i="46" s="1"/>
  <c r="AX134" i="46" s="1"/>
  <c r="BK153" i="15"/>
  <c r="BK154" i="15" s="1"/>
  <c r="BK196" i="15"/>
  <c r="BK152" i="15"/>
  <c r="BK136" i="15" s="1"/>
  <c r="BM318" i="15"/>
  <c r="BL181" i="15"/>
  <c r="BL182" i="15" s="1"/>
  <c r="BL185" i="15"/>
  <c r="BL188" i="15" s="1"/>
  <c r="BL459" i="15" s="1"/>
  <c r="BL192" i="15"/>
  <c r="BL191" i="15"/>
  <c r="BL196" i="15" s="1"/>
  <c r="AX532" i="15"/>
  <c r="AX526" i="15"/>
  <c r="AY524" i="15" s="1"/>
  <c r="BJ325" i="15"/>
  <c r="BJ129" i="15" s="1"/>
  <c r="BJ8" i="15"/>
  <c r="BL323" i="15"/>
  <c r="BL325" i="15" s="1"/>
  <c r="BJ154" i="15"/>
  <c r="BD25" i="15"/>
  <c r="BD21" i="15"/>
  <c r="BF17" i="46"/>
  <c r="BF22" i="46" s="1"/>
  <c r="BF12" i="46"/>
  <c r="BM148" i="46" l="1"/>
  <c r="BJ8" i="46"/>
  <c r="BD29" i="15"/>
  <c r="BD33" i="15" s="1"/>
  <c r="BD27" i="15"/>
  <c r="BM20" i="46"/>
  <c r="BM27" i="72"/>
  <c r="BC508" i="15"/>
  <c r="BC523" i="15" s="1"/>
  <c r="BD28" i="46"/>
  <c r="BD206" i="46"/>
  <c r="BE206" i="46"/>
  <c r="BJ350" i="15"/>
  <c r="BK342" i="15"/>
  <c r="BG209" i="72"/>
  <c r="BB215" i="72"/>
  <c r="BC209" i="72"/>
  <c r="BI136" i="15"/>
  <c r="BL152" i="15"/>
  <c r="BE27" i="15"/>
  <c r="BE29" i="15"/>
  <c r="BE33" i="15" s="1"/>
  <c r="BP149" i="72"/>
  <c r="BO150" i="72"/>
  <c r="BP156" i="72" s="1"/>
  <c r="AX159" i="46"/>
  <c r="AX135" i="46"/>
  <c r="BN19" i="72"/>
  <c r="BL460" i="15"/>
  <c r="BK325" i="15"/>
  <c r="BK129" i="15" s="1"/>
  <c r="BL129" i="15" s="1"/>
  <c r="BK8" i="15"/>
  <c r="BG141" i="15"/>
  <c r="BG159" i="15"/>
  <c r="AZ223" i="72"/>
  <c r="AZ241" i="72"/>
  <c r="AZ226" i="72"/>
  <c r="AZ242" i="72"/>
  <c r="BO172" i="15"/>
  <c r="BO310" i="15"/>
  <c r="BO309" i="15"/>
  <c r="BO165" i="15"/>
  <c r="BH14" i="15"/>
  <c r="BH16" i="15" s="1"/>
  <c r="BH11" i="46"/>
  <c r="BB219" i="72"/>
  <c r="BC181" i="72"/>
  <c r="BF23" i="46"/>
  <c r="BF27" i="46"/>
  <c r="AX53" i="51"/>
  <c r="BM111" i="46"/>
  <c r="BP285" i="15"/>
  <c r="BP126" i="15" s="1"/>
  <c r="BG551" i="15"/>
  <c r="BG562" i="15" s="1"/>
  <c r="BH140" i="15"/>
  <c r="BH141" i="15" s="1"/>
  <c r="BL173" i="15"/>
  <c r="BL174" i="15" s="1"/>
  <c r="DZ8" i="73"/>
  <c r="DY9" i="73"/>
  <c r="BH12" i="46"/>
  <c r="BN311" i="15"/>
  <c r="BN128" i="15" s="1"/>
  <c r="BE28" i="46"/>
  <c r="BA266" i="72"/>
  <c r="AY494" i="15"/>
  <c r="AX534" i="15"/>
  <c r="AX548" i="15"/>
  <c r="BN318" i="15"/>
  <c r="BM321" i="15"/>
  <c r="BM181" i="15"/>
  <c r="BM182" i="15" s="1"/>
  <c r="BM185" i="15"/>
  <c r="BM188" i="15" s="1"/>
  <c r="BM459" i="15" s="1"/>
  <c r="BM192" i="15"/>
  <c r="BM191" i="15"/>
  <c r="BM254" i="72"/>
  <c r="BM257" i="72" s="1"/>
  <c r="BN252" i="72" s="1"/>
  <c r="BI351" i="15"/>
  <c r="BI130" i="15" s="1"/>
  <c r="BI9" i="15"/>
  <c r="AZ230" i="72"/>
  <c r="BP180" i="15"/>
  <c r="BP307" i="15"/>
  <c r="BQ304" i="15"/>
  <c r="BP187" i="15"/>
  <c r="BG23" i="71"/>
  <c r="CO38" i="73"/>
  <c r="BF21" i="15"/>
  <c r="BF25" i="15"/>
  <c r="BI154" i="15"/>
  <c r="BL154" i="15" s="1"/>
  <c r="BL153" i="15"/>
  <c r="BG27" i="46"/>
  <c r="BG23" i="46"/>
  <c r="AX197" i="46"/>
  <c r="BO21" i="72"/>
  <c r="BO23" i="72" s="1"/>
  <c r="BO190" i="72"/>
  <c r="BO254" i="72" s="1"/>
  <c r="BO15" i="46"/>
  <c r="BO111" i="46" s="1"/>
  <c r="BO20" i="46" l="1"/>
  <c r="BO27" i="72"/>
  <c r="BO49" i="51"/>
  <c r="BI14" i="15"/>
  <c r="BI11" i="46"/>
  <c r="BI17" i="46" s="1"/>
  <c r="EA8" i="73"/>
  <c r="DZ9" i="73"/>
  <c r="BQ126" i="15"/>
  <c r="AX101" i="46"/>
  <c r="AX69" i="51"/>
  <c r="BC30" i="72"/>
  <c r="BN21" i="72"/>
  <c r="BN23" i="72" s="1"/>
  <c r="BN190" i="72"/>
  <c r="BN15" i="46"/>
  <c r="BP154" i="72"/>
  <c r="BQ156" i="72"/>
  <c r="CO70" i="73"/>
  <c r="CO72" i="73" s="1"/>
  <c r="CO74" i="73" s="1"/>
  <c r="CO77" i="73" s="1"/>
  <c r="CO41" i="73"/>
  <c r="CO42" i="73"/>
  <c r="CO49" i="73" s="1"/>
  <c r="BM152" i="15"/>
  <c r="BM196" i="15"/>
  <c r="BM153" i="15"/>
  <c r="BM324" i="15"/>
  <c r="BM323" i="15"/>
  <c r="BM163" i="15"/>
  <c r="BM166" i="15" s="1"/>
  <c r="BM460" i="15" s="1"/>
  <c r="BM173" i="15"/>
  <c r="AX543" i="15"/>
  <c r="BM49" i="51"/>
  <c r="BF28" i="46"/>
  <c r="BB230" i="72"/>
  <c r="BB243" i="72"/>
  <c r="BB266" i="72"/>
  <c r="BB229" i="72"/>
  <c r="BB244" i="72"/>
  <c r="BH19" i="46"/>
  <c r="BH20" i="15"/>
  <c r="BK8" i="46"/>
  <c r="BQ149" i="72"/>
  <c r="BQ150" i="72" s="1"/>
  <c r="BP150" i="72"/>
  <c r="BF206" i="46"/>
  <c r="BG206" i="46" s="1"/>
  <c r="BM28" i="72"/>
  <c r="BM235" i="72"/>
  <c r="BD35" i="15"/>
  <c r="BD41" i="15" s="1"/>
  <c r="BD68" i="46" s="1"/>
  <c r="BD503" i="15"/>
  <c r="BD40" i="15"/>
  <c r="BG30" i="71"/>
  <c r="BG25" i="71"/>
  <c r="BG29" i="71" s="1"/>
  <c r="BQ180" i="15"/>
  <c r="BQ187" i="15"/>
  <c r="BN321" i="15"/>
  <c r="BO318" i="15"/>
  <c r="BN181" i="15"/>
  <c r="BN182" i="15" s="1"/>
  <c r="BN185" i="15"/>
  <c r="BN188" i="15" s="1"/>
  <c r="BN459" i="15" s="1"/>
  <c r="BN192" i="15"/>
  <c r="BN191" i="15"/>
  <c r="AY497" i="15"/>
  <c r="AY133" i="46"/>
  <c r="AX140" i="46"/>
  <c r="BI140" i="15"/>
  <c r="BI141" i="15" s="1"/>
  <c r="BL136" i="15"/>
  <c r="BI8" i="15"/>
  <c r="BL342" i="15"/>
  <c r="BK350" i="15"/>
  <c r="BG28" i="46"/>
  <c r="BF27" i="15"/>
  <c r="BG27" i="15" s="1"/>
  <c r="BG29" i="15" s="1"/>
  <c r="BG33" i="15" s="1"/>
  <c r="BF29" i="15"/>
  <c r="BF33" i="15" s="1"/>
  <c r="BP172" i="15"/>
  <c r="BP309" i="15"/>
  <c r="BP310" i="15"/>
  <c r="BP165" i="15"/>
  <c r="BQ165" i="15" s="1"/>
  <c r="BQ307" i="15"/>
  <c r="BQ306" i="15" s="1"/>
  <c r="AX549" i="15"/>
  <c r="AX556" i="15"/>
  <c r="BH17" i="46"/>
  <c r="BH22" i="46" s="1"/>
  <c r="BO311" i="15"/>
  <c r="BO128" i="15" s="1"/>
  <c r="BQ309" i="15"/>
  <c r="AX189" i="46"/>
  <c r="AX211" i="46"/>
  <c r="AX162" i="46"/>
  <c r="AX171" i="46" s="1"/>
  <c r="AX181" i="46" s="1"/>
  <c r="BE35" i="15"/>
  <c r="BE41" i="15" s="1"/>
  <c r="BE68" i="46" s="1"/>
  <c r="BE503" i="15"/>
  <c r="BE508" i="15" s="1"/>
  <c r="BE523" i="15" s="1"/>
  <c r="BE40" i="15"/>
  <c r="BJ351" i="15"/>
  <c r="BJ130" i="15" s="1"/>
  <c r="BJ140" i="15" s="1"/>
  <c r="BJ141" i="15" s="1"/>
  <c r="BJ9" i="15"/>
  <c r="BD207" i="46"/>
  <c r="BF207" i="46"/>
  <c r="BG207" i="46" s="1"/>
  <c r="BE207" i="46"/>
  <c r="BG40" i="15" l="1"/>
  <c r="BG35" i="15"/>
  <c r="AX219" i="46"/>
  <c r="AX212" i="46"/>
  <c r="AX218" i="46"/>
  <c r="BP311" i="15"/>
  <c r="BP128" i="15" s="1"/>
  <c r="BK351" i="15"/>
  <c r="BK130" i="15" s="1"/>
  <c r="BK140" i="15" s="1"/>
  <c r="BK141" i="15" s="1"/>
  <c r="BK9" i="15"/>
  <c r="BM154" i="15"/>
  <c r="BP19" i="72"/>
  <c r="BQ154" i="72"/>
  <c r="BN254" i="72"/>
  <c r="BN257" i="72" s="1"/>
  <c r="BO252" i="72" s="1"/>
  <c r="BO257" i="72" s="1"/>
  <c r="BP252" i="72" s="1"/>
  <c r="AX105" i="46"/>
  <c r="EA9" i="73"/>
  <c r="EB8" i="73"/>
  <c r="AY86" i="46"/>
  <c r="AX191" i="46"/>
  <c r="BQ128" i="15"/>
  <c r="BL350" i="15"/>
  <c r="BL351" i="15" s="1"/>
  <c r="BM342" i="15"/>
  <c r="AX187" i="46"/>
  <c r="AX144" i="46"/>
  <c r="AX156" i="46" s="1"/>
  <c r="AX183" i="46" s="1"/>
  <c r="AY23" i="15"/>
  <c r="BQ172" i="15"/>
  <c r="AX544" i="15"/>
  <c r="AX538" i="15"/>
  <c r="AX555" i="15"/>
  <c r="AX541" i="15"/>
  <c r="BM325" i="15"/>
  <c r="BM129" i="15" s="1"/>
  <c r="BN27" i="72"/>
  <c r="BN20" i="46"/>
  <c r="BC237" i="72"/>
  <c r="BC32" i="72"/>
  <c r="BJ11" i="46"/>
  <c r="BJ14" i="15"/>
  <c r="BJ16" i="15" s="1"/>
  <c r="BJ10" i="15"/>
  <c r="BH27" i="46"/>
  <c r="BH23" i="46"/>
  <c r="BF40" i="15"/>
  <c r="BF503" i="15"/>
  <c r="BF508" i="15" s="1"/>
  <c r="BF523" i="15" s="1"/>
  <c r="BF35" i="15"/>
  <c r="BF41" i="15" s="1"/>
  <c r="BF68" i="46" s="1"/>
  <c r="BI10" i="15"/>
  <c r="BI16" i="15"/>
  <c r="BI8" i="46"/>
  <c r="BL8" i="15"/>
  <c r="BN196" i="15"/>
  <c r="BN152" i="15"/>
  <c r="BN136" i="15" s="1"/>
  <c r="BN153" i="15"/>
  <c r="BN154" i="15" s="1"/>
  <c r="BP318" i="15"/>
  <c r="BO321" i="15"/>
  <c r="BO181" i="15"/>
  <c r="BO182" i="15" s="1"/>
  <c r="BO185" i="15"/>
  <c r="BO188" i="15" s="1"/>
  <c r="BO459" i="15" s="1"/>
  <c r="BO191" i="15"/>
  <c r="BO192" i="15"/>
  <c r="BM236" i="72"/>
  <c r="BB223" i="72"/>
  <c r="BA229" i="72"/>
  <c r="BB241" i="72"/>
  <c r="BB227" i="72"/>
  <c r="BB46" i="73" s="1"/>
  <c r="BB55" i="73" s="1"/>
  <c r="BB58" i="73" s="1"/>
  <c r="BB226" i="72"/>
  <c r="BB242" i="72"/>
  <c r="AX535" i="15"/>
  <c r="BM136" i="15"/>
  <c r="BL147" i="15"/>
  <c r="BN324" i="15"/>
  <c r="BN323" i="15"/>
  <c r="BN163" i="15"/>
  <c r="BN166" i="15" s="1"/>
  <c r="BN460" i="15" s="1"/>
  <c r="BN173" i="15"/>
  <c r="BN174" i="15" s="1"/>
  <c r="BD508" i="15"/>
  <c r="BD523" i="15" s="1"/>
  <c r="BG503" i="15"/>
  <c r="BG508" i="15" s="1"/>
  <c r="BH21" i="15"/>
  <c r="BB220" i="72"/>
  <c r="BM174" i="15"/>
  <c r="CO50" i="73"/>
  <c r="CO54" i="73" s="1"/>
  <c r="BQ158" i="72"/>
  <c r="BN111" i="46"/>
  <c r="BN147" i="46"/>
  <c r="BQ310" i="15"/>
  <c r="BQ311" i="15" s="1"/>
  <c r="DC11" i="73"/>
  <c r="BO28" i="72"/>
  <c r="BL130" i="15"/>
  <c r="BG523" i="15" l="1"/>
  <c r="BO152" i="15"/>
  <c r="BO196" i="15"/>
  <c r="BO153" i="15"/>
  <c r="BO154" i="15" s="1"/>
  <c r="BQ318" i="15"/>
  <c r="BP321" i="15"/>
  <c r="BP181" i="15"/>
  <c r="BP182" i="15" s="1"/>
  <c r="BP185" i="15"/>
  <c r="BP188" i="15" s="1"/>
  <c r="BP459" i="15" s="1"/>
  <c r="BP192" i="15"/>
  <c r="BP191" i="15"/>
  <c r="BH28" i="46"/>
  <c r="BH206" i="46"/>
  <c r="BJ17" i="46"/>
  <c r="BJ22" i="46" s="1"/>
  <c r="BJ12" i="46"/>
  <c r="BM8" i="15"/>
  <c r="BN342" i="15"/>
  <c r="BM350" i="15"/>
  <c r="AX200" i="46"/>
  <c r="AX201" i="46"/>
  <c r="BO147" i="46"/>
  <c r="BN148" i="46"/>
  <c r="BN49" i="51"/>
  <c r="BN325" i="15"/>
  <c r="BN129" i="15" s="1"/>
  <c r="BN8" i="15"/>
  <c r="BA223" i="72"/>
  <c r="BA241" i="72"/>
  <c r="BA226" i="72"/>
  <c r="BA220" i="72"/>
  <c r="BA230" i="72"/>
  <c r="BA242" i="72"/>
  <c r="BI22" i="46"/>
  <c r="BI12" i="46"/>
  <c r="BL8" i="46"/>
  <c r="AY25" i="15"/>
  <c r="AY89" i="46"/>
  <c r="BG41" i="15"/>
  <c r="BG68" i="46" s="1"/>
  <c r="BG550" i="15"/>
  <c r="BI19" i="46"/>
  <c r="BI20" i="15"/>
  <c r="BC34" i="72"/>
  <c r="BN28" i="72"/>
  <c r="BO235" i="72"/>
  <c r="BN235" i="72"/>
  <c r="BP21" i="72"/>
  <c r="BP23" i="72" s="1"/>
  <c r="BP190" i="72"/>
  <c r="BP15" i="46"/>
  <c r="BQ19" i="72"/>
  <c r="BQ21" i="72" s="1"/>
  <c r="BQ23" i="72" s="1"/>
  <c r="BQ27" i="72" s="1"/>
  <c r="BK11" i="46"/>
  <c r="BL11" i="46" s="1"/>
  <c r="BL17" i="46" s="1"/>
  <c r="BK14" i="15"/>
  <c r="BK16" i="15" s="1"/>
  <c r="BK10" i="15"/>
  <c r="BL140" i="15"/>
  <c r="BO324" i="15"/>
  <c r="BO323" i="15"/>
  <c r="BO163" i="15"/>
  <c r="BO166" i="15" s="1"/>
  <c r="BO460" i="15" s="1"/>
  <c r="BO173" i="15"/>
  <c r="BJ20" i="15"/>
  <c r="BJ19" i="46"/>
  <c r="EC8" i="73"/>
  <c r="EB9" i="73"/>
  <c r="BL9" i="15"/>
  <c r="BL14" i="15" s="1"/>
  <c r="BL16" i="15" s="1"/>
  <c r="BL20" i="15" s="1"/>
  <c r="BL21" i="15" l="1"/>
  <c r="DE11" i="73"/>
  <c r="BJ21" i="15"/>
  <c r="BP111" i="46"/>
  <c r="BQ15" i="46"/>
  <c r="BO236" i="72"/>
  <c r="BN236" i="72"/>
  <c r="BI21" i="15"/>
  <c r="BL144" i="15"/>
  <c r="BL145" i="15" s="1"/>
  <c r="BL22" i="46"/>
  <c r="BL12" i="46"/>
  <c r="BM351" i="15"/>
  <c r="BM130" i="15" s="1"/>
  <c r="BM9" i="15"/>
  <c r="BM10" i="15" s="1"/>
  <c r="BQ181" i="15"/>
  <c r="BQ182" i="15" s="1"/>
  <c r="BQ185" i="15"/>
  <c r="BQ188" i="15" s="1"/>
  <c r="BQ459" i="15" s="1"/>
  <c r="BQ192" i="15"/>
  <c r="BQ191" i="15"/>
  <c r="BQ196" i="15" s="1"/>
  <c r="BO174" i="15"/>
  <c r="BK20" i="15"/>
  <c r="BK19" i="46"/>
  <c r="BL19" i="46" s="1"/>
  <c r="BP254" i="72"/>
  <c r="BP257" i="72" s="1"/>
  <c r="BQ190" i="72"/>
  <c r="BQ254" i="72" s="1"/>
  <c r="BQ257" i="72" s="1"/>
  <c r="BG561" i="15"/>
  <c r="BN8" i="46"/>
  <c r="BO342" i="15"/>
  <c r="BN350" i="15"/>
  <c r="BJ23" i="46"/>
  <c r="BJ27" i="46"/>
  <c r="BL10" i="15"/>
  <c r="ED8" i="73"/>
  <c r="EC9" i="73"/>
  <c r="BK17" i="46"/>
  <c r="BK22" i="46" s="1"/>
  <c r="BK12" i="46"/>
  <c r="BP20" i="46"/>
  <c r="BQ20" i="46" s="1"/>
  <c r="BP27" i="72"/>
  <c r="BG10" i="71"/>
  <c r="AY30" i="46"/>
  <c r="BI27" i="46"/>
  <c r="BI23" i="46"/>
  <c r="AX195" i="46"/>
  <c r="AX198" i="46"/>
  <c r="BM8" i="46"/>
  <c r="BH207" i="46"/>
  <c r="BO325" i="15"/>
  <c r="BO129" i="15" s="1"/>
  <c r="BL141" i="15"/>
  <c r="BL159" i="15"/>
  <c r="BQ235" i="72"/>
  <c r="BQ28" i="72"/>
  <c r="BC36" i="72"/>
  <c r="AY29" i="15"/>
  <c r="AY33" i="15" s="1"/>
  <c r="AY27" i="15"/>
  <c r="BP147" i="46"/>
  <c r="BO148" i="46"/>
  <c r="AX192" i="46"/>
  <c r="BP196" i="15"/>
  <c r="BP152" i="15"/>
  <c r="BP136" i="15" s="1"/>
  <c r="BP153" i="15"/>
  <c r="BP324" i="15"/>
  <c r="BP323" i="15"/>
  <c r="BQ323" i="15" s="1"/>
  <c r="BP163" i="15"/>
  <c r="BP166" i="15" s="1"/>
  <c r="BP460" i="15" s="1"/>
  <c r="BP173" i="15"/>
  <c r="BP174" i="15" s="1"/>
  <c r="BQ321" i="15"/>
  <c r="BQ163" i="15" s="1"/>
  <c r="BQ166" i="15" s="1"/>
  <c r="BO136" i="15"/>
  <c r="BQ152" i="15"/>
  <c r="BP154" i="15" l="1"/>
  <c r="BQ154" i="15" s="1"/>
  <c r="BQ153" i="15"/>
  <c r="BG7" i="73"/>
  <c r="DF11" i="73"/>
  <c r="BM14" i="15"/>
  <c r="BM16" i="15" s="1"/>
  <c r="BM11" i="46"/>
  <c r="BM12" i="46" s="1"/>
  <c r="BL27" i="46"/>
  <c r="BL23" i="46"/>
  <c r="BP49" i="51"/>
  <c r="BQ49" i="51" s="1"/>
  <c r="BQ111" i="46"/>
  <c r="AY503" i="15"/>
  <c r="AY35" i="15"/>
  <c r="AY41" i="15" s="1"/>
  <c r="AY68" i="46" s="1"/>
  <c r="AY40" i="15"/>
  <c r="AY540" i="15"/>
  <c r="BC43" i="72"/>
  <c r="BC189" i="72"/>
  <c r="BC38" i="72"/>
  <c r="BC44" i="72" s="1"/>
  <c r="BC234" i="72"/>
  <c r="BC238" i="72"/>
  <c r="BI28" i="46"/>
  <c r="BJ206" i="46"/>
  <c r="BI206" i="46"/>
  <c r="EE8" i="73"/>
  <c r="EE9" i="73" s="1"/>
  <c r="ED9" i="73"/>
  <c r="BN351" i="15"/>
  <c r="BN130" i="15" s="1"/>
  <c r="BN140" i="15" s="1"/>
  <c r="BN141" i="15" s="1"/>
  <c r="BN9" i="15"/>
  <c r="BK21" i="15"/>
  <c r="BM140" i="15"/>
  <c r="BM141" i="15" s="1"/>
  <c r="BQ136" i="15"/>
  <c r="BP325" i="15"/>
  <c r="BP129" i="15" s="1"/>
  <c r="BQ129" i="15" s="1"/>
  <c r="BP8" i="15"/>
  <c r="BQ147" i="46"/>
  <c r="BQ148" i="46" s="1"/>
  <c r="BP148" i="46"/>
  <c r="BK27" i="46"/>
  <c r="BK206" i="46" s="1"/>
  <c r="BL206" i="46" s="1"/>
  <c r="BK23" i="46"/>
  <c r="BO350" i="15"/>
  <c r="BP342" i="15"/>
  <c r="BQ259" i="72"/>
  <c r="BT261" i="72"/>
  <c r="BT262" i="72"/>
  <c r="BQ173" i="15"/>
  <c r="BQ174" i="15" s="1"/>
  <c r="BQ460" i="15"/>
  <c r="BQ22" i="71"/>
  <c r="BQ236" i="72"/>
  <c r="BO8" i="15"/>
  <c r="AY23" i="51"/>
  <c r="AY25" i="51" s="1"/>
  <c r="AY208" i="46"/>
  <c r="AY32" i="46"/>
  <c r="BP28" i="72"/>
  <c r="BP236" i="72" s="1"/>
  <c r="BP235" i="72"/>
  <c r="BQ324" i="15"/>
  <c r="BQ325" i="15" s="1"/>
  <c r="BJ28" i="46"/>
  <c r="BL23" i="71"/>
  <c r="CT38" i="73"/>
  <c r="EC11" i="73" l="1"/>
  <c r="DV11" i="73"/>
  <c r="EA11" i="73"/>
  <c r="BQ342" i="15"/>
  <c r="BQ350" i="15" s="1"/>
  <c r="BQ351" i="15" s="1"/>
  <c r="BP350" i="15"/>
  <c r="BQ147" i="15"/>
  <c r="BN14" i="15"/>
  <c r="BN16" i="15" s="1"/>
  <c r="BN11" i="46"/>
  <c r="BN10" i="15"/>
  <c r="BJ207" i="46"/>
  <c r="BI207" i="46"/>
  <c r="AY508" i="15"/>
  <c r="AY523" i="15" s="1"/>
  <c r="BM20" i="15"/>
  <c r="BM19" i="46"/>
  <c r="BL25" i="71"/>
  <c r="BL29" i="71" s="1"/>
  <c r="BO351" i="15"/>
  <c r="BO130" i="15" s="1"/>
  <c r="BO9" i="15"/>
  <c r="BC69" i="46"/>
  <c r="BC45" i="72"/>
  <c r="EB11" i="73"/>
  <c r="AY34" i="46"/>
  <c r="AY36" i="46"/>
  <c r="AY40" i="46" s="1"/>
  <c r="BO10" i="15"/>
  <c r="BO8" i="46"/>
  <c r="BQ8" i="15"/>
  <c r="BP8" i="46"/>
  <c r="ED11" i="73"/>
  <c r="DG11" i="73"/>
  <c r="DY11" i="73"/>
  <c r="DX11" i="73"/>
  <c r="BL28" i="46"/>
  <c r="CT70" i="73"/>
  <c r="CT72" i="73" s="1"/>
  <c r="CT74" i="73" s="1"/>
  <c r="CT77" i="73" s="1"/>
  <c r="BQ53" i="73"/>
  <c r="BQ260" i="72"/>
  <c r="BK28" i="46"/>
  <c r="DZ11" i="73"/>
  <c r="EE11" i="73"/>
  <c r="DH11" i="73"/>
  <c r="DI11" i="73"/>
  <c r="DN11" i="73"/>
  <c r="DJ11" i="73"/>
  <c r="DL11" i="73"/>
  <c r="DK11" i="73"/>
  <c r="DP11" i="73"/>
  <c r="DO11" i="73"/>
  <c r="DM11" i="73"/>
  <c r="DR11" i="73"/>
  <c r="DS11" i="73"/>
  <c r="DT11" i="73"/>
  <c r="DQ11" i="73"/>
  <c r="DU11" i="73"/>
  <c r="DW11" i="73"/>
  <c r="BC194" i="72"/>
  <c r="BC208" i="72" s="1"/>
  <c r="BC210" i="72" s="1"/>
  <c r="BC225" i="72"/>
  <c r="BM17" i="46"/>
  <c r="BM22" i="46" s="1"/>
  <c r="BQ130" i="15" l="1"/>
  <c r="BO140" i="15"/>
  <c r="BO141" i="15" s="1"/>
  <c r="BM21" i="15"/>
  <c r="BN17" i="46"/>
  <c r="BN22" i="46" s="1"/>
  <c r="BN12" i="46"/>
  <c r="BP351" i="15"/>
  <c r="BP130" i="15" s="1"/>
  <c r="BP140" i="15" s="1"/>
  <c r="BP141" i="15" s="1"/>
  <c r="BP9" i="15"/>
  <c r="AY48" i="46"/>
  <c r="AY42" i="46"/>
  <c r="AY110" i="46"/>
  <c r="AY176" i="46"/>
  <c r="BN19" i="46"/>
  <c r="BN20" i="15"/>
  <c r="BC211" i="72"/>
  <c r="BC217" i="72"/>
  <c r="AY27" i="51"/>
  <c r="AY29" i="51" s="1"/>
  <c r="BL30" i="71"/>
  <c r="AY525" i="15"/>
  <c r="AY530" i="15"/>
  <c r="BM27" i="46"/>
  <c r="BM23" i="46"/>
  <c r="BO12" i="46"/>
  <c r="BQ8" i="46"/>
  <c r="BO11" i="46"/>
  <c r="BO14" i="15"/>
  <c r="BO16" i="15" s="1"/>
  <c r="BK207" i="46"/>
  <c r="BL207" i="46" s="1"/>
  <c r="AY179" i="46" l="1"/>
  <c r="BN23" i="46"/>
  <c r="BN27" i="46"/>
  <c r="BN206" i="46" s="1"/>
  <c r="BQ140" i="15"/>
  <c r="BD209" i="72"/>
  <c r="BC215" i="72"/>
  <c r="AY115" i="46"/>
  <c r="AY131" i="46" s="1"/>
  <c r="AY134" i="46" s="1"/>
  <c r="AY48" i="51"/>
  <c r="BP11" i="46"/>
  <c r="BP14" i="15"/>
  <c r="BP16" i="15" s="1"/>
  <c r="BQ9" i="15"/>
  <c r="BP10" i="15"/>
  <c r="BO17" i="46"/>
  <c r="BO22" i="46" s="1"/>
  <c r="AY526" i="15"/>
  <c r="AY532" i="15"/>
  <c r="BN21" i="15"/>
  <c r="AY49" i="46"/>
  <c r="AY50" i="46" s="1"/>
  <c r="AY205" i="46"/>
  <c r="AY209" i="46"/>
  <c r="BO20" i="15"/>
  <c r="BO19" i="46"/>
  <c r="AY36" i="51"/>
  <c r="AY31" i="51"/>
  <c r="AY37" i="51" s="1"/>
  <c r="AY70" i="46" s="1"/>
  <c r="AY71" i="46" s="1"/>
  <c r="BM28" i="46"/>
  <c r="BM206" i="46"/>
  <c r="BC219" i="72"/>
  <c r="BD181" i="72"/>
  <c r="BO21" i="15" l="1"/>
  <c r="AZ524" i="15"/>
  <c r="BA524" i="15"/>
  <c r="BP17" i="46"/>
  <c r="BP22" i="46" s="1"/>
  <c r="BP12" i="46"/>
  <c r="BN28" i="46"/>
  <c r="BQ11" i="46"/>
  <c r="BM207" i="46"/>
  <c r="BA494" i="15"/>
  <c r="BA497" i="15" s="1"/>
  <c r="BA23" i="15" s="1"/>
  <c r="BA25" i="15" s="1"/>
  <c r="AZ494" i="15"/>
  <c r="AY534" i="15"/>
  <c r="AY548" i="15"/>
  <c r="BO27" i="46"/>
  <c r="BO23" i="46"/>
  <c r="BQ14" i="15"/>
  <c r="BQ16" i="15" s="1"/>
  <c r="BQ20" i="15" s="1"/>
  <c r="BQ10" i="15"/>
  <c r="AY53" i="51"/>
  <c r="BQ141" i="15"/>
  <c r="BQ159" i="15"/>
  <c r="BD30" i="72"/>
  <c r="BC230" i="72"/>
  <c r="BC266" i="72"/>
  <c r="BC229" i="72"/>
  <c r="BC220" i="72" s="1"/>
  <c r="BQ19" i="46"/>
  <c r="BP20" i="15"/>
  <c r="BP19" i="46"/>
  <c r="AY135" i="46"/>
  <c r="AY159" i="46"/>
  <c r="BQ144" i="15"/>
  <c r="BQ145" i="15" s="1"/>
  <c r="AY197" i="46"/>
  <c r="BP21" i="15" l="1"/>
  <c r="BD32" i="72"/>
  <c r="BD237" i="72"/>
  <c r="AY69" i="51"/>
  <c r="AY101" i="46"/>
  <c r="BO28" i="46"/>
  <c r="BO207" i="46" s="1"/>
  <c r="BO206" i="46"/>
  <c r="BP206" i="46"/>
  <c r="BQ206" i="46" s="1"/>
  <c r="AY535" i="15"/>
  <c r="AY543" i="15"/>
  <c r="AY556" i="15"/>
  <c r="AY549" i="15"/>
  <c r="AZ497" i="15"/>
  <c r="BB494" i="15"/>
  <c r="BN207" i="46"/>
  <c r="BC223" i="72"/>
  <c r="BC241" i="72"/>
  <c r="BC226" i="72"/>
  <c r="BQ21" i="15"/>
  <c r="BA27" i="15"/>
  <c r="BA29" i="15" s="1"/>
  <c r="BA33" i="15" s="1"/>
  <c r="AY189" i="46"/>
  <c r="AY162" i="46"/>
  <c r="AY171" i="46" s="1"/>
  <c r="AY181" i="46" s="1"/>
  <c r="AY211" i="46"/>
  <c r="AY140" i="46"/>
  <c r="AZ133" i="46"/>
  <c r="BC242" i="72"/>
  <c r="BQ17" i="46"/>
  <c r="BQ22" i="46" s="1"/>
  <c r="BQ12" i="46"/>
  <c r="BP23" i="46"/>
  <c r="BP27" i="46"/>
  <c r="BA503" i="15" l="1"/>
  <c r="BA508" i="15" s="1"/>
  <c r="BA523" i="15" s="1"/>
  <c r="BA40" i="15"/>
  <c r="BA35" i="15"/>
  <c r="BA41" i="15" s="1"/>
  <c r="BA68" i="46" s="1"/>
  <c r="BA540" i="15"/>
  <c r="AZ23" i="15"/>
  <c r="BB497" i="15"/>
  <c r="AY105" i="46"/>
  <c r="AY191" i="46"/>
  <c r="AZ86" i="46"/>
  <c r="AY144" i="46"/>
  <c r="AY156" i="46" s="1"/>
  <c r="AY183" i="46" s="1"/>
  <c r="AY187" i="46"/>
  <c r="BA86" i="46" s="1"/>
  <c r="BA89" i="46" s="1"/>
  <c r="BA30" i="46" s="1"/>
  <c r="BQ27" i="46"/>
  <c r="BQ23" i="46"/>
  <c r="BQ23" i="71"/>
  <c r="CY38" i="73"/>
  <c r="BP28" i="46"/>
  <c r="BP207" i="46" s="1"/>
  <c r="BQ207" i="46" s="1"/>
  <c r="AY219" i="46"/>
  <c r="AY212" i="46"/>
  <c r="AY218" i="46"/>
  <c r="AY544" i="15"/>
  <c r="AY538" i="15"/>
  <c r="AY555" i="15"/>
  <c r="AY541" i="15"/>
  <c r="BD34" i="72"/>
  <c r="BD36" i="72"/>
  <c r="BA23" i="51" l="1"/>
  <c r="BA25" i="51" s="1"/>
  <c r="BA32" i="46"/>
  <c r="BC540" i="15"/>
  <c r="BB540" i="15"/>
  <c r="BD43" i="72"/>
  <c r="BD189" i="72"/>
  <c r="BD38" i="72"/>
  <c r="BD44" i="72" s="1"/>
  <c r="BD238" i="72"/>
  <c r="BD234" i="72"/>
  <c r="AZ89" i="46"/>
  <c r="BB86" i="46"/>
  <c r="BQ25" i="71"/>
  <c r="BQ29" i="71" s="1"/>
  <c r="BQ28" i="46"/>
  <c r="AY201" i="46"/>
  <c r="AY192" i="46"/>
  <c r="AY200" i="46"/>
  <c r="CY70" i="73"/>
  <c r="CY72" i="73" s="1"/>
  <c r="CY74" i="73" s="1"/>
  <c r="CY77" i="73" s="1"/>
  <c r="DE50" i="73"/>
  <c r="DE49" i="73"/>
  <c r="AZ25" i="15"/>
  <c r="BB23" i="15"/>
  <c r="BA525" i="15"/>
  <c r="BA34" i="46" l="1"/>
  <c r="BA27" i="51" s="1"/>
  <c r="DK82" i="73"/>
  <c r="DK76" i="73"/>
  <c r="DK80" i="73"/>
  <c r="DK63" i="73"/>
  <c r="DK78" i="73"/>
  <c r="DK83" i="73"/>
  <c r="DK71" i="73"/>
  <c r="DK68" i="73"/>
  <c r="DK65" i="73"/>
  <c r="DK77" i="73"/>
  <c r="DK70" i="73"/>
  <c r="DK81" i="73"/>
  <c r="DK66" i="73"/>
  <c r="DK79" i="73"/>
  <c r="DK69" i="73"/>
  <c r="DK75" i="73"/>
  <c r="DK72" i="73"/>
  <c r="DK73" i="73"/>
  <c r="DK64" i="73"/>
  <c r="DK74" i="73"/>
  <c r="DK67" i="73"/>
  <c r="BD69" i="46"/>
  <c r="BD45" i="72"/>
  <c r="BA526" i="15"/>
  <c r="BB526" i="15" s="1"/>
  <c r="BC524" i="15" s="1"/>
  <c r="BA532" i="15"/>
  <c r="CJ40" i="73"/>
  <c r="BB552" i="15"/>
  <c r="BB25" i="15"/>
  <c r="BQ30" i="71"/>
  <c r="AZ30" i="46"/>
  <c r="BB89" i="46"/>
  <c r="BD194" i="72"/>
  <c r="BD208" i="72" s="1"/>
  <c r="BD210" i="72" s="1"/>
  <c r="BD225" i="72"/>
  <c r="BD540" i="15"/>
  <c r="BA530" i="15"/>
  <c r="BB530" i="15" s="1"/>
  <c r="AZ27" i="15"/>
  <c r="BB27" i="15" s="1"/>
  <c r="DL73" i="73"/>
  <c r="DM74" i="73" s="1"/>
  <c r="DN75" i="73" s="1"/>
  <c r="DO76" i="73" s="1"/>
  <c r="DP77" i="73" s="1"/>
  <c r="DQ78" i="73" s="1"/>
  <c r="DR79" i="73" s="1"/>
  <c r="DS80" i="73" s="1"/>
  <c r="DT81" i="73" s="1"/>
  <c r="DU82" i="73" s="1"/>
  <c r="DV83" i="73" s="1"/>
  <c r="DL77" i="73"/>
  <c r="DM78" i="73" s="1"/>
  <c r="DN79" i="73" s="1"/>
  <c r="DO80" i="73" s="1"/>
  <c r="DP81" i="73" s="1"/>
  <c r="DQ82" i="73" s="1"/>
  <c r="DR83" i="73" s="1"/>
  <c r="DL75" i="73"/>
  <c r="DM76" i="73" s="1"/>
  <c r="DN77" i="73" s="1"/>
  <c r="DO78" i="73" s="1"/>
  <c r="DP79" i="73" s="1"/>
  <c r="DQ80" i="73" s="1"/>
  <c r="DR81" i="73" s="1"/>
  <c r="DS82" i="73" s="1"/>
  <c r="DT83" i="73" s="1"/>
  <c r="DL78" i="73"/>
  <c r="DM79" i="73" s="1"/>
  <c r="DN80" i="73" s="1"/>
  <c r="DO81" i="73" s="1"/>
  <c r="DP82" i="73" s="1"/>
  <c r="DQ83" i="73" s="1"/>
  <c r="DL79" i="73"/>
  <c r="DM80" i="73" s="1"/>
  <c r="DN81" i="73" s="1"/>
  <c r="DO82" i="73" s="1"/>
  <c r="DP83" i="73" s="1"/>
  <c r="DL72" i="73"/>
  <c r="DM73" i="73" s="1"/>
  <c r="DN74" i="73" s="1"/>
  <c r="DO75" i="73" s="1"/>
  <c r="DP76" i="73" s="1"/>
  <c r="DQ77" i="73" s="1"/>
  <c r="DR78" i="73" s="1"/>
  <c r="DS79" i="73" s="1"/>
  <c r="DT80" i="73" s="1"/>
  <c r="DU81" i="73" s="1"/>
  <c r="DV82" i="73" s="1"/>
  <c r="DW83" i="73" s="1"/>
  <c r="DL80" i="73"/>
  <c r="DM81" i="73" s="1"/>
  <c r="DN82" i="73" s="1"/>
  <c r="DO83" i="73" s="1"/>
  <c r="DL71" i="73"/>
  <c r="DM72" i="73" s="1"/>
  <c r="DN73" i="73" s="1"/>
  <c r="DO74" i="73" s="1"/>
  <c r="DP75" i="73" s="1"/>
  <c r="DQ76" i="73" s="1"/>
  <c r="DR77" i="73" s="1"/>
  <c r="DS78" i="73" s="1"/>
  <c r="DT79" i="73" s="1"/>
  <c r="DU80" i="73" s="1"/>
  <c r="DV81" i="73" s="1"/>
  <c r="DW82" i="73" s="1"/>
  <c r="DX83" i="73" s="1"/>
  <c r="DL65" i="73"/>
  <c r="DM66" i="73" s="1"/>
  <c r="DN67" i="73" s="1"/>
  <c r="DO68" i="73" s="1"/>
  <c r="DP69" i="73" s="1"/>
  <c r="DQ70" i="73" s="1"/>
  <c r="DR71" i="73" s="1"/>
  <c r="DS72" i="73" s="1"/>
  <c r="DT73" i="73" s="1"/>
  <c r="DU74" i="73" s="1"/>
  <c r="DV75" i="73" s="1"/>
  <c r="DW76" i="73" s="1"/>
  <c r="DX77" i="73" s="1"/>
  <c r="DY78" i="73" s="1"/>
  <c r="DZ79" i="73" s="1"/>
  <c r="EA80" i="73" s="1"/>
  <c r="EB81" i="73" s="1"/>
  <c r="EC82" i="73" s="1"/>
  <c r="ED83" i="73" s="1"/>
  <c r="DL64" i="73"/>
  <c r="DM65" i="73" s="1"/>
  <c r="DN66" i="73" s="1"/>
  <c r="DO67" i="73" s="1"/>
  <c r="DP68" i="73" s="1"/>
  <c r="DQ69" i="73" s="1"/>
  <c r="DR70" i="73" s="1"/>
  <c r="DS71" i="73" s="1"/>
  <c r="DT72" i="73" s="1"/>
  <c r="DU73" i="73" s="1"/>
  <c r="DV74" i="73" s="1"/>
  <c r="DW75" i="73" s="1"/>
  <c r="DX76" i="73" s="1"/>
  <c r="DY77" i="73" s="1"/>
  <c r="DZ78" i="73" s="1"/>
  <c r="EA79" i="73" s="1"/>
  <c r="EB80" i="73" s="1"/>
  <c r="EC81" i="73" s="1"/>
  <c r="ED82" i="73" s="1"/>
  <c r="EE83" i="73" s="1"/>
  <c r="DF63" i="73"/>
  <c r="DF64" i="73" s="1"/>
  <c r="DF65" i="73" s="1"/>
  <c r="DF66" i="73" s="1"/>
  <c r="DF67" i="73" s="1"/>
  <c r="DF68" i="73" s="1"/>
  <c r="DF69" i="73" s="1"/>
  <c r="DF70" i="73" s="1"/>
  <c r="DF71" i="73" s="1"/>
  <c r="DF72" i="73" s="1"/>
  <c r="DF73" i="73" s="1"/>
  <c r="DF74" i="73" s="1"/>
  <c r="DF75" i="73" s="1"/>
  <c r="DF76" i="73" s="1"/>
  <c r="DF77" i="73" s="1"/>
  <c r="DF78" i="73" s="1"/>
  <c r="DF79" i="73" s="1"/>
  <c r="DF80" i="73" s="1"/>
  <c r="DF81" i="73" s="1"/>
  <c r="DF82" i="73" s="1"/>
  <c r="DF83" i="73" s="1"/>
  <c r="DL76" i="73"/>
  <c r="DM77" i="73" s="1"/>
  <c r="DN78" i="73" s="1"/>
  <c r="DO79" i="73" s="1"/>
  <c r="DP80" i="73" s="1"/>
  <c r="DQ81" i="73" s="1"/>
  <c r="DR82" i="73" s="1"/>
  <c r="DS83" i="73" s="1"/>
  <c r="DL81" i="73"/>
  <c r="DM82" i="73" s="1"/>
  <c r="DN83" i="73" s="1"/>
  <c r="DL67" i="73"/>
  <c r="DM68" i="73" s="1"/>
  <c r="DN69" i="73" s="1"/>
  <c r="DO70" i="73" s="1"/>
  <c r="DP71" i="73" s="1"/>
  <c r="DQ72" i="73" s="1"/>
  <c r="DR73" i="73" s="1"/>
  <c r="DS74" i="73" s="1"/>
  <c r="DT75" i="73" s="1"/>
  <c r="DU76" i="73" s="1"/>
  <c r="DV77" i="73" s="1"/>
  <c r="DW78" i="73" s="1"/>
  <c r="DX79" i="73" s="1"/>
  <c r="DY80" i="73" s="1"/>
  <c r="DZ81" i="73" s="1"/>
  <c r="EA82" i="73" s="1"/>
  <c r="EB83" i="73" s="1"/>
  <c r="DL68" i="73"/>
  <c r="DM69" i="73" s="1"/>
  <c r="DN70" i="73" s="1"/>
  <c r="DO71" i="73" s="1"/>
  <c r="DP72" i="73" s="1"/>
  <c r="DQ73" i="73" s="1"/>
  <c r="DR74" i="73" s="1"/>
  <c r="DS75" i="73" s="1"/>
  <c r="DT76" i="73" s="1"/>
  <c r="DU77" i="73" s="1"/>
  <c r="DV78" i="73" s="1"/>
  <c r="DW79" i="73" s="1"/>
  <c r="DX80" i="73" s="1"/>
  <c r="DY81" i="73" s="1"/>
  <c r="DZ82" i="73" s="1"/>
  <c r="EA83" i="73" s="1"/>
  <c r="DL82" i="73"/>
  <c r="DM83" i="73" s="1"/>
  <c r="DL70" i="73"/>
  <c r="DM71" i="73" s="1"/>
  <c r="DN72" i="73" s="1"/>
  <c r="DO73" i="73" s="1"/>
  <c r="DP74" i="73" s="1"/>
  <c r="DQ75" i="73" s="1"/>
  <c r="DR76" i="73" s="1"/>
  <c r="DS77" i="73" s="1"/>
  <c r="DT78" i="73" s="1"/>
  <c r="DU79" i="73" s="1"/>
  <c r="DV80" i="73" s="1"/>
  <c r="DW81" i="73" s="1"/>
  <c r="DX82" i="73" s="1"/>
  <c r="DY83" i="73" s="1"/>
  <c r="DL69" i="73"/>
  <c r="DM70" i="73" s="1"/>
  <c r="DN71" i="73" s="1"/>
  <c r="DO72" i="73" s="1"/>
  <c r="DP73" i="73" s="1"/>
  <c r="DQ74" i="73" s="1"/>
  <c r="DR75" i="73" s="1"/>
  <c r="DS76" i="73" s="1"/>
  <c r="DT77" i="73" s="1"/>
  <c r="DU78" i="73" s="1"/>
  <c r="DV79" i="73" s="1"/>
  <c r="DW80" i="73" s="1"/>
  <c r="DX81" i="73" s="1"/>
  <c r="DY82" i="73" s="1"/>
  <c r="DZ83" i="73" s="1"/>
  <c r="DL83" i="73"/>
  <c r="DL63" i="73"/>
  <c r="DM64" i="73" s="1"/>
  <c r="DN65" i="73" s="1"/>
  <c r="DO66" i="73" s="1"/>
  <c r="DP67" i="73" s="1"/>
  <c r="DQ68" i="73" s="1"/>
  <c r="DR69" i="73" s="1"/>
  <c r="DS70" i="73" s="1"/>
  <c r="DT71" i="73" s="1"/>
  <c r="DU72" i="73" s="1"/>
  <c r="DV73" i="73" s="1"/>
  <c r="DW74" i="73" s="1"/>
  <c r="DX75" i="73" s="1"/>
  <c r="DY76" i="73" s="1"/>
  <c r="DZ77" i="73" s="1"/>
  <c r="EA78" i="73" s="1"/>
  <c r="EB79" i="73" s="1"/>
  <c r="EC80" i="73" s="1"/>
  <c r="ED81" i="73" s="1"/>
  <c r="EE82" i="73" s="1"/>
  <c r="EF83" i="73" s="1"/>
  <c r="DL66" i="73"/>
  <c r="DM67" i="73" s="1"/>
  <c r="DN68" i="73" s="1"/>
  <c r="DO69" i="73" s="1"/>
  <c r="DP70" i="73" s="1"/>
  <c r="DQ71" i="73" s="1"/>
  <c r="DR72" i="73" s="1"/>
  <c r="DS73" i="73" s="1"/>
  <c r="DT74" i="73" s="1"/>
  <c r="DU75" i="73" s="1"/>
  <c r="DV76" i="73" s="1"/>
  <c r="DW77" i="73" s="1"/>
  <c r="DX78" i="73" s="1"/>
  <c r="DY79" i="73" s="1"/>
  <c r="DZ80" i="73" s="1"/>
  <c r="EA81" i="73" s="1"/>
  <c r="EB82" i="73" s="1"/>
  <c r="EC83" i="73" s="1"/>
  <c r="DL74" i="73"/>
  <c r="DM75" i="73" s="1"/>
  <c r="DN76" i="73" s="1"/>
  <c r="DO77" i="73" s="1"/>
  <c r="DP78" i="73" s="1"/>
  <c r="DQ79" i="73" s="1"/>
  <c r="DR80" i="73" s="1"/>
  <c r="DS81" i="73" s="1"/>
  <c r="DT82" i="73" s="1"/>
  <c r="DU83" i="73" s="1"/>
  <c r="AY195" i="46"/>
  <c r="AY198" i="46"/>
  <c r="BA29" i="51"/>
  <c r="EG64" i="73" l="1"/>
  <c r="DE63" i="73" s="1"/>
  <c r="DG63" i="73" s="1"/>
  <c r="DH63" i="73" s="1"/>
  <c r="EG69" i="73"/>
  <c r="DE68" i="73" s="1"/>
  <c r="DG68" i="73" s="1"/>
  <c r="DH68" i="73" s="1"/>
  <c r="EG70" i="73"/>
  <c r="DE69" i="73" s="1"/>
  <c r="DG69" i="73" s="1"/>
  <c r="DH69" i="73" s="1"/>
  <c r="EG71" i="73"/>
  <c r="DE70" i="73" s="1"/>
  <c r="DG70" i="73" s="1"/>
  <c r="DH70" i="73" s="1"/>
  <c r="EG80" i="73"/>
  <c r="DE79" i="73" s="1"/>
  <c r="DG79" i="73" s="1"/>
  <c r="DH79" i="73" s="1"/>
  <c r="DF84" i="73"/>
  <c r="DG83" i="73"/>
  <c r="DH83" i="73" s="1"/>
  <c r="AZ29" i="15"/>
  <c r="AZ33" i="15" s="1"/>
  <c r="AZ23" i="51"/>
  <c r="AZ25" i="51" s="1"/>
  <c r="AZ32" i="46"/>
  <c r="AZ208" i="46"/>
  <c r="BA208" i="46"/>
  <c r="BB208" i="46" s="1"/>
  <c r="BB30" i="46"/>
  <c r="CJ42" i="73"/>
  <c r="CJ49" i="73" s="1"/>
  <c r="CJ41" i="73"/>
  <c r="EG73" i="73"/>
  <c r="DE72" i="73" s="1"/>
  <c r="DG72" i="73" s="1"/>
  <c r="DH72" i="73" s="1"/>
  <c r="EG79" i="73"/>
  <c r="DE78" i="73" s="1"/>
  <c r="DG78" i="73" s="1"/>
  <c r="DH78" i="73" s="1"/>
  <c r="EG77" i="73"/>
  <c r="DE76" i="73" s="1"/>
  <c r="DG76" i="73" s="1"/>
  <c r="DH76" i="73" s="1"/>
  <c r="EG83" i="73"/>
  <c r="DE82" i="73" s="1"/>
  <c r="DG82" i="73" s="1"/>
  <c r="DH82" i="73" s="1"/>
  <c r="EG76" i="73"/>
  <c r="DE75" i="73" s="1"/>
  <c r="DG75" i="73" s="1"/>
  <c r="DH75" i="73" s="1"/>
  <c r="BB549" i="15"/>
  <c r="BA534" i="15"/>
  <c r="BB532" i="15"/>
  <c r="BA548" i="15"/>
  <c r="EG67" i="73"/>
  <c r="DE66" i="73" s="1"/>
  <c r="DG66" i="73" s="1"/>
  <c r="DH66" i="73" s="1"/>
  <c r="EG72" i="73"/>
  <c r="DE71" i="73" s="1"/>
  <c r="DG71" i="73" s="1"/>
  <c r="DH71" i="73" s="1"/>
  <c r="EG66" i="73"/>
  <c r="DE65" i="73" s="1"/>
  <c r="DG65" i="73" s="1"/>
  <c r="DH65" i="73" s="1"/>
  <c r="EG65" i="73"/>
  <c r="DE64" i="73" s="1"/>
  <c r="DG64" i="73" s="1"/>
  <c r="DH64" i="73" s="1"/>
  <c r="EG78" i="73"/>
  <c r="DE77" i="73" s="1"/>
  <c r="DG77" i="73" s="1"/>
  <c r="DH77" i="73" s="1"/>
  <c r="EG82" i="73"/>
  <c r="DE81" i="73" s="1"/>
  <c r="DG81" i="73" s="1"/>
  <c r="DH81" i="73" s="1"/>
  <c r="BA31" i="51"/>
  <c r="BA37" i="51" s="1"/>
  <c r="BA70" i="46" s="1"/>
  <c r="BA71" i="46" s="1"/>
  <c r="BA36" i="51"/>
  <c r="BE540" i="15"/>
  <c r="BD211" i="72"/>
  <c r="BD217" i="72"/>
  <c r="BB29" i="15"/>
  <c r="BB33" i="15" s="1"/>
  <c r="BB551" i="15"/>
  <c r="BB562" i="15" s="1"/>
  <c r="BG524" i="15"/>
  <c r="BC525" i="15"/>
  <c r="BC530" i="15" s="1"/>
  <c r="EG74" i="73"/>
  <c r="DE73" i="73" s="1"/>
  <c r="DG73" i="73" s="1"/>
  <c r="DH73" i="73" s="1"/>
  <c r="EG75" i="73"/>
  <c r="DE74" i="73" s="1"/>
  <c r="DG74" i="73" s="1"/>
  <c r="DH74" i="73" s="1"/>
  <c r="EG81" i="73"/>
  <c r="DE80" i="73" s="1"/>
  <c r="DG80" i="73" s="1"/>
  <c r="DH80" i="73" s="1"/>
  <c r="EG68" i="73"/>
  <c r="DE67" i="73" s="1"/>
  <c r="DG67" i="73" s="1"/>
  <c r="DH67" i="73" s="1"/>
  <c r="EG63" i="73"/>
  <c r="BA36" i="46"/>
  <c r="BA40" i="46" s="1"/>
  <c r="BE209" i="72" l="1"/>
  <c r="BD215" i="72"/>
  <c r="BA549" i="15"/>
  <c r="CJ50" i="73"/>
  <c r="CJ54" i="73" s="1"/>
  <c r="AZ40" i="15"/>
  <c r="AZ503" i="15"/>
  <c r="AZ35" i="15"/>
  <c r="AZ41" i="15" s="1"/>
  <c r="AZ68" i="46" s="1"/>
  <c r="AZ540" i="15"/>
  <c r="BB35" i="15"/>
  <c r="BB40" i="15"/>
  <c r="BF540" i="15"/>
  <c r="BC532" i="15"/>
  <c r="BC494" i="15"/>
  <c r="BB534" i="15"/>
  <c r="BB548" i="15"/>
  <c r="BB23" i="51"/>
  <c r="BB25" i="51" s="1"/>
  <c r="BB215" i="46"/>
  <c r="BB32" i="46"/>
  <c r="BC526" i="15"/>
  <c r="BD524" i="15" s="1"/>
  <c r="BD525" i="15" s="1"/>
  <c r="BD526" i="15" s="1"/>
  <c r="BE524" i="15" s="1"/>
  <c r="BE181" i="72"/>
  <c r="BD219" i="72"/>
  <c r="BA543" i="15"/>
  <c r="AZ34" i="46"/>
  <c r="AZ36" i="46" s="1"/>
  <c r="AZ40" i="46" s="1"/>
  <c r="DF85" i="73"/>
  <c r="DG84" i="73"/>
  <c r="DH84" i="73" s="1"/>
  <c r="BA110" i="46"/>
  <c r="BA48" i="46"/>
  <c r="BA42" i="46"/>
  <c r="CJ78" i="73"/>
  <c r="CJ79" i="73" s="1"/>
  <c r="CJ81" i="73" s="1"/>
  <c r="BB557" i="15"/>
  <c r="AZ48" i="46" l="1"/>
  <c r="AZ110" i="46"/>
  <c r="AZ42" i="46"/>
  <c r="AZ176" i="46"/>
  <c r="BB41" i="15"/>
  <c r="BB68" i="46" s="1"/>
  <c r="BB550" i="15"/>
  <c r="BA48" i="51"/>
  <c r="BA53" i="51" s="1"/>
  <c r="BA115" i="46"/>
  <c r="BA131" i="46" s="1"/>
  <c r="BD229" i="72"/>
  <c r="BD242" i="72" s="1"/>
  <c r="BD266" i="72"/>
  <c r="BB214" i="46"/>
  <c r="BB225" i="46" s="1"/>
  <c r="DT28" i="71" s="1"/>
  <c r="BB543" i="15"/>
  <c r="AZ27" i="51"/>
  <c r="AZ29" i="51" s="1"/>
  <c r="BB34" i="46"/>
  <c r="BB27" i="51" s="1"/>
  <c r="BB29" i="51" s="1"/>
  <c r="BE30" i="72"/>
  <c r="BC497" i="15"/>
  <c r="BG540" i="15"/>
  <c r="BA544" i="15"/>
  <c r="BA538" i="15"/>
  <c r="BA555" i="15"/>
  <c r="BA541" i="15"/>
  <c r="BA49" i="46"/>
  <c r="BA50" i="46" s="1"/>
  <c r="DG85" i="73"/>
  <c r="DH85" i="73" s="1"/>
  <c r="DF86" i="73"/>
  <c r="BA535" i="15"/>
  <c r="BC534" i="15"/>
  <c r="BD532" i="15"/>
  <c r="BD494" i="15"/>
  <c r="BD497" i="15" s="1"/>
  <c r="BC548" i="15"/>
  <c r="AZ508" i="15"/>
  <c r="AZ523" i="15" s="1"/>
  <c r="BB503" i="15"/>
  <c r="BB508" i="15" s="1"/>
  <c r="BA556" i="15"/>
  <c r="BD530" i="15"/>
  <c r="BB31" i="51" l="1"/>
  <c r="BB36" i="51"/>
  <c r="BB544" i="15"/>
  <c r="BB538" i="15"/>
  <c r="BB555" i="15"/>
  <c r="BB541" i="15"/>
  <c r="BB10" i="71"/>
  <c r="AZ179" i="46"/>
  <c r="BA176" i="46"/>
  <c r="AZ36" i="51"/>
  <c r="AZ31" i="51"/>
  <c r="AZ37" i="51" s="1"/>
  <c r="AZ70" i="46" s="1"/>
  <c r="AZ71" i="46" s="1"/>
  <c r="BB535" i="15"/>
  <c r="BD223" i="72"/>
  <c r="BD241" i="72"/>
  <c r="BD226" i="72"/>
  <c r="BB556" i="15"/>
  <c r="AZ49" i="46"/>
  <c r="AZ50" i="46" s="1"/>
  <c r="AZ205" i="46"/>
  <c r="AZ209" i="46"/>
  <c r="BA209" i="46"/>
  <c r="BB209" i="46" s="1"/>
  <c r="BA205" i="46"/>
  <c r="BB205" i="46" s="1"/>
  <c r="BE494" i="15"/>
  <c r="BE497" i="15" s="1"/>
  <c r="BD534" i="15"/>
  <c r="BD548" i="15"/>
  <c r="BD220" i="72"/>
  <c r="BA101" i="46"/>
  <c r="BA105" i="46" s="1"/>
  <c r="BA69" i="51"/>
  <c r="BE525" i="15"/>
  <c r="AZ48" i="51"/>
  <c r="AZ115" i="46"/>
  <c r="AZ131" i="46" s="1"/>
  <c r="AZ134" i="46" s="1"/>
  <c r="BB110" i="46"/>
  <c r="BB115" i="46" s="1"/>
  <c r="BB523" i="15"/>
  <c r="AZ525" i="15"/>
  <c r="AZ530" i="15"/>
  <c r="BC535" i="15"/>
  <c r="BC543" i="15"/>
  <c r="DG86" i="73"/>
  <c r="DH86" i="73" s="1"/>
  <c r="DF87" i="73"/>
  <c r="BE530" i="15"/>
  <c r="BC556" i="15"/>
  <c r="BC549" i="15"/>
  <c r="BE32" i="72"/>
  <c r="BE237" i="72"/>
  <c r="BB36" i="46"/>
  <c r="BB40" i="46" s="1"/>
  <c r="BD230" i="72"/>
  <c r="BB558" i="15"/>
  <c r="BB561" i="15"/>
  <c r="BE34" i="72" l="1"/>
  <c r="BE36" i="72"/>
  <c r="AZ135" i="46"/>
  <c r="AZ159" i="46"/>
  <c r="BD543" i="15"/>
  <c r="BB176" i="46"/>
  <c r="BA179" i="46"/>
  <c r="AZ197" i="46"/>
  <c r="BB48" i="46"/>
  <c r="BB42" i="46"/>
  <c r="DG87" i="73"/>
  <c r="DH87" i="73" s="1"/>
  <c r="DF88" i="73"/>
  <c r="AZ53" i="51"/>
  <c r="BB48" i="51"/>
  <c r="BB53" i="51" s="1"/>
  <c r="AZ526" i="15"/>
  <c r="BB525" i="15"/>
  <c r="AZ532" i="15"/>
  <c r="BE526" i="15"/>
  <c r="BF524" i="15" s="1"/>
  <c r="BD549" i="15"/>
  <c r="BB7" i="73"/>
  <c r="BC544" i="15"/>
  <c r="BC538" i="15"/>
  <c r="BC555" i="15"/>
  <c r="BC541" i="15"/>
  <c r="BB131" i="46"/>
  <c r="DT41" i="71"/>
  <c r="BE532" i="15"/>
  <c r="BB59" i="73"/>
  <c r="BB60" i="73" s="1"/>
  <c r="BB62" i="73" s="1"/>
  <c r="BB68" i="73" s="1"/>
  <c r="BB37" i="51"/>
  <c r="BD544" i="15" l="1"/>
  <c r="BD538" i="15"/>
  <c r="BD555" i="15"/>
  <c r="BD541" i="15"/>
  <c r="AZ140" i="46"/>
  <c r="BA133" i="46"/>
  <c r="BF525" i="15"/>
  <c r="BB69" i="51"/>
  <c r="DT39" i="71"/>
  <c r="DT51" i="71" s="1"/>
  <c r="BB49" i="46"/>
  <c r="BB213" i="46"/>
  <c r="BB224" i="46" s="1"/>
  <c r="DT27" i="71" s="1"/>
  <c r="BD535" i="15"/>
  <c r="BE43" i="72"/>
  <c r="BE38" i="72"/>
  <c r="BE44" i="72" s="1"/>
  <c r="BE189" i="72"/>
  <c r="BE238" i="72"/>
  <c r="BE234" i="72"/>
  <c r="DT40" i="71"/>
  <c r="DT52" i="71" s="1"/>
  <c r="BD556" i="15"/>
  <c r="AZ534" i="15"/>
  <c r="AZ548" i="15"/>
  <c r="AZ101" i="46"/>
  <c r="AZ69" i="51"/>
  <c r="BA197" i="46"/>
  <c r="AZ189" i="46"/>
  <c r="AZ191" i="46" s="1"/>
  <c r="AZ162" i="46"/>
  <c r="AZ171" i="46" s="1"/>
  <c r="AZ181" i="46" s="1"/>
  <c r="AZ211" i="46"/>
  <c r="BF532" i="15"/>
  <c r="BE534" i="15"/>
  <c r="BF494" i="15"/>
  <c r="BE548" i="15"/>
  <c r="BB12" i="71"/>
  <c r="BB70" i="46"/>
  <c r="BB71" i="46" s="1"/>
  <c r="DG88" i="73"/>
  <c r="DH88" i="73" s="1"/>
  <c r="DF89" i="73"/>
  <c r="BB179" i="46"/>
  <c r="BF534" i="15" l="1"/>
  <c r="BG532" i="15"/>
  <c r="BF548" i="15"/>
  <c r="BE194" i="72"/>
  <c r="BE208" i="72" s="1"/>
  <c r="BE210" i="72" s="1"/>
  <c r="BE225" i="72"/>
  <c r="BF526" i="15"/>
  <c r="BG526" i="15" s="1"/>
  <c r="BH524" i="15" s="1"/>
  <c r="BL524" i="15" s="1"/>
  <c r="BF530" i="15"/>
  <c r="BG530" i="15" s="1"/>
  <c r="BG525" i="15"/>
  <c r="BB197" i="46"/>
  <c r="BE549" i="15"/>
  <c r="AZ200" i="46"/>
  <c r="AZ192" i="46"/>
  <c r="AZ201" i="46"/>
  <c r="AZ105" i="46"/>
  <c r="BB105" i="46" s="1"/>
  <c r="BB101" i="46"/>
  <c r="BE45" i="72"/>
  <c r="BE69" i="46"/>
  <c r="BB13" i="71"/>
  <c r="BB50" i="46"/>
  <c r="BB58" i="46"/>
  <c r="BA134" i="46"/>
  <c r="BB9" i="73"/>
  <c r="DF90" i="73"/>
  <c r="DG89" i="73"/>
  <c r="DH89" i="73" s="1"/>
  <c r="BF497" i="15"/>
  <c r="BG497" i="15" s="1"/>
  <c r="BG494" i="15"/>
  <c r="AZ219" i="46"/>
  <c r="AZ212" i="46"/>
  <c r="AZ218" i="46"/>
  <c r="AZ549" i="15"/>
  <c r="DT53" i="71"/>
  <c r="DT56" i="71" s="1"/>
  <c r="AZ187" i="46"/>
  <c r="AZ144" i="46"/>
  <c r="AZ156" i="46" s="1"/>
  <c r="AZ183" i="46" s="1"/>
  <c r="BE543" i="15"/>
  <c r="AZ543" i="15"/>
  <c r="BE544" i="15" l="1"/>
  <c r="BE538" i="15"/>
  <c r="BE555" i="15"/>
  <c r="BE541" i="15"/>
  <c r="BB63" i="73"/>
  <c r="BB10" i="73"/>
  <c r="BB17" i="73" s="1"/>
  <c r="BB19" i="73" s="1"/>
  <c r="BB21" i="73" s="1"/>
  <c r="BE211" i="72"/>
  <c r="BE217" i="72"/>
  <c r="BA135" i="46"/>
  <c r="BB134" i="46"/>
  <c r="DT62" i="71" s="1"/>
  <c r="DT64" i="71" s="1"/>
  <c r="BA159" i="46"/>
  <c r="BE556" i="15"/>
  <c r="BG549" i="15"/>
  <c r="BF549" i="15"/>
  <c r="BB56" i="71"/>
  <c r="BB51" i="71"/>
  <c r="BB17" i="71"/>
  <c r="BE535" i="15"/>
  <c r="AZ544" i="15"/>
  <c r="AZ538" i="15"/>
  <c r="AZ555" i="15"/>
  <c r="AZ541" i="15"/>
  <c r="AZ556" i="15"/>
  <c r="BH494" i="15"/>
  <c r="BG534" i="15"/>
  <c r="BG548" i="15"/>
  <c r="DG90" i="73"/>
  <c r="DH90" i="73" s="1"/>
  <c r="DF91" i="73"/>
  <c r="AZ535" i="15"/>
  <c r="BB18" i="71"/>
  <c r="AZ195" i="46"/>
  <c r="AZ198" i="46"/>
  <c r="DT16" i="71"/>
  <c r="BF543" i="15"/>
  <c r="BF556" i="15" s="1"/>
  <c r="DF92" i="73" l="1"/>
  <c r="DG92" i="73" s="1"/>
  <c r="DH92" i="73" s="1"/>
  <c r="DG91" i="73"/>
  <c r="DH91" i="73" s="1"/>
  <c r="BH497" i="15"/>
  <c r="BA140" i="46"/>
  <c r="BB135" i="46"/>
  <c r="BC133" i="46" s="1"/>
  <c r="BG133" i="46" s="1"/>
  <c r="BE215" i="72"/>
  <c r="BF209" i="72"/>
  <c r="AW56" i="71"/>
  <c r="BB54" i="71"/>
  <c r="BG543" i="15"/>
  <c r="BF544" i="15"/>
  <c r="BF538" i="15"/>
  <c r="BF555" i="15"/>
  <c r="BF541" i="15"/>
  <c r="BF535" i="15"/>
  <c r="BG558" i="15"/>
  <c r="BG557" i="15"/>
  <c r="CO78" i="73"/>
  <c r="CO79" i="73" s="1"/>
  <c r="CO81" i="73" s="1"/>
  <c r="BA189" i="46"/>
  <c r="BA191" i="46" s="1"/>
  <c r="BB159" i="46"/>
  <c r="BA162" i="46"/>
  <c r="BA171" i="46" s="1"/>
  <c r="BA181" i="46" s="1"/>
  <c r="BA211" i="46"/>
  <c r="BF181" i="72"/>
  <c r="BE219" i="72"/>
  <c r="BE220" i="72" l="1"/>
  <c r="BE242" i="72"/>
  <c r="BE266" i="72"/>
  <c r="BE229" i="72"/>
  <c r="BG544" i="15"/>
  <c r="BG538" i="15"/>
  <c r="BG555" i="15"/>
  <c r="BG541" i="15"/>
  <c r="BH23" i="15"/>
  <c r="BF30" i="72"/>
  <c r="BG181" i="72"/>
  <c r="BB189" i="46"/>
  <c r="BB162" i="46"/>
  <c r="BB171" i="46" s="1"/>
  <c r="BB181" i="46" s="1"/>
  <c r="BB211" i="46"/>
  <c r="BG535" i="15"/>
  <c r="BA200" i="46"/>
  <c r="BA201" i="46"/>
  <c r="BG556" i="15"/>
  <c r="BA212" i="46"/>
  <c r="BA219" i="46"/>
  <c r="BA218" i="46"/>
  <c r="BA144" i="46"/>
  <c r="BA156" i="46" s="1"/>
  <c r="BA183" i="46" s="1"/>
  <c r="BA187" i="46"/>
  <c r="BB140" i="46"/>
  <c r="DH93" i="73"/>
  <c r="DE53" i="73" s="1"/>
  <c r="BF32" i="72" l="1"/>
  <c r="BF237" i="72"/>
  <c r="BG30" i="72"/>
  <c r="BA195" i="46"/>
  <c r="BA198" i="46"/>
  <c r="BC86" i="46"/>
  <c r="BB191" i="46"/>
  <c r="DT11" i="71"/>
  <c r="DT13" i="71" s="1"/>
  <c r="BH25" i="15"/>
  <c r="BB187" i="46"/>
  <c r="DT9" i="71" s="1"/>
  <c r="BB144" i="46"/>
  <c r="BB156" i="46" s="1"/>
  <c r="DL39" i="73"/>
  <c r="CY51" i="73"/>
  <c r="BA192" i="46"/>
  <c r="BB219" i="46"/>
  <c r="DT22" i="71" s="1"/>
  <c r="BB212" i="46"/>
  <c r="BB220" i="46" s="1"/>
  <c r="DT23" i="71" s="1"/>
  <c r="BB221" i="46"/>
  <c r="DT24" i="71" s="1"/>
  <c r="BB218" i="46"/>
  <c r="DT21" i="71" s="1"/>
  <c r="BE223" i="72"/>
  <c r="BE241" i="72"/>
  <c r="BE226" i="72"/>
  <c r="BE230" i="72"/>
  <c r="BH27" i="15" l="1"/>
  <c r="BH29" i="15"/>
  <c r="BH33" i="15" s="1"/>
  <c r="BB201" i="46"/>
  <c r="BB192" i="46"/>
  <c r="BB200" i="46"/>
  <c r="BG237" i="72"/>
  <c r="BG248" i="72" s="1"/>
  <c r="BG32" i="72"/>
  <c r="BG36" i="72" s="1"/>
  <c r="BC89" i="46"/>
  <c r="BB183" i="46"/>
  <c r="BB57" i="71"/>
  <c r="BB58" i="71"/>
  <c r="BF34" i="72"/>
  <c r="BG34" i="72" s="1"/>
  <c r="BF36" i="72"/>
  <c r="DT18" i="71"/>
  <c r="BB63" i="71"/>
  <c r="BB64" i="71" s="1"/>
  <c r="BB52" i="71" s="1"/>
  <c r="BC30" i="46" l="1"/>
  <c r="BG238" i="72"/>
  <c r="BG270" i="72" s="1"/>
  <c r="BG68" i="72" s="1"/>
  <c r="BG45" i="73" s="1"/>
  <c r="BG56" i="73" s="1"/>
  <c r="BG38" i="72"/>
  <c r="BG44" i="72" s="1"/>
  <c r="BG234" i="72"/>
  <c r="BG189" i="72"/>
  <c r="BG194" i="72" s="1"/>
  <c r="BG43" i="72"/>
  <c r="BF43" i="72"/>
  <c r="BF189" i="72"/>
  <c r="BF38" i="72"/>
  <c r="BF44" i="72" s="1"/>
  <c r="BF238" i="72"/>
  <c r="BF234" i="72"/>
  <c r="BH35" i="15"/>
  <c r="BH41" i="15" s="1"/>
  <c r="BH68" i="46" s="1"/>
  <c r="BH503" i="15"/>
  <c r="BH40" i="15"/>
  <c r="BH540" i="15"/>
  <c r="BB195" i="46"/>
  <c r="BB198" i="46"/>
  <c r="BG69" i="46" l="1"/>
  <c r="BG45" i="72"/>
  <c r="BH508" i="15"/>
  <c r="BH523" i="15" s="1"/>
  <c r="BF45" i="72"/>
  <c r="BF69" i="46"/>
  <c r="BG208" i="72"/>
  <c r="DY38" i="71"/>
  <c r="DY50" i="71" s="1"/>
  <c r="BC23" i="51"/>
  <c r="BC25" i="51" s="1"/>
  <c r="BC32" i="46"/>
  <c r="BC208" i="46"/>
  <c r="BF194" i="72"/>
  <c r="BF208" i="72" s="1"/>
  <c r="BF210" i="72" s="1"/>
  <c r="BF225" i="72"/>
  <c r="BG247" i="72"/>
  <c r="BH525" i="15" l="1"/>
  <c r="BH530" i="15" s="1"/>
  <c r="BG225" i="72"/>
  <c r="BC36" i="46"/>
  <c r="BC40" i="46" s="1"/>
  <c r="BC34" i="46"/>
  <c r="BF211" i="72"/>
  <c r="BF215" i="72" s="1"/>
  <c r="BG210" i="72"/>
  <c r="BG211" i="72" s="1"/>
  <c r="BF217" i="72"/>
  <c r="BG11" i="71"/>
  <c r="BG57" i="46"/>
  <c r="BC42" i="46" l="1"/>
  <c r="BC110" i="46"/>
  <c r="BC48" i="46"/>
  <c r="BC176" i="46"/>
  <c r="BH526" i="15"/>
  <c r="BI524" i="15" s="1"/>
  <c r="BH532" i="15"/>
  <c r="BG215" i="72"/>
  <c r="BL209" i="72"/>
  <c r="BH209" i="72"/>
  <c r="BG8" i="73"/>
  <c r="BG39" i="71"/>
  <c r="BG217" i="72"/>
  <c r="BF219" i="72"/>
  <c r="BC27" i="51"/>
  <c r="BC29" i="51" s="1"/>
  <c r="BH534" i="15" l="1"/>
  <c r="BI494" i="15"/>
  <c r="BH548" i="15"/>
  <c r="BH181" i="72"/>
  <c r="BG219" i="72"/>
  <c r="BC48" i="51"/>
  <c r="BC115" i="46"/>
  <c r="BC131" i="46" s="1"/>
  <c r="BC134" i="46" s="1"/>
  <c r="BF266" i="72"/>
  <c r="BC49" i="46"/>
  <c r="BC50" i="46" s="1"/>
  <c r="BC209" i="46"/>
  <c r="BC205" i="46"/>
  <c r="BC36" i="51"/>
  <c r="BC31" i="51"/>
  <c r="BC37" i="51" s="1"/>
  <c r="BC70" i="46" s="1"/>
  <c r="BC71" i="46" s="1"/>
  <c r="BC179" i="46"/>
  <c r="BI497" i="15" l="1"/>
  <c r="BC53" i="51"/>
  <c r="BG243" i="72"/>
  <c r="BG220" i="72"/>
  <c r="BG244" i="72"/>
  <c r="BG266" i="72"/>
  <c r="BG229" i="72"/>
  <c r="BH556" i="15"/>
  <c r="BH549" i="15"/>
  <c r="BC197" i="46"/>
  <c r="BC135" i="46"/>
  <c r="BC159" i="46"/>
  <c r="BH30" i="72"/>
  <c r="BH543" i="15"/>
  <c r="BH237" i="72" l="1"/>
  <c r="BH32" i="72"/>
  <c r="BC140" i="46"/>
  <c r="BD133" i="46"/>
  <c r="BG223" i="72"/>
  <c r="BF229" i="72"/>
  <c r="BG241" i="72"/>
  <c r="BG226" i="72"/>
  <c r="BG227" i="72"/>
  <c r="BG46" i="73" s="1"/>
  <c r="BG55" i="73" s="1"/>
  <c r="BG242" i="72"/>
  <c r="BC69" i="51"/>
  <c r="BC101" i="46"/>
  <c r="BH544" i="15"/>
  <c r="BH538" i="15"/>
  <c r="BH555" i="15"/>
  <c r="BH541" i="15"/>
  <c r="BC189" i="46"/>
  <c r="BC211" i="46"/>
  <c r="BC162" i="46"/>
  <c r="BC171" i="46" s="1"/>
  <c r="BC181" i="46" s="1"/>
  <c r="BG230" i="72"/>
  <c r="BH535" i="15"/>
  <c r="BI23" i="15"/>
  <c r="BF223" i="72" l="1"/>
  <c r="BF241" i="72"/>
  <c r="BF226" i="72"/>
  <c r="BF230" i="72"/>
  <c r="BF242" i="72"/>
  <c r="BF220" i="72"/>
  <c r="BH34" i="72"/>
  <c r="BH36" i="72"/>
  <c r="BG58" i="73"/>
  <c r="BC212" i="46"/>
  <c r="BC219" i="46"/>
  <c r="BC218" i="46"/>
  <c r="BC187" i="46"/>
  <c r="BC144" i="46"/>
  <c r="BC156" i="46" s="1"/>
  <c r="BC183" i="46" s="1"/>
  <c r="BC191" i="46"/>
  <c r="BD86" i="46"/>
  <c r="BI25" i="15"/>
  <c r="BC105" i="46"/>
  <c r="BI27" i="15" l="1"/>
  <c r="BI29" i="15" s="1"/>
  <c r="BI33" i="15" s="1"/>
  <c r="BD89" i="46"/>
  <c r="BH234" i="72"/>
  <c r="BH238" i="72"/>
  <c r="BH43" i="72"/>
  <c r="BH38" i="72"/>
  <c r="BH44" i="72" s="1"/>
  <c r="BH189" i="72"/>
  <c r="BC200" i="46"/>
  <c r="BC201" i="46"/>
  <c r="BI503" i="15" l="1"/>
  <c r="BI40" i="15"/>
  <c r="BI35" i="15"/>
  <c r="BI41" i="15" s="1"/>
  <c r="BI68" i="46" s="1"/>
  <c r="BI540" i="15"/>
  <c r="BC195" i="46"/>
  <c r="BC198" i="46"/>
  <c r="BH194" i="72"/>
  <c r="BH208" i="72" s="1"/>
  <c r="BH210" i="72" s="1"/>
  <c r="BH225" i="72"/>
  <c r="BD30" i="46"/>
  <c r="BC192" i="46"/>
  <c r="BH45" i="72"/>
  <c r="BH69" i="46"/>
  <c r="BH211" i="72" l="1"/>
  <c r="BH217" i="72"/>
  <c r="BD23" i="51"/>
  <c r="BD25" i="51" s="1"/>
  <c r="BD32" i="46"/>
  <c r="BD208" i="46"/>
  <c r="BI508" i="15"/>
  <c r="BI523" i="15" s="1"/>
  <c r="BD34" i="46" l="1"/>
  <c r="BD36" i="46"/>
  <c r="BD40" i="46" s="1"/>
  <c r="BI181" i="72"/>
  <c r="BH219" i="72"/>
  <c r="BI525" i="15"/>
  <c r="BI530" i="15"/>
  <c r="BH215" i="72"/>
  <c r="BI209" i="72"/>
  <c r="BI526" i="15" l="1"/>
  <c r="BJ524" i="15" s="1"/>
  <c r="BI532" i="15"/>
  <c r="BD110" i="46"/>
  <c r="BD42" i="46"/>
  <c r="BD48" i="46"/>
  <c r="BD176" i="46"/>
  <c r="BI30" i="72"/>
  <c r="BH242" i="72"/>
  <c r="BH220" i="72"/>
  <c r="BH229" i="72"/>
  <c r="BH266" i="72"/>
  <c r="BD27" i="51"/>
  <c r="BD29" i="51" s="1"/>
  <c r="BD179" i="46" l="1"/>
  <c r="BJ494" i="15"/>
  <c r="BI534" i="15"/>
  <c r="BI548" i="15"/>
  <c r="BH223" i="72"/>
  <c r="BH241" i="72"/>
  <c r="BH226" i="72"/>
  <c r="BD49" i="46"/>
  <c r="BD50" i="46" s="1"/>
  <c r="BD205" i="46"/>
  <c r="BD209" i="46"/>
  <c r="BD31" i="51"/>
  <c r="BD37" i="51" s="1"/>
  <c r="BD70" i="46" s="1"/>
  <c r="BD71" i="46" s="1"/>
  <c r="BD36" i="51"/>
  <c r="BH230" i="72"/>
  <c r="BI32" i="72"/>
  <c r="BI237" i="72"/>
  <c r="BD115" i="46"/>
  <c r="BD131" i="46" s="1"/>
  <c r="BD134" i="46" s="1"/>
  <c r="BD48" i="51"/>
  <c r="BD135" i="46" l="1"/>
  <c r="BD159" i="46"/>
  <c r="BI34" i="72"/>
  <c r="BJ497" i="15"/>
  <c r="BI549" i="15"/>
  <c r="BD53" i="51"/>
  <c r="BI535" i="15"/>
  <c r="BI543" i="15"/>
  <c r="BD197" i="46"/>
  <c r="BD189" i="46" l="1"/>
  <c r="BD162" i="46"/>
  <c r="BD171" i="46" s="1"/>
  <c r="BD181" i="46" s="1"/>
  <c r="BD211" i="46"/>
  <c r="BD69" i="51"/>
  <c r="BD101" i="46"/>
  <c r="BJ23" i="15"/>
  <c r="BI544" i="15"/>
  <c r="BI538" i="15"/>
  <c r="BI555" i="15"/>
  <c r="BI541" i="15"/>
  <c r="BI556" i="15"/>
  <c r="BI36" i="72"/>
  <c r="BE133" i="46"/>
  <c r="BD140" i="46"/>
  <c r="BI189" i="72" l="1"/>
  <c r="BI38" i="72"/>
  <c r="BI44" i="72" s="1"/>
  <c r="BI43" i="72"/>
  <c r="BI234" i="72"/>
  <c r="BI238" i="72"/>
  <c r="BD219" i="46"/>
  <c r="BD212" i="46"/>
  <c r="BD218" i="46"/>
  <c r="BD191" i="46"/>
  <c r="BJ25" i="15"/>
  <c r="BD105" i="46"/>
  <c r="BD187" i="46"/>
  <c r="BE86" i="46" s="1"/>
  <c r="BD144" i="46"/>
  <c r="BD156" i="46" s="1"/>
  <c r="BD183" i="46" s="1"/>
  <c r="BE89" i="46" l="1"/>
  <c r="BJ27" i="15"/>
  <c r="BJ29" i="15"/>
  <c r="BJ33" i="15" s="1"/>
  <c r="BD200" i="46"/>
  <c r="BI69" i="46"/>
  <c r="BI45" i="72"/>
  <c r="BI194" i="72"/>
  <c r="BI208" i="72" s="1"/>
  <c r="BI210" i="72" s="1"/>
  <c r="BI225" i="72"/>
  <c r="BD195" i="46" l="1"/>
  <c r="BD198" i="46"/>
  <c r="BJ503" i="15"/>
  <c r="BJ40" i="15"/>
  <c r="BJ35" i="15"/>
  <c r="BJ41" i="15" s="1"/>
  <c r="BJ68" i="46" s="1"/>
  <c r="BJ540" i="15"/>
  <c r="BD192" i="46"/>
  <c r="BD201" i="46"/>
  <c r="BI211" i="72"/>
  <c r="BI217" i="72"/>
  <c r="BE30" i="46"/>
  <c r="BI219" i="72" l="1"/>
  <c r="BI215" i="72"/>
  <c r="BJ181" i="72" s="1"/>
  <c r="BJ209" i="72"/>
  <c r="BJ508" i="15"/>
  <c r="BJ523" i="15" s="1"/>
  <c r="BE23" i="51"/>
  <c r="BE25" i="51" s="1"/>
  <c r="BE32" i="46"/>
  <c r="BE208" i="46"/>
  <c r="BJ30" i="72" l="1"/>
  <c r="BE34" i="46"/>
  <c r="BI220" i="72"/>
  <c r="BI242" i="72"/>
  <c r="BI266" i="72"/>
  <c r="BI229" i="72"/>
  <c r="BJ525" i="15"/>
  <c r="BJ530" i="15"/>
  <c r="BE27" i="51" l="1"/>
  <c r="BE29" i="51" s="1"/>
  <c r="BE36" i="46"/>
  <c r="BE40" i="46" s="1"/>
  <c r="BJ526" i="15"/>
  <c r="BK524" i="15" s="1"/>
  <c r="BJ532" i="15"/>
  <c r="BI223" i="72"/>
  <c r="BI241" i="72"/>
  <c r="BI226" i="72"/>
  <c r="BI230" i="72"/>
  <c r="BJ32" i="72"/>
  <c r="BJ237" i="72"/>
  <c r="BE48" i="46" l="1"/>
  <c r="BE110" i="46"/>
  <c r="BE42" i="46"/>
  <c r="BE176" i="46"/>
  <c r="BK494" i="15"/>
  <c r="BJ534" i="15"/>
  <c r="BJ548" i="15"/>
  <c r="BE31" i="51"/>
  <c r="BE37" i="51" s="1"/>
  <c r="BE70" i="46" s="1"/>
  <c r="BE71" i="46" s="1"/>
  <c r="BE36" i="51"/>
  <c r="BJ34" i="72"/>
  <c r="BJ36" i="72"/>
  <c r="BJ549" i="15" l="1"/>
  <c r="BJ38" i="72"/>
  <c r="BJ44" i="72" s="1"/>
  <c r="BJ189" i="72"/>
  <c r="BJ43" i="72"/>
  <c r="BJ234" i="72"/>
  <c r="BJ238" i="72"/>
  <c r="BJ535" i="15"/>
  <c r="BJ543" i="15"/>
  <c r="BE49" i="46"/>
  <c r="BE50" i="46" s="1"/>
  <c r="BE205" i="46"/>
  <c r="BE209" i="46"/>
  <c r="BE179" i="46"/>
  <c r="BK497" i="15"/>
  <c r="BL494" i="15"/>
  <c r="BE48" i="51"/>
  <c r="BE115" i="46"/>
  <c r="BE131" i="46" s="1"/>
  <c r="BE134" i="46" s="1"/>
  <c r="BK23" i="15" l="1"/>
  <c r="BL497" i="15"/>
  <c r="BJ544" i="15"/>
  <c r="BJ538" i="15"/>
  <c r="BJ555" i="15"/>
  <c r="BJ541" i="15"/>
  <c r="BJ194" i="72"/>
  <c r="BJ208" i="72" s="1"/>
  <c r="BJ210" i="72" s="1"/>
  <c r="BJ225" i="72"/>
  <c r="BE197" i="46"/>
  <c r="BJ45" i="72"/>
  <c r="BJ69" i="46"/>
  <c r="BE53" i="51"/>
  <c r="BJ556" i="15"/>
  <c r="BE135" i="46"/>
  <c r="BE159" i="46"/>
  <c r="BE189" i="46" l="1"/>
  <c r="BE162" i="46"/>
  <c r="BE171" i="46" s="1"/>
  <c r="BE181" i="46" s="1"/>
  <c r="BE211" i="46"/>
  <c r="BE140" i="46"/>
  <c r="BF133" i="46"/>
  <c r="BJ211" i="72"/>
  <c r="BJ217" i="72"/>
  <c r="BE69" i="51"/>
  <c r="BE101" i="46"/>
  <c r="BK25" i="15"/>
  <c r="BL23" i="15"/>
  <c r="BE105" i="46" l="1"/>
  <c r="BL552" i="15"/>
  <c r="CT40" i="73"/>
  <c r="BL25" i="15"/>
  <c r="BJ219" i="72"/>
  <c r="BK181" i="72"/>
  <c r="BE187" i="46"/>
  <c r="BE144" i="46"/>
  <c r="BE156" i="46" s="1"/>
  <c r="BE183" i="46" s="1"/>
  <c r="BF86" i="46"/>
  <c r="BE191" i="46"/>
  <c r="BK209" i="72"/>
  <c r="BJ215" i="72"/>
  <c r="BK27" i="15"/>
  <c r="BL27" i="15" s="1"/>
  <c r="BK29" i="15"/>
  <c r="BK33" i="15" s="1"/>
  <c r="BE219" i="46"/>
  <c r="BE212" i="46"/>
  <c r="BE218" i="46"/>
  <c r="BE200" i="46" l="1"/>
  <c r="BE201" i="46"/>
  <c r="CT42" i="73"/>
  <c r="CT49" i="73" s="1"/>
  <c r="CT41" i="73"/>
  <c r="BF89" i="46"/>
  <c r="BG86" i="46"/>
  <c r="BK40" i="15"/>
  <c r="BK503" i="15"/>
  <c r="BK35" i="15"/>
  <c r="BK41" i="15" s="1"/>
  <c r="BK68" i="46" s="1"/>
  <c r="BK540" i="15"/>
  <c r="BJ266" i="72"/>
  <c r="BJ229" i="72"/>
  <c r="BJ242" i="72" s="1"/>
  <c r="BK30" i="72"/>
  <c r="BL181" i="72"/>
  <c r="BL551" i="15"/>
  <c r="BL562" i="15" s="1"/>
  <c r="BL29" i="15"/>
  <c r="BL33" i="15" s="1"/>
  <c r="CT50" i="73" l="1"/>
  <c r="CT54" i="73" s="1"/>
  <c r="BL540" i="15"/>
  <c r="BL40" i="15"/>
  <c r="BL35" i="15"/>
  <c r="BF30" i="46"/>
  <c r="BG89" i="46"/>
  <c r="BE195" i="46"/>
  <c r="BE198" i="46"/>
  <c r="BJ223" i="72"/>
  <c r="BJ241" i="72"/>
  <c r="BJ226" i="72"/>
  <c r="BJ230" i="72"/>
  <c r="BK32" i="72"/>
  <c r="BL30" i="72"/>
  <c r="BK237" i="72"/>
  <c r="BJ220" i="72"/>
  <c r="BK508" i="15"/>
  <c r="BK523" i="15" s="1"/>
  <c r="BL503" i="15"/>
  <c r="BL508" i="15" s="1"/>
  <c r="BE192" i="46"/>
  <c r="BL523" i="15" l="1"/>
  <c r="BL550" i="15"/>
  <c r="BL41" i="15"/>
  <c r="BL68" i="46" s="1"/>
  <c r="BL237" i="72"/>
  <c r="BL248" i="72" s="1"/>
  <c r="BL32" i="72"/>
  <c r="BL36" i="72" s="1"/>
  <c r="BK34" i="72"/>
  <c r="BL34" i="72" s="1"/>
  <c r="BK36" i="72"/>
  <c r="BF23" i="51"/>
  <c r="BF25" i="51" s="1"/>
  <c r="BF32" i="46"/>
  <c r="BF208" i="46"/>
  <c r="BG208" i="46" s="1"/>
  <c r="BG30" i="46"/>
  <c r="BK525" i="15"/>
  <c r="BK530" i="15"/>
  <c r="BL530" i="15" s="1"/>
  <c r="BL189" i="72" l="1"/>
  <c r="BL194" i="72" s="1"/>
  <c r="BL38" i="72"/>
  <c r="BL44" i="72" s="1"/>
  <c r="BL238" i="72"/>
  <c r="BL270" i="72" s="1"/>
  <c r="BL68" i="72" s="1"/>
  <c r="BL45" i="73" s="1"/>
  <c r="BL56" i="73" s="1"/>
  <c r="BL43" i="72"/>
  <c r="BL234" i="72"/>
  <c r="BL10" i="71"/>
  <c r="BL561" i="15"/>
  <c r="BK526" i="15"/>
  <c r="BL526" i="15" s="1"/>
  <c r="BM524" i="15" s="1"/>
  <c r="BQ524" i="15" s="1"/>
  <c r="BL525" i="15"/>
  <c r="BK532" i="15"/>
  <c r="BF34" i="46"/>
  <c r="BF36" i="46"/>
  <c r="BF40" i="46" s="1"/>
  <c r="BK43" i="72"/>
  <c r="BK38" i="72"/>
  <c r="BK44" i="72" s="1"/>
  <c r="BK189" i="72"/>
  <c r="BK238" i="72"/>
  <c r="BK234" i="72"/>
  <c r="BL549" i="15"/>
  <c r="BG23" i="51"/>
  <c r="BG25" i="51" s="1"/>
  <c r="BG215" i="46"/>
  <c r="BG32" i="46"/>
  <c r="BK45" i="72" l="1"/>
  <c r="BK69" i="46"/>
  <c r="BL532" i="15"/>
  <c r="BK534" i="15"/>
  <c r="BK548" i="15"/>
  <c r="BF42" i="46"/>
  <c r="BF48" i="46"/>
  <c r="BF110" i="46"/>
  <c r="BF176" i="46"/>
  <c r="BL69" i="46"/>
  <c r="BL45" i="72"/>
  <c r="BT45" i="72" s="1"/>
  <c r="BG29" i="51"/>
  <c r="BL7" i="73"/>
  <c r="BL557" i="15"/>
  <c r="CT78" i="73"/>
  <c r="CT79" i="73" s="1"/>
  <c r="CT81" i="73" s="1"/>
  <c r="BG214" i="46"/>
  <c r="BG225" i="46" s="1"/>
  <c r="DY28" i="71" s="1"/>
  <c r="BK194" i="72"/>
  <c r="BK208" i="72" s="1"/>
  <c r="BK210" i="72" s="1"/>
  <c r="BK225" i="72"/>
  <c r="BF27" i="51"/>
  <c r="BF29" i="51" s="1"/>
  <c r="BG34" i="46"/>
  <c r="BG27" i="51" s="1"/>
  <c r="BL247" i="72"/>
  <c r="BL208" i="72"/>
  <c r="ED38" i="71"/>
  <c r="ED50" i="71" s="1"/>
  <c r="BG31" i="51" l="1"/>
  <c r="BG36" i="51"/>
  <c r="BF115" i="46"/>
  <c r="BF131" i="46" s="1"/>
  <c r="BF134" i="46" s="1"/>
  <c r="BF48" i="51"/>
  <c r="BG110" i="46"/>
  <c r="BG115" i="46" s="1"/>
  <c r="BK543" i="15"/>
  <c r="BK211" i="72"/>
  <c r="BK215" i="72" s="1"/>
  <c r="BL210" i="72"/>
  <c r="BL211" i="72" s="1"/>
  <c r="BK217" i="72"/>
  <c r="BL534" i="15"/>
  <c r="BM494" i="15"/>
  <c r="BL548" i="15"/>
  <c r="BL225" i="72"/>
  <c r="BL57" i="46"/>
  <c r="BL11" i="71"/>
  <c r="BF49" i="46"/>
  <c r="BF50" i="46" s="1"/>
  <c r="BF209" i="46"/>
  <c r="BG209" i="46" s="1"/>
  <c r="BF205" i="46"/>
  <c r="BG205" i="46" s="1"/>
  <c r="BF36" i="51"/>
  <c r="BF31" i="51"/>
  <c r="BF37" i="51" s="1"/>
  <c r="BF70" i="46" s="1"/>
  <c r="BF71" i="46" s="1"/>
  <c r="BG36" i="46"/>
  <c r="BG40" i="46" s="1"/>
  <c r="BG176" i="46"/>
  <c r="BF179" i="46"/>
  <c r="BK549" i="15"/>
  <c r="BK556" i="15"/>
  <c r="BF53" i="51" l="1"/>
  <c r="BG48" i="51"/>
  <c r="BG53" i="51" s="1"/>
  <c r="BG179" i="46"/>
  <c r="BL8" i="73"/>
  <c r="BL39" i="71"/>
  <c r="BL543" i="15"/>
  <c r="BK544" i="15"/>
  <c r="BK538" i="15"/>
  <c r="BK555" i="15"/>
  <c r="BK541" i="15"/>
  <c r="BF135" i="46"/>
  <c r="BG134" i="46"/>
  <c r="DY62" i="71" s="1"/>
  <c r="BF159" i="46"/>
  <c r="BG42" i="46"/>
  <c r="BG48" i="46"/>
  <c r="BL556" i="15"/>
  <c r="BL558" i="15"/>
  <c r="BK219" i="72"/>
  <c r="BL217" i="72"/>
  <c r="BK535" i="15"/>
  <c r="BF197" i="46"/>
  <c r="BM497" i="15"/>
  <c r="BL215" i="72"/>
  <c r="BQ209" i="72"/>
  <c r="BM209" i="72"/>
  <c r="BG131" i="46"/>
  <c r="DY41" i="71"/>
  <c r="BG37" i="51"/>
  <c r="BG59" i="73"/>
  <c r="BG60" i="73" s="1"/>
  <c r="BG62" i="73" s="1"/>
  <c r="BG68" i="73" s="1"/>
  <c r="BL219" i="72" l="1"/>
  <c r="BM181" i="72"/>
  <c r="BF140" i="46"/>
  <c r="BG135" i="46"/>
  <c r="BH133" i="46" s="1"/>
  <c r="BL133" i="46" s="1"/>
  <c r="BG197" i="46"/>
  <c r="BM23" i="15"/>
  <c r="BG12" i="71"/>
  <c r="BG70" i="46"/>
  <c r="BG71" i="46" s="1"/>
  <c r="BK266" i="72"/>
  <c r="BG213" i="46"/>
  <c r="BG224" i="46" s="1"/>
  <c r="DY27" i="71" s="1"/>
  <c r="BG49" i="46"/>
  <c r="BL544" i="15"/>
  <c r="BL538" i="15"/>
  <c r="BL555" i="15"/>
  <c r="BL541" i="15"/>
  <c r="BG69" i="51"/>
  <c r="DY39" i="71"/>
  <c r="DY51" i="71" s="1"/>
  <c r="DY40" i="71"/>
  <c r="DY52" i="71" s="1"/>
  <c r="BG159" i="46"/>
  <c r="BF189" i="46"/>
  <c r="BF191" i="46" s="1"/>
  <c r="BF211" i="46"/>
  <c r="BF162" i="46"/>
  <c r="BF171" i="46" s="1"/>
  <c r="BF181" i="46" s="1"/>
  <c r="BL535" i="15"/>
  <c r="BF69" i="51"/>
  <c r="BF101" i="46"/>
  <c r="BF187" i="46" l="1"/>
  <c r="BG140" i="46"/>
  <c r="BF144" i="46"/>
  <c r="BF156" i="46" s="1"/>
  <c r="BF183" i="46" s="1"/>
  <c r="DY16" i="71"/>
  <c r="BG54" i="71" s="1"/>
  <c r="BM30" i="72"/>
  <c r="BF212" i="46"/>
  <c r="BF219" i="46"/>
  <c r="BF218" i="46"/>
  <c r="DY53" i="71"/>
  <c r="DY56" i="71" s="1"/>
  <c r="DY64" i="71" s="1"/>
  <c r="BG50" i="46"/>
  <c r="BG13" i="71"/>
  <c r="BG58" i="46"/>
  <c r="BG9" i="73"/>
  <c r="BG18" i="71"/>
  <c r="BL243" i="72"/>
  <c r="BL230" i="72"/>
  <c r="BL244" i="72"/>
  <c r="BL266" i="72"/>
  <c r="BL229" i="72"/>
  <c r="BG189" i="46"/>
  <c r="BG211" i="46"/>
  <c r="BG162" i="46"/>
  <c r="BG171" i="46" s="1"/>
  <c r="BG181" i="46" s="1"/>
  <c r="BF105" i="46"/>
  <c r="BG105" i="46" s="1"/>
  <c r="BG101" i="46"/>
  <c r="BF200" i="46"/>
  <c r="BF192" i="46"/>
  <c r="BM25" i="15"/>
  <c r="BM237" i="72" l="1"/>
  <c r="BM32" i="72"/>
  <c r="BG191" i="46"/>
  <c r="DY11" i="71"/>
  <c r="DY13" i="71" s="1"/>
  <c r="BF195" i="46"/>
  <c r="BF198" i="46"/>
  <c r="BK229" i="72"/>
  <c r="BL223" i="72"/>
  <c r="BL241" i="72"/>
  <c r="BL227" i="72"/>
  <c r="BL46" i="73" s="1"/>
  <c r="BL55" i="73" s="1"/>
  <c r="BL58" i="73" s="1"/>
  <c r="BL226" i="72"/>
  <c r="BL220" i="72"/>
  <c r="BF201" i="46"/>
  <c r="BG212" i="46"/>
  <c r="BG220" i="46" s="1"/>
  <c r="DY23" i="71" s="1"/>
  <c r="BG221" i="46"/>
  <c r="DY24" i="71" s="1"/>
  <c r="BG219" i="46"/>
  <c r="DY22" i="71" s="1"/>
  <c r="BG218" i="46"/>
  <c r="DY21" i="71" s="1"/>
  <c r="BL242" i="72"/>
  <c r="BG144" i="46"/>
  <c r="BG156" i="46" s="1"/>
  <c r="BG187" i="46"/>
  <c r="DY9" i="71" s="1"/>
  <c r="BX8" i="73"/>
  <c r="BX13" i="73" s="1"/>
  <c r="BX83" i="73" s="1"/>
  <c r="BY83" i="73" s="1"/>
  <c r="BZ83" i="73" s="1"/>
  <c r="CE83" i="73" s="1"/>
  <c r="CJ83" i="73" s="1"/>
  <c r="CO83" i="73" s="1"/>
  <c r="CT83" i="73" s="1"/>
  <c r="CY83" i="73" s="1"/>
  <c r="BG10" i="73"/>
  <c r="BG17" i="73" s="1"/>
  <c r="BG19" i="73" s="1"/>
  <c r="BG21" i="73" s="1"/>
  <c r="BG63" i="73"/>
  <c r="BW8" i="73"/>
  <c r="BW13" i="73" s="1"/>
  <c r="BW17" i="73" s="1"/>
  <c r="BW18" i="73" s="1"/>
  <c r="BY8" i="73"/>
  <c r="BY13" i="73" s="1"/>
  <c r="BY17" i="73" s="1"/>
  <c r="BY18" i="73" s="1"/>
  <c r="BM27" i="15"/>
  <c r="BM29" i="15" s="1"/>
  <c r="BM33" i="15" s="1"/>
  <c r="BG51" i="71"/>
  <c r="AC14" i="71"/>
  <c r="BG58" i="71"/>
  <c r="BG17" i="71"/>
  <c r="BG183" i="46" l="1"/>
  <c r="BG57" i="71"/>
  <c r="BK223" i="72"/>
  <c r="BK241" i="72"/>
  <c r="BK226" i="72"/>
  <c r="BK242" i="72"/>
  <c r="BK220" i="72"/>
  <c r="BK230" i="72"/>
  <c r="BG63" i="71"/>
  <c r="BG64" i="71" s="1"/>
  <c r="BG52" i="71" s="1"/>
  <c r="DY18" i="71"/>
  <c r="BM503" i="15"/>
  <c r="BM40" i="15"/>
  <c r="BM35" i="15"/>
  <c r="BM41" i="15" s="1"/>
  <c r="BM68" i="46" s="1"/>
  <c r="BM540" i="15"/>
  <c r="BG200" i="46"/>
  <c r="BY21" i="73"/>
  <c r="BY23" i="73" s="1"/>
  <c r="BM34" i="72"/>
  <c r="BM36" i="72"/>
  <c r="BW21" i="73"/>
  <c r="BW23" i="73" s="1"/>
  <c r="BH86" i="46"/>
  <c r="BM508" i="15" l="1"/>
  <c r="BM523" i="15" s="1"/>
  <c r="BM234" i="72"/>
  <c r="BM189" i="72"/>
  <c r="BM43" i="72"/>
  <c r="BM238" i="72"/>
  <c r="BM38" i="72"/>
  <c r="BM44" i="72" s="1"/>
  <c r="BH89" i="46"/>
  <c r="BG195" i="46"/>
  <c r="BG198" i="46"/>
  <c r="BG201" i="46"/>
  <c r="BG192" i="46"/>
  <c r="BM194" i="72" l="1"/>
  <c r="BM208" i="72" s="1"/>
  <c r="BM210" i="72" s="1"/>
  <c r="BM225" i="72"/>
  <c r="BM45" i="72"/>
  <c r="BM69" i="46"/>
  <c r="BH30" i="46"/>
  <c r="BM525" i="15"/>
  <c r="BM530" i="15" s="1"/>
  <c r="BM526" i="15" l="1"/>
  <c r="BN524" i="15" s="1"/>
  <c r="BM532" i="15"/>
  <c r="BH23" i="51"/>
  <c r="BH25" i="51" s="1"/>
  <c r="BH32" i="46"/>
  <c r="BH208" i="46"/>
  <c r="BM211" i="72"/>
  <c r="BM217" i="72"/>
  <c r="BM534" i="15" l="1"/>
  <c r="BN494" i="15"/>
  <c r="BM548" i="15"/>
  <c r="BM219" i="72"/>
  <c r="BH34" i="46"/>
  <c r="BN209" i="72"/>
  <c r="BM215" i="72"/>
  <c r="BN181" i="72" s="1"/>
  <c r="BN30" i="72" l="1"/>
  <c r="BN497" i="15"/>
  <c r="BM549" i="15"/>
  <c r="BH27" i="51"/>
  <c r="BH29" i="51" s="1"/>
  <c r="BM220" i="72"/>
  <c r="BM230" i="72"/>
  <c r="BM266" i="72"/>
  <c r="BM229" i="72"/>
  <c r="BH36" i="46"/>
  <c r="BH40" i="46" s="1"/>
  <c r="BM543" i="15"/>
  <c r="BN23" i="15" l="1"/>
  <c r="BM544" i="15"/>
  <c r="BM538" i="15"/>
  <c r="BM555" i="15"/>
  <c r="BM541" i="15"/>
  <c r="BM556" i="15"/>
  <c r="BH31" i="51"/>
  <c r="BH37" i="51" s="1"/>
  <c r="BH70" i="46" s="1"/>
  <c r="BH71" i="46" s="1"/>
  <c r="BH36" i="51"/>
  <c r="BH110" i="46"/>
  <c r="BH48" i="46"/>
  <c r="BH42" i="46"/>
  <c r="BH176" i="46"/>
  <c r="BM535" i="15"/>
  <c r="BM223" i="72"/>
  <c r="BM241" i="72"/>
  <c r="BM226" i="72"/>
  <c r="BM242" i="72"/>
  <c r="BN32" i="72"/>
  <c r="BN237" i="72"/>
  <c r="BH48" i="51" l="1"/>
  <c r="BH115" i="46"/>
  <c r="BH131" i="46" s="1"/>
  <c r="BH134" i="46" s="1"/>
  <c r="BH179" i="46"/>
  <c r="BN25" i="15"/>
  <c r="BH49" i="46"/>
  <c r="BH50" i="46" s="1"/>
  <c r="BH205" i="46"/>
  <c r="BH209" i="46"/>
  <c r="BN34" i="72"/>
  <c r="BN36" i="72"/>
  <c r="BH197" i="46" l="1"/>
  <c r="BH135" i="46"/>
  <c r="BH159" i="46"/>
  <c r="BN189" i="72"/>
  <c r="BN43" i="72"/>
  <c r="BN38" i="72"/>
  <c r="BN44" i="72" s="1"/>
  <c r="BN238" i="72"/>
  <c r="BN234" i="72"/>
  <c r="BN27" i="15"/>
  <c r="BH53" i="51"/>
  <c r="BN69" i="46" l="1"/>
  <c r="BN45" i="72"/>
  <c r="BH140" i="46"/>
  <c r="BI133" i="46"/>
  <c r="BN194" i="72"/>
  <c r="BN208" i="72" s="1"/>
  <c r="BN210" i="72" s="1"/>
  <c r="BN225" i="72"/>
  <c r="BH101" i="46"/>
  <c r="BH69" i="51"/>
  <c r="BN29" i="15"/>
  <c r="BN33" i="15" s="1"/>
  <c r="BH189" i="46"/>
  <c r="BH211" i="46"/>
  <c r="BH162" i="46"/>
  <c r="BH171" i="46" s="1"/>
  <c r="BH181" i="46" s="1"/>
  <c r="BN211" i="72" l="1"/>
  <c r="BN217" i="72"/>
  <c r="BH212" i="46"/>
  <c r="BH219" i="46"/>
  <c r="BH218" i="46"/>
  <c r="BH191" i="46"/>
  <c r="BI86" i="46"/>
  <c r="BH187" i="46"/>
  <c r="BH144" i="46"/>
  <c r="BH156" i="46" s="1"/>
  <c r="BH183" i="46" s="1"/>
  <c r="BH105" i="46"/>
  <c r="BN40" i="15"/>
  <c r="BN503" i="15"/>
  <c r="BN35" i="15"/>
  <c r="BN41" i="15" s="1"/>
  <c r="BN68" i="46" s="1"/>
  <c r="BN540" i="15"/>
  <c r="BI89" i="46" l="1"/>
  <c r="BN508" i="15"/>
  <c r="BN523" i="15" s="1"/>
  <c r="BH200" i="46"/>
  <c r="BH201" i="46"/>
  <c r="BO181" i="72"/>
  <c r="BN219" i="72"/>
  <c r="BO209" i="72"/>
  <c r="BN215" i="72"/>
  <c r="BN525" i="15" l="1"/>
  <c r="BN530" i="15" s="1"/>
  <c r="BN229" i="72"/>
  <c r="BN220" i="72" s="1"/>
  <c r="BN266" i="72"/>
  <c r="BH195" i="46"/>
  <c r="BH198" i="46"/>
  <c r="BO30" i="72"/>
  <c r="BH192" i="46"/>
  <c r="BI30" i="46"/>
  <c r="BO32" i="72" l="1"/>
  <c r="BO237" i="72"/>
  <c r="BI23" i="51"/>
  <c r="BI25" i="51" s="1"/>
  <c r="BI32" i="46"/>
  <c r="BI208" i="46"/>
  <c r="BN242" i="72"/>
  <c r="BN223" i="72"/>
  <c r="BN241" i="72"/>
  <c r="BN226" i="72"/>
  <c r="BN230" i="72"/>
  <c r="BN526" i="15"/>
  <c r="BO524" i="15" s="1"/>
  <c r="BN532" i="15"/>
  <c r="BO34" i="72" l="1"/>
  <c r="BO494" i="15"/>
  <c r="BN534" i="15"/>
  <c r="BN548" i="15"/>
  <c r="BI34" i="46"/>
  <c r="BN549" i="15" l="1"/>
  <c r="BI27" i="51"/>
  <c r="BI29" i="51" s="1"/>
  <c r="BO36" i="72"/>
  <c r="BO497" i="15"/>
  <c r="BI36" i="46"/>
  <c r="BI40" i="46" s="1"/>
  <c r="BN543" i="15"/>
  <c r="BN556" i="15" s="1"/>
  <c r="BN535" i="15" l="1"/>
  <c r="BI31" i="51"/>
  <c r="BI37" i="51" s="1"/>
  <c r="BI70" i="46" s="1"/>
  <c r="BI71" i="46" s="1"/>
  <c r="BI36" i="51"/>
  <c r="BI48" i="46"/>
  <c r="BI42" i="46"/>
  <c r="BI110" i="46"/>
  <c r="BI176" i="46"/>
  <c r="BO43" i="72"/>
  <c r="BO189" i="72"/>
  <c r="BO38" i="72"/>
  <c r="BO44" i="72" s="1"/>
  <c r="BO234" i="72"/>
  <c r="BO238" i="72"/>
  <c r="BO23" i="15"/>
  <c r="BN544" i="15"/>
  <c r="BN538" i="15"/>
  <c r="BN555" i="15"/>
  <c r="BN541" i="15"/>
  <c r="BO194" i="72" l="1"/>
  <c r="BO208" i="72" s="1"/>
  <c r="BO210" i="72" s="1"/>
  <c r="BO225" i="72"/>
  <c r="BI49" i="46"/>
  <c r="BI50" i="46" s="1"/>
  <c r="BI209" i="46"/>
  <c r="BI205" i="46"/>
  <c r="BO25" i="15"/>
  <c r="BI179" i="46"/>
  <c r="BO69" i="46"/>
  <c r="BO45" i="72"/>
  <c r="BI115" i="46"/>
  <c r="BI131" i="46" s="1"/>
  <c r="BI134" i="46" s="1"/>
  <c r="BI48" i="51"/>
  <c r="BO27" i="15" l="1"/>
  <c r="BO29" i="15" s="1"/>
  <c r="BO33" i="15" s="1"/>
  <c r="BI135" i="46"/>
  <c r="BI159" i="46"/>
  <c r="BI197" i="46"/>
  <c r="BI53" i="51"/>
  <c r="BO211" i="72"/>
  <c r="BO217" i="72"/>
  <c r="BO215" i="72" l="1"/>
  <c r="BP209" i="72"/>
  <c r="BI140" i="46"/>
  <c r="BJ133" i="46"/>
  <c r="BI69" i="51"/>
  <c r="BI101" i="46"/>
  <c r="BO503" i="15"/>
  <c r="BO35" i="15"/>
  <c r="BO41" i="15" s="1"/>
  <c r="BO68" i="46" s="1"/>
  <c r="BO40" i="15"/>
  <c r="BO540" i="15"/>
  <c r="BP181" i="72"/>
  <c r="BO219" i="72"/>
  <c r="BI189" i="46"/>
  <c r="BI162" i="46"/>
  <c r="BI171" i="46" s="1"/>
  <c r="BI181" i="46" s="1"/>
  <c r="BI211" i="46"/>
  <c r="BO220" i="72" l="1"/>
  <c r="BO230" i="72"/>
  <c r="BO266" i="72"/>
  <c r="BO229" i="72"/>
  <c r="BI219" i="46"/>
  <c r="BI212" i="46"/>
  <c r="BI218" i="46"/>
  <c r="BI187" i="46"/>
  <c r="BJ86" i="46" s="1"/>
  <c r="BI144" i="46"/>
  <c r="BI156" i="46" s="1"/>
  <c r="BI183" i="46" s="1"/>
  <c r="BI105" i="46"/>
  <c r="BP30" i="72"/>
  <c r="BQ181" i="72"/>
  <c r="BI191" i="46"/>
  <c r="BO508" i="15"/>
  <c r="BO523" i="15" s="1"/>
  <c r="BJ89" i="46" l="1"/>
  <c r="BP32" i="72"/>
  <c r="BP237" i="72"/>
  <c r="BQ30" i="72"/>
  <c r="BO525" i="15"/>
  <c r="BO530" i="15" s="1"/>
  <c r="BI192" i="46"/>
  <c r="BI200" i="46"/>
  <c r="BO223" i="72"/>
  <c r="BO241" i="72"/>
  <c r="BO226" i="72"/>
  <c r="BO242" i="72"/>
  <c r="BP34" i="72" l="1"/>
  <c r="BQ34" i="72" s="1"/>
  <c r="BI195" i="46"/>
  <c r="BI198" i="46"/>
  <c r="BO526" i="15"/>
  <c r="BP524" i="15" s="1"/>
  <c r="BO532" i="15"/>
  <c r="BI201" i="46"/>
  <c r="BQ237" i="72"/>
  <c r="BQ248" i="72" s="1"/>
  <c r="BQ32" i="72"/>
  <c r="BJ30" i="46"/>
  <c r="BJ23" i="51" l="1"/>
  <c r="BJ25" i="51" s="1"/>
  <c r="BJ32" i="46"/>
  <c r="BJ208" i="46"/>
  <c r="BO534" i="15"/>
  <c r="BP494" i="15"/>
  <c r="BO548" i="15"/>
  <c r="BQ36" i="72"/>
  <c r="BP36" i="72"/>
  <c r="BJ34" i="46" l="1"/>
  <c r="BO549" i="15"/>
  <c r="BO543" i="15"/>
  <c r="BO535" i="15" s="1"/>
  <c r="BP497" i="15"/>
  <c r="BQ494" i="15"/>
  <c r="BP38" i="72"/>
  <c r="BP44" i="72" s="1"/>
  <c r="BP189" i="72"/>
  <c r="BP43" i="72"/>
  <c r="BP234" i="72"/>
  <c r="BP238" i="72"/>
  <c r="BQ43" i="72"/>
  <c r="BQ234" i="72"/>
  <c r="BQ38" i="72"/>
  <c r="BQ44" i="72" s="1"/>
  <c r="BQ189" i="72"/>
  <c r="BQ194" i="72" s="1"/>
  <c r="BQ238" i="72"/>
  <c r="BQ270" i="72" s="1"/>
  <c r="BQ68" i="72" s="1"/>
  <c r="BQ45" i="73" s="1"/>
  <c r="BQ56" i="73" s="1"/>
  <c r="BP45" i="72" l="1"/>
  <c r="BP69" i="46"/>
  <c r="BQ45" i="72"/>
  <c r="BQ69" i="46"/>
  <c r="BT44" i="72"/>
  <c r="BO544" i="15"/>
  <c r="BO538" i="15"/>
  <c r="BO555" i="15"/>
  <c r="BO541" i="15"/>
  <c r="BQ247" i="72"/>
  <c r="BP23" i="15"/>
  <c r="BQ497" i="15"/>
  <c r="BJ27" i="51"/>
  <c r="BJ29" i="51" s="1"/>
  <c r="EI38" i="71"/>
  <c r="EI50" i="71" s="1"/>
  <c r="BQ208" i="72"/>
  <c r="BP194" i="72"/>
  <c r="BP208" i="72" s="1"/>
  <c r="BP210" i="72" s="1"/>
  <c r="BP225" i="72"/>
  <c r="BO556" i="15"/>
  <c r="BJ36" i="46"/>
  <c r="BJ40" i="46" s="1"/>
  <c r="BP211" i="72" l="1"/>
  <c r="BP215" i="72" s="1"/>
  <c r="BQ210" i="72"/>
  <c r="BQ211" i="72" s="1"/>
  <c r="BQ215" i="72" s="1"/>
  <c r="BP217" i="72"/>
  <c r="BJ110" i="46"/>
  <c r="BJ48" i="46"/>
  <c r="BJ42" i="46"/>
  <c r="BJ176" i="46"/>
  <c r="BP25" i="15"/>
  <c r="BQ23" i="15"/>
  <c r="BQ57" i="46"/>
  <c r="BQ11" i="71"/>
  <c r="BJ36" i="51"/>
  <c r="BJ31" i="51"/>
  <c r="BJ37" i="51" s="1"/>
  <c r="BJ70" i="46" s="1"/>
  <c r="BJ71" i="46" s="1"/>
  <c r="BQ225" i="72"/>
  <c r="BP27" i="15" l="1"/>
  <c r="BQ27" i="15" s="1"/>
  <c r="BQ217" i="72"/>
  <c r="BQ219" i="72" s="1"/>
  <c r="BP219" i="72"/>
  <c r="BJ49" i="46"/>
  <c r="BJ50" i="46" s="1"/>
  <c r="BJ209" i="46"/>
  <c r="BJ205" i="46"/>
  <c r="BQ8" i="73"/>
  <c r="BQ39" i="71"/>
  <c r="BJ48" i="51"/>
  <c r="BJ115" i="46"/>
  <c r="BJ131" i="46" s="1"/>
  <c r="BJ134" i="46" s="1"/>
  <c r="CY40" i="73"/>
  <c r="BQ552" i="15"/>
  <c r="BQ25" i="15"/>
  <c r="BQ229" i="72"/>
  <c r="BQ266" i="72"/>
  <c r="BJ179" i="46"/>
  <c r="BJ197" i="46" l="1"/>
  <c r="CY41" i="73"/>
  <c r="CY42" i="73"/>
  <c r="CY49" i="73" s="1"/>
  <c r="BP266" i="72"/>
  <c r="BQ243" i="72"/>
  <c r="BQ242" i="72"/>
  <c r="BQ230" i="72"/>
  <c r="BQ220" i="72"/>
  <c r="BQ244" i="72"/>
  <c r="BQ223" i="72"/>
  <c r="BP229" i="72"/>
  <c r="BQ241" i="72"/>
  <c r="BJ135" i="46"/>
  <c r="BJ159" i="46"/>
  <c r="BQ227" i="72"/>
  <c r="BQ46" i="73" s="1"/>
  <c r="BQ55" i="73" s="1"/>
  <c r="BQ58" i="73" s="1"/>
  <c r="BQ226" i="72"/>
  <c r="BQ29" i="15"/>
  <c r="BQ33" i="15" s="1"/>
  <c r="BQ551" i="15"/>
  <c r="BQ562" i="15" s="1"/>
  <c r="BJ53" i="51"/>
  <c r="BP29" i="15"/>
  <c r="BP33" i="15" s="1"/>
  <c r="CY50" i="73" l="1"/>
  <c r="CY54" i="73" s="1"/>
  <c r="BV59" i="73" s="1"/>
  <c r="BJ69" i="51"/>
  <c r="BJ101" i="46"/>
  <c r="BJ189" i="46"/>
  <c r="BJ162" i="46"/>
  <c r="BJ171" i="46" s="1"/>
  <c r="BJ181" i="46" s="1"/>
  <c r="BJ211" i="46"/>
  <c r="BP223" i="72"/>
  <c r="BP241" i="72"/>
  <c r="BP226" i="72"/>
  <c r="BP242" i="72"/>
  <c r="BQ35" i="15"/>
  <c r="BQ40" i="15"/>
  <c r="BP230" i="72"/>
  <c r="BP35" i="15"/>
  <c r="BP41" i="15" s="1"/>
  <c r="BP68" i="46" s="1"/>
  <c r="BP503" i="15"/>
  <c r="BP40" i="15"/>
  <c r="BP540" i="15"/>
  <c r="BJ140" i="46"/>
  <c r="BK133" i="46"/>
  <c r="BP220" i="72"/>
  <c r="BJ219" i="46" l="1"/>
  <c r="BJ212" i="46"/>
  <c r="BJ218" i="46"/>
  <c r="BJ105" i="46"/>
  <c r="BJ144" i="46"/>
  <c r="BJ156" i="46" s="1"/>
  <c r="BJ183" i="46" s="1"/>
  <c r="BJ187" i="46"/>
  <c r="BP508" i="15"/>
  <c r="BP523" i="15" s="1"/>
  <c r="BQ503" i="15"/>
  <c r="BQ508" i="15" s="1"/>
  <c r="BQ540" i="15"/>
  <c r="BQ550" i="15"/>
  <c r="BQ41" i="15"/>
  <c r="BQ68" i="46" s="1"/>
  <c r="BK86" i="46"/>
  <c r="BJ191" i="46"/>
  <c r="BV63" i="73"/>
  <c r="BV61" i="73"/>
  <c r="BV65" i="73" l="1"/>
  <c r="BX15" i="73" s="1"/>
  <c r="BZ57" i="73"/>
  <c r="CE57" i="73"/>
  <c r="CO57" i="73"/>
  <c r="CJ57" i="73"/>
  <c r="CT57" i="73"/>
  <c r="CY57" i="73"/>
  <c r="BJ200" i="46"/>
  <c r="BQ523" i="15"/>
  <c r="BQ561" i="15"/>
  <c r="BP525" i="15"/>
  <c r="BP530" i="15" s="1"/>
  <c r="BQ530" i="15" s="1"/>
  <c r="BQ549" i="15" s="1"/>
  <c r="BK89" i="46"/>
  <c r="BL86" i="46"/>
  <c r="CT56" i="73"/>
  <c r="BZ56" i="73"/>
  <c r="CJ56" i="73"/>
  <c r="CO56" i="73"/>
  <c r="CE56" i="73"/>
  <c r="CY56" i="73"/>
  <c r="BQ10" i="71"/>
  <c r="CY78" i="73" l="1"/>
  <c r="CY79" i="73" s="1"/>
  <c r="CY81" i="73" s="1"/>
  <c r="BQ557" i="15"/>
  <c r="BJ195" i="46"/>
  <c r="BJ198" i="46"/>
  <c r="BQ7" i="73"/>
  <c r="BK30" i="46"/>
  <c r="BL89" i="46"/>
  <c r="BJ192" i="46"/>
  <c r="BP526" i="15"/>
  <c r="BQ526" i="15" s="1"/>
  <c r="BQ525" i="15"/>
  <c r="BP532" i="15"/>
  <c r="BJ201" i="46"/>
  <c r="BX17" i="73"/>
  <c r="BX18" i="73" s="1"/>
  <c r="BL70" i="73"/>
  <c r="AM70" i="73"/>
  <c r="AM71" i="73" s="1"/>
  <c r="AM74" i="73" s="1"/>
  <c r="AM76" i="73" s="1"/>
  <c r="BB70" i="73"/>
  <c r="BB71" i="73" s="1"/>
  <c r="BB74" i="73" s="1"/>
  <c r="BB76" i="73" s="1"/>
  <c r="BQ70" i="73"/>
  <c r="AH70" i="73"/>
  <c r="AH71" i="73" s="1"/>
  <c r="AH74" i="73" s="1"/>
  <c r="AH76" i="73" s="1"/>
  <c r="BG70" i="73"/>
  <c r="BG71" i="73" s="1"/>
  <c r="BG74" i="73" s="1"/>
  <c r="BG76" i="73" s="1"/>
  <c r="AR70" i="73"/>
  <c r="AR71" i="73" s="1"/>
  <c r="AR74" i="73" s="1"/>
  <c r="AR76" i="73" s="1"/>
  <c r="AW70" i="73"/>
  <c r="AW71" i="73" s="1"/>
  <c r="AW74" i="73" s="1"/>
  <c r="AW76" i="73" s="1"/>
  <c r="C5" i="62" l="1"/>
  <c r="BX21" i="73"/>
  <c r="BX23" i="73" s="1"/>
  <c r="BP534" i="15"/>
  <c r="BQ532" i="15"/>
  <c r="BP548" i="15"/>
  <c r="BK23" i="51"/>
  <c r="BK25" i="51" s="1"/>
  <c r="BK32" i="46"/>
  <c r="BK208" i="46"/>
  <c r="BL208" i="46" s="1"/>
  <c r="BL30" i="46"/>
  <c r="BP549" i="15" l="1"/>
  <c r="BL215" i="46"/>
  <c r="BL23" i="51"/>
  <c r="BL25" i="51" s="1"/>
  <c r="BL32" i="46"/>
  <c r="BQ534" i="15"/>
  <c r="BQ548" i="15"/>
  <c r="BP543" i="15"/>
  <c r="BP535" i="15" s="1"/>
  <c r="BK34" i="46"/>
  <c r="BK36" i="46"/>
  <c r="BK40" i="46" s="1"/>
  <c r="BL214" i="46" l="1"/>
  <c r="BL225" i="46" s="1"/>
  <c r="ED28" i="71" s="1"/>
  <c r="BK48" i="46"/>
  <c r="BK110" i="46"/>
  <c r="BK42" i="46"/>
  <c r="BK176" i="46"/>
  <c r="BK27" i="51"/>
  <c r="BK29" i="51" s="1"/>
  <c r="BL34" i="46"/>
  <c r="BL27" i="51" s="1"/>
  <c r="BL29" i="51" s="1"/>
  <c r="BP544" i="15"/>
  <c r="BP538" i="15"/>
  <c r="BP555" i="15"/>
  <c r="BP541" i="15"/>
  <c r="BQ556" i="15"/>
  <c r="BQ558" i="15"/>
  <c r="BQ543" i="15"/>
  <c r="BP556" i="15"/>
  <c r="BL36" i="51" l="1"/>
  <c r="BL31" i="51"/>
  <c r="BK48" i="51"/>
  <c r="BK115" i="46"/>
  <c r="BK131" i="46" s="1"/>
  <c r="BK134" i="46" s="1"/>
  <c r="BL110" i="46"/>
  <c r="BL115" i="46" s="1"/>
  <c r="BQ544" i="15"/>
  <c r="BQ538" i="15"/>
  <c r="BQ555" i="15"/>
  <c r="BQ541" i="15"/>
  <c r="BK31" i="51"/>
  <c r="BK37" i="51" s="1"/>
  <c r="BK70" i="46" s="1"/>
  <c r="BK71" i="46" s="1"/>
  <c r="BK36" i="51"/>
  <c r="BQ535" i="15"/>
  <c r="BK179" i="46"/>
  <c r="BL176" i="46"/>
  <c r="BL36" i="46"/>
  <c r="BL40" i="46" s="1"/>
  <c r="BK49" i="46"/>
  <c r="BK50" i="46" s="1"/>
  <c r="BK205" i="46"/>
  <c r="BL205" i="46" s="1"/>
  <c r="BK209" i="46"/>
  <c r="BL209" i="46" s="1"/>
  <c r="BL131" i="46" l="1"/>
  <c r="ED41" i="71"/>
  <c r="BL42" i="46"/>
  <c r="BL48" i="46"/>
  <c r="BK135" i="46"/>
  <c r="BL134" i="46"/>
  <c r="ED62" i="71" s="1"/>
  <c r="BK159" i="46"/>
  <c r="BL59" i="73"/>
  <c r="BL60" i="73" s="1"/>
  <c r="BL62" i="73" s="1"/>
  <c r="BL68" i="73" s="1"/>
  <c r="BL71" i="73" s="1"/>
  <c r="BL74" i="73" s="1"/>
  <c r="BL76" i="73" s="1"/>
  <c r="BL37" i="51"/>
  <c r="BL179" i="46"/>
  <c r="BK197" i="46"/>
  <c r="BK53" i="51"/>
  <c r="BL48" i="51"/>
  <c r="BL53" i="51" s="1"/>
  <c r="BL49" i="46" l="1"/>
  <c r="BL213" i="46"/>
  <c r="BL224" i="46" s="1"/>
  <c r="ED27" i="71" s="1"/>
  <c r="BK101" i="46"/>
  <c r="BK69" i="51"/>
  <c r="BL197" i="46"/>
  <c r="BK189" i="46"/>
  <c r="BK191" i="46" s="1"/>
  <c r="BL159" i="46"/>
  <c r="BK162" i="46"/>
  <c r="BK171" i="46" s="1"/>
  <c r="BK181" i="46" s="1"/>
  <c r="BK211" i="46"/>
  <c r="BL69" i="51"/>
  <c r="ED39" i="71"/>
  <c r="ED51" i="71" s="1"/>
  <c r="BL70" i="46"/>
  <c r="BL71" i="46" s="1"/>
  <c r="BL12" i="71"/>
  <c r="BL135" i="46"/>
  <c r="BM133" i="46" s="1"/>
  <c r="BQ133" i="46" s="1"/>
  <c r="BK140" i="46"/>
  <c r="ED16" i="71" l="1"/>
  <c r="ED40" i="71"/>
  <c r="ED52" i="71" s="1"/>
  <c r="ED53" i="71" s="1"/>
  <c r="ED56" i="71" s="1"/>
  <c r="ED64" i="71" s="1"/>
  <c r="BL140" i="46"/>
  <c r="BK187" i="46"/>
  <c r="BK144" i="46"/>
  <c r="BK156" i="46" s="1"/>
  <c r="BK183" i="46" s="1"/>
  <c r="BL9" i="73"/>
  <c r="BL189" i="46"/>
  <c r="BL211" i="46"/>
  <c r="BL162" i="46"/>
  <c r="BL171" i="46" s="1"/>
  <c r="BL181" i="46" s="1"/>
  <c r="BK219" i="46"/>
  <c r="BK212" i="46"/>
  <c r="BK218" i="46"/>
  <c r="BK192" i="46"/>
  <c r="BK200" i="46"/>
  <c r="BK201" i="46" s="1"/>
  <c r="BK105" i="46"/>
  <c r="BL105" i="46" s="1"/>
  <c r="BL101" i="46"/>
  <c r="BL13" i="71"/>
  <c r="BL58" i="46"/>
  <c r="BL50" i="46"/>
  <c r="BL56" i="71" l="1"/>
  <c r="BL51" i="71"/>
  <c r="BL17" i="71"/>
  <c r="BL219" i="46"/>
  <c r="ED22" i="71" s="1"/>
  <c r="BL221" i="46"/>
  <c r="ED24" i="71" s="1"/>
  <c r="BL212" i="46"/>
  <c r="BL220" i="46" s="1"/>
  <c r="ED23" i="71" s="1"/>
  <c r="BL218" i="46"/>
  <c r="ED21" i="71" s="1"/>
  <c r="BL63" i="73"/>
  <c r="BL10" i="73"/>
  <c r="BL17" i="73" s="1"/>
  <c r="BL19" i="73" s="1"/>
  <c r="BL21" i="73" s="1"/>
  <c r="BL191" i="46"/>
  <c r="BM86" i="46"/>
  <c r="ED11" i="71"/>
  <c r="ED13" i="71" s="1"/>
  <c r="BL54" i="71"/>
  <c r="BG56" i="71"/>
  <c r="BK195" i="46"/>
  <c r="BK198" i="46"/>
  <c r="BL18" i="71"/>
  <c r="BL187" i="46"/>
  <c r="ED9" i="71" s="1"/>
  <c r="BL144" i="46"/>
  <c r="BL156" i="46" s="1"/>
  <c r="BL183" i="46" l="1"/>
  <c r="BL57" i="71"/>
  <c r="ED18" i="71"/>
  <c r="BL63" i="71"/>
  <c r="BL64" i="71" s="1"/>
  <c r="BL52" i="71" s="1"/>
  <c r="BM89" i="46"/>
  <c r="BL58" i="71"/>
  <c r="BL200" i="46"/>
  <c r="BL192" i="46" s="1"/>
  <c r="BL201" i="46"/>
  <c r="BM30" i="46" l="1"/>
  <c r="BL195" i="46"/>
  <c r="BL198" i="46"/>
  <c r="BM23" i="51" l="1"/>
  <c r="BM25" i="51" s="1"/>
  <c r="BM32" i="46"/>
  <c r="BM208" i="46"/>
  <c r="BM34" i="46" l="1"/>
  <c r="BM27" i="51" l="1"/>
  <c r="BM29" i="51" s="1"/>
  <c r="BM36" i="46"/>
  <c r="BM40" i="46" s="1"/>
  <c r="BM36" i="51" l="1"/>
  <c r="BM31" i="51"/>
  <c r="BM37" i="51" s="1"/>
  <c r="BM70" i="46" s="1"/>
  <c r="BM71" i="46" s="1"/>
  <c r="BM42" i="46"/>
  <c r="BM110" i="46"/>
  <c r="BM48" i="46"/>
  <c r="BM176" i="46"/>
  <c r="BM115" i="46" l="1"/>
  <c r="BM131" i="46" s="1"/>
  <c r="BM134" i="46" s="1"/>
  <c r="BM48" i="51"/>
  <c r="BM49" i="46"/>
  <c r="BM50" i="46" s="1"/>
  <c r="BM209" i="46"/>
  <c r="BM205" i="46"/>
  <c r="BM179" i="46"/>
  <c r="BM197" i="46" l="1"/>
  <c r="BM53" i="51"/>
  <c r="BM135" i="46"/>
  <c r="BM159" i="46"/>
  <c r="BN133" i="46" l="1"/>
  <c r="BM140" i="46"/>
  <c r="BM69" i="51"/>
  <c r="BM101" i="46"/>
  <c r="BM162" i="46"/>
  <c r="BM171" i="46" s="1"/>
  <c r="BM181" i="46" s="1"/>
  <c r="BM211" i="46"/>
  <c r="BM189" i="46"/>
  <c r="BM191" i="46" l="1"/>
  <c r="BM105" i="46"/>
  <c r="BM212" i="46"/>
  <c r="BM219" i="46"/>
  <c r="BM218" i="46"/>
  <c r="BM187" i="46"/>
  <c r="BN86" i="46" s="1"/>
  <c r="BM144" i="46"/>
  <c r="BM156" i="46" s="1"/>
  <c r="BM183" i="46" s="1"/>
  <c r="BN89" i="46" l="1"/>
  <c r="BM200" i="46"/>
  <c r="BM192" i="46" s="1"/>
  <c r="BM201" i="46" l="1"/>
  <c r="BM195" i="46"/>
  <c r="BM198" i="46"/>
  <c r="BN30" i="46"/>
  <c r="BN23" i="51" l="1"/>
  <c r="BN25" i="51" s="1"/>
  <c r="BN32" i="46"/>
  <c r="BN208" i="46"/>
  <c r="BN34" i="46" l="1"/>
  <c r="BN36" i="46"/>
  <c r="BN40" i="46" s="1"/>
  <c r="BN48" i="46" l="1"/>
  <c r="BN42" i="46"/>
  <c r="BN110" i="46"/>
  <c r="BN176" i="46"/>
  <c r="BN27" i="51"/>
  <c r="BN29" i="51" s="1"/>
  <c r="BN49" i="46" l="1"/>
  <c r="BN50" i="46" s="1"/>
  <c r="BN205" i="46"/>
  <c r="BN209" i="46"/>
  <c r="BN31" i="51"/>
  <c r="BN37" i="51" s="1"/>
  <c r="BN70" i="46" s="1"/>
  <c r="BN71" i="46" s="1"/>
  <c r="BN36" i="51"/>
  <c r="BN179" i="46"/>
  <c r="BN48" i="51"/>
  <c r="BN115" i="46"/>
  <c r="BN131" i="46" s="1"/>
  <c r="BN134" i="46" s="1"/>
  <c r="BN53" i="51" l="1"/>
  <c r="BN197" i="46"/>
  <c r="BN135" i="46"/>
  <c r="BN159" i="46"/>
  <c r="BN140" i="46" l="1"/>
  <c r="BO133" i="46"/>
  <c r="BN211" i="46"/>
  <c r="BN189" i="46"/>
  <c r="BN162" i="46"/>
  <c r="BN171" i="46" s="1"/>
  <c r="BN181" i="46" s="1"/>
  <c r="BN101" i="46"/>
  <c r="BN69" i="51"/>
  <c r="BN105" i="46" l="1"/>
  <c r="BN219" i="46"/>
  <c r="BN212" i="46"/>
  <c r="BN218" i="46"/>
  <c r="BN191" i="46"/>
  <c r="BN187" i="46"/>
  <c r="BO86" i="46" s="1"/>
  <c r="BN144" i="46"/>
  <c r="BN156" i="46" s="1"/>
  <c r="BN183" i="46" s="1"/>
  <c r="BO89" i="46" l="1"/>
  <c r="BN200" i="46"/>
  <c r="BN195" i="46" l="1"/>
  <c r="BN198" i="46"/>
  <c r="BN201" i="46"/>
  <c r="BN192" i="46"/>
  <c r="BO30" i="46"/>
  <c r="BO23" i="51" l="1"/>
  <c r="BO25" i="51" s="1"/>
  <c r="BO32" i="46"/>
  <c r="BO208" i="46"/>
  <c r="BO34" i="46" l="1"/>
  <c r="BO27" i="51" l="1"/>
  <c r="BO29" i="51" s="1"/>
  <c r="BO36" i="46"/>
  <c r="BO40" i="46" s="1"/>
  <c r="BO110" i="46" l="1"/>
  <c r="BO48" i="46"/>
  <c r="BO42" i="46"/>
  <c r="BO176" i="46"/>
  <c r="BO36" i="51"/>
  <c r="BO31" i="51"/>
  <c r="BO37" i="51" s="1"/>
  <c r="BO70" i="46" s="1"/>
  <c r="BO71" i="46" s="1"/>
  <c r="BO48" i="51" l="1"/>
  <c r="BO115" i="46"/>
  <c r="BO131" i="46" s="1"/>
  <c r="BO134" i="46" s="1"/>
  <c r="BO179" i="46"/>
  <c r="BO49" i="46"/>
  <c r="BO50" i="46" s="1"/>
  <c r="BO209" i="46"/>
  <c r="BO205" i="46"/>
  <c r="BO135" i="46" l="1"/>
  <c r="BO159" i="46"/>
  <c r="BO197" i="46"/>
  <c r="BO53" i="51"/>
  <c r="BO101" i="46" l="1"/>
  <c r="BO69" i="51"/>
  <c r="BO140" i="46"/>
  <c r="BP133" i="46"/>
  <c r="BO162" i="46"/>
  <c r="BO171" i="46" s="1"/>
  <c r="BO181" i="46" s="1"/>
  <c r="BO189" i="46"/>
  <c r="BO211" i="46"/>
  <c r="BO187" i="46" l="1"/>
  <c r="BO144" i="46"/>
  <c r="BO156" i="46" s="1"/>
  <c r="BO183" i="46" s="1"/>
  <c r="BO105" i="46"/>
  <c r="BO191" i="46"/>
  <c r="BP86" i="46"/>
  <c r="BO219" i="46"/>
  <c r="BO212" i="46"/>
  <c r="BO218" i="46"/>
  <c r="BP89" i="46" l="1"/>
  <c r="BQ86" i="46"/>
  <c r="BO200" i="46"/>
  <c r="BO201" i="46" s="1"/>
  <c r="BO192" i="46"/>
  <c r="BP30" i="46" l="1"/>
  <c r="BQ89" i="46"/>
  <c r="BO195" i="46"/>
  <c r="BO198" i="46"/>
  <c r="BP23" i="51" l="1"/>
  <c r="BP25" i="51" s="1"/>
  <c r="BP32" i="46"/>
  <c r="BP208" i="46"/>
  <c r="BQ208" i="46" s="1"/>
  <c r="BQ30" i="46"/>
  <c r="BP34" i="46" l="1"/>
  <c r="BP36" i="46"/>
  <c r="BP40" i="46" s="1"/>
  <c r="BQ215" i="46"/>
  <c r="BQ23" i="51"/>
  <c r="BQ25" i="51" s="1"/>
  <c r="BQ32" i="46"/>
  <c r="BQ214" i="46" l="1"/>
  <c r="BQ225" i="46" s="1"/>
  <c r="EI28" i="71" s="1"/>
  <c r="BP110" i="46"/>
  <c r="BP42" i="46"/>
  <c r="BP48" i="46"/>
  <c r="BP176" i="46"/>
  <c r="BP27" i="51"/>
  <c r="BP29" i="51" s="1"/>
  <c r="BQ34" i="46"/>
  <c r="BQ27" i="51" s="1"/>
  <c r="BQ29" i="51" s="1"/>
  <c r="BQ36" i="51" l="1"/>
  <c r="BQ31" i="51"/>
  <c r="BP179" i="46"/>
  <c r="BQ176" i="46"/>
  <c r="BQ179" i="46" s="1"/>
  <c r="BP31" i="51"/>
  <c r="BP37" i="51" s="1"/>
  <c r="BP70" i="46" s="1"/>
  <c r="BP71" i="46" s="1"/>
  <c r="BP36" i="51"/>
  <c r="BP49" i="46"/>
  <c r="BP50" i="46" s="1"/>
  <c r="BP205" i="46"/>
  <c r="BQ205" i="46" s="1"/>
  <c r="BP209" i="46"/>
  <c r="BQ209" i="46" s="1"/>
  <c r="BQ36" i="46"/>
  <c r="BQ40" i="46" s="1"/>
  <c r="BP48" i="51"/>
  <c r="BP115" i="46"/>
  <c r="BP131" i="46" s="1"/>
  <c r="BP134" i="46" s="1"/>
  <c r="BQ110" i="46"/>
  <c r="BQ115" i="46" s="1"/>
  <c r="BQ197" i="46" l="1"/>
  <c r="BQ131" i="46"/>
  <c r="EI41" i="71"/>
  <c r="BP197" i="46"/>
  <c r="BP135" i="46"/>
  <c r="BQ134" i="46"/>
  <c r="EI62" i="71" s="1"/>
  <c r="BP159" i="46"/>
  <c r="BQ48" i="46"/>
  <c r="BQ42" i="46"/>
  <c r="BQ59" i="73"/>
  <c r="BQ60" i="73" s="1"/>
  <c r="BQ62" i="73" s="1"/>
  <c r="BQ68" i="73" s="1"/>
  <c r="BQ71" i="73" s="1"/>
  <c r="BQ74" i="73" s="1"/>
  <c r="BQ76" i="73" s="1"/>
  <c r="BQ37" i="51"/>
  <c r="BP53" i="51"/>
  <c r="BQ48" i="51"/>
  <c r="BQ53" i="51" s="1"/>
  <c r="BQ213" i="46" l="1"/>
  <c r="BQ224" i="46" s="1"/>
  <c r="EI27" i="71" s="1"/>
  <c r="BQ49" i="46"/>
  <c r="BP69" i="51"/>
  <c r="BP101" i="46"/>
  <c r="BP140" i="46"/>
  <c r="BQ135" i="46"/>
  <c r="BQ69" i="51"/>
  <c r="EI39" i="71"/>
  <c r="EI51" i="71" s="1"/>
  <c r="BQ12" i="71"/>
  <c r="BQ70" i="46"/>
  <c r="BQ71" i="46" s="1"/>
  <c r="BP211" i="46"/>
  <c r="BP162" i="46"/>
  <c r="BP171" i="46" s="1"/>
  <c r="BP181" i="46" s="1"/>
  <c r="BP189" i="46"/>
  <c r="BP191" i="46" s="1"/>
  <c r="BQ159" i="46"/>
  <c r="EI16" i="71"/>
  <c r="BQ54" i="71" s="1"/>
  <c r="BP219" i="46" l="1"/>
  <c r="BP212" i="46"/>
  <c r="BP218" i="46"/>
  <c r="BS49" i="46"/>
  <c r="BQ50" i="46"/>
  <c r="BQ13" i="71"/>
  <c r="BQ58" i="46"/>
  <c r="BQ189" i="46"/>
  <c r="BQ162" i="46"/>
  <c r="BQ171" i="46" s="1"/>
  <c r="BQ181" i="46" s="1"/>
  <c r="BQ211" i="46"/>
  <c r="BP105" i="46"/>
  <c r="BQ105" i="46" s="1"/>
  <c r="BQ101" i="46"/>
  <c r="BP200" i="46"/>
  <c r="BQ9" i="73"/>
  <c r="BQ18" i="71"/>
  <c r="BP187" i="46"/>
  <c r="BP144" i="46"/>
  <c r="BP156" i="46" s="1"/>
  <c r="BP183" i="46" s="1"/>
  <c r="BQ140" i="46"/>
  <c r="EI40" i="71"/>
  <c r="EI52" i="71" s="1"/>
  <c r="EI53" i="71" s="1"/>
  <c r="EI56" i="71" s="1"/>
  <c r="EI64" i="71" s="1"/>
  <c r="BQ63" i="73" l="1"/>
  <c r="BQ10" i="73"/>
  <c r="BQ17" i="73" s="1"/>
  <c r="BQ19" i="73" s="1"/>
  <c r="BQ21" i="73" s="1"/>
  <c r="BP195" i="46"/>
  <c r="BP198" i="46"/>
  <c r="BQ187" i="46"/>
  <c r="EI9" i="71" s="1"/>
  <c r="BQ144" i="46"/>
  <c r="BQ156" i="46" s="1"/>
  <c r="BQ191" i="46"/>
  <c r="EI11" i="71"/>
  <c r="EI13" i="71" s="1"/>
  <c r="BP192" i="46"/>
  <c r="BP201" i="46"/>
  <c r="BQ221" i="46"/>
  <c r="EI24" i="71" s="1"/>
  <c r="BQ219" i="46"/>
  <c r="EI22" i="71" s="1"/>
  <c r="BQ212" i="46"/>
  <c r="BQ220" i="46" s="1"/>
  <c r="EI23" i="71" s="1"/>
  <c r="BQ218" i="46"/>
  <c r="EI21" i="71" s="1"/>
  <c r="BQ51" i="71"/>
  <c r="BQ56" i="71"/>
  <c r="BQ17" i="71"/>
  <c r="BQ183" i="46" l="1"/>
  <c r="BQ57" i="71"/>
  <c r="EI18" i="71"/>
  <c r="BQ63" i="71"/>
  <c r="BQ64" i="71" s="1"/>
  <c r="BQ52" i="71" s="1"/>
  <c r="BQ58" i="71"/>
  <c r="BQ200" i="46"/>
  <c r="BQ192" i="46" s="1"/>
  <c r="BQ201" i="46"/>
  <c r="BQ195" i="46" l="1"/>
  <c r="BQ198" i="46"/>
</calcChain>
</file>

<file path=xl/comments1.xml><?xml version="1.0" encoding="utf-8"?>
<comments xmlns="http://schemas.openxmlformats.org/spreadsheetml/2006/main">
  <authors>
    <author>appiwill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卟䙄_x0001_＀＀觌䮼_x000F_呅幒䝆偟䥒䕃〨착_x0018_＀＀_x0018_＀＀_x0008_＀＀_x0001_＀＀_x0001_＀＀긔Ѻ䁕觌䮼_x000E_呅幒䝆䑟呁⡅⤰_x001A_＀＀_x0018_＀＀
＀＀_x0001_＀＀_x0008_＀＀⼴㘰㈯㄰0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65</t>
        </r>
      </text>
    </comment>
  </commentList>
</comments>
</file>

<file path=xl/comments2.xml><?xml version="1.0" encoding="utf-8"?>
<comments xmlns="http://schemas.openxmlformats.org/spreadsheetml/2006/main">
  <authors>
    <author>Ellison, Ethan C (Research)</author>
    <author>rajeevl</author>
    <author>McDermott, Devin (Research)</author>
    <author>Ananth, Manoj (Research)</author>
    <author>DM</author>
  </authors>
  <commentList>
    <comment ref="DU7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Salem Unit 1 nuclear license expiration</t>
        </r>
      </text>
    </comment>
    <comment ref="DY7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Salem Unit 2 nuclear license expiration</t>
        </r>
      </text>
    </comment>
    <comment ref="EE7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Hope Creek nuclear license expiration</t>
        </r>
      </text>
    </comment>
    <comment ref="BW8" authorId="1">
      <text>
        <r>
          <rPr>
            <b/>
            <sz val="8"/>
            <color indexed="81"/>
            <rFont val="Tahoma"/>
            <family val="2"/>
          </rPr>
          <t>DA:</t>
        </r>
        <r>
          <rPr>
            <sz val="8"/>
            <color indexed="81"/>
            <rFont val="Tahoma"/>
            <family val="2"/>
          </rPr>
          <t xml:space="preserve">
10.0% blended earned ROE</t>
        </r>
      </text>
    </comment>
    <comment ref="BY8" authorId="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assumes earned ROEs at 12%. Adds $0.09 to 2019 earnings at PSE&amp;G from program extensions and increased capex</t>
        </r>
      </text>
    </comment>
    <comment ref="C11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Thomson Formula:
=TF("PEG","TF.ES.EPS.Mean(period=FY2018)","")</t>
        </r>
      </text>
    </comment>
    <comment ref="DD11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Now assuming 15 year timeline</t>
        </r>
      </text>
    </comment>
    <comment ref="BY15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$2.64 = price reform benefit assuming $3.50/MWh which equates to ~$210 of EBITDA</t>
        </r>
      </text>
    </comment>
    <comment ref="BQ18" authorId="3">
      <text>
        <r>
          <rPr>
            <sz val="9"/>
            <color indexed="81"/>
            <rFont val="Tahoma"/>
            <family val="2"/>
          </rPr>
          <t>Share Price as on 04/10/18
Source: Yahoo Finance</t>
        </r>
      </text>
    </comment>
    <comment ref="CY51" authorId="1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we adjust for growth/enviro capex here</t>
        </r>
      </text>
    </comment>
    <comment ref="BV59" authorId="4">
      <text>
        <r>
          <rPr>
            <b/>
            <sz val="8"/>
            <color indexed="81"/>
            <rFont val="Tahoma"/>
            <family val="2"/>
          </rPr>
          <t>DM:</t>
        </r>
        <r>
          <rPr>
            <sz val="8"/>
            <color indexed="81"/>
            <rFont val="Tahoma"/>
            <family val="2"/>
          </rPr>
          <t xml:space="preserve">
Begins in 2017 to match term of Ute/Parent valuation (avoid double counting of cash dividends to and from parent)</t>
        </r>
      </text>
    </comment>
    <comment ref="DO59" authorId="1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Net PP&amp;E less grossed up deferred taxes</t>
        </r>
      </text>
    </comment>
    <comment ref="DT59" authorId="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adjusts for bonus depreciation</t>
        </r>
      </text>
    </comment>
    <comment ref="DU59" authorId="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adjusts for bonus depreciation</t>
        </r>
      </text>
    </comment>
    <comment ref="DV59" authorId="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adjusts for bonus depreciation</t>
        </r>
      </text>
    </comment>
    <comment ref="DW59" authorId="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adjusts for bonus depreciation</t>
        </r>
      </text>
    </comment>
    <comment ref="BV62" authorId="4">
      <text>
        <r>
          <rPr>
            <b/>
            <sz val="8"/>
            <color indexed="81"/>
            <rFont val="Tahoma"/>
            <family val="2"/>
          </rPr>
          <t>4Q17 net debt</t>
        </r>
      </text>
    </comment>
  </commentList>
</comments>
</file>

<file path=xl/comments3.xml><?xml version="1.0" encoding="utf-8"?>
<comments xmlns="http://schemas.openxmlformats.org/spreadsheetml/2006/main">
  <authors>
    <author>McDermott, Devin (Research)</author>
    <author>ramrama</author>
    <author>ancsan</author>
    <author>sunilt</author>
    <author>jasoriya</author>
    <author>$</author>
    <author>Kapoor, Vishal (Research)</author>
    <author>Ellison, Ethan C (Research)</author>
    <author>shahviv</author>
  </authors>
  <commentList>
    <comment ref="BR14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(0.7%) guidance</t>
        </r>
      </text>
    </comment>
    <comment ref="R41" authorId="1">
      <text>
        <r>
          <rPr>
            <b/>
            <sz val="8"/>
            <color indexed="81"/>
            <rFont val="Tahoma"/>
            <family val="2"/>
          </rPr>
          <t>ramrama:</t>
        </r>
        <r>
          <rPr>
            <sz val="8"/>
            <color indexed="81"/>
            <rFont val="Tahoma"/>
            <family val="2"/>
          </rPr>
          <t xml:space="preserve">
Reconcilination items Attachment 12, 8K + other than temporary impairment, Attachment 2, 8K.</t>
        </r>
      </text>
    </comment>
    <comment ref="T41" authorId="1">
      <text>
        <r>
          <rPr>
            <b/>
            <sz val="8"/>
            <color indexed="81"/>
            <rFont val="Tahoma"/>
            <family val="2"/>
          </rPr>
          <t>ramrama:</t>
        </r>
        <r>
          <rPr>
            <sz val="8"/>
            <color indexed="81"/>
            <rFont val="Tahoma"/>
            <family val="2"/>
          </rPr>
          <t xml:space="preserve">
$61 m - Q1 2012 Press Release Attachment 10 - Reconciling Items Excluded from Continuing Operations to Compute Operating Earnings 
$5m - Other Than Temporary Impairments
Consolidated Income Statement- Q1 2012 Press Release Attachment 2 
</t>
        </r>
      </text>
    </comment>
    <comment ref="U41" authorId="2">
      <text>
        <r>
          <rPr>
            <sz val="8"/>
            <color indexed="81"/>
            <rFont val="Tahoma"/>
            <family val="2"/>
          </rPr>
          <t xml:space="preserve">$4 m - Q2 2012 Press Release Attachment 2- 
$7m - Other Than Temporary Impairments
Consolidated Income Statement- Q2 2012 Press Release Attachment 2 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V41" authorId="3">
      <text>
        <r>
          <rPr>
            <sz val="8"/>
            <color indexed="81"/>
            <rFont val="Tahoma"/>
            <family val="2"/>
          </rPr>
          <t>$40m : Gain (Loss) on Nuclear Decommissioning Trust.
$76m : Gain (Loss) on Mark-to-Market.
$1m : Lease Related Activity
Source : 8-K of 3Q12, Attachment 12</t>
        </r>
      </text>
    </comment>
    <comment ref="X41" authorId="3">
      <text>
        <r>
          <rPr>
            <sz val="8"/>
            <color indexed="81"/>
            <rFont val="Tahoma"/>
            <family val="2"/>
          </rPr>
          <t>$52m : Gain (Loss) on Nuclear Decommissioning Trust.
$10m : Gain (Loss) on Mark-to-Market.
$36m : Lease Related Activity 
$39m : Storm O&amp;M 
Source : 8-K of 4Q12, Attachment 12</t>
        </r>
      </text>
    </comment>
    <comment ref="Y41" authorId="3">
      <text>
        <r>
          <rPr>
            <sz val="8"/>
            <color indexed="81"/>
            <rFont val="Tahoma"/>
            <family val="2"/>
          </rPr>
          <t>$9m : Gain (Loss) on Nuclear Decommissioning Trust.
$109m : Gain (Loss) on Mark-to-Market.
$17m : Storm O&amp;M 
Source : 8-K of 1Q13, Attachment 10</t>
        </r>
      </text>
    </comment>
    <comment ref="Z41" authorId="3">
      <text>
        <r>
          <rPr>
            <sz val="8"/>
            <color indexed="81"/>
            <rFont val="Tahoma"/>
            <family val="2"/>
          </rPr>
          <t>$8m : Gain (Loss) on Nuclear Decommissioning Trust.
$80m : Gain (Loss) on Mark-to-Market.
$2m : Storm O&amp;M 
Source : 8-K of 2Q13, Attachment 12</t>
        </r>
      </text>
    </comment>
    <comment ref="AA41" authorId="3">
      <text>
        <r>
          <rPr>
            <sz val="8"/>
            <color indexed="81"/>
            <rFont val="Tahoma"/>
            <family val="2"/>
          </rPr>
          <t>$12m : Gain (Loss) on Nuclear Decommissioning Trust.
$3m : Gain (Loss) on Mark-to-Market.
$10m : Storm O&amp;M, net of insurance recoveries 
Source : 8-K of 3Q13, Attachment 12</t>
        </r>
      </text>
    </comment>
    <comment ref="AC41" authorId="3">
      <text>
        <r>
          <rPr>
            <sz val="8"/>
            <color indexed="81"/>
            <rFont val="Tahoma"/>
            <family val="2"/>
          </rPr>
          <t>$40m : Gain (Loss) on Nuclear Decommissioning Trust.
$74m : Gain (Loss) on Mark-to-Market.
$32m : Storm O&amp;M 
Source : 8-K of 4Q13, Attachment 12</t>
        </r>
      </text>
    </comment>
    <comment ref="AD41" authorId="4">
      <text>
        <r>
          <rPr>
            <sz val="8"/>
            <color indexed="81"/>
            <rFont val="Tahoma"/>
            <family val="2"/>
          </rPr>
          <t>($9) : Gain (Loss) on Nuclear Decommissioning Trust (NDT) Fund Related Activity
$132: Gain (Loss) on Mark-to-Market (MTM)
$6 : Storm O&amp;M, net of insurance recoveries</t>
        </r>
      </text>
    </comment>
    <comment ref="AE41" authorId="4">
      <text>
        <r>
          <rPr>
            <sz val="8"/>
            <color indexed="81"/>
            <rFont val="Tahoma"/>
            <family val="2"/>
          </rPr>
          <t>($14) : Gain (Loss) on Nuclear Decommissioning Trust (NDT) Fund Related Activity
$42: Gain (Loss) on Mark-to-Market (MTM)
$5 : Storm O&amp;M, net of insurance recoveries</t>
        </r>
      </text>
    </comment>
    <comment ref="AF41" authorId="3">
      <text>
        <r>
          <rPr>
            <sz val="8"/>
            <color indexed="81"/>
            <rFont val="Tahoma"/>
            <family val="2"/>
          </rPr>
          <t>$17m : Gain (Loss) on Nuclear Decommissioning Trust.
$36m : Gain (Loss) on Mark-to-Market.
$2m : Storm O&amp;M, net of insurance recoveries 
Source : 8-K of 3Q14, Attachment 12</t>
        </r>
      </text>
    </comment>
    <comment ref="AH41" authorId="3">
      <text>
        <r>
          <rPr>
            <sz val="8"/>
            <color indexed="81"/>
            <rFont val="Tahoma"/>
            <family val="2"/>
          </rPr>
          <t>$68m : Gain (Loss) on Nuclear Decommissioning Trust.
$66m : Gain (Loss) on Mark-to-Market.
$16m : Storm O&amp;M 
Source : 8-K of 4Q14, Attachment 12</t>
        </r>
      </text>
    </comment>
    <comment ref="AI41" authorId="3">
      <text>
        <r>
          <rPr>
            <sz val="8"/>
            <color indexed="81"/>
            <rFont val="Tahoma"/>
            <family val="2"/>
          </rPr>
          <t>$2m : Gain (Loss) on Nuclear Decommissioning Trust.
$20m : Gain (Loss) on Mark-to-Market.
$75m : Storm O&amp;M, net of insurance recoveries 
Source : 8-K of 1Q15, Attachment 10</t>
        </r>
      </text>
    </comment>
    <comment ref="AJ41" authorId="3">
      <text>
        <r>
          <rPr>
            <sz val="8"/>
            <color indexed="81"/>
            <rFont val="Tahoma"/>
            <family val="2"/>
          </rPr>
          <t>$1m : Gain (Loss) on Nuclear Decommissioning Trust.
$28m : Gain (Loss) on Mark-to-Market.
$27m : Storm O&amp;M, net of insurance recoveries 
Source : 8-K of 2Q15</t>
        </r>
      </text>
    </comment>
    <comment ref="AK41" authorId="3">
      <text>
        <r>
          <rPr>
            <sz val="8"/>
            <color indexed="81"/>
            <rFont val="Tahoma"/>
            <family val="2"/>
          </rPr>
          <t>$14m : Gain (Loss) on Nuclear Decommissioning Trust.
$50m : Gain (Loss) on Mark-to-Market.
Source : 8-K of 3Q15</t>
        </r>
      </text>
    </comment>
    <comment ref="AM41" authorId="5">
      <text>
        <r>
          <rPr>
            <sz val="9"/>
            <color indexed="81"/>
            <rFont val="Tahoma"/>
            <family val="2"/>
          </rPr>
          <t>$8m: Gain (Loss) on Nuclear Decommissioning Trust (NDT) Fund Related Activity
$93m: Gain (Loss) on Mark-to-Market
$102m: Storm O&amp;M, net of insurance recoveries
Source: 8K 4Q15 dated 02/19/16</t>
        </r>
      </text>
    </comment>
    <comment ref="AN41" authorId="3">
      <text>
        <r>
          <rPr>
            <sz val="8"/>
            <color indexed="81"/>
            <rFont val="Tahoma"/>
            <family val="2"/>
          </rPr>
          <t>$5m : Gain (Loss) on Nuclear Decommissioning Trust.
$13m : Gain (Loss) on Mark-to-Market.
Source : 8-K of 1Q16, dated 04/29/16, Attachment 10</t>
        </r>
      </text>
    </comment>
    <comment ref="AO41" authorId="6">
      <text>
        <r>
          <rPr>
            <sz val="9"/>
            <color indexed="81"/>
            <rFont val="Tahoma"/>
            <family val="2"/>
          </rPr>
          <t>$69m :Income Taxes related to Operating Earnings reconciling items
$171m : Gain (Loss) on Mark-to-Market.
Source : 8-K of 2Q16, dated 07/29/16, Attachment 12</t>
        </r>
      </text>
    </comment>
    <comment ref="AP41" authorId="6">
      <text>
        <r>
          <rPr>
            <sz val="9"/>
            <color indexed="81"/>
            <rFont val="Tahoma"/>
            <family val="2"/>
          </rPr>
          <t>$4m :(Gain) Loss on Nuclear Decommissioning Trust (NDT)
$58m : Gain (Loss) on Mark-to-Market.
$114m : Hudson/Mercer Early Retirement
$137m : Lease Related Activity
$72m : Income Taxes related to Operating Earnings 
Source : 8-K of 3Q16, dated 10/23116, Attachment 11</t>
        </r>
      </text>
    </comment>
    <comment ref="AR41" authorId="5">
      <text>
        <r>
          <rPr>
            <sz val="9"/>
            <color indexed="81"/>
            <rFont val="Tahoma"/>
            <family val="2"/>
          </rPr>
          <t>$5m: Gain (Loss) on Nuclear Decommissioning Trust (NDT) Fund Related Activity
$168m: Gain (Loss) on Mark-to-Market
$669m : Hudson/Mercer Early Retirement
$147m : Lease Related Activity
$391m : Income Taxes related to Operating Earnings
Source: 8K 4Q16 dated 02/24/17</t>
        </r>
      </text>
    </comment>
    <comment ref="AS41" authorId="3">
      <text>
        <r>
          <rPr>
            <sz val="8"/>
            <color indexed="81"/>
            <rFont val="Tahoma"/>
            <family val="2"/>
          </rPr>
          <t>$17m : (Gain) Loss on Nuclear Decommissioning Trust (NDT) Fund Related Activity, pre-tax
$10m : (Gain) Loss on Mark-to-Market (MTM), pre-tax
$564m: Hudson/Mercer Early Retirement, pre-tax
$55m: Lease Related Activity, pre-tax
$240m: Income Taxes related to Operating Earnings (non-GAAP) reconciling items
Source : 8-K of 1Q17, dated 04/28/17</t>
        </r>
      </text>
    </comment>
    <comment ref="AT41" authorId="3">
      <text>
        <r>
          <rPr>
            <sz val="8"/>
            <color indexed="81"/>
            <rFont val="Tahoma"/>
            <family val="2"/>
          </rPr>
          <t>$30m : (Gain) Loss on Nuclear Decommissioning Trust (NDT) Fund Related Activity, pre-tax
$36m : (Gain) Loss on Mark-to-Market (MTM), pre-tax
$387m: Hudson/Mercer Early Retirement, pre-tax
$22m: Lease Related Activity, pre-tax
$136m: Income Taxes related to Operating Earnings (non-GAAP) reconciling items
Source : 8-K of 2Q17, dated 07/28/17</t>
        </r>
      </text>
    </comment>
    <comment ref="AU41" authorId="3">
      <text>
        <r>
          <rPr>
            <sz val="8"/>
            <color indexed="81"/>
            <rFont val="Tahoma"/>
            <family val="2"/>
          </rPr>
          <t>$22m : (Gain) Loss on Nuclear Decommissioning Trust (NDT) Fund Related Activity, pre-tax
$46m : (Gain) Loss on Mark-to-Market (MTM), pre-tax
$9m: Hudson/Mercer Early Retirement, pre-tax
$11m: Income Taxes related to Operating Earnings (non-GAAP) reconciling items
Source : 8-K of 3Q17, dated 10/31/17</t>
        </r>
      </text>
    </comment>
    <comment ref="AW41" authorId="5">
      <text>
        <r>
          <rPr>
            <sz val="9"/>
            <color indexed="81"/>
            <rFont val="Tahoma"/>
            <family val="2"/>
          </rPr>
          <t>$133m: Gain (Loss) on Nuclear Decommissioning Trust (NDT) Fund Related Activity
$167m: Gain (Loss) on Mark-to-Market
$975m : Hudson/Mercer Early Retirement
$77m : Lease Related Activity
$427m : Income Taxes related to Operating Earnings
$745m : Tax Reform
Source: 8K 4Q17 dated 02/23/18</t>
        </r>
      </text>
    </comment>
    <comment ref="BB42" authorId="7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$1,520 - $1,625</t>
        </r>
      </text>
    </comment>
    <comment ref="BB49" authorId="7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2018 Guidance of $3.00 - $3.20: tax reform and growth in utility infrastructure investment drives increase in earnings</t>
        </r>
      </text>
    </comment>
    <comment ref="BB54" authorId="7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3/15/18 Presentation slide 31</t>
        </r>
      </text>
    </comment>
    <comment ref="BQ76" authorId="7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assumed
</t>
        </r>
      </text>
    </comment>
    <comment ref="C177" authorId="8">
      <text>
        <r>
          <rPr>
            <sz val="8"/>
            <color indexed="81"/>
            <rFont val="Tahoma"/>
            <family val="2"/>
          </rPr>
          <t xml:space="preserve">Treasury Stock
</t>
        </r>
      </text>
    </comment>
  </commentList>
</comments>
</file>

<file path=xl/comments4.xml><?xml version="1.0" encoding="utf-8"?>
<comments xmlns="http://schemas.openxmlformats.org/spreadsheetml/2006/main">
  <authors>
    <author>ramrama</author>
    <author>Kapoor, Vishal (Research)</author>
    <author>Ananth, Manoj (Research)</author>
    <author>Ellison, Ethan C (Research)</author>
    <author>McDermott, Devin (Research)</author>
    <author>Arcaro, David (Research)</author>
    <author>ancsan</author>
    <author>sunilt</author>
    <author>Tammannavar, Sunil (Research)</author>
    <author>$</author>
    <author>RL</author>
    <author>DM</author>
    <author>rajeevl</author>
    <author>tolentin</author>
  </authors>
  <commentList>
    <comment ref="C12" authorId="0">
      <text>
        <r>
          <rPr>
            <b/>
            <sz val="8"/>
            <color indexed="81"/>
            <rFont val="Tahoma"/>
            <family val="2"/>
          </rPr>
          <t>ramrama:</t>
        </r>
        <r>
          <rPr>
            <sz val="8"/>
            <color indexed="81"/>
            <rFont val="Tahoma"/>
            <family val="2"/>
          </rPr>
          <t xml:space="preserve">
Electricity and Transmission costs from SnL
Total Power Production O&amp;M Expense+Total Transmission O&amp;M Expense from Regulated Energy  Electric O&amp;M Expenses </t>
        </r>
      </text>
    </comment>
    <comment ref="AS12" authorId="1">
      <text>
        <r>
          <rPr>
            <sz val="9"/>
            <color indexed="81"/>
            <rFont val="Tahoma"/>
            <family val="2"/>
          </rPr>
          <t>SNL</t>
        </r>
      </text>
    </comment>
    <comment ref="AT12" authorId="1">
      <text>
        <r>
          <rPr>
            <sz val="9"/>
            <color indexed="81"/>
            <rFont val="Tahoma"/>
            <family val="2"/>
          </rPr>
          <t>SNL</t>
        </r>
      </text>
    </comment>
    <comment ref="AU12" authorId="1">
      <text>
        <r>
          <rPr>
            <sz val="9"/>
            <color indexed="81"/>
            <rFont val="Tahoma"/>
            <family val="2"/>
          </rPr>
          <t>SNL</t>
        </r>
      </text>
    </comment>
    <comment ref="AV12" authorId="2">
      <text>
        <r>
          <rPr>
            <sz val="9"/>
            <color indexed="81"/>
            <rFont val="Tahoma"/>
            <family val="2"/>
          </rPr>
          <t xml:space="preserve">Data not yet published in SNL
</t>
        </r>
      </text>
    </comment>
    <comment ref="BB38" authorId="3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$1,000 - $1,030</t>
        </r>
      </text>
    </comment>
    <comment ref="BB54" authorId="4">
      <text>
        <r>
          <rPr>
            <b/>
            <sz val="9"/>
            <color indexed="81"/>
            <rFont val="Tahoma"/>
            <family val="2"/>
          </rPr>
          <t xml:space="preserve">Ellison, Ethan (Research):
</t>
        </r>
        <r>
          <rPr>
            <sz val="9"/>
            <color indexed="81"/>
            <rFont val="Tahoma"/>
            <family val="2"/>
          </rPr>
          <t>Filed for 2018 FERC Formula Rate increase of $212 million to be effective January 1, 2018, reflects increase in transmission investment and a true-up of prior-year results. Updated transmission formula rate lowered by $148m effective 1/1/18 as a result of tax reform</t>
        </r>
      </text>
    </comment>
    <comment ref="BG54" authorId="4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includes Bonus D adjustment based on historical</t>
        </r>
      </text>
    </comment>
    <comment ref="BB55" authorId="4">
      <text>
        <r>
          <rPr>
            <b/>
            <sz val="9"/>
            <color indexed="81"/>
            <rFont val="Tahoma"/>
            <family val="2"/>
          </rPr>
          <t>Ellison, Ethan (Research):</t>
        </r>
        <r>
          <rPr>
            <sz val="9"/>
            <color indexed="81"/>
            <rFont val="Tahoma"/>
            <family val="2"/>
          </rPr>
          <t xml:space="preserve">
rate case filed in January 2018. Requested increase of $111m at electric (+$27m) after proposed tax surcredit </t>
        </r>
        <r>
          <rPr>
            <b/>
            <sz val="9"/>
            <color indexed="81"/>
            <rFont val="Tahoma"/>
            <family val="2"/>
          </rPr>
          <t>and</t>
        </r>
        <r>
          <rPr>
            <sz val="9"/>
            <color indexed="81"/>
            <rFont val="Tahoma"/>
            <family val="2"/>
          </rPr>
          <t xml:space="preserve"> $186m at gas (+$68m net of proposed tax surcredit)
Total, accounting for tax is +$95m</t>
        </r>
      </text>
    </comment>
    <comment ref="BB58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Assume continued with rate case</t>
        </r>
      </text>
    </comment>
    <comment ref="BB59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Assume continued with rate case</t>
        </r>
      </text>
    </comment>
    <comment ref="U103" authorId="6">
      <text>
        <r>
          <rPr>
            <sz val="8"/>
            <color indexed="81"/>
            <rFont val="Tahoma"/>
            <family val="2"/>
          </rPr>
          <t>+9.5% Q2 2012 vs. Normal
Source : 2Q12 Earnings Conference Call Presentation, slide 25</t>
        </r>
      </text>
    </comment>
    <comment ref="V103" authorId="6">
      <text>
        <r>
          <rPr>
            <sz val="8"/>
            <color indexed="81"/>
            <rFont val="Tahoma"/>
            <family val="2"/>
          </rPr>
          <t>+20% Q3 2012 vs. Normal
Source : 3Q12 Earnings Conference Call Presentation, slide 27</t>
        </r>
      </text>
    </comment>
    <comment ref="Z103" authorId="7">
      <text>
        <r>
          <rPr>
            <sz val="8"/>
            <color indexed="81"/>
            <rFont val="Tahoma"/>
            <family val="2"/>
          </rPr>
          <t>+18% Q2 2013 vs. Normal
Source : 2Q13 Earnings Conference Call Presentation, slide 26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03" authorId="7">
      <text>
        <r>
          <rPr>
            <sz val="8"/>
            <color indexed="81"/>
            <rFont val="Tahoma"/>
            <family val="2"/>
          </rPr>
          <t>+7.4% Q2 2013 vs. Normal
Source : 3Q13 Earnings Conference Call Presentation, slide 26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03" authorId="7">
      <text>
        <r>
          <rPr>
            <sz val="8"/>
            <color indexed="81"/>
            <rFont val="Tahoma"/>
            <family val="2"/>
          </rPr>
          <t xml:space="preserve">-15% Q2 2014 vs. Normal
Source : 2Q14 Earnings Conference Call Presentation, slide 16
</t>
        </r>
      </text>
    </comment>
    <comment ref="AF103" authorId="7">
      <text>
        <r>
          <rPr>
            <sz val="8"/>
            <color indexed="81"/>
            <rFont val="Tahoma"/>
            <family val="2"/>
          </rPr>
          <t xml:space="preserve">-14% Q3 2014 vs. Normal
Source : 3Q14 Earnings Conference Call Presentation, slide 16
</t>
        </r>
      </text>
    </comment>
    <comment ref="AJ103" authorId="7">
      <text>
        <r>
          <rPr>
            <sz val="8"/>
            <color indexed="81"/>
            <rFont val="Tahoma"/>
            <family val="2"/>
          </rPr>
          <t xml:space="preserve">-19% Q2 2015 vs. Normal
Source : 2Q15 Earnings Conference Call Presentation, slide 16
</t>
        </r>
      </text>
    </comment>
    <comment ref="AK103" authorId="7">
      <text>
        <r>
          <rPr>
            <sz val="8"/>
            <color indexed="81"/>
            <rFont val="Tahoma"/>
            <family val="2"/>
          </rPr>
          <t xml:space="preserve">19% Q3 2015 vs. Normal
Source : 3Q15 Earnings Conference Call Presentation, slide 16
</t>
        </r>
      </text>
    </comment>
    <comment ref="C104" authorId="6">
      <text>
        <r>
          <rPr>
            <sz val="8"/>
            <color indexed="81"/>
            <rFont val="Tahoma"/>
            <family val="2"/>
          </rPr>
          <t>Cooling/heating degree days being 4-6% above norm translates into 1% sales growth due to weather</t>
        </r>
      </text>
    </comment>
    <comment ref="AD104" authorId="7">
      <text>
        <r>
          <rPr>
            <sz val="8"/>
            <color indexed="81"/>
            <rFont val="Tahoma"/>
            <family val="2"/>
          </rPr>
          <t>On a weather normalized basis electric sales are estimated to have improved by 1.3%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Source : 1Q14 Call transcript, page no 5</t>
        </r>
      </text>
    </comment>
    <comment ref="AI104" authorId="7">
      <text>
        <r>
          <rPr>
            <sz val="8"/>
            <color indexed="81"/>
            <rFont val="Tahoma"/>
            <family val="2"/>
          </rPr>
          <t>On a weather normalized basis, Electric sales are estimated to have improved by 0.2% in the quarter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Source : 1Q15 Call transcript, page no 5</t>
        </r>
      </text>
    </comment>
    <comment ref="AN104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1Q16 earnings slides: $0.02 </t>
        </r>
      </text>
    </comment>
    <comment ref="AO104" authorId="8">
      <text>
        <r>
          <rPr>
            <sz val="9"/>
            <color indexed="81"/>
            <rFont val="Tahoma"/>
            <family val="2"/>
          </rPr>
          <t>Company did not provide any weather normalized data.
Company mentions the EPS impact due to weather is $0.02 versus 1H16. We have calculated based on this disclosure
Source ; 2Q16 Earnings presentation</t>
        </r>
      </text>
    </comment>
    <comment ref="AS104" authorId="8">
      <text>
        <r>
          <rPr>
            <sz val="9"/>
            <color indexed="81"/>
            <rFont val="Tahoma"/>
            <family val="2"/>
          </rPr>
          <t>Weather data not available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104" authorId="8">
      <text>
        <r>
          <rPr>
            <sz val="9"/>
            <color indexed="81"/>
            <rFont val="Tahoma"/>
            <family val="2"/>
          </rPr>
          <t>Company did not provide any weather normalized data.
Company mentions that , on a trailing 12-month basis,
weather-normalized electric sales were flat year-over-year. Hence, we have assumed the EPS impact to be zero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V104" authorId="8">
      <text>
        <r>
          <rPr>
            <sz val="9"/>
            <color indexed="81"/>
            <rFont val="Tahoma"/>
            <family val="2"/>
          </rPr>
          <t>Electric sales, on a weather-normalized basis, modestly declined 0.4% for the year as energy efficiency and solar net metering offset growth in a number of customers.
Source ; 4Q7 Call Transcript</t>
        </r>
      </text>
    </comment>
    <comment ref="AK105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Adjusted to match EPS impact below</t>
        </r>
      </text>
    </comment>
    <comment ref="Y107" authorId="7">
      <text>
        <r>
          <rPr>
            <sz val="8"/>
            <color indexed="81"/>
            <rFont val="Tahoma"/>
            <family val="2"/>
          </rPr>
          <t>The first-quarter 2013 earnings benefited by $0.05 per share for more-favorable-than-normal weather
Source : 1Q13 Call transcript, page no 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07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2Q15 earnings release: ~$0.01 favorable weather impact </t>
        </r>
      </text>
    </comment>
    <comment ref="AK107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3Q15 earnings release: $0.02 favorable weather impact</t>
        </r>
      </text>
    </comment>
    <comment ref="AL107" authorId="9">
      <text>
        <r>
          <rPr>
            <sz val="9"/>
            <color indexed="81"/>
            <rFont val="Tahoma"/>
            <family val="2"/>
          </rPr>
          <t>-$0.01
Source: Source: 8K 4Q15 dated 02/19/16</t>
        </r>
      </text>
    </comment>
    <comment ref="AP107" authorId="3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$0.01 weather impact 3Q16
</t>
        </r>
      </text>
    </comment>
    <comment ref="AQ107" authorId="8">
      <text>
        <r>
          <rPr>
            <sz val="9"/>
            <color indexed="81"/>
            <rFont val="Tahoma"/>
            <family val="2"/>
          </rPr>
          <t xml:space="preserve">0.01 weather impact (Q416 versus Q415)
Source : 4Q16 Earnings presentation
</t>
        </r>
      </text>
    </comment>
    <comment ref="AU107" authorId="8">
      <text>
        <r>
          <rPr>
            <sz val="9"/>
            <color indexed="81"/>
            <rFont val="Tahoma"/>
            <family val="2"/>
          </rPr>
          <t>a 6% decline in output associated with the impact of cooler-than-normal weather on demand, reduced non-GAAP operating earnings comparisons by an additional $0.02 per share.
Source : Call Transcript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H123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2014 earnings press release: $2,628m Total firm sales</t>
        </r>
      </text>
    </comment>
    <comment ref="AH126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2014 earnings press release: $2,467m Total non-firm sales</t>
        </r>
      </text>
    </comment>
    <comment ref="W138" authorId="10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Sandy O&amp;M expensed</t>
        </r>
      </text>
    </comment>
    <comment ref="Y138" authorId="11">
      <text>
        <r>
          <rPr>
            <b/>
            <sz val="8"/>
            <color indexed="81"/>
            <rFont val="Tahoma"/>
            <family val="2"/>
          </rPr>
          <t>DM:</t>
        </r>
        <r>
          <rPr>
            <sz val="8"/>
            <color indexed="81"/>
            <rFont val="Tahoma"/>
            <family val="2"/>
          </rPr>
          <t xml:space="preserve">
$8mil Sandy, $6mil appliance service costs</t>
        </r>
      </text>
    </comment>
    <comment ref="X152" authorId="7">
      <text>
        <r>
          <rPr>
            <sz val="8"/>
            <color indexed="81"/>
            <rFont val="Tahoma"/>
            <family val="2"/>
          </rPr>
          <t>Source : 10-K of FY12, page no 98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C152" authorId="7">
      <text>
        <r>
          <rPr>
            <sz val="8"/>
            <color indexed="81"/>
            <rFont val="Tahoma"/>
            <family val="2"/>
          </rPr>
          <t>Source : 10-K of FY13, page no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H152" authorId="7">
      <text>
        <r>
          <rPr>
            <sz val="8"/>
            <color indexed="81"/>
            <rFont val="Tahoma"/>
            <family val="2"/>
          </rPr>
          <t xml:space="preserve">Source : 10-K of FY14, page no 95
</t>
        </r>
      </text>
    </comment>
    <comment ref="AM152" authorId="7">
      <text>
        <r>
          <rPr>
            <sz val="8"/>
            <color indexed="81"/>
            <rFont val="Tahoma"/>
            <family val="2"/>
          </rPr>
          <t xml:space="preserve">Source : 10-K of FY15 page no 99
</t>
        </r>
      </text>
    </comment>
    <comment ref="AR152" authorId="7">
      <text>
        <r>
          <rPr>
            <sz val="8"/>
            <color indexed="81"/>
            <rFont val="Tahoma"/>
            <family val="2"/>
          </rPr>
          <t xml:space="preserve">Source : 10-K of FY16page no 104
</t>
        </r>
      </text>
    </comment>
    <comment ref="AW152" authorId="7">
      <text>
        <r>
          <rPr>
            <sz val="9"/>
            <color indexed="81"/>
            <rFont val="Tahoma"/>
            <family val="2"/>
          </rPr>
          <t xml:space="preserve">
Source : 10-K of FY17 page no 105
</t>
        </r>
      </text>
    </comment>
    <comment ref="C155" authorId="12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we set the amortization and interest equal to actual interest and principal payments for simplicity. Company does not provide guidance. </t>
        </r>
      </text>
    </comment>
    <comment ref="N156" authorId="12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average D&amp;A rate per the 10K. We assume rest is transition bond related.
2011 10K p. 105 </t>
        </r>
      </text>
    </comment>
    <comment ref="S156" authorId="12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average D&amp;A rate per the 10K. We assume rest is transition bond related.
2011 10K p. 105 </t>
        </r>
      </text>
    </comment>
    <comment ref="X156" authorId="12">
      <text>
        <r>
          <rPr>
            <sz val="8"/>
            <color indexed="81"/>
            <rFont val="Tahoma"/>
            <family val="2"/>
          </rPr>
          <t xml:space="preserve">Average D&amp;A rate per the 10K. We assume rest is transition bond related.
2012 10K p. 93 </t>
        </r>
      </text>
    </comment>
    <comment ref="AC156" authorId="7">
      <text>
        <r>
          <rPr>
            <sz val="8"/>
            <color indexed="81"/>
            <rFont val="Tahoma"/>
            <family val="2"/>
          </rPr>
          <t>Source : 10-K of FY13, page no 88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H156" authorId="7">
      <text>
        <r>
          <rPr>
            <sz val="8"/>
            <color indexed="81"/>
            <rFont val="Tahoma"/>
            <family val="2"/>
          </rPr>
          <t xml:space="preserve">Source : 10-K of FY14, page no 90
</t>
        </r>
      </text>
    </comment>
    <comment ref="AM156" authorId="7">
      <text>
        <r>
          <rPr>
            <sz val="8"/>
            <color indexed="81"/>
            <rFont val="Tahoma"/>
            <family val="2"/>
          </rPr>
          <t xml:space="preserve">Source : 10-K of FY15 page no 94
</t>
        </r>
      </text>
    </comment>
    <comment ref="AR156" authorId="7">
      <text>
        <r>
          <rPr>
            <sz val="8"/>
            <color indexed="81"/>
            <rFont val="Tahoma"/>
            <family val="2"/>
          </rPr>
          <t xml:space="preserve">Source : 10-K of FY16
 page no 97
</t>
        </r>
      </text>
    </comment>
    <comment ref="AW156" authorId="2">
      <text>
        <r>
          <rPr>
            <sz val="9"/>
            <color indexed="81"/>
            <rFont val="Tahoma"/>
            <family val="2"/>
          </rPr>
          <t>Company has started reporting depreciation rates for individual segments and hence the average of these has been taken
Source: 10-K 2017 dated 02/26/18</t>
        </r>
      </text>
    </comment>
    <comment ref="BB161" authorId="3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♦10K17 pg. 66
</t>
        </r>
      </text>
    </comment>
    <comment ref="BT161" authorId="3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Transmission = ~5.1B
♦2017 analyst day</t>
        </r>
      </text>
    </comment>
    <comment ref="BB162" authorId="3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♦10K17 pg. 66
</t>
        </r>
      </text>
    </comment>
    <comment ref="BT162" authorId="3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Distribution base rates ~33% of $11.5B capital program</t>
        </r>
      </text>
    </comment>
    <comment ref="BB164" authorId="3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♦10K17 pg. 66
</t>
        </r>
      </text>
    </comment>
    <comment ref="BT164" authorId="3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Guide to solar being ~$250, but included in upside is an additional $300</t>
        </r>
      </text>
    </comment>
    <comment ref="BB165" authorId="3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♦10K17 pg. 66
</t>
        </r>
      </text>
    </comment>
    <comment ref="BT165" authorId="3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Energy Strong =0.7B
♦Didn't change this figure after analyst day, though didn't guide to a specific number. Included in $3B electric distribution capex. ESMP expansion (which is an extension of Energy Strong) included in upside = $800m</t>
        </r>
      </text>
    </comment>
    <comment ref="BB166" authorId="3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♦10K17 pg. 66
</t>
        </r>
      </text>
    </comment>
    <comment ref="BT166" authorId="3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GSMP = Base plan assumes $300m incremental/yr to what was presented in 10K (as they're assuming this gets extended in 2019).  And additional $300m included in upside as well - this represents $100m/yr additional '19-'21
♦Modeling upside scenario here</t>
        </r>
      </text>
    </comment>
    <comment ref="BT167" authorId="3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Upside = ESMP Expansion +800m, further GSMP expansion +300m, and Solar&amp;EE +400m
♦Total = $1.5B</t>
        </r>
      </text>
    </comment>
    <comment ref="BB168" authorId="3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♦10K17 pg. 66
</t>
        </r>
      </text>
    </comment>
    <comment ref="BT168" authorId="3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PES&amp;G Total = 12.3B + 1.5B Upside = 13.8B
♦2017 analyst day</t>
        </r>
      </text>
    </comment>
    <comment ref="C177" authorId="12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we set the amortization and interest equal to actual interest and principal payments for simplicity. Company does not provide guidance. </t>
        </r>
      </text>
    </comment>
    <comment ref="R191" authorId="13">
      <text>
        <r>
          <rPr>
            <b/>
            <sz val="8"/>
            <color indexed="81"/>
            <rFont val="Tahoma"/>
            <family val="2"/>
          </rPr>
          <t>tolentin:</t>
        </r>
        <r>
          <rPr>
            <sz val="8"/>
            <color indexed="81"/>
            <rFont val="Tahoma"/>
            <family val="2"/>
          </rPr>
          <t xml:space="preserve">
Company guided $750 Mn total deferred taxes due to bonus depreciation in 2011 rougly half and half between power and PSE&amp;G</t>
        </r>
      </text>
    </comment>
    <comment ref="BB191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2016 analyst day: $1.2b benefit from bonus depreciation
Assumes 16% of $1.2b bonus depreciation from 2018 spend (see row 275)</t>
        </r>
      </text>
    </comment>
    <comment ref="BG191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2016 analyst day: $1.2b benefit from bonus depreciation
Assumes 12% of $1.2b bonus depreciation from 2019 spend (see row 275)</t>
        </r>
      </text>
    </comment>
    <comment ref="AH256" authorId="10">
      <text>
        <r>
          <rPr>
            <b/>
            <sz val="9"/>
            <color indexed="81"/>
            <rFont val="Tahoma"/>
            <family val="2"/>
          </rPr>
          <t>DA:</t>
        </r>
        <r>
          <rPr>
            <sz val="9"/>
            <color indexed="81"/>
            <rFont val="Tahoma"/>
            <family val="2"/>
          </rPr>
          <t xml:space="preserve">
adjustment to hit guidance</t>
        </r>
      </text>
    </comment>
    <comment ref="AM256" authorId="10">
      <text>
        <r>
          <rPr>
            <b/>
            <sz val="9"/>
            <color indexed="81"/>
            <rFont val="Tahoma"/>
            <family val="2"/>
          </rPr>
          <t>RL:</t>
        </r>
        <r>
          <rPr>
            <sz val="9"/>
            <color indexed="81"/>
            <rFont val="Tahoma"/>
            <family val="2"/>
          </rPr>
          <t xml:space="preserve">
adjustment to hit guidance</t>
        </r>
      </text>
    </comment>
    <comment ref="AR256" authorId="10">
      <text>
        <r>
          <rPr>
            <b/>
            <sz val="9"/>
            <color indexed="81"/>
            <rFont val="Tahoma"/>
            <family val="2"/>
          </rPr>
          <t>RL:</t>
        </r>
        <r>
          <rPr>
            <sz val="9"/>
            <color indexed="81"/>
            <rFont val="Tahoma"/>
            <family val="2"/>
          </rPr>
          <t xml:space="preserve">
adjustment to hit guidance</t>
        </r>
      </text>
    </comment>
    <comment ref="AW256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Adjustment to meet guidance</t>
        </r>
      </text>
    </comment>
    <comment ref="BB256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Adjustment to meet guidance</t>
        </r>
      </text>
    </comment>
    <comment ref="AH257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2015 analyst day: $11.4b</t>
        </r>
      </text>
    </comment>
    <comment ref="BT261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2015 analyst day: 10%</t>
        </r>
      </text>
    </comment>
    <comment ref="AM262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2016 analyst day: $13.4b ($5.7b transmission, $7.7b distribution)</t>
        </r>
      </text>
    </comment>
    <comment ref="AR262" authorId="3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♦2017 analyst day slide #91
6.7B transmission + 8.5B distribution</t>
        </r>
      </text>
    </comment>
    <comment ref="AW262" authorId="3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2/26/18 Presentation, slide 10</t>
        </r>
      </text>
    </comment>
    <comment ref="BB262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2016 analyst day: $17.7b ($8.4b transmission, $9.3b distribution)
♦Updated on 2017 analyst day, assumed 7% CAGR 2016-2021 =17,400</t>
        </r>
      </text>
    </comment>
    <comment ref="BG263" authorId="3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♦2017 analyst day slide #91
9.2B transmission + 10.4B distribution</t>
        </r>
      </text>
    </comment>
    <comment ref="AW269" authorId="4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2015 Analyst Day Guidance</t>
        </r>
      </text>
    </comment>
    <comment ref="BB269" authorId="4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assumes new distribution ROE of 9.75%</t>
        </r>
      </text>
    </comment>
    <comment ref="BG269" authorId="4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2015 Analyst Day Guidance</t>
        </r>
      </text>
    </comment>
  </commentList>
</comments>
</file>

<file path=xl/comments5.xml><?xml version="1.0" encoding="utf-8"?>
<comments xmlns="http://schemas.openxmlformats.org/spreadsheetml/2006/main">
  <authors>
    <author>shahviv</author>
    <author>McDermott, Devin (Research)</author>
    <author>Ellison, Ethan C (Research)</author>
    <author>sunilt</author>
    <author>jasoriya</author>
    <author>$</author>
    <author>Kapoor, Vishal (Research)</author>
    <author>Kobus, Jim (Research)</author>
    <author>Arcaro, David (Research)</author>
    <author>RL</author>
    <author>rajeevl</author>
    <author>mcderdev</author>
    <author>Tammannavar, Sunil (Research)</author>
  </authors>
  <commentList>
    <comment ref="C18" authorId="0">
      <text>
        <r>
          <rPr>
            <sz val="8"/>
            <color indexed="81"/>
            <rFont val="Tahoma"/>
            <family val="2"/>
          </rPr>
          <t xml:space="preserve">Includes impairment of goodwill
</t>
        </r>
      </text>
    </comment>
    <comment ref="AX18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assumes return to ~$50m annually</t>
        </r>
      </text>
    </comment>
    <comment ref="AY18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assumes return to ~$50m annually</t>
        </r>
      </text>
    </comment>
    <comment ref="AZ18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assumes return to ~$50m annually</t>
        </r>
      </text>
    </comment>
    <comment ref="BA18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assumes return to ~$50m annually</t>
        </r>
      </text>
    </comment>
    <comment ref="AX23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Adjusts for interest during construction credit</t>
        </r>
      </text>
    </comment>
    <comment ref="BB23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The IDC credit should decline in 2018 from 2017 levels as Keys and Sewaren enter commercial operation. Expect to see a further decline in 2019 as Bridgeport Harbor enters service and full year impact of Keys and Sewaren. </t>
        </r>
      </text>
    </comment>
    <comment ref="BG23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Adjustment to account for interest during construction credit
•Returning to ~2015 levels</t>
        </r>
      </text>
    </comment>
    <comment ref="V34" authorId="3">
      <text>
        <r>
          <rPr>
            <sz val="8"/>
            <color indexed="81"/>
            <rFont val="Tahoma"/>
            <family val="2"/>
          </rPr>
          <t>$40m : Gain (Loss) on Nuclear Decommissioning Trust.
$76m : Gain (Loss) on Mark-to-Market.</t>
        </r>
      </text>
    </comment>
    <comment ref="X34" authorId="3">
      <text>
        <r>
          <rPr>
            <sz val="8"/>
            <color indexed="81"/>
            <rFont val="Tahoma"/>
            <family val="2"/>
          </rPr>
          <t>$52m : Gain (Loss) on Nuclear Decommissioning Trust.
$10m : Gain (Loss) on Mark-to-Market.
$39m : Storm O&amp;M 
Source : 8-K of 4Q12, Attachment 12</t>
        </r>
      </text>
    </comment>
    <comment ref="Y34" authorId="3">
      <text>
        <r>
          <rPr>
            <sz val="8"/>
            <color indexed="81"/>
            <rFont val="Tahoma"/>
            <family val="2"/>
          </rPr>
          <t>$9m : Gain (Loss) on Nuclear Decommissioning Trust.
$109m : Gain (Loss) on Mark-to-Market.
$17m : Storm O&amp;M 
Source : 8-K of 1Q13, Attachment 10</t>
        </r>
      </text>
    </comment>
    <comment ref="Z34" authorId="3">
      <text>
        <r>
          <rPr>
            <sz val="8"/>
            <color indexed="81"/>
            <rFont val="Tahoma"/>
            <family val="2"/>
          </rPr>
          <t>$8m : Gain (Loss) on Nuclear Decommissioning Trust.
$80m : Gain (Loss) on Mark-to-Market.
$2m : Storm O&amp;M 
Source : 8-K of 2Q13, Attachment 12</t>
        </r>
      </text>
    </comment>
    <comment ref="AA34" authorId="3">
      <text>
        <r>
          <rPr>
            <sz val="8"/>
            <color indexed="81"/>
            <rFont val="Tahoma"/>
            <family val="2"/>
          </rPr>
          <t>$12m : Gain (Loss) on Nuclear Decommissioning Trust.
$3m : Gain (Loss) on Mark-to-Market.
$10m : Storm O&amp;M, net of insurance recoveries 
Source : 8-K of 3Q13, Attachment 12</t>
        </r>
      </text>
    </comment>
    <comment ref="AC34" authorId="3">
      <text>
        <r>
          <rPr>
            <sz val="8"/>
            <color indexed="81"/>
            <rFont val="Tahoma"/>
            <family val="2"/>
          </rPr>
          <t>$40m : Gain (Loss) on Nuclear Decommissioning Trust.
$74m : Gain (Loss) on Mark-to-Market.
$32m : Storm O&amp;M 
Source : 8-K of 4Q13, Attachment 12</t>
        </r>
      </text>
    </comment>
    <comment ref="AD34" authorId="4">
      <text>
        <r>
          <rPr>
            <sz val="8"/>
            <color indexed="81"/>
            <rFont val="Tahoma"/>
            <family val="2"/>
          </rPr>
          <t>($9) : Gain (Loss) on Nuclear Decommissioning Trust (NDT) Fund Related Activity
$132: Gain (Loss) on Mark-to-Market (MTM)
$6 : Storm O&amp;M, net of insurance recoveries</t>
        </r>
      </text>
    </comment>
    <comment ref="AE34" authorId="4">
      <text>
        <r>
          <rPr>
            <sz val="8"/>
            <color indexed="81"/>
            <rFont val="Tahoma"/>
            <family val="2"/>
          </rPr>
          <t>($14) : Gain (Loss) on Nuclear Decommissioning Trust (NDT) Fund Related Activity
$42: Gain (Loss) on Mark-to-Market (MTM)
$5 : Storm O&amp;M, net of insurance recoveries</t>
        </r>
      </text>
    </comment>
    <comment ref="AF34" authorId="3">
      <text>
        <r>
          <rPr>
            <sz val="8"/>
            <color indexed="81"/>
            <rFont val="Tahoma"/>
            <family val="2"/>
          </rPr>
          <t>$17m : Gain (Loss) on Nuclear Decommissioning Trust.
$36m : Gain (Loss) on Mark-to-Market.
$2m : Storm O&amp;M, net of insurance recoveries 
Source : 8-K of 3Q14, Attachment 12</t>
        </r>
      </text>
    </comment>
    <comment ref="AH34" authorId="3">
      <text>
        <r>
          <rPr>
            <sz val="8"/>
            <color indexed="81"/>
            <rFont val="Tahoma"/>
            <family val="2"/>
          </rPr>
          <t>$68m : Gain (Loss) on Nuclear Decommissioning Trust.
$66m : Gain (Loss) on Mark-to-Market.
$16m : Storm O&amp;M 
Source : 8-K of 4Q14, Attachment 12</t>
        </r>
      </text>
    </comment>
    <comment ref="AI34" authorId="3">
      <text>
        <r>
          <rPr>
            <sz val="8"/>
            <color indexed="81"/>
            <rFont val="Tahoma"/>
            <family val="2"/>
          </rPr>
          <t>$2m : Gain (Loss) on Nuclear Decommissioning Trust.
$20m : Gain (Loss) on Mark-to-Market.
$75m : Storm O&amp;M, net of insurance recoveries 
Source : 8-K of 1Q15, Attachment 10</t>
        </r>
      </text>
    </comment>
    <comment ref="AJ34" authorId="3">
      <text>
        <r>
          <rPr>
            <sz val="8"/>
            <color indexed="81"/>
            <rFont val="Tahoma"/>
            <family val="2"/>
          </rPr>
          <t>$1m : Gain (Loss) on Nuclear Decommissioning Trust.
$28m : Gain (Loss) on Mark-to-Market.
$27m : Storm O&amp;M, net of insurance recoveries 
Source : 8-K of 2Q15</t>
        </r>
      </text>
    </comment>
    <comment ref="AK34" authorId="3">
      <text>
        <r>
          <rPr>
            <sz val="8"/>
            <color indexed="81"/>
            <rFont val="Tahoma"/>
            <family val="2"/>
          </rPr>
          <t>$14m : Gain (Loss) on Nuclear Decommissioning Trust.
$50m : Gain (Loss) on Mark-to-Market.
Source : 8-K of 3Q15</t>
        </r>
      </text>
    </comment>
    <comment ref="AM34" authorId="5">
      <text>
        <r>
          <rPr>
            <sz val="9"/>
            <color indexed="81"/>
            <rFont val="Tahoma"/>
            <family val="2"/>
          </rPr>
          <t>$8m: Gain (Loss) on Nuclear Decommissioning Trust (NDT) Fund Related Activity
$93m: Gain (Loss) on Mark-to-Market
$102m: Storm O&amp;M, net of insurance recoveries
Source: 8K 4Q15 dated 02/19/16</t>
        </r>
      </text>
    </comment>
    <comment ref="AN34" authorId="3">
      <text>
        <r>
          <rPr>
            <sz val="8"/>
            <color indexed="81"/>
            <rFont val="Tahoma"/>
            <family val="2"/>
          </rPr>
          <t>$8m : Gain (Loss) on NDT Fund Related Activity, pre-tax
$22m : Gain (Loss) on MTM, pre-tax
$6m : Storm O&amp;M, net of insurance recoveries 
Source : 8-K of 1Q16, dated 04/29/16, Attachment 10</t>
        </r>
      </text>
    </comment>
    <comment ref="AO34" authorId="6">
      <text>
        <r>
          <rPr>
            <sz val="9"/>
            <color indexed="81"/>
            <rFont val="Tahoma"/>
            <family val="2"/>
          </rPr>
          <t>$69m :Income Taxes related to Operating Earnings reconciling items
$171m : Gain (Loss) on Mark-to-Market.
Source : 8-K of 2Q16, dated 07/29/16, Attachment 12</t>
        </r>
      </text>
    </comment>
    <comment ref="AP34" authorId="6">
      <text>
        <r>
          <rPr>
            <sz val="9"/>
            <color indexed="81"/>
            <rFont val="Tahoma"/>
            <family val="2"/>
          </rPr>
          <t>$4m :(Gain) Loss on Nuclear Decommissioning Trust (NDT)
$58m : Gain (Loss) on Mark-to-Market.
$114m : Hudson/Mercer Early Retirement
$21m : Income Taxes related to Operating Earnings 
Source : 8-K of 3Q16, dated 10/23116, Attachment 11</t>
        </r>
      </text>
    </comment>
    <comment ref="AR34" authorId="5">
      <text>
        <r>
          <rPr>
            <sz val="9"/>
            <color indexed="81"/>
            <rFont val="Tahoma"/>
            <family val="2"/>
          </rPr>
          <t>$5m: Gain (Loss) on Nuclear Decommissioning Trust (NDT) Fund Related Activity
$168m: Gain (Loss) on Mark-to-Market
$669m : Hudson/Mercer Early Retirement
$336m : Income Taxes related to Operating Earnings
Source: 8K 4Q16 dated 02/24/17</t>
        </r>
      </text>
    </comment>
    <comment ref="AS34" authorId="3">
      <text>
        <r>
          <rPr>
            <sz val="8"/>
            <color indexed="81"/>
            <rFont val="Tahoma"/>
            <family val="2"/>
          </rPr>
          <t>$17m : (Gain) Loss on NDT Fund Related Activity, pre-tax
$10m : (Gain) Loss on Mark-to-Market (MTM), pre-tax
$564m: Hudson/Mercer Early Retirement, pre-tax
$217m: Income Taxes related to Operating Earnings (non-GAAP) reconciling items
Source : 8-K of 1Q17, dated 04/28/17</t>
        </r>
      </text>
    </comment>
    <comment ref="AT34" authorId="3">
      <text>
        <r>
          <rPr>
            <sz val="8"/>
            <color indexed="81"/>
            <rFont val="Tahoma"/>
            <family val="2"/>
          </rPr>
          <t>$30m : (Gain) Loss on NDT Fund Related Activity, pre-tax
$36m : (Gain) Loss on Mark-to-Market (MTM), pre-tax
$387m: Hudson/Mercer Early Retirement, pre-tax
$127m: Income Taxes related to Operating Earnings (non-GAAP) reconciling items
Source : 8-K of 2Q17, dated 07/28/17</t>
        </r>
      </text>
    </comment>
    <comment ref="AU34" authorId="3">
      <text>
        <r>
          <rPr>
            <sz val="8"/>
            <color indexed="81"/>
            <rFont val="Tahoma"/>
            <family val="2"/>
          </rPr>
          <t>$22m : (Gain) Loss on Nuclear Decommissioning Trust (NDT) Fund Related Activity, pre-tax
$46m : (Gain) Loss on Mark-to-Market (MTM), pre-tax
$9m: Hudson/Mercer Early Retirement, pre-tax
$11m: Income Taxes related to Operating Earnings (non-GAAP) reconciling items
Source : 8-K of 3Q17, dated 10/31/17</t>
        </r>
      </text>
    </comment>
    <comment ref="AW34" authorId="5">
      <text>
        <r>
          <rPr>
            <sz val="9"/>
            <color indexed="81"/>
            <rFont val="Tahoma"/>
            <family val="2"/>
          </rPr>
          <t>$133m: Gain (Loss) on Nuclear Decommissioning Trust (NDT) Fund Related Activity
$167m: Gain (Loss) on Mark-to-Market
$975m : Hudson/Mercer Early Retirement
$395m : Income Taxes related to Operating Earnings
$588m : Tax Reform
Source: 8K 4Q16 dated 02/24/17</t>
        </r>
      </text>
    </comment>
    <comment ref="BB35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$485 - $560</t>
        </r>
      </text>
    </comment>
    <comment ref="C47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Adjustments made on market prices tab</t>
        </r>
      </text>
    </comment>
    <comment ref="AD109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recent OTC prices</t>
        </r>
      </text>
    </comment>
    <comment ref="AI109" authorId="7">
      <text>
        <r>
          <rPr>
            <b/>
            <sz val="9"/>
            <color indexed="81"/>
            <rFont val="Tahoma"/>
            <family val="2"/>
          </rPr>
          <t>Kobus, Jim (Research):</t>
        </r>
        <r>
          <rPr>
            <sz val="9"/>
            <color indexed="81"/>
            <rFont val="Tahoma"/>
            <family val="2"/>
          </rPr>
          <t xml:space="preserve">
recent spot pricing</t>
        </r>
      </text>
    </comment>
    <comment ref="AR154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BAML conference slides: $542m</t>
        </r>
      </text>
    </comment>
    <comment ref="AW154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BAML conference slides: $555m</t>
        </r>
      </text>
    </comment>
    <comment ref="BB154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BAML conference slides: $631m</t>
        </r>
      </text>
    </comment>
    <comment ref="BJ156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7-year lock-in, assumed 1% inflation escalator</t>
        </r>
      </text>
    </comment>
    <comment ref="BO156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7-year lock-in, assumed 1% inflation escalator</t>
        </r>
      </text>
    </comment>
    <comment ref="AR191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We adjust to account for PS being about half of total</t>
        </r>
      </text>
    </comment>
    <comment ref="AW191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we adjust to acct for PS being about 1/2 of total capacity (versis PS North). Guidance for 8600 MW total cleared in the 2016/17 auction at a price af $166/MW-d. This would imply 4100 in PS/PS North and 4500 MW in MAAC. 2014 Analyst Day slide 92</t>
        </r>
      </text>
    </comment>
    <comment ref="BJ191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7,800 cleared MW at $174/MW-d average price</t>
        </r>
      </text>
    </comment>
    <comment ref="AZ192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All capacity except Keystone/Conemaugh/Keys</t>
        </r>
      </text>
    </comment>
    <comment ref="BJ192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7,800 cleared MW at $174/MW-d average price</t>
        </r>
      </text>
    </comment>
    <comment ref="AR193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We adjust to account for PS being about half of total</t>
        </r>
      </text>
    </comment>
    <comment ref="AU193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1.1GW adjustment to tie to company guidance of 8700MW</t>
        </r>
      </text>
    </comment>
    <comment ref="AV193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1.1GW adjustment to tie to company guidance of 8700MW</t>
        </r>
      </text>
    </comment>
    <comment ref="AW193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1.1GW adjustment to tie to company guidance of 8700MW</t>
        </r>
      </text>
    </comment>
    <comment ref="AX193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1.1GW adjustment to tie to company guidance of 8700MW</t>
        </r>
      </text>
    </comment>
    <comment ref="AZ193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we assume 95% clearance for Key/Con &amp; Keys</t>
        </r>
      </text>
    </comment>
    <comment ref="BJ193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7,800 cleared MW at $174/MW-d average price</t>
        </r>
      </text>
    </comment>
    <comment ref="BS193" authorId="9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per IR actual clearing is less than total MWs. we assume this portion of capacity clears going fwd.</t>
        </r>
      </text>
    </comment>
    <comment ref="BT193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set to match company guidance</t>
        </r>
      </text>
    </comment>
    <comment ref="BG195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Bridgeport project reflected above in row 157</t>
        </r>
      </text>
    </comment>
    <comment ref="CY198" authorId="1">
      <text>
        <r>
          <rPr>
            <b/>
            <sz val="9"/>
            <color indexed="81"/>
            <rFont val="Tahoma"/>
            <family val="2"/>
          </rPr>
          <t xml:space="preserve">Ellison, Ethan
</t>
        </r>
        <r>
          <rPr>
            <sz val="9"/>
            <color indexed="81"/>
            <rFont val="Tahoma"/>
            <family val="2"/>
          </rPr>
          <t>Document described below was not provided this year: http://bgs-auction.com/bgs.dataroom.occ.asp
Assume load factor is the same</t>
        </r>
      </text>
    </comment>
    <comment ref="CO199" authorId="8">
      <text>
        <r>
          <rPr>
            <b/>
            <sz val="9"/>
            <color indexed="81"/>
            <rFont val="Tahoma"/>
            <family val="2"/>
          </rPr>
          <t>Ellison, Ethan (Research):</t>
        </r>
        <r>
          <rPr>
            <sz val="9"/>
            <color indexed="81"/>
            <rFont val="Tahoma"/>
            <family val="2"/>
          </rPr>
          <t xml:space="preserve">
weighted average of mid-2018 to mid-2021 forward ATC prices from MS Price deck, as of 1/30/18</t>
        </r>
      </text>
    </comment>
    <comment ref="DC199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Pulled as of 2/1/18</t>
        </r>
      </text>
    </comment>
    <comment ref="AW200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3Q17 Presentation pg.23</t>
        </r>
      </text>
    </comment>
    <comment ref="BB200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3Q17 Presentation pg.23</t>
        </r>
      </text>
    </comment>
    <comment ref="CI200" authorId="10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PJM West</t>
        </r>
      </text>
    </comment>
    <comment ref="CQ200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Source: http://bgs-auction.com/bgs.dataroom.occ.asp
Retail Rates section
BGS-RSCP Pricing Factors - PSE&amp;G Excel file</t>
        </r>
      </text>
    </comment>
    <comment ref="BB201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3Q17 Presentation pg.23</t>
        </r>
      </text>
    </comment>
    <comment ref="CO201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Backs out the tax reform impact, $148m of tax savings with lower corporate rate, spread across total MWh for BGS is ~$6/MWh</t>
        </r>
      </text>
    </comment>
    <comment ref="CQ201" authorId="8">
      <text>
        <r>
          <rPr>
            <b/>
            <sz val="9"/>
            <color indexed="81"/>
            <rFont val="Tahoma"/>
            <family val="2"/>
          </rPr>
          <t>Ellison, Ethan (Research):</t>
        </r>
        <r>
          <rPr>
            <sz val="9"/>
            <color indexed="81"/>
            <rFont val="Tahoma"/>
            <family val="2"/>
          </rPr>
          <t xml:space="preserve">
Source: http://bgs-auction.com/bgs.press.annc.item.asp?anncId=618
"Announcement: Rates for Firm Transmission Service"
$277.25/MW-day</t>
        </r>
      </text>
    </comment>
    <comment ref="CO202" authorId="8">
      <text>
        <r>
          <rPr>
            <b/>
            <sz val="9"/>
            <color indexed="81"/>
            <rFont val="Tahoma"/>
            <family val="2"/>
          </rPr>
          <t>EE:</t>
        </r>
        <r>
          <rPr>
            <sz val="9"/>
            <color indexed="81"/>
            <rFont val="Tahoma"/>
            <family val="2"/>
          </rPr>
          <t xml:space="preserve">
Source: https://www.pseg.com/family/pseandg/tariffs/electric/index.jsp
File: "Current Electric Tariff (B.P.U.N.J. No. 15) as of January 1, 2018"
For historical files, look under "Prior Tariffs for Electric Service"
EE and renewable programs + Green Program + Solar Pilot total roughly flat versus the 2017 level
2018: $1.073/MWh Green Program, $0.073/MWh Solar Pilot, $2.849/MWh EE
2017: $1.15/MWh Green Program, $0.07/MWh Solar Pilot, $2.85/MWh  EE
2016: $1.337/MWh Green Program, $0.04/MWh Solar Pilot, $2.849/MWh EE
2015: $2.665/MWh Green Program, $0.454/MWh Solar Pilot, $3.047/MWh EE
</t>
        </r>
        <r>
          <rPr>
            <b/>
            <sz val="9"/>
            <color indexed="81"/>
            <rFont val="Tahoma"/>
            <family val="2"/>
          </rPr>
          <t>Assumed $1.50 effective hedged price</t>
        </r>
      </text>
    </comment>
    <comment ref="AO203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Assume hedges shaped for Salem 1 outage</t>
        </r>
      </text>
    </comment>
    <comment ref="CO203" authorId="8">
      <text>
        <r>
          <rPr>
            <b/>
            <sz val="9"/>
            <color indexed="81"/>
            <rFont val="Tahoma"/>
            <family val="2"/>
          </rPr>
          <t>Ellison, Ethan (Research):</t>
        </r>
        <r>
          <rPr>
            <sz val="9"/>
            <color indexed="81"/>
            <rFont val="Tahoma"/>
            <family val="2"/>
          </rPr>
          <t xml:space="preserve">
Average weighted '18-'21 ATC forwards
PS less PJMW
Source: SNL
buildup to the right</t>
        </r>
      </text>
    </comment>
    <comment ref="AI204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1Q15 earnings presentation: 30-35% of 17TWh (5.525) hedged for rest of 2015 
Subtracted 5.525 from original 2015 hedge of 40-45% of 21TWh</t>
        </r>
      </text>
    </comment>
    <comment ref="AJ204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1Q hedge volume for rest of year, less 2Q hedge volume for rest of year</t>
        </r>
      </text>
    </comment>
    <comment ref="AK204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shaping to account for seasonal volume variability</t>
        </r>
      </text>
    </comment>
    <comment ref="AN204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Held at levels reflected in March 2016 Investor Conference</t>
        </r>
      </text>
    </comment>
    <comment ref="CO204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Average of prior auctions</t>
        </r>
      </text>
    </comment>
    <comment ref="BU205" authorId="10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This reflects ($/mwh):
PJM West Price
Basis for east
Load Shaping
Risk Premium</t>
        </r>
      </text>
    </comment>
    <comment ref="AI206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Shaping to account for seasonal price variability</t>
        </r>
      </text>
    </comment>
    <comment ref="AN206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Adjusted to match actual gross margin</t>
        </r>
      </text>
    </comment>
    <comment ref="AX206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Adjusted to reflect historic shaping of gross margin, average price remains the same</t>
        </r>
      </text>
    </comment>
    <comment ref="AN207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Adjusted to match actual gross margin</t>
        </r>
      </text>
    </comment>
    <comment ref="BU208" authorId="10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this includes basis versus PJMW</t>
        </r>
      </text>
    </comment>
    <comment ref="CX209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RCR-0005
Docket No(s): ER16040337
8/8/2016
Under "Miscellaneous" on the BGS site: http://bgs-auction.com/bgs.dataroom.occ.asp
BGS Data Discovery Responses</t>
        </r>
      </text>
    </comment>
    <comment ref="CO210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Average of 2017-2020 forward ATC prices</t>
        </r>
      </text>
    </comment>
    <comment ref="CQ211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Source: http://bgs-auction.com/bgs.dataroom.occ.asp
Retail Rates section
BGS-RSCP Pricing Factors - PSE&amp;G Excel file</t>
        </r>
      </text>
    </comment>
    <comment ref="BB212" authorId="9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$9 BGS margin and 11twh</t>
        </r>
      </text>
    </comment>
    <comment ref="CQ212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Source: http://bgs-auction.com/bgs.press.annc.item.asp?anncId=561
"Announcement: Rates for Firm Transmission Service"
$249.93/MW-day</t>
        </r>
      </text>
    </comment>
    <comment ref="CO213" authorId="8">
      <text>
        <r>
          <rPr>
            <b/>
            <sz val="9"/>
            <color indexed="81"/>
            <rFont val="Tahoma"/>
            <family val="2"/>
          </rPr>
          <t>DM:</t>
        </r>
        <r>
          <rPr>
            <sz val="9"/>
            <color indexed="81"/>
            <rFont val="Tahoma"/>
            <family val="2"/>
          </rPr>
          <t xml:space="preserve">
Source: https://www.pseg.com/family/pseandg/tariffs/electric/index.jsp
File: "Current Electric Tariff (B.P.U.N.J. No. 15) as of February 1, 2017"
For historical files, look under "Prior Tariffs for Electric Service"
EE and renewable programs + Green Program + Solar Pilot total roughly flat versus the 2016 level
2017: $1.15/MWh Green Program, $0.07/MWh Solar Pilot, $2.85/MWh  EE
2016: $1.337/MWh Green Program, $0.04/MWh Solar Pilot, $2.849/MWh EE
2015: $2.665/MWh Green Program, $0.454/MWh Solar Pilot, $3.047/MWh EE
Assumed $1.50 effective hedged price</t>
        </r>
      </text>
    </comment>
    <comment ref="CG214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From PJM website: Markets &amp; Operations: Capacity Market (RPM): 2020/2021: Base Residual Auction: Results: PS Resource Clearing Price</t>
        </r>
      </text>
    </comment>
    <comment ref="CO214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PS vs. PJMW
Source: SNL</t>
        </r>
      </text>
    </comment>
    <comment ref="CD221" authorId="9">
      <text>
        <r>
          <rPr>
            <b/>
            <sz val="8"/>
            <color indexed="81"/>
            <rFont val="Tahoma"/>
            <family val="2"/>
          </rPr>
          <t>DA:</t>
        </r>
        <r>
          <rPr>
            <sz val="8"/>
            <color indexed="81"/>
            <rFont val="Tahoma"/>
            <family val="2"/>
          </rPr>
          <t xml:space="preserve">
75% of the 11.5twh</t>
        </r>
      </text>
    </comment>
    <comment ref="CE221" authorId="9">
      <text>
        <r>
          <rPr>
            <b/>
            <sz val="8"/>
            <color indexed="81"/>
            <rFont val="Tahoma"/>
            <family val="2"/>
          </rPr>
          <t>DA:</t>
        </r>
        <r>
          <rPr>
            <sz val="8"/>
            <color indexed="81"/>
            <rFont val="Tahoma"/>
            <family val="2"/>
          </rPr>
          <t xml:space="preserve">
50% of the 11.5twh</t>
        </r>
      </text>
    </comment>
    <comment ref="CO221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Average of 2016-2019 forward ATC prices</t>
        </r>
      </text>
    </comment>
    <comment ref="CQ222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Source: http://bgs-auction.com/bgs.dataroom.occ.asp
Retail Rates section
BGS-RSCP Pricing Factors - PSE&amp;G Excel file</t>
        </r>
      </text>
    </comment>
    <comment ref="C223" authorId="11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Z6 gas price</t>
        </r>
      </text>
    </comment>
    <comment ref="CQ223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Source: http://www.bgs-auction.com/bgs.auction.bpu.asp
"New Jersey Board of Public Utilities Links and Documents"
File: Amended Transmission Enhancement Charge Filing: PSE&amp;G (February 3, 2016) </t>
        </r>
      </text>
    </comment>
    <comment ref="CB224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3Q17 Presentation pg.23</t>
        </r>
      </text>
    </comment>
    <comment ref="CC224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4Q17 Presentation pg.26</t>
        </r>
      </text>
    </comment>
    <comment ref="CD224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4Q17 Presentation pg.26</t>
        </r>
      </text>
    </comment>
    <comment ref="CE224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4Q17 Presentation pg.26</t>
        </r>
      </text>
    </comment>
    <comment ref="CO224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Source: https://www.pseg.com/family/pseandg/tariffs/electric/index.jsp
File: "Current Electric Tariff (B.P.U.N.J. No. 15) as of February 1, 2016"
For historical files, look under "Prior Tariffs for Electric Service"
EE and renewable programs + Green Program + Solar Pilot total down $2 vs. the 2015 level, so we use $3.50 -$2.00 
2016: $1.337/MWh Green Program, $0.04/MWh Solar Pilot, $2.849/MWh
2015: $2.665/MWh Green Program, $0.454/MWh Solar Pilot, $3.047/MWh
</t>
        </r>
      </text>
    </comment>
    <comment ref="AF225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63 MW uprate at Linden</t>
        </r>
      </text>
    </comment>
    <comment ref="AK225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31 MW uprate at Bergen</t>
        </r>
      </text>
    </comment>
    <comment ref="AZ225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540 MW Sewaren 7</t>
        </r>
      </text>
    </comment>
    <comment ref="CO225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PS vs. PJMW
Source: SNL</t>
        </r>
      </text>
    </comment>
    <comment ref="BU226" authorId="10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Company hedges at PJM West. We need to add basis, which they are open to.</t>
        </r>
      </text>
    </comment>
    <comment ref="I230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lower off peak capacity factor due to location and higher cost of gas</t>
        </r>
      </text>
    </comment>
    <comment ref="CO232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based on PEG disclosure</t>
        </r>
      </text>
    </comment>
    <comment ref="CO235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assumed effective hedged price</t>
        </r>
      </text>
    </comment>
    <comment ref="AU245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Hudson and Mercer retirement June 2017</t>
        </r>
      </text>
    </comment>
    <comment ref="CO246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$0.454/MWh for solar pilot recovery charge. $2.665/MWh for other green programs
we assume a lower effective hedged price</t>
        </r>
      </text>
    </comment>
    <comment ref="AI247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Assumed higher CF to account for cold winter</t>
        </r>
      </text>
    </comment>
    <comment ref="AP257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♦Energy costs related to Mercer/Hudson retirement in June 2017
•Coal Inventory Lower of Cost or Market Adjustments and Capacity Penalties = $40 - 70m
•</t>
        </r>
        <r>
          <rPr>
            <b/>
            <sz val="9"/>
            <color indexed="81"/>
            <rFont val="Tahoma"/>
            <family val="2"/>
          </rPr>
          <t>Model midpoint at $55m</t>
        </r>
      </text>
    </comment>
    <comment ref="C262" authorId="11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Blended Z6/M3 gas price</t>
        </r>
      </text>
    </comment>
    <comment ref="AK264" authorId="9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assumed HEDD retirements</t>
        </r>
      </text>
    </comment>
    <comment ref="AP264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2016 analyst day: 14.5MW increase to Kearny in 2016</t>
        </r>
      </text>
    </comment>
    <comment ref="AZ264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retirement of older Sewaren units coincides with Sewaren 7 COD</t>
        </r>
      </text>
    </comment>
    <comment ref="AK278" authorId="9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assumed HEDD retirements</t>
        </r>
      </text>
    </comment>
    <comment ref="AH289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removal of waste storage fee</t>
        </r>
      </text>
    </comment>
    <comment ref="AW289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assumed</t>
        </r>
      </text>
    </comment>
    <comment ref="AP291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Peach Bottom uprate</t>
        </r>
      </text>
    </comment>
    <comment ref="AG293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Salem 1 refueling outage</t>
        </r>
      </text>
    </comment>
    <comment ref="AJ293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Analyst day: Hope Creek refueling outage Spring 2015
Set to hit 2Q15 actual output of 7,129GWh</t>
        </r>
      </text>
    </comment>
    <comment ref="AL293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Analyst day: Salem Unit 2 and Peach Bottom unit 3 refueling  outage </t>
        </r>
      </text>
    </comment>
    <comment ref="AO293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Adjusted to add 2 months extra downtime for Salem 1 refueling outage plus repairs (1Q16 earnings transcript)</t>
        </r>
      </text>
    </comment>
    <comment ref="AT293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Salem 2refueling outage plus repairs (1Q17 earnings transcript)</t>
        </r>
      </text>
    </comment>
    <comment ref="I302" authorId="10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Fuel cost is a multiple of off-peak, which includes some losses</t>
        </r>
      </text>
    </comment>
    <comment ref="AI320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Assumed higher CF to account for cold winter</t>
        </r>
      </text>
    </comment>
    <comment ref="AO320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Adjusted due to low gas prices</t>
        </r>
      </text>
    </comment>
    <comment ref="AI359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Assumed higher CF due to cold winter</t>
        </r>
      </text>
    </comment>
    <comment ref="BD371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2016 analyst day: Plant in service 6/2019</t>
        </r>
      </text>
    </comment>
    <comment ref="AI389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gas price adjustement to account for Dominion access</t>
        </r>
      </text>
    </comment>
    <comment ref="AN389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gas price adjustement to account for Dominion access</t>
        </r>
      </text>
    </comment>
    <comment ref="AQ389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gas price adjustement to account for Dominion access</t>
        </r>
      </text>
    </comment>
    <comment ref="AS389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gas price adjustement to account for Dominion access</t>
        </r>
      </text>
    </comment>
    <comment ref="AU389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2016 analyst day: Heat rate improvement for AGP uprate</t>
        </r>
      </text>
    </comment>
    <comment ref="AV389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gas price adjustement to account for Dominion access</t>
        </r>
      </text>
    </comment>
    <comment ref="AX389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gas price adjustement to account for Dominion access</t>
        </r>
      </text>
    </comment>
    <comment ref="BA389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gas price adjustement to account for Dominion access</t>
        </r>
      </text>
    </comment>
    <comment ref="BC389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gas price adjustement to account for Dominion access</t>
        </r>
      </text>
    </comment>
    <comment ref="BF389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gas price adjustement to account for Dominion access</t>
        </r>
      </text>
    </comment>
    <comment ref="BH389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gas price adjustement to account for Dominion access</t>
        </r>
      </text>
    </comment>
    <comment ref="BK389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gas price adjustement to account for Dominion access</t>
        </r>
      </text>
    </comment>
    <comment ref="BM389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gas price adjustement to account for Dominion access</t>
        </r>
      </text>
    </comment>
    <comment ref="BP389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gas price adjustement to account for Dominion access</t>
        </r>
      </text>
    </comment>
    <comment ref="AU391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2016 analyst day: 58MW AGP uprate</t>
        </r>
      </text>
    </comment>
    <comment ref="AX409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Assume no premium to HH due to Dominion gas supply</t>
        </r>
      </text>
    </comment>
    <comment ref="AY411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Planned 2Q18 in-service date</t>
        </r>
      </text>
    </comment>
    <comment ref="AH431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We include solar as part of Parent prior to 2015</t>
        </r>
      </text>
    </comment>
    <comment ref="AM431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2015 10-K: 148MWdc
2016 analyst day: 77% conversion to AC (slide 56)</t>
        </r>
      </text>
    </comment>
    <comment ref="AM432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Assumes $2.75/W capital cost</t>
        </r>
      </text>
    </comment>
    <comment ref="AR432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Assumes $2.30/W capital cost (from 2016 analyst day slide 56)</t>
        </r>
      </text>
    </comment>
    <comment ref="W456" authorId="3">
      <text>
        <r>
          <rPr>
            <sz val="8"/>
            <color indexed="81"/>
            <rFont val="Tahoma"/>
            <family val="2"/>
          </rPr>
          <t>Adjusted for Storm O&amp;M:
$85m : Costs related to Superstorm Sandy
$19m : Offset of a pending future recovery of insurance proceeds
Source: 10-K of FY12 , page no. 44</t>
        </r>
      </text>
    </comment>
    <comment ref="Y456" authorId="3">
      <text>
        <r>
          <rPr>
            <sz val="8"/>
            <color indexed="81"/>
            <rFont val="Tahoma"/>
            <family val="2"/>
          </rPr>
          <t>Adjusted for Storm O&amp;M:
$28m : Costs related to Superstorm Sandy
Source: 10-Q of 1Q13 , page no. 33</t>
        </r>
      </text>
    </comment>
    <comment ref="Z456" authorId="3">
      <text>
        <r>
          <rPr>
            <sz val="8"/>
            <color indexed="81"/>
            <rFont val="Tahoma"/>
            <family val="2"/>
          </rPr>
          <t>Adjusted for Storm O&amp;M:
$22m : Costs related to Superstorm Sandy
$25m : Offset by insurance proceeds
Source: 10-Q of 2Q13 , page no. 34</t>
        </r>
      </text>
    </comment>
    <comment ref="AA456" authorId="3">
      <text>
        <r>
          <rPr>
            <sz val="8"/>
            <color indexed="81"/>
            <rFont val="Tahoma"/>
            <family val="2"/>
          </rPr>
          <t>Adjusted for Storm O&amp;M:
$28m : Costs related to Superstorm Sandy
Source: 10-Q of 2Q13 , page no. 34</t>
        </r>
      </text>
    </comment>
    <comment ref="AB456" authorId="3">
      <text>
        <r>
          <rPr>
            <sz val="8"/>
            <color indexed="81"/>
            <rFont val="Tahoma"/>
            <family val="2"/>
          </rPr>
          <t>Adjusted for Storm O&amp;M:
$85m : Costs related to Superstorm Sandy
$19m : Offset of a pending future recovery of insurance proceeds
Source: 10-K of FY12 , page no. 44</t>
        </r>
      </text>
    </comment>
    <comment ref="AD456" authorId="3">
      <text>
        <r>
          <rPr>
            <sz val="8"/>
            <color indexed="81"/>
            <rFont val="Tahoma"/>
            <family val="2"/>
          </rPr>
          <t>Adjusted for Storm O&amp;M:
$9m : Costs related to repairs at certain generating stations in Power's fossil fleet
Source: 10-Q of 1Q14 , page no. 34</t>
        </r>
      </text>
    </comment>
    <comment ref="AE456" authorId="3">
      <text>
        <r>
          <rPr>
            <sz val="8"/>
            <color indexed="81"/>
            <rFont val="Tahoma"/>
            <family val="2"/>
          </rPr>
          <t xml:space="preserve">Adjusted for Storm O&amp;M:
$10m :  Costs related to repairs at certain generating stations in Power's fossil fleet
Source: 10-Q of 2Q14 , page no. 34 </t>
        </r>
      </text>
    </comment>
    <comment ref="AF456" authorId="3">
      <text>
        <r>
          <rPr>
            <sz val="8"/>
            <color indexed="81"/>
            <rFont val="Tahoma"/>
            <family val="2"/>
          </rPr>
          <t xml:space="preserve">Adjusted for Storm O&amp;M:
$10m :  Costs related to repairs at certain generating stations in Power's fossil fleet
Source: 10-Q of 2Q14 , page no. 34 </t>
        </r>
      </text>
    </comment>
    <comment ref="AG456" authorId="3">
      <text>
        <r>
          <rPr>
            <sz val="8"/>
            <color indexed="81"/>
            <rFont val="Tahoma"/>
            <family val="2"/>
          </rPr>
          <t xml:space="preserve">Adjusted for Storm O&amp;M:
$10m :  Costs related to repairs at certain generating stations in Power's fossil fleet
Source: 10-K of FY14 , page no. 128 </t>
        </r>
      </text>
    </comment>
    <comment ref="AI456" authorId="3">
      <text>
        <r>
          <rPr>
            <sz val="8"/>
            <color indexed="81"/>
            <rFont val="Tahoma"/>
            <family val="2"/>
          </rPr>
          <t>Adjusted for Storm O&amp;M:
$128m : Insurance recovery related to Superstorm Sandy
Source: 10-Q of 1Q15 , page no. 64</t>
        </r>
      </text>
    </comment>
    <comment ref="AJ456" authorId="3">
      <text>
        <r>
          <rPr>
            <sz val="8"/>
            <color indexed="81"/>
            <rFont val="Tahoma"/>
            <family val="2"/>
          </rPr>
          <t>Adjusted for Storm O&amp;M:
$145m : Insurance recovery related to Superstorm Sandy(six month)
Source: 10-Q of 1Q15 , page no. 64</t>
        </r>
      </text>
    </comment>
    <comment ref="AY456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Keys online in May Sewaren online in June</t>
        </r>
      </text>
    </comment>
    <comment ref="AZ456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♦Back out $5m of Hudson/Mercer related closure expense, which hit the I/S in 3Q17</t>
        </r>
      </text>
    </comment>
    <comment ref="BD456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Bridgeport COD June-2019</t>
        </r>
      </text>
    </comment>
    <comment ref="BB457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Assumes $15/kW incremental O&amp;M for 755 MW Keys Energy Center and 540 MW Sewaren 7, equates to $20m incremental run rate, $10m for half year</t>
        </r>
      </text>
    </comment>
    <comment ref="BE457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Bridgeport harbor adjustment</t>
        </r>
      </text>
    </comment>
    <comment ref="BG457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Assumes $15/kW incremental O&amp;M for 485 MW Bridgeport (on top of assumed 1% increase), approx. $7.5m run rate</t>
        </r>
      </text>
    </comment>
    <comment ref="AS473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reflects Hudson and Mercer retirement impact</t>
        </r>
      </text>
    </comment>
    <comment ref="AT473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reflects Hudson and Mercer retirement impact</t>
        </r>
      </text>
    </comment>
    <comment ref="BB475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This entire capex column from pg. 66 of 2017 10K</t>
        </r>
      </text>
    </comment>
    <comment ref="BB480" authorId="12">
      <text>
        <r>
          <rPr>
            <sz val="9"/>
            <color indexed="81"/>
            <rFont val="Tahoma"/>
            <family val="2"/>
          </rPr>
          <t xml:space="preserve">Guidance: $16bn for 2016E -2020E
(to be invested in PSE&amp;G (82%) and Power (18%))
Source : 2Q17 Earnings presentation dated, 07/28/17 </t>
        </r>
      </text>
    </comment>
    <comment ref="BG480" authorId="12">
      <text>
        <r>
          <rPr>
            <sz val="9"/>
            <color indexed="81"/>
            <rFont val="Tahoma"/>
            <family val="2"/>
          </rPr>
          <t xml:space="preserve">Guidance: $16bn for 2016E -2020E
(to be invested in PSE&amp;G (82%) and Power (18%))
Source : 2Q17 Earnings presentation dated, 07/28/17 </t>
        </r>
      </text>
    </comment>
    <comment ref="BL480" authorId="12">
      <text>
        <r>
          <rPr>
            <sz val="9"/>
            <color indexed="81"/>
            <rFont val="Tahoma"/>
            <family val="2"/>
          </rPr>
          <t xml:space="preserve">Guidance: $16bn for 2016E -2020E
(to be invested in PSE&amp;G (82%) and Power (18%))
Source : 2Q17 Earnings presentation dated, 07/28/17 </t>
        </r>
      </text>
    </comment>
    <comment ref="BQ480" authorId="12">
      <text>
        <r>
          <rPr>
            <sz val="9"/>
            <color indexed="81"/>
            <rFont val="Tahoma"/>
            <family val="2"/>
          </rPr>
          <t xml:space="preserve">Guidance: $16bn for 2016E -2020E
(to be invested in PSE&amp;G (82%) and Power (18%))
Source : 2Q17 Earnings presentation dated, 07/28/17 </t>
        </r>
      </text>
    </comment>
    <comment ref="BB490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♦Bridgeport = 550m online 19</t>
        </r>
      </text>
    </comment>
    <comment ref="BB505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2016 analyst day: $500m benefit from bonus depreciation 
Assumes 24% of $500m bonus depreciation from 2017 spend (see row 565)
Solar tax benefit continues through 2017 as per IR (assumed $100m)</t>
        </r>
      </text>
    </comment>
    <comment ref="BG505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2016 analyst day: $500m benefit from bonus depreciation 
Assumes 15% of $500m bonus depreciation from 2018 spend (see row 565)
Assumes 6% of $500m bonus depreciation from 2019 spend (see row 565)</t>
        </r>
      </text>
    </comment>
  </commentList>
</comments>
</file>

<file path=xl/comments6.xml><?xml version="1.0" encoding="utf-8"?>
<comments xmlns="http://schemas.openxmlformats.org/spreadsheetml/2006/main">
  <authors>
    <author>McDermott, Devin (Research)</author>
    <author>shahviv</author>
    <author>Ellison, Ethan C (Research)</author>
  </authors>
  <commentList>
    <comment ref="AX8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LIPA contract includes inflation adjustments</t>
        </r>
      </text>
    </comment>
    <comment ref="C18" authorId="1">
      <text>
        <r>
          <rPr>
            <sz val="8"/>
            <color indexed="81"/>
            <rFont val="Tahoma"/>
            <family val="2"/>
          </rPr>
          <t xml:space="preserve">Includes impairment of goodwill 
</t>
        </r>
      </text>
    </comment>
    <comment ref="BB31" authorId="2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Guide to $35m</t>
        </r>
      </text>
    </comment>
  </commentList>
</comments>
</file>

<file path=xl/comments7.xml><?xml version="1.0" encoding="utf-8"?>
<comments xmlns="http://schemas.openxmlformats.org/spreadsheetml/2006/main">
  <authors>
    <author>Magajwala, Vatsal (Research)</author>
  </authors>
  <commentList>
    <comment ref="I22" authorId="0">
      <text>
        <r>
          <rPr>
            <sz val="9"/>
            <color indexed="81"/>
            <rFont val="Tahoma"/>
            <family val="2"/>
          </rPr>
          <t xml:space="preserve">1 month LIBOR+0.80%
</t>
        </r>
      </text>
    </comment>
    <comment ref="I28" authorId="0">
      <text>
        <r>
          <rPr>
            <sz val="9"/>
            <color indexed="81"/>
            <rFont val="Tahoma"/>
            <family val="2"/>
          </rPr>
          <t xml:space="preserve">1 month LIBOR+0.80%
</t>
        </r>
      </text>
    </comment>
  </commentList>
</comments>
</file>

<file path=xl/comments8.xml><?xml version="1.0" encoding="utf-8"?>
<comments xmlns="http://schemas.openxmlformats.org/spreadsheetml/2006/main">
  <authors>
    <author>McDermott, Devin (Research)</author>
    <author>RL</author>
    <author>mcderdev</author>
    <author>ramrama</author>
  </authors>
  <commentList>
    <comment ref="BY35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Assumption</t>
        </r>
      </text>
    </comment>
    <comment ref="BV58" authorId="1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This includes:
- TETCO M3
- TCO
- Lebanon</t>
        </r>
      </text>
    </comment>
    <comment ref="BV61" authorId="1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This includes:
- TETCO M3
- TCO
- Lebanon</t>
        </r>
      </text>
    </comment>
    <comment ref="BV64" authorId="1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This includes:
- TETCO M3
- TCO
- Lebanon</t>
        </r>
      </text>
    </comment>
    <comment ref="BY86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Assumption</t>
        </r>
      </text>
    </comment>
    <comment ref="BX119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we model IL separately</t>
        </r>
      </text>
    </comment>
    <comment ref="AG25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G258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C259" authorId="3">
      <text>
        <r>
          <rPr>
            <b/>
            <sz val="8"/>
            <color indexed="81"/>
            <rFont val="Tahoma"/>
            <family val="2"/>
          </rPr>
          <t>ramrama:</t>
        </r>
        <r>
          <rPr>
            <sz val="8"/>
            <color indexed="81"/>
            <rFont val="Tahoma"/>
            <family val="2"/>
          </rPr>
          <t xml:space="preserve">
Updated for 2015/2016 auction</t>
        </r>
      </text>
    </comment>
    <comment ref="AG259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C260" authorId="3">
      <text>
        <r>
          <rPr>
            <b/>
            <sz val="8"/>
            <color indexed="81"/>
            <rFont val="Tahoma"/>
            <family val="2"/>
          </rPr>
          <t>ramrama:</t>
        </r>
        <r>
          <rPr>
            <sz val="8"/>
            <color indexed="81"/>
            <rFont val="Tahoma"/>
            <family val="2"/>
          </rPr>
          <t xml:space="preserve">
Updated for 2015/2016 auction</t>
        </r>
      </text>
    </comment>
    <comment ref="AG260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G261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G262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G263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G264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G265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S26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ROS Winter 2012-13 Strip Auction Clearing Price</t>
        </r>
      </text>
    </comment>
    <comment ref="U26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ROS Summer 2013 Strip Auction Clearing Price</t>
        </r>
      </text>
    </comment>
    <comment ref="W26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Y26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AA26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AC26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S26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NYC Winter 2012-13 Strip Auction Clearing Price</t>
        </r>
      </text>
    </comment>
    <comment ref="U26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NYC Summer 2013 Strip Auction Clearing Price</t>
        </r>
      </text>
    </comment>
    <comment ref="W26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Y26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AA26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AC26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AC268" authorId="3">
      <text>
        <r>
          <rPr>
            <b/>
            <sz val="8"/>
            <color indexed="81"/>
            <rFont val="Tahoma"/>
            <family val="2"/>
          </rPr>
          <t>ramrama:</t>
        </r>
        <r>
          <rPr>
            <sz val="8"/>
            <color indexed="81"/>
            <rFont val="Tahoma"/>
            <family val="2"/>
          </rPr>
          <t xml:space="preserve">
Updated for 2015/2016 auction</t>
        </r>
      </text>
    </comment>
    <comment ref="AG268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U269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2013/2014 auction clearing price</t>
        </r>
      </text>
    </comment>
    <comment ref="AG270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G271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</commentList>
</comments>
</file>

<file path=xl/sharedStrings.xml><?xml version="1.0" encoding="utf-8"?>
<sst xmlns="http://schemas.openxmlformats.org/spreadsheetml/2006/main" count="2791" uniqueCount="1489">
  <si>
    <t>Portion Procured in Each BGS Auction (%)</t>
  </si>
  <si>
    <t>Power Price Sensitivity ($/MWh)</t>
  </si>
  <si>
    <t>CAPP Transportation Cost - ($/ton)</t>
  </si>
  <si>
    <t>NAPP Transportation Cost - ($/ton)</t>
  </si>
  <si>
    <t>PJM NAPP Coal Prices - FOB ($)</t>
  </si>
  <si>
    <t>Total Debt / Total Capitalization</t>
  </si>
  <si>
    <t>ROEs</t>
  </si>
  <si>
    <t>Discounted Cash Flow - Key Assumptions</t>
  </si>
  <si>
    <t>Weighted Average Cost of Capital</t>
  </si>
  <si>
    <t>PSEG POWER VALUATION</t>
  </si>
  <si>
    <t>Implied Debt Value as a % of Ent Value</t>
  </si>
  <si>
    <t>Implied Equity Value as a % of Ent Value</t>
  </si>
  <si>
    <t>Hedge Benefit</t>
  </si>
  <si>
    <t>Open EBITDA</t>
  </si>
  <si>
    <t>DCF-Driven EV/EBITDA Multiple</t>
  </si>
  <si>
    <t>Implied EV</t>
  </si>
  <si>
    <t>NPV of Hedges</t>
  </si>
  <si>
    <t>NPV of Environmental Costs</t>
  </si>
  <si>
    <t>Adjusted EV</t>
  </si>
  <si>
    <t>Assumed Net Debt</t>
  </si>
  <si>
    <t>Per Share Value</t>
  </si>
  <si>
    <t>Implied in Share Price</t>
  </si>
  <si>
    <t>PSEG POWER EV / EBITDA VALUATION</t>
  </si>
  <si>
    <t>Power EBITDA</t>
  </si>
  <si>
    <t>PSEG and Parent Valuation</t>
  </si>
  <si>
    <t>Electric Rate Change - Solar / Renewables</t>
  </si>
  <si>
    <t>Long-Term Debt (includes transition bonds)</t>
  </si>
  <si>
    <t>Terminal Value Approach Used</t>
  </si>
  <si>
    <t>Cost of Long-Term Debt</t>
  </si>
  <si>
    <t xml:space="preserve">    Approach A - Perp. Growth Rate of</t>
  </si>
  <si>
    <t>Risk-Free Rate</t>
  </si>
  <si>
    <t xml:space="preserve">    Approach B - Terminal EBITDA of</t>
  </si>
  <si>
    <t>Equity Risk Premium</t>
  </si>
  <si>
    <t>PEG</t>
  </si>
  <si>
    <t>Assumed Beta of Merchant Generation</t>
  </si>
  <si>
    <t>Power Price Sensitivity ($/mwh)</t>
  </si>
  <si>
    <t>Electric Sales Growth</t>
  </si>
  <si>
    <t>Modeled Utility Equity Ratio</t>
  </si>
  <si>
    <t>PEG.N,mscalc:targetPrice,,,,USD</t>
  </si>
  <si>
    <t>PEG.N,mscalc:closePriceCurrencyCalc</t>
  </si>
  <si>
    <t>Holdings and Parent</t>
  </si>
  <si>
    <t>Valuation Year</t>
  </si>
  <si>
    <t>Assumed Premium/Discount</t>
  </si>
  <si>
    <t>Adjusted P/E</t>
  </si>
  <si>
    <t>Implied Valuation</t>
  </si>
  <si>
    <t>Implied Utility / Parent Valuation</t>
  </si>
  <si>
    <t>Dividend</t>
  </si>
  <si>
    <t>HH Natural Gas Price Assumption ($/mmcf)</t>
  </si>
  <si>
    <t>Gas Price Sensitivity ($/mmcf)</t>
  </si>
  <si>
    <t>Environmental Capex</t>
  </si>
  <si>
    <t>Assumed Allowed ROE</t>
  </si>
  <si>
    <t>Levered Free Cash Flow</t>
  </si>
  <si>
    <t>Unlevered Free Cash Flow (w/o interest)</t>
  </si>
  <si>
    <t>UTILITY RATE BASE AND ROE SENSITIVITY</t>
  </si>
  <si>
    <t>Implied EV / EBITDA</t>
  </si>
  <si>
    <t>Implied Utility Earnings Potential ($mil)</t>
  </si>
  <si>
    <t>Cash Flow NPV</t>
  </si>
  <si>
    <t>Utility / Parent Earnings ($mil)</t>
  </si>
  <si>
    <t>Projected Diluted Shares Count ($mil)</t>
  </si>
  <si>
    <t>Implied Utility / Parent EPS</t>
  </si>
  <si>
    <t>Current Net Debt</t>
  </si>
  <si>
    <t>Equity Value</t>
  </si>
  <si>
    <t>Equity Value Per Share</t>
  </si>
  <si>
    <t>PEG Consolidated EPS</t>
  </si>
  <si>
    <t>Power Valuation</t>
  </si>
  <si>
    <t>PSEG SUMMARY</t>
  </si>
  <si>
    <t>PSEG</t>
  </si>
  <si>
    <t>PSEG Rate Base ($mil)</t>
  </si>
  <si>
    <t>Parent Income ($mi)</t>
  </si>
  <si>
    <t>Total Operating Revenue</t>
  </si>
  <si>
    <t>Fuel</t>
  </si>
  <si>
    <t>Other</t>
  </si>
  <si>
    <t>Gross Margin</t>
  </si>
  <si>
    <t>Operating and Maintenance</t>
  </si>
  <si>
    <t>Taxes Other Than Income</t>
  </si>
  <si>
    <t>EBITDA</t>
  </si>
  <si>
    <t>Depreciation and Amortization</t>
  </si>
  <si>
    <t xml:space="preserve"> </t>
  </si>
  <si>
    <t>$m, unless stated otherwise</t>
  </si>
  <si>
    <t>Operating Income</t>
  </si>
  <si>
    <t>DIVIDEND AND EQUITY ASSUMPTIONS</t>
  </si>
  <si>
    <t>DEBT AND TAX ASSUMPTIONS</t>
  </si>
  <si>
    <t>PARENT LEVEL CASH FLOWS</t>
  </si>
  <si>
    <t>Payout Ratio</t>
  </si>
  <si>
    <t>Deferred Income Taxes</t>
  </si>
  <si>
    <t>Cash Flow From Operations</t>
  </si>
  <si>
    <t>Other Investment Cash Flow</t>
  </si>
  <si>
    <t>Cash Flow From Investing</t>
  </si>
  <si>
    <t>Operating Expense</t>
  </si>
  <si>
    <t>Total Interest Expense</t>
  </si>
  <si>
    <t>Reported Net Income</t>
  </si>
  <si>
    <t>Reconciliation to Adjusted Earnings</t>
  </si>
  <si>
    <t>Operating Income - PSE&amp;G</t>
  </si>
  <si>
    <t>Operating Income - Power</t>
  </si>
  <si>
    <t>Total Operating Income</t>
  </si>
  <si>
    <t>Check</t>
  </si>
  <si>
    <t>Total Revenues</t>
  </si>
  <si>
    <t>Total Other Income</t>
  </si>
  <si>
    <t>Other (Non-Utility / Power operations)</t>
  </si>
  <si>
    <t>EBITDA by Business Segment</t>
  </si>
  <si>
    <t>Regulated / Unregulated EBITDA</t>
  </si>
  <si>
    <t>DIVIDEND AND SHARE COUNT DATA</t>
  </si>
  <si>
    <t>CASH FLOW PROFILE</t>
  </si>
  <si>
    <t>Dividend Per Share</t>
  </si>
  <si>
    <t>Regulated / Unregulated OCF</t>
  </si>
  <si>
    <t>Consolidated OCF</t>
  </si>
  <si>
    <t>Average Shares Outstanding</t>
  </si>
  <si>
    <t>Regulated / Unregulated CapEx</t>
  </si>
  <si>
    <t>Diluted Average Shares Outstanding</t>
  </si>
  <si>
    <t>Consolidated CapEx</t>
  </si>
  <si>
    <t>VALUATION PROFILE</t>
  </si>
  <si>
    <t>2010A</t>
  </si>
  <si>
    <t>PSEG Parent &amp; Energy Holdings</t>
  </si>
  <si>
    <t>Holding &amp; Parent</t>
  </si>
  <si>
    <t>Operating Income - Holdings &amp; Parent</t>
  </si>
  <si>
    <t>Fuel &amp; Purchased Power</t>
  </si>
  <si>
    <t>Purchased Power/Gas Costs</t>
  </si>
  <si>
    <t>Allowed Retail ROE</t>
  </si>
  <si>
    <t>Growth Rate (YoY)</t>
  </si>
  <si>
    <t>Utility Pay-Out</t>
  </si>
  <si>
    <t>Holdings &amp; Parent</t>
  </si>
  <si>
    <t>Stock Price Estimate</t>
  </si>
  <si>
    <t>Share Issuance/(Repurchase) - mil shares</t>
  </si>
  <si>
    <t>Share Issuance/(Repurchase)</t>
  </si>
  <si>
    <t>Holdings &amp; Parent OCF</t>
  </si>
  <si>
    <t>Cash &amp; Cash Equivalents</t>
  </si>
  <si>
    <t>Common Equity Issuance/Reduction, Net from Subsidiaries</t>
  </si>
  <si>
    <t>Income from Continuing Operations</t>
  </si>
  <si>
    <t>Operating Expenses</t>
  </si>
  <si>
    <t>Capacity Market (MW)</t>
  </si>
  <si>
    <t>Electric</t>
  </si>
  <si>
    <t>Natural Gas</t>
  </si>
  <si>
    <t>Electric Costs</t>
  </si>
  <si>
    <t>Cost of Natural Gas</t>
  </si>
  <si>
    <t>Fuel, Purchased Power, and Interchange</t>
  </si>
  <si>
    <t>Other Income, Net</t>
  </si>
  <si>
    <t>Electric Retail Sales Growth (YoY)</t>
  </si>
  <si>
    <t>Gas Retail Growth (YoY)</t>
  </si>
  <si>
    <t>Gas Transportation Growth (YoY)</t>
  </si>
  <si>
    <t>O&amp;M Growth (YoY)</t>
  </si>
  <si>
    <t>Earned ROE (includes AFUDC)</t>
  </si>
  <si>
    <t>ELECTRIC MARGINS</t>
  </si>
  <si>
    <t>Commercial and Industrial</t>
  </si>
  <si>
    <t>Street Lighting</t>
  </si>
  <si>
    <t>Total Electric Revenues</t>
  </si>
  <si>
    <t>Electric Sales (GWh)</t>
  </si>
  <si>
    <t>Total Sales</t>
  </si>
  <si>
    <t>Total Sales Growth (YoY)</t>
  </si>
  <si>
    <t>Average Total Rate ($/mwh)</t>
  </si>
  <si>
    <t>Electric Rate Change (YoY)</t>
  </si>
  <si>
    <t>Fuel and Puchased Power Costs</t>
  </si>
  <si>
    <t>Fuel/Purchased Power</t>
  </si>
  <si>
    <t>Avg Fuel and Purchased Power Rate ($/mwh)</t>
  </si>
  <si>
    <t>Electric Margins</t>
  </si>
  <si>
    <t>GAS MARGINS</t>
  </si>
  <si>
    <t>Gas Sales (millions therms)</t>
  </si>
  <si>
    <t>Gas Transported</t>
  </si>
  <si>
    <t>Total Transportation Growth (YoY)</t>
  </si>
  <si>
    <t>Gas Margins</t>
  </si>
  <si>
    <t>Electric Utility Plant in Service and Other Property</t>
  </si>
  <si>
    <t>Net PP&amp;E</t>
  </si>
  <si>
    <t>Reported D&amp;A</t>
  </si>
  <si>
    <t>Adjusted D&amp;A</t>
  </si>
  <si>
    <t>D&amp;A Rate</t>
  </si>
  <si>
    <t>CWIP Rate (% of FY capex)</t>
  </si>
  <si>
    <t>Transmission</t>
  </si>
  <si>
    <t>Distribution</t>
  </si>
  <si>
    <t>Environmental/Regulatory</t>
  </si>
  <si>
    <t>Renewables/EMP</t>
  </si>
  <si>
    <t>CapEx</t>
  </si>
  <si>
    <t>Interest on Short Term Debt</t>
  </si>
  <si>
    <t>Operating Cash Flow</t>
  </si>
  <si>
    <t>Other (includes asset sales)</t>
  </si>
  <si>
    <t>Investing Cash Flow</t>
  </si>
  <si>
    <t>Change in ST Debt</t>
  </si>
  <si>
    <t>Dividends and Capital Infusions</t>
  </si>
  <si>
    <t>Financing Cash Flow</t>
  </si>
  <si>
    <t>Net Change in Cash</t>
  </si>
  <si>
    <t>Beginning Cash Balance</t>
  </si>
  <si>
    <t>RATE BASE AND ROEs</t>
  </si>
  <si>
    <t>Average</t>
  </si>
  <si>
    <t>Deferred Taxes</t>
  </si>
  <si>
    <t>Other Adjustments (AFUDC + Removal Cost + CWIP)</t>
  </si>
  <si>
    <t>Transition Bond Funding Related</t>
  </si>
  <si>
    <t>Change in Interest on Transition Bonds</t>
  </si>
  <si>
    <t>Transition Bonds</t>
  </si>
  <si>
    <t>Transition Bonds Interest</t>
  </si>
  <si>
    <t>Transition Bond Revenues - no EPS impact</t>
  </si>
  <si>
    <t>Electric Rate Change - Transmission</t>
  </si>
  <si>
    <t>Retail Rate ($/mmbtu)</t>
  </si>
  <si>
    <t>Transportation Rate ($/mmbtu)</t>
  </si>
  <si>
    <t>Cost of Natural Gas ($/mmbtu)</t>
  </si>
  <si>
    <t>Total Retail Sales</t>
  </si>
  <si>
    <t>Retail Gas Revenue</t>
  </si>
  <si>
    <t>Gas Margin Growth (YoY)</t>
  </si>
  <si>
    <t>Electric Margin Growth (YoY)</t>
  </si>
  <si>
    <t>Electric Revenues</t>
  </si>
  <si>
    <t>Gas Revenues</t>
  </si>
  <si>
    <t>Preferred Equity Issuance / (Repayment)</t>
  </si>
  <si>
    <t>Other Financing Cash Flow</t>
  </si>
  <si>
    <t>Cash Flow From Financing</t>
  </si>
  <si>
    <t>Increase / (Decrease) in Cash</t>
  </si>
  <si>
    <t>Natural Gas ($/mmcf)</t>
  </si>
  <si>
    <t>Market Heat Rates (btu/kwh)</t>
  </si>
  <si>
    <t>PJM CAPP Coal Prices - FOB ($)</t>
  </si>
  <si>
    <t>PA Coal (Keystone &amp; Conemaugh)</t>
  </si>
  <si>
    <t>Mass Hub ATC Price</t>
  </si>
  <si>
    <t>CT Oil Peakers (New Haven &amp; Bridgeport)</t>
  </si>
  <si>
    <t>NJ Gas Peakers</t>
  </si>
  <si>
    <t>NJ Oil Peakers</t>
  </si>
  <si>
    <t>CT Coal (Bridgeport)</t>
  </si>
  <si>
    <t>Assumed Price (Off-Peak) ($/mwh)</t>
  </si>
  <si>
    <t>Peak Production (gwh)</t>
  </si>
  <si>
    <t>Off Peak Production (gwh)</t>
  </si>
  <si>
    <t>Capacity Factor (%) - Peak</t>
  </si>
  <si>
    <t>Capacity Factor (%) - Off-Peak</t>
  </si>
  <si>
    <t>Total Capacity Factor (%) - All-Hours</t>
  </si>
  <si>
    <t>Total Production (gwh)</t>
  </si>
  <si>
    <t>MARGIN SUMMARY (ENERGY &amp; CAPACITY)</t>
  </si>
  <si>
    <t>NJ Coal (Hudson &amp; Mercer)</t>
  </si>
  <si>
    <t>Capacity (MW)</t>
  </si>
  <si>
    <t>PRODUCTION AND CAPACITY SUMMARY</t>
  </si>
  <si>
    <t>Baseload (Coal and Nuke)</t>
  </si>
  <si>
    <t>Intermediate (Gas CCs and Coal)</t>
  </si>
  <si>
    <t>Peaking (Gas and Oil)</t>
  </si>
  <si>
    <t>Coal Prices</t>
  </si>
  <si>
    <t>Generation (GWH) - Load Type</t>
  </si>
  <si>
    <t>CCs</t>
  </si>
  <si>
    <t>Generation (GWH) - Fuel / Technology Type</t>
  </si>
  <si>
    <t>Peakers</t>
  </si>
  <si>
    <t>Peaking (Gas / Oil and Hydro)</t>
  </si>
  <si>
    <t>Baseload Hedged Volumes (twh)</t>
  </si>
  <si>
    <t>Intermediate and Peaking Hedged Volumes (twh)</t>
  </si>
  <si>
    <t>HEDGE CALCULATION</t>
  </si>
  <si>
    <t>MARGIN CALCULATION - AT MARKET</t>
  </si>
  <si>
    <t>PSEG Power</t>
  </si>
  <si>
    <t>Total (includes hedges)</t>
  </si>
  <si>
    <t>Total (excludes hedges)</t>
  </si>
  <si>
    <t>MARKET PRICES &amp; SENSITIVITIES</t>
  </si>
  <si>
    <t>Intermediate (CCs and Coal)</t>
  </si>
  <si>
    <t>Capacity (MW) - Fuel / Technology Type</t>
  </si>
  <si>
    <t>Total MW</t>
  </si>
  <si>
    <t>Total GWH</t>
  </si>
  <si>
    <t>PJM Delivered NAPP Coal Prices ($)</t>
  </si>
  <si>
    <t>D&amp;A Rate (%)</t>
  </si>
  <si>
    <t>Environmental</t>
  </si>
  <si>
    <t>Long-Term Debt (w/ current portion &amp; leases)</t>
  </si>
  <si>
    <t>Power Prices ($/MWh)</t>
  </si>
  <si>
    <t>PJM East Off</t>
  </si>
  <si>
    <t>PJM West ATC Price</t>
  </si>
  <si>
    <t>PJM East ATC Price</t>
  </si>
  <si>
    <t>Other Regulatory Assets</t>
  </si>
  <si>
    <t>Other Non-Current Assets</t>
  </si>
  <si>
    <t>Total Assets</t>
  </si>
  <si>
    <t>Gross PP&amp;E</t>
  </si>
  <si>
    <t>Accounts Payable</t>
  </si>
  <si>
    <t>Other Current Liabilities</t>
  </si>
  <si>
    <t>Total Current Liabilities</t>
  </si>
  <si>
    <t>Long Term Deferred Tax Liabilities</t>
  </si>
  <si>
    <t>Provisions</t>
  </si>
  <si>
    <t>Other Non-Current Liabilities</t>
  </si>
  <si>
    <t>Total Liabilities</t>
  </si>
  <si>
    <t>Minority Interests</t>
  </si>
  <si>
    <t>Preferred Equity</t>
  </si>
  <si>
    <t>Common Equity</t>
  </si>
  <si>
    <t>Assumed Price (ATC) ($/mwh)</t>
  </si>
  <si>
    <t>Assumed Fuel Price ($/mwh)</t>
  </si>
  <si>
    <t>Total MW On-Line</t>
  </si>
  <si>
    <t>Capacity Factor</t>
  </si>
  <si>
    <t>Production (gwh)</t>
  </si>
  <si>
    <t>Margins</t>
  </si>
  <si>
    <t>Assumed Price (Peak) ($/mwh)</t>
  </si>
  <si>
    <t>NJ Hydro (Yards Creek)</t>
  </si>
  <si>
    <t>NY CC (Bethlehem)</t>
  </si>
  <si>
    <t>5.250% Series D first mortgage bonds, due 07/01/35</t>
  </si>
  <si>
    <t>7.040% Series A first mortgage bonds, due 11/06/20</t>
  </si>
  <si>
    <t>Secured Debt:</t>
  </si>
  <si>
    <t>Coverage Ratios</t>
  </si>
  <si>
    <t>FFO Interest Coverage</t>
  </si>
  <si>
    <t>Pretax Interest Coverage</t>
  </si>
  <si>
    <t>Shares Outstanding</t>
  </si>
  <si>
    <t>Cinergy</t>
  </si>
  <si>
    <t>Mass Hub On</t>
  </si>
  <si>
    <t>Mass Hub Off</t>
  </si>
  <si>
    <t>NY Zone A On</t>
  </si>
  <si>
    <t>NY Zone A Off</t>
  </si>
  <si>
    <t>1Q11</t>
  </si>
  <si>
    <t>2Q11</t>
  </si>
  <si>
    <t>3Q11</t>
  </si>
  <si>
    <t>4Q11</t>
  </si>
  <si>
    <t>1Q12</t>
  </si>
  <si>
    <t>2Q12</t>
  </si>
  <si>
    <t>3Q12</t>
  </si>
  <si>
    <t>4Q12</t>
  </si>
  <si>
    <t>1Q13</t>
  </si>
  <si>
    <t>2Q13</t>
  </si>
  <si>
    <t>3Q13</t>
  </si>
  <si>
    <t>4Q13</t>
  </si>
  <si>
    <t>1Q14</t>
  </si>
  <si>
    <t>2Q14</t>
  </si>
  <si>
    <t>3Q14</t>
  </si>
  <si>
    <t>4Q14</t>
  </si>
  <si>
    <t>Effective Tax Rate</t>
  </si>
  <si>
    <t>Dividends</t>
  </si>
  <si>
    <t>Ending Cash Balance</t>
  </si>
  <si>
    <t>LTM FFO (Net Income + D&amp;A)</t>
  </si>
  <si>
    <t>Increased Interest from LT Debt Issuance</t>
  </si>
  <si>
    <t>Decreased Interest from LT Debt Reduction</t>
  </si>
  <si>
    <t>LTM Interest Expense</t>
  </si>
  <si>
    <t>LTM EBIT</t>
  </si>
  <si>
    <t>LTM EBITDA</t>
  </si>
  <si>
    <t>Tax Rate (adjusted for AFUDC - Equity)</t>
  </si>
  <si>
    <t>Reported Tax Rate</t>
  </si>
  <si>
    <t>LTM Net Income</t>
  </si>
  <si>
    <t>Net Change in Interest Expense</t>
  </si>
  <si>
    <t>Working Capital, Net</t>
  </si>
  <si>
    <t>Long-Term Debt Issuance</t>
  </si>
  <si>
    <t>Long-Term Debt Maturity/Redemption</t>
  </si>
  <si>
    <t>Long-Term Debt Issuance/Maturity</t>
  </si>
  <si>
    <t>Interest Rate on Short Term Debt/Cash</t>
  </si>
  <si>
    <t>Issuance of LT Debt</t>
  </si>
  <si>
    <t>Change in Preferred Stock</t>
  </si>
  <si>
    <t>Tax Items</t>
  </si>
  <si>
    <t>Common Dividends</t>
  </si>
  <si>
    <t>Utility Dividend</t>
  </si>
  <si>
    <t>Debt Maturity/Issuance, Net</t>
  </si>
  <si>
    <t xml:space="preserve">Dividend </t>
  </si>
  <si>
    <t>Maintenance Capex</t>
  </si>
  <si>
    <t>Asset Sales/Other Investments</t>
  </si>
  <si>
    <t>Retirement of Debt</t>
  </si>
  <si>
    <t>Change in ST debt</t>
  </si>
  <si>
    <t>Common Equity Issuance/Reduction</t>
  </si>
  <si>
    <t>Beginning Balance</t>
  </si>
  <si>
    <t>Current portion of LT Debt</t>
  </si>
  <si>
    <t>Common Stock</t>
  </si>
  <si>
    <t>Additional Paid in Capital</t>
  </si>
  <si>
    <t>1Q2011A</t>
  </si>
  <si>
    <t>2Q2011A</t>
  </si>
  <si>
    <t>3Q2011A</t>
  </si>
  <si>
    <t>4Q2011A</t>
  </si>
  <si>
    <t>Total O&amp;M</t>
  </si>
  <si>
    <t>PP&amp;E, D&amp;A, AND CAPEX</t>
  </si>
  <si>
    <t>TAX ITEMS</t>
  </si>
  <si>
    <t>DEBT AND PREFERRED CALCULATIONS</t>
  </si>
  <si>
    <t>CASH FLOW STATEMENT</t>
  </si>
  <si>
    <t>INCOME STATEMENT</t>
  </si>
  <si>
    <t>Fuel Costs</t>
  </si>
  <si>
    <t>% Capex</t>
  </si>
  <si>
    <t>FFO Interest Coverage ((FFO + Int.) / Int.)</t>
  </si>
  <si>
    <t>Pretax Interest Coverage (EBIT / Int.)</t>
  </si>
  <si>
    <t>Equity Ratio</t>
  </si>
  <si>
    <t>Capacity Prices ($/MW-day)</t>
  </si>
  <si>
    <t>Capital Expenditures</t>
  </si>
  <si>
    <t>MERCHANT GENERATION VALUATION ASSUMPTIONS</t>
  </si>
  <si>
    <t>PEG.N,mscalc:sedolCodeCalc</t>
  </si>
  <si>
    <t>NA</t>
  </si>
  <si>
    <t/>
  </si>
  <si>
    <t>PJM RTO</t>
  </si>
  <si>
    <t>PJM MAAC</t>
  </si>
  <si>
    <t>PJM SW MAAC</t>
  </si>
  <si>
    <t>PJM EMAAC</t>
  </si>
  <si>
    <t>PJM DPL-South</t>
  </si>
  <si>
    <t xml:space="preserve">PJM </t>
  </si>
  <si>
    <t>CO2</t>
  </si>
  <si>
    <t>NOX SEASONAL</t>
  </si>
  <si>
    <t>Natural Gas Basis/Coal Delivery Cost Assumptions</t>
  </si>
  <si>
    <t>RGGI CO2</t>
  </si>
  <si>
    <t>CSAPR 1 SOX</t>
  </si>
  <si>
    <t>CSAPR 2 SOX</t>
  </si>
  <si>
    <t>CSAPR 1 NOX</t>
  </si>
  <si>
    <t>CSAPR 2 NOX</t>
  </si>
  <si>
    <t>NYC</t>
  </si>
  <si>
    <t>ISO-NE</t>
  </si>
  <si>
    <t>NY ROS</t>
  </si>
  <si>
    <t>BALANCE SHEET</t>
  </si>
  <si>
    <t>Segment EPS</t>
  </si>
  <si>
    <t>Total EPS</t>
  </si>
  <si>
    <t>Segment CapEx</t>
  </si>
  <si>
    <t>Total CapEx</t>
  </si>
  <si>
    <t>YoY EPS Growth</t>
  </si>
  <si>
    <t>Actual Shares Outstanding</t>
  </si>
  <si>
    <t>CAPITALIZATION</t>
  </si>
  <si>
    <t>Cash &amp; Equivalents</t>
  </si>
  <si>
    <t>Short-Term Debt</t>
  </si>
  <si>
    <t>Interest Expense</t>
  </si>
  <si>
    <t>Other Income</t>
  </si>
  <si>
    <t>Income Tax</t>
  </si>
  <si>
    <t>Net Income</t>
  </si>
  <si>
    <t>Income from Discontinued Operations</t>
  </si>
  <si>
    <t>3Q2009A</t>
  </si>
  <si>
    <t>4Q2009A</t>
  </si>
  <si>
    <t>1Q2010A</t>
  </si>
  <si>
    <t>2Q2010A</t>
  </si>
  <si>
    <t>3Q2010A</t>
  </si>
  <si>
    <t>4Q2010A</t>
  </si>
  <si>
    <t>EPS AND EBITDA PROFILE</t>
  </si>
  <si>
    <t>CAPITALIZATION PROFILE</t>
  </si>
  <si>
    <t>EPS by Business Segment</t>
  </si>
  <si>
    <t>Regulated / Unregulated EPS</t>
  </si>
  <si>
    <t>Merchant Power (includes parent)</t>
  </si>
  <si>
    <t>Basic Shares Outstanding</t>
  </si>
  <si>
    <t>Diluted Shares Outstanding</t>
  </si>
  <si>
    <t>Free Cash Flow</t>
  </si>
  <si>
    <t>Consolidated FCF (Pre-Dividends)</t>
  </si>
  <si>
    <t>Book Value Per Share</t>
  </si>
  <si>
    <t>Other Investing Activities</t>
  </si>
  <si>
    <t>Free Cash Flow (Post Dividends)</t>
  </si>
  <si>
    <t>Return on Invested Capital</t>
  </si>
  <si>
    <t>Return on Average Assets</t>
  </si>
  <si>
    <t>Other Financing Activities</t>
  </si>
  <si>
    <t>Equity Issuance / Buyback, Net</t>
  </si>
  <si>
    <t>Current Share Price:</t>
  </si>
  <si>
    <t>LT Debt Issuance</t>
  </si>
  <si>
    <t>LT Debt Retirement</t>
  </si>
  <si>
    <t>ST Debt Change, Net</t>
  </si>
  <si>
    <t>Net Debt (Forecasted)</t>
  </si>
  <si>
    <t>Annual Change in Cash</t>
  </si>
  <si>
    <t>One-Time items excluding discontinued</t>
  </si>
  <si>
    <t>DEBT CALCULATIONS</t>
  </si>
  <si>
    <t>1Q2009A</t>
  </si>
  <si>
    <t>2Q2009A</t>
  </si>
  <si>
    <t>Adjusted/On-Going Net Income</t>
  </si>
  <si>
    <t>Accounts Receivable</t>
  </si>
  <si>
    <t>Inventories</t>
  </si>
  <si>
    <t>Total Current Assets</t>
  </si>
  <si>
    <t>Investments</t>
  </si>
  <si>
    <t>Net Goodwill</t>
  </si>
  <si>
    <t>Long Term Deferred Tax Assets</t>
  </si>
  <si>
    <t>ASSUMPTIONS AND DRIVERS</t>
  </si>
  <si>
    <t>OPERATING EXPENSES</t>
  </si>
  <si>
    <t>Coal</t>
  </si>
  <si>
    <t>Total Liabilities and Equity</t>
  </si>
  <si>
    <t>Total Debt</t>
  </si>
  <si>
    <t>Net Debt</t>
  </si>
  <si>
    <t>Pretax Income</t>
  </si>
  <si>
    <t>Net Interest Expense</t>
  </si>
  <si>
    <t>Leverage Ratios</t>
  </si>
  <si>
    <t>Total Debt / Total Cap</t>
  </si>
  <si>
    <t>Net Debt / EBITDA</t>
  </si>
  <si>
    <t>FFO / Total Debt</t>
  </si>
  <si>
    <t>Capacity Price ($/mw-day)</t>
  </si>
  <si>
    <t>PJM Delivered CAAP Coal Prices ($)</t>
  </si>
  <si>
    <t>Hydro</t>
  </si>
  <si>
    <t>Baseload Hedge Price ($/MWh)</t>
  </si>
  <si>
    <t>Intermediate and Peaking Hedge Price ($/MWh)</t>
  </si>
  <si>
    <t>Growth Capex</t>
  </si>
  <si>
    <t>Accumulated Depreciation</t>
  </si>
  <si>
    <t>Short Term Debt</t>
  </si>
  <si>
    <t>Long Term Debt</t>
  </si>
  <si>
    <t>Total</t>
  </si>
  <si>
    <t>X</t>
  </si>
  <si>
    <t>Equity Issuance / (Distributions)</t>
  </si>
  <si>
    <t>Equity</t>
  </si>
  <si>
    <t>Total Net PP&amp;E</t>
  </si>
  <si>
    <t>Beginning Rate Base</t>
  </si>
  <si>
    <t>Capex</t>
  </si>
  <si>
    <t>Ending Rate Base</t>
  </si>
  <si>
    <t>Residential</t>
  </si>
  <si>
    <t>Transportation Revenue</t>
  </si>
  <si>
    <t>Total Gas Revenue</t>
  </si>
  <si>
    <t>PJM East On</t>
  </si>
  <si>
    <t>PJM West On</t>
  </si>
  <si>
    <t>PJM West Off</t>
  </si>
  <si>
    <t>PSEG North</t>
  </si>
  <si>
    <t>Public Service Enterprises Group (Consolidated)</t>
  </si>
  <si>
    <t>Total Debt Issuances/Maturities and Interest Change</t>
  </si>
  <si>
    <t>PSE&amp;G (includes transition bonds)</t>
  </si>
  <si>
    <t>Senior Notes:</t>
  </si>
  <si>
    <t>Other Operating Assumptions</t>
  </si>
  <si>
    <t>O&amp;M Growth</t>
  </si>
  <si>
    <t>Financial Summary</t>
  </si>
  <si>
    <t>Other Current Assets</t>
  </si>
  <si>
    <t>1Q15</t>
  </si>
  <si>
    <t>2Q15</t>
  </si>
  <si>
    <t>3Q15</t>
  </si>
  <si>
    <t>4Q15</t>
  </si>
  <si>
    <t>Reguatory Liabilities</t>
  </si>
  <si>
    <t>PSE&amp;G</t>
  </si>
  <si>
    <t>Power</t>
  </si>
  <si>
    <t>Holdings</t>
  </si>
  <si>
    <t>Modeled Equity Ratio</t>
  </si>
  <si>
    <t>Modeled ROE (includes AFUDC)</t>
  </si>
  <si>
    <t>Interest on Short Term Debt/Cash</t>
  </si>
  <si>
    <t>Deferred Taxes and Credits</t>
  </si>
  <si>
    <t>Plant Additions</t>
  </si>
  <si>
    <t>Other, Net</t>
  </si>
  <si>
    <t>Working Capital (net)</t>
  </si>
  <si>
    <t xml:space="preserve">Other </t>
  </si>
  <si>
    <t>Asset Sales and other Investments</t>
  </si>
  <si>
    <t>Asset Sale and Other Investments</t>
  </si>
  <si>
    <t>Working Capital (Net)</t>
  </si>
  <si>
    <t>Discount Factor</t>
  </si>
  <si>
    <t>WACC</t>
  </si>
  <si>
    <t>Maint. Capex</t>
  </si>
  <si>
    <t>3.500% Series G secured medium-term notes, due Aug 15, 2020</t>
  </si>
  <si>
    <t>5.500% Series G medium-term secured notes, due 03/01/40</t>
  </si>
  <si>
    <t>5.375% Series G secured medium-term notes, due 11/01/39</t>
  </si>
  <si>
    <t>5.300% Series E secured medium-term notes, due 05/01/18</t>
  </si>
  <si>
    <t>5.800% Series E secured medium-term notes, due 05/01/37</t>
  </si>
  <si>
    <t>5.700% Series D secured medium-term notes, due 12/01/36</t>
  </si>
  <si>
    <t>9.250% Series CC first mortgage bonds, due 06/01/21</t>
  </si>
  <si>
    <t>5.000% First mortgage bonds, due 06/01/37</t>
  </si>
  <si>
    <t>8.000% First mortgage bonds, due 06/01/37</t>
  </si>
  <si>
    <t>4.150% Senior unsecured notes, due Sept 15, 2021</t>
  </si>
  <si>
    <t>5.125% Senior unsecured notes, due Apr 15, 2020</t>
  </si>
  <si>
    <t>Floating rate secured pollution control bonds, due Jan 15, 2042</t>
  </si>
  <si>
    <t>8.625% Senior unsecured notes, due 04/15/31</t>
  </si>
  <si>
    <t>Authorized Equity Ratio</t>
  </si>
  <si>
    <t>Gas Basis</t>
  </si>
  <si>
    <t>Regulated Utilities</t>
  </si>
  <si>
    <t>Net PP&amp;E In Service</t>
  </si>
  <si>
    <t>New England</t>
  </si>
  <si>
    <t>PJM West</t>
  </si>
  <si>
    <t>2317087</t>
  </si>
  <si>
    <t>PRB Coal</t>
  </si>
  <si>
    <t>NY Zone G</t>
  </si>
  <si>
    <t>NY Zone J</t>
  </si>
  <si>
    <t>NY Zone A</t>
  </si>
  <si>
    <t>ERCOT Houston</t>
  </si>
  <si>
    <t>ERCOT South</t>
  </si>
  <si>
    <t>CAPP Coal</t>
  </si>
  <si>
    <t>Adjusted / Operating EPS</t>
  </si>
  <si>
    <t>GAAP Reported EPS</t>
  </si>
  <si>
    <t>LT Debt  / Total Cap</t>
  </si>
  <si>
    <t>This sheet contains Factset binary data for use with this workbook's =FDS codes.  Modifying the worksheet's contents may damage the workbook's =FDS functionality.</t>
  </si>
  <si>
    <t>ETR.N,mscalc:closePriceCurrencyCalc</t>
  </si>
  <si>
    <t>ETR.N,mscalc:targetPrice,,,,USD</t>
  </si>
  <si>
    <t>ETR.N,mscalc:sedolCodeCalc</t>
  </si>
  <si>
    <t>Equity Issuance</t>
  </si>
  <si>
    <t>78.5</t>
  </si>
  <si>
    <t>Morgan Stanley Price Deck</t>
  </si>
  <si>
    <t>Fuel Prices</t>
  </si>
  <si>
    <t>AEP Dayton</t>
  </si>
  <si>
    <t>$ / mmbtu (Basis Differential to Henry Hub)</t>
  </si>
  <si>
    <t>NY Zone A / Tetco M3</t>
  </si>
  <si>
    <t>PJM West / Tetco M3</t>
  </si>
  <si>
    <t>CAPP Coal (Delivery Cost $/t)</t>
  </si>
  <si>
    <t>PRB Coal (Delivery Cost $/t)</t>
  </si>
  <si>
    <t>Consolidated Financials</t>
  </si>
  <si>
    <t>Regulatory Assets</t>
  </si>
  <si>
    <t>,mscalc:targetPrice,,,,USD</t>
  </si>
  <si>
    <t>,mscalc:closePriceCurrencyCalc</t>
  </si>
  <si>
    <t>,mscalc:sedolCodeCalc</t>
  </si>
  <si>
    <t>PEG.N,mscalc:targetPrice</t>
  </si>
  <si>
    <t>Public Service Enterprise Group</t>
  </si>
  <si>
    <t>EBIT</t>
  </si>
  <si>
    <t>CWIP</t>
  </si>
  <si>
    <t>O&amp;M</t>
  </si>
  <si>
    <t>Tax Rate</t>
  </si>
  <si>
    <t>NI Hub</t>
  </si>
  <si>
    <t>ERCOT North</t>
  </si>
  <si>
    <t>Palo Verde</t>
  </si>
  <si>
    <t>SP 15</t>
  </si>
  <si>
    <t>NP 15</t>
  </si>
  <si>
    <t>Mid C</t>
  </si>
  <si>
    <t>Balance Check</t>
  </si>
  <si>
    <t>Consolidated EPS</t>
  </si>
  <si>
    <t>Dividend Yield</t>
  </si>
  <si>
    <t>Dividend Growth Rate</t>
  </si>
  <si>
    <t>Consolidated EBITDA</t>
  </si>
  <si>
    <t>Current Shares Outstanding</t>
  </si>
  <si>
    <t>Equity Market Capitalization</t>
  </si>
  <si>
    <t>Enterprise Value</t>
  </si>
  <si>
    <t>Cash</t>
  </si>
  <si>
    <t>Total Capitalization</t>
  </si>
  <si>
    <t>Price to Earnings</t>
  </si>
  <si>
    <t>EV / EBITDA</t>
  </si>
  <si>
    <t>Return on Average Equity</t>
  </si>
  <si>
    <t>1Q16</t>
  </si>
  <si>
    <t>2Q16</t>
  </si>
  <si>
    <t>3Q16</t>
  </si>
  <si>
    <t>4Q16</t>
  </si>
  <si>
    <t>Model</t>
  </si>
  <si>
    <t>Debt Profile</t>
  </si>
  <si>
    <t>Period Ended</t>
  </si>
  <si>
    <t>Mty/Issue</t>
  </si>
  <si>
    <t>Rate</t>
  </si>
  <si>
    <t>Month</t>
  </si>
  <si>
    <t>Principal</t>
  </si>
  <si>
    <t>Maturities</t>
  </si>
  <si>
    <t>New Issues</t>
  </si>
  <si>
    <t>Net Annual Change</t>
  </si>
  <si>
    <t>Debt Maturities/Retirements</t>
  </si>
  <si>
    <t>Net Issuances (Maturities) and Interest Change</t>
  </si>
  <si>
    <t>Retirement of LT Debt</t>
  </si>
  <si>
    <t>PEG.N</t>
  </si>
  <si>
    <t>Public Service Enterprise Group Inc</t>
  </si>
  <si>
    <t>ADDITIONAL DATA REQUIRED FOR MODELWARE</t>
  </si>
  <si>
    <t>Other Modelware Items</t>
  </si>
  <si>
    <t>Unrecorded Goodwill from poolings,etc.</t>
  </si>
  <si>
    <t>Red "X" Should be on Row 477 - Insert/Delete Accordingly</t>
  </si>
  <si>
    <t>Statutory Tax Rate</t>
  </si>
  <si>
    <t>End of Period Basic Shares Out</t>
  </si>
  <si>
    <t>Gross PP&amp;E In Service</t>
  </si>
  <si>
    <t>Retained Earnings</t>
  </si>
  <si>
    <t>USD</t>
  </si>
  <si>
    <t>Year</t>
  </si>
  <si>
    <t>AGT</t>
  </si>
  <si>
    <t>GEN.N,mscalc:targetPrice,,,,USD</t>
  </si>
  <si>
    <t>GEN.N,mscalc:sedolCodeCalc</t>
  </si>
  <si>
    <t>GEN.N,mscalc:closePriceCurrencyCalc</t>
  </si>
  <si>
    <t>$Z$2</t>
  </si>
  <si>
    <t>Common Dividends, Total</t>
  </si>
  <si>
    <t>Ticker:</t>
  </si>
  <si>
    <t>Price Target</t>
  </si>
  <si>
    <t>Currency</t>
  </si>
  <si>
    <t>Current Stock Price</t>
  </si>
  <si>
    <t>Unit</t>
  </si>
  <si>
    <t>Count</t>
  </si>
  <si>
    <t>UFCF</t>
  </si>
  <si>
    <t>Interest</t>
  </si>
  <si>
    <t>Mass Hub</t>
  </si>
  <si>
    <t>Net Issuance</t>
  </si>
  <si>
    <t>Cash Taxes</t>
  </si>
  <si>
    <t>Total Capex</t>
  </si>
  <si>
    <t>Implied Market Aggregate Value/EBITDA</t>
  </si>
  <si>
    <t>Terminal Value</t>
  </si>
  <si>
    <t>On-Peak Regional Power Prices ($/MWh)</t>
  </si>
  <si>
    <t>Off-Peak Regional Power Prices ($/MWh)</t>
  </si>
  <si>
    <t>Coal Delivery Costs</t>
  </si>
  <si>
    <t>On-Peak Regional Heat Rates (btu/kWh)</t>
  </si>
  <si>
    <t>Off-Peak Regional Heat Rates (btu/kWh)</t>
  </si>
  <si>
    <t>Emissions Prices ($/ton)</t>
  </si>
  <si>
    <t>Maintenance Capex as a % of EBITDA</t>
  </si>
  <si>
    <t>Discounted Value of Cash Flows</t>
  </si>
  <si>
    <t>Profit Before Taxes</t>
  </si>
  <si>
    <t>Terminal EBITDA Multiple Calculation</t>
  </si>
  <si>
    <t>Term. Year Tax Basis as Multiple of EBITDA</t>
  </si>
  <si>
    <t>Inflation Rate</t>
  </si>
  <si>
    <t>Terminal Year Debt/EBITDA</t>
  </si>
  <si>
    <t>Discounted</t>
  </si>
  <si>
    <t>MACRS</t>
  </si>
  <si>
    <t>D&amp;A</t>
  </si>
  <si>
    <t xml:space="preserve">Year 1 </t>
  </si>
  <si>
    <t>Power Dividend</t>
  </si>
  <si>
    <t>Valuation Summary</t>
  </si>
  <si>
    <t>BULL-BEAR CASE VALUATION</t>
  </si>
  <si>
    <t>BEAR</t>
  </si>
  <si>
    <t>BASE</t>
  </si>
  <si>
    <t>BULL</t>
  </si>
  <si>
    <t>Group Average P/E</t>
  </si>
  <si>
    <t>Price Return Potential</t>
  </si>
  <si>
    <t>Total Return Potential</t>
  </si>
  <si>
    <t>Assumed Allowed Equity Ratio</t>
  </si>
  <si>
    <t>Rating:</t>
  </si>
  <si>
    <t>Price Target:</t>
  </si>
  <si>
    <t>Date:</t>
  </si>
  <si>
    <t>Stephen Byrd</t>
  </si>
  <si>
    <t>(212) 761-3865</t>
  </si>
  <si>
    <t>stephen.byrd@morganstanley.com</t>
  </si>
  <si>
    <t>Assumed Earned ROE</t>
  </si>
  <si>
    <t>Nuclear</t>
  </si>
  <si>
    <t>Other Non-Recurring Items</t>
  </si>
  <si>
    <t>Base O&amp;M</t>
  </si>
  <si>
    <t>Growth (YoY)</t>
  </si>
  <si>
    <t>Preferred Stock</t>
  </si>
  <si>
    <t xml:space="preserve">      % of Total</t>
  </si>
  <si>
    <t>CREDIT STATS</t>
  </si>
  <si>
    <t>Net Debt / LTM EBITDA</t>
  </si>
  <si>
    <t>LT Debt  / Total Capitaliztion</t>
  </si>
  <si>
    <t>1Q2012A</t>
  </si>
  <si>
    <t>Estimated Genco WACC</t>
  </si>
  <si>
    <t>WACC for Genco</t>
  </si>
  <si>
    <t>Revenues (Energy Only)</t>
  </si>
  <si>
    <t>Capacity Revenues</t>
  </si>
  <si>
    <t>Long-Term BGS Benefit</t>
  </si>
  <si>
    <t>Gas Rate Change (YoY)</t>
  </si>
  <si>
    <t>Gas Rate Change (includes rider)</t>
  </si>
  <si>
    <t>BGS Math</t>
  </si>
  <si>
    <t>Yr</t>
  </si>
  <si>
    <t>Auction</t>
  </si>
  <si>
    <t>Energy</t>
  </si>
  <si>
    <t>2012/13</t>
  </si>
  <si>
    <t>2013/14</t>
  </si>
  <si>
    <t>2014/15</t>
  </si>
  <si>
    <t>2015/16</t>
  </si>
  <si>
    <t>2011/12</t>
  </si>
  <si>
    <t>2010/11</t>
  </si>
  <si>
    <t>PSEG ($/mw-day)</t>
  </si>
  <si>
    <t>Hedge Recalculation</t>
  </si>
  <si>
    <t>BGS Twh</t>
  </si>
  <si>
    <t>BGS Price ($/mwh)</t>
  </si>
  <si>
    <t>Capacity ($/mwh)</t>
  </si>
  <si>
    <t>Ex-Capacity ($/mwh)</t>
  </si>
  <si>
    <t>Implied PJM-W Px</t>
  </si>
  <si>
    <t>Net Price ($/mwh)</t>
  </si>
  <si>
    <t>Net Margin ($/mwh)</t>
  </si>
  <si>
    <t>Net BGS ($/mwh)</t>
  </si>
  <si>
    <t>Hedge Price</t>
  </si>
  <si>
    <t>Hedging and BGS Breakdown</t>
  </si>
  <si>
    <t xml:space="preserve">Notes: </t>
  </si>
  <si>
    <t>BGS price net of capacity price</t>
  </si>
  <si>
    <t>Assumed hedged volumes, net of switching</t>
  </si>
  <si>
    <t>Company guidance</t>
  </si>
  <si>
    <t>Implied price based on above BGS and hedges</t>
  </si>
  <si>
    <t>BGS price less capacity, less costs of $13/mwh</t>
  </si>
  <si>
    <t>Wgt avg of net BGS and PJM-W + basis</t>
  </si>
  <si>
    <t>Hedges/ BGS</t>
  </si>
  <si>
    <t>Hedge/BGS Revenue Benefit</t>
  </si>
  <si>
    <t>NJ/PA Nuclear (Hope Creek, Salem, and Peach Bottom)</t>
  </si>
  <si>
    <t>w/ Basis</t>
  </si>
  <si>
    <t>NAPP</t>
  </si>
  <si>
    <t>ILB</t>
  </si>
  <si>
    <t>PJM East</t>
  </si>
  <si>
    <t>Coal (Delivery Cost $/t)</t>
  </si>
  <si>
    <t>ATSI</t>
  </si>
  <si>
    <t>PJM East  On</t>
  </si>
  <si>
    <t>Based on forwards</t>
  </si>
  <si>
    <t xml:space="preserve">      % of Total (ex securitization bonds)</t>
  </si>
  <si>
    <t>TERMINAL ASSUMPTIONS</t>
  </si>
  <si>
    <t>Natural Gas ($/mmbtu)</t>
  </si>
  <si>
    <t>MS Gas Assumption</t>
  </si>
  <si>
    <t>DIVERSIFIED P/E VALUATION</t>
  </si>
  <si>
    <t>Consensus</t>
  </si>
  <si>
    <t>Utility and Parent EPS</t>
  </si>
  <si>
    <t>Average Capacity Price ($/mw-day)</t>
  </si>
  <si>
    <t>Average Energy &amp; Capacity Price ($/mwh)</t>
  </si>
  <si>
    <t>Average Energy Price ($/mwh) - with hedges</t>
  </si>
  <si>
    <t>Embedded Energy &amp; Capacity Prices</t>
  </si>
  <si>
    <t>CT Gas Peaker (New Haven)</t>
  </si>
  <si>
    <t>average growth</t>
  </si>
  <si>
    <t>Hedge Benefit to EPS</t>
  </si>
  <si>
    <t>2707677</t>
  </si>
  <si>
    <t>2Q2012A</t>
  </si>
  <si>
    <t>3.95% Secured Medium-Term Notes, Series H due May 2042</t>
  </si>
  <si>
    <t>Implied PEG Valuation</t>
  </si>
  <si>
    <t>Updated as of</t>
  </si>
  <si>
    <t>Cinergy / HH</t>
  </si>
  <si>
    <t>NI Hub / HH</t>
  </si>
  <si>
    <t>ERCOT Houston / HH</t>
  </si>
  <si>
    <t>ERCOT North / HH</t>
  </si>
  <si>
    <t>ERCOT South / HH</t>
  </si>
  <si>
    <t>Palo Verde / SCAL</t>
  </si>
  <si>
    <t>SP 15 / SCAL</t>
  </si>
  <si>
    <t>NP 15 / SCAL</t>
  </si>
  <si>
    <t>Mid C / SCAL</t>
  </si>
  <si>
    <t>NY Zone G / Transco Z6</t>
  </si>
  <si>
    <t>NY Zone J / Transco Z6</t>
  </si>
  <si>
    <t>Transco 6</t>
  </si>
  <si>
    <t>Unannounced Capex - Solar/Gas/EE</t>
  </si>
  <si>
    <t>Growth</t>
  </si>
  <si>
    <t>Authorized/Assumed ROE - includes transmission</t>
  </si>
  <si>
    <t>Modeled</t>
  </si>
  <si>
    <t>Large Cap Regulated Group Average P/E</t>
  </si>
  <si>
    <t>Diversified Group Average P/E</t>
  </si>
  <si>
    <t>BUSINESS SEGMENT DATA (EPS / CAPEX)</t>
  </si>
  <si>
    <t>Taxes Other Than Income (YoY) - largely tracked</t>
  </si>
  <si>
    <t>1Q10</t>
  </si>
  <si>
    <t>2Q10</t>
  </si>
  <si>
    <t>3Q10</t>
  </si>
  <si>
    <t>4Q10</t>
  </si>
  <si>
    <t>NYMEX Natural Gas - HH</t>
  </si>
  <si>
    <t>1Q17</t>
  </si>
  <si>
    <t>2Q17</t>
  </si>
  <si>
    <t>3Q17</t>
  </si>
  <si>
    <t>4Q17</t>
  </si>
  <si>
    <t>Term. Value EBITDA Multiple</t>
  </si>
  <si>
    <t>Price Uplift</t>
  </si>
  <si>
    <t>Terminal Peak Spark</t>
  </si>
  <si>
    <t>$/mwh</t>
  </si>
  <si>
    <t>Terminal Peak HR</t>
  </si>
  <si>
    <t>btu/kwh</t>
  </si>
  <si>
    <t>No</t>
  </si>
  <si>
    <t>Yes</t>
  </si>
  <si>
    <t>2013 BGS Auction</t>
  </si>
  <si>
    <t>Note</t>
  </si>
  <si>
    <t>PJM-W Energy ATC</t>
  </si>
  <si>
    <t>Mid '13 to Mid '16</t>
  </si>
  <si>
    <t>Pass Through Costs</t>
  </si>
  <si>
    <t>E-W Basis</t>
  </si>
  <si>
    <t>Pure Margin</t>
  </si>
  <si>
    <t>2012 BGS Auction</t>
  </si>
  <si>
    <t>Ancillaries $3 + Trans $7 + Renewables $3</t>
  </si>
  <si>
    <t>MS Estimate</t>
  </si>
  <si>
    <t>PS Zone 12/13-14/15 @ 42% Load Factor</t>
  </si>
  <si>
    <t>PS Zone 13/14-15/16 @ 42% Load Factor</t>
  </si>
  <si>
    <t>Some ancillaries and other retail margin</t>
  </si>
  <si>
    <t>2011 BGS Auction</t>
  </si>
  <si>
    <t>PS Zone 11/12-13/14 @ 42% Load Factor</t>
  </si>
  <si>
    <t>Mid '12 to Mid '15</t>
  </si>
  <si>
    <t>Mid '11 to Mid '14</t>
  </si>
  <si>
    <t>Actual</t>
  </si>
  <si>
    <t>Calculation</t>
  </si>
  <si>
    <t>2016/17</t>
  </si>
  <si>
    <t>Weather Data</t>
  </si>
  <si>
    <t>THI Hours - Actual</t>
  </si>
  <si>
    <t>THI Hours - Normal</t>
  </si>
  <si>
    <t>Cooling/heating degree days above normal</t>
  </si>
  <si>
    <t>Sales growth due to weather</t>
  </si>
  <si>
    <t>Divisional factor</t>
  </si>
  <si>
    <t>EPS Impact, calculated</t>
  </si>
  <si>
    <t>3Q2012A</t>
  </si>
  <si>
    <t>Pass Through Costs ($/mwh)</t>
  </si>
  <si>
    <t>PJM West-East Basis ($/mwh)</t>
  </si>
  <si>
    <t>Gas Price Sensitivity ($/mmBtu)</t>
  </si>
  <si>
    <t>Implied Gas Price @ 11,000 HR</t>
  </si>
  <si>
    <t>4Q2012A</t>
  </si>
  <si>
    <t>2012A</t>
  </si>
  <si>
    <t>Year-End Guidance</t>
  </si>
  <si>
    <t>ISO-NE Maine</t>
  </si>
  <si>
    <t>MISO</t>
  </si>
  <si>
    <t>ISO-NE Connecticut</t>
  </si>
  <si>
    <t>ISO-NE NEMA-Boston</t>
  </si>
  <si>
    <t>Mass Hub / Transco Z6</t>
  </si>
  <si>
    <t>PJM East / Tetco M3</t>
  </si>
  <si>
    <t>1Q2013A</t>
  </si>
  <si>
    <t>2Q2013A</t>
  </si>
  <si>
    <t>2.375% Secured Medium-Term Notes, Series I due May 2023</t>
  </si>
  <si>
    <t>3.80% Secured Medium-Term Notes, Series H due January 2043</t>
  </si>
  <si>
    <t>Revenues (Energy &amp; Capacity)</t>
  </si>
  <si>
    <t>Weekly Price Deck</t>
  </si>
  <si>
    <t>Market Adjustment</t>
  </si>
  <si>
    <t>TEXAS</t>
  </si>
  <si>
    <t>HR Adjusted Gas</t>
  </si>
  <si>
    <t>Market HR</t>
  </si>
  <si>
    <t>MIDWEST</t>
  </si>
  <si>
    <t>Target Peak HR</t>
  </si>
  <si>
    <t>Market Peak HR</t>
  </si>
  <si>
    <t>Differential in Peak HR</t>
  </si>
  <si>
    <t>Appalachian Basis</t>
  </si>
  <si>
    <t>MS Target Basis - PJM/AD</t>
  </si>
  <si>
    <t>Market Basis - PJM</t>
  </si>
  <si>
    <t>Differential (PJM)</t>
  </si>
  <si>
    <t>Market Basis - AD</t>
  </si>
  <si>
    <t>Differential (AD)</t>
  </si>
  <si>
    <t>Target</t>
  </si>
  <si>
    <t>Delta</t>
  </si>
  <si>
    <t>MAAC ($/MW-Day)</t>
  </si>
  <si>
    <t>Base Maintenance</t>
  </si>
  <si>
    <t>Nuclear Expansion</t>
  </si>
  <si>
    <t>MAAC</t>
  </si>
  <si>
    <t>PSEG / PSEG North</t>
  </si>
  <si>
    <t>PS / PS North (1/3) to (1/2)</t>
  </si>
  <si>
    <t>MAAC (2/3) to (1/2)</t>
  </si>
  <si>
    <t>Implied Equity / FCF</t>
  </si>
  <si>
    <t>FFO (includes nuclear fuel amortization 2013+)</t>
  </si>
  <si>
    <t>PJM Gas Basis ($/mmbtu)</t>
  </si>
  <si>
    <t>Capacity Price Needed</t>
  </si>
  <si>
    <t>$/MW-d</t>
  </si>
  <si>
    <t>Additional Capex Opportunity</t>
  </si>
  <si>
    <t>AEP-Dayton / Tetco M3</t>
  </si>
  <si>
    <t>Per Company</t>
  </si>
  <si>
    <t>BGS-FP Filings</t>
  </si>
  <si>
    <t>Transmission Costs</t>
  </si>
  <si>
    <t>Renewable Costs</t>
  </si>
  <si>
    <t>Based on prior auctions</t>
  </si>
  <si>
    <t>East-West Basis</t>
  </si>
  <si>
    <t>Margin and Shaping</t>
  </si>
  <si>
    <t>Ancillary Services</t>
  </si>
  <si>
    <t>Sum of above</t>
  </si>
  <si>
    <t>Capacity Prices</t>
  </si>
  <si>
    <t>Mid '14 to Mid '17 Forward Pricing</t>
  </si>
  <si>
    <t>BGS Auction Forecast</t>
  </si>
  <si>
    <t>PJM-West Energy Price</t>
  </si>
  <si>
    <t>Assumed Price/Margin Change ($/mwh)</t>
  </si>
  <si>
    <t>Impact to EPS</t>
  </si>
  <si>
    <t>Impact to Margin/EBITDA ($mil)</t>
  </si>
  <si>
    <t>Baseload Hedged (%)</t>
  </si>
  <si>
    <t>Intermediate and Peaking Hedged (%)</t>
  </si>
  <si>
    <t>Baseload &amp; Other (Twh)</t>
  </si>
  <si>
    <t>Baseload &amp; Other ($/mwh)</t>
  </si>
  <si>
    <t>ISO-NE Connecticut ($/MW-Day)</t>
  </si>
  <si>
    <t>2013-2016 CAGR</t>
  </si>
  <si>
    <t>Energy Strong</t>
  </si>
  <si>
    <t>Fossil Growth Opportunities</t>
  </si>
  <si>
    <t>PSEG North On</t>
  </si>
  <si>
    <t>PSEG North Off</t>
  </si>
  <si>
    <t>PSEG North ATC Pirce</t>
  </si>
  <si>
    <t>3Q2013A</t>
  </si>
  <si>
    <t>4Q2013A</t>
  </si>
  <si>
    <t>2013A</t>
  </si>
  <si>
    <t>2.450% Senior unsecured notes, due Nov, 2018</t>
  </si>
  <si>
    <t>4.300% Senior unsecured notes, due Nov, 2023</t>
  </si>
  <si>
    <t>3.75% Secured Medium-Term Notes due 2024</t>
  </si>
  <si>
    <t>3.65% Secured Medium-Term Notes due 2042</t>
  </si>
  <si>
    <t>1Q2018E</t>
  </si>
  <si>
    <t>2Q2018E</t>
  </si>
  <si>
    <t>3Q2018E</t>
  </si>
  <si>
    <t>4Q2018E</t>
  </si>
  <si>
    <t>2018E</t>
  </si>
  <si>
    <t>1Q18</t>
  </si>
  <si>
    <t>2Q18</t>
  </si>
  <si>
    <t>3Q18</t>
  </si>
  <si>
    <t>4Q18</t>
  </si>
  <si>
    <t>Assumed 2018</t>
  </si>
  <si>
    <t>PJM TETCO M3</t>
  </si>
  <si>
    <t>NY A TETCO M3</t>
  </si>
  <si>
    <t>Electric Rate Change - Distribution (rate case)</t>
  </si>
  <si>
    <t>NY Zone ATC Price</t>
  </si>
  <si>
    <t>Baseload Power Price ($/MWh) - PJM East ATC</t>
  </si>
  <si>
    <t>Intermediate and Peaking Hedge Price ($/MWh) - PJM East Peak</t>
  </si>
  <si>
    <t>1Q2014A</t>
  </si>
  <si>
    <t>2Q2014A</t>
  </si>
  <si>
    <t>1.80% Secured Medium-Term Notes, Series I due June 2019</t>
  </si>
  <si>
    <t>4.00% Secured Medium-Term Notes, Series I due June 2044</t>
  </si>
  <si>
    <t>% Gas on Margin</t>
  </si>
  <si>
    <t>HR Assumption at $4 Gas</t>
  </si>
  <si>
    <t>Assumed Gas ($/mmBtu)</t>
  </si>
  <si>
    <t>Target Power Price Move ($/MWh)</t>
  </si>
  <si>
    <t>PS/PS-North ($/MW-Day)</t>
  </si>
  <si>
    <t>MS Power/Basis View ("No" uses forwards)</t>
  </si>
  <si>
    <t>2014 BGS Auction</t>
  </si>
  <si>
    <t>BGS-FP Filings w/ $156.39/mw-day firm transmission</t>
  </si>
  <si>
    <t>2017/18</t>
  </si>
  <si>
    <t>Mid '15 to Mid '18 Forward Pricing</t>
  </si>
  <si>
    <t>PS '15/16-'17/18of $200/mw-day @ 37% Load Factor</t>
  </si>
  <si>
    <t>BGS-FP Filings w/ $199.15/mw-day firm transmission</t>
  </si>
  <si>
    <t>https://www.pseg.com/family/pseandg/tariffs/electric/pdf/electric_history_completetariffs/etariff_2014_sep1.pdf</t>
  </si>
  <si>
    <t>PS/PS-North Avg '14/15-'16/17of $189/mw-day @ 37% Load Factor</t>
  </si>
  <si>
    <t>Portion Hedged via BGS Auctions (%)</t>
  </si>
  <si>
    <t>Portion Hedged in Single Auction (TWh)</t>
  </si>
  <si>
    <t>Total Annual Generation (TWh)</t>
  </si>
  <si>
    <t>PSEG Power Sensitivity to $10/MWh</t>
  </si>
  <si>
    <t>Terminal PJM</t>
  </si>
  <si>
    <t>$/MWh</t>
  </si>
  <si>
    <t>David Arcaro</t>
  </si>
  <si>
    <t>(212) 761-1817</t>
  </si>
  <si>
    <t>david.arcaro@morganstanley.com</t>
  </si>
  <si>
    <t>Capacity</t>
  </si>
  <si>
    <t>Other Pass Through</t>
  </si>
  <si>
    <t>Plant Drivers and Assumptions</t>
  </si>
  <si>
    <t>Operating Expense ($/kw-yr)</t>
  </si>
  <si>
    <t>Contract/Power Price ($/mwh)</t>
  </si>
  <si>
    <t>Solar Renewable Energy Credit ($/mwh)</t>
  </si>
  <si>
    <t>Total Power Price</t>
  </si>
  <si>
    <t>Financials</t>
  </si>
  <si>
    <t>Revenues</t>
  </si>
  <si>
    <t>SOLAR</t>
  </si>
  <si>
    <t>PP&amp;E</t>
  </si>
  <si>
    <t>2014A</t>
  </si>
  <si>
    <t>3Q2014A</t>
  </si>
  <si>
    <t>4Q2014A</t>
  </si>
  <si>
    <t>1Q2015A</t>
  </si>
  <si>
    <t>2.300% Series E secured medium-term notes, due 05/01/18</t>
  </si>
  <si>
    <t>2.00% Secured Medium-Term Notes, Series I due August 2019</t>
  </si>
  <si>
    <t>3.15% Secured Medium-Term Notes, Series I due August 2024</t>
  </si>
  <si>
    <t>3.05% Secured Medium-Term Notes, Series I due November 2024</t>
  </si>
  <si>
    <t>1Q2019E</t>
  </si>
  <si>
    <t>2Q2019E</t>
  </si>
  <si>
    <t>3Q2019E</t>
  </si>
  <si>
    <t>4Q2019E</t>
  </si>
  <si>
    <t>2019E</t>
  </si>
  <si>
    <t>1Q2020E</t>
  </si>
  <si>
    <t>2Q2020E</t>
  </si>
  <si>
    <t>3Q2020E</t>
  </si>
  <si>
    <t>4Q2020E</t>
  </si>
  <si>
    <t>2020E</t>
  </si>
  <si>
    <t>1Q20</t>
  </si>
  <si>
    <t>2Q20</t>
  </si>
  <si>
    <t>3Q20</t>
  </si>
  <si>
    <t>4Q20</t>
  </si>
  <si>
    <t>1Q19</t>
  </si>
  <si>
    <t>2Q19</t>
  </si>
  <si>
    <t>3Q19</t>
  </si>
  <si>
    <t>4Q19</t>
  </si>
  <si>
    <t>Assumed 2019</t>
  </si>
  <si>
    <t>Assumed 2020</t>
  </si>
  <si>
    <t>EPS 2014-2019 CAGR</t>
  </si>
  <si>
    <t>Gas/Power Sensitivity Assumption:</t>
  </si>
  <si>
    <t>Gas Price:</t>
  </si>
  <si>
    <t>Chicago Basis</t>
  </si>
  <si>
    <t>Indy Hub Basis</t>
  </si>
  <si>
    <t>Off-Peak Heat Rate Adjustments</t>
  </si>
  <si>
    <t>Solar Expansion</t>
  </si>
  <si>
    <t>Solar additions (MW)</t>
  </si>
  <si>
    <t>Cumulative solar on-line (MW)</t>
  </si>
  <si>
    <t>Assumed Starting Solar MW On-Line</t>
  </si>
  <si>
    <t>Carbon Price Impact</t>
  </si>
  <si>
    <t>Carbon Price ($/Ton)</t>
  </si>
  <si>
    <t>Coal Emissions Rate (ton/MWh)</t>
  </si>
  <si>
    <t>Marginal Gas Emissions Rate (ton/MWh)</t>
  </si>
  <si>
    <t>Texas</t>
  </si>
  <si>
    <t>Power Price Impact</t>
  </si>
  <si>
    <t>Power Price Impact for Model ($/MWh):</t>
  </si>
  <si>
    <t>Heat Rate Adder (btu/kWh)</t>
  </si>
  <si>
    <t>PJM / Texas Carbon Price ($/ton)</t>
  </si>
  <si>
    <t>Incl. Carbon</t>
  </si>
  <si>
    <t>PJM/TX Carbon</t>
  </si>
  <si>
    <t>Carbon Allowance Cost ($/Ton)</t>
  </si>
  <si>
    <t>Gas Peaker Allowance Cost ($/MWh)</t>
  </si>
  <si>
    <t>Carbon Intensity (Tons/MWh)</t>
  </si>
  <si>
    <t>CCGT Allowance Cost ($/MWh)</t>
  </si>
  <si>
    <t>Coal Plant Allowance Cost ($/MWh)</t>
  </si>
  <si>
    <t>RGGI Carbon Price</t>
  </si>
  <si>
    <t>CCGT Emisisons Rate ($/MWh)</t>
  </si>
  <si>
    <t>Coal Emisisons Rate ($/MWh)</t>
  </si>
  <si>
    <t>MD CC (Keys Energy Center)</t>
  </si>
  <si>
    <t>NJ CC (Bergen, Linden &amp; Sewaren 7)</t>
  </si>
  <si>
    <t>EMAAC</t>
  </si>
  <si>
    <t>Average PJM Capacity Price ($/mw-day)</t>
  </si>
  <si>
    <t>Uplift ($/mw-day)</t>
  </si>
  <si>
    <t>Uplift - Capacity Revenue ($m)</t>
  </si>
  <si>
    <t>Disclosed Average PJM Capacity Price ($/mw-day)</t>
  </si>
  <si>
    <t>PJM Capacity Revenue Pre-Uplift</t>
  </si>
  <si>
    <t>PJM Capacity Revenue Post-Uplift</t>
  </si>
  <si>
    <t>EMAAC ($/MW-Day)</t>
  </si>
  <si>
    <t>N/A</t>
  </si>
  <si>
    <t>Arman Tabatabai</t>
  </si>
  <si>
    <t>(212) 761-6358</t>
  </si>
  <si>
    <t>arman.tabatabai@morganstanley.com</t>
  </si>
  <si>
    <t>2Q2015A</t>
  </si>
  <si>
    <t>3Q2015A</t>
  </si>
  <si>
    <t>3.00% Secured Medium-Term Notes, Series K due May 2025</t>
  </si>
  <si>
    <t>4.05% Secured Medium-Term Notes, Series K due May 2045</t>
  </si>
  <si>
    <t>2016 BGS Auction</t>
  </si>
  <si>
    <t>2015 BGS Auction</t>
  </si>
  <si>
    <t>2018/19</t>
  </si>
  <si>
    <t>BGS-FP Filings w/ $226/mw-day firm transmission</t>
  </si>
  <si>
    <t>PS '16/17-'18/19 of $220/mw-day @ 37% Load Factor</t>
  </si>
  <si>
    <t xml:space="preserve"> '16 to '19 Forward Pricing</t>
  </si>
  <si>
    <t>Auction Components</t>
  </si>
  <si>
    <t>4.15% Secured Medium-Term Notes, Series K due November  2045</t>
  </si>
  <si>
    <t>1 month LIBOR + 0.875%, due November 2017</t>
  </si>
  <si>
    <t>4Q2015A</t>
  </si>
  <si>
    <t>2015A</t>
  </si>
  <si>
    <t>Gas System Modernization Program</t>
  </si>
  <si>
    <t>BONUS DEPRECIATION</t>
  </si>
  <si>
    <t>Weighted capex</t>
  </si>
  <si>
    <t>Annual proportion</t>
  </si>
  <si>
    <t>Bonus depreciation percentage</t>
  </si>
  <si>
    <t>CT CC (Bridgeport)</t>
  </si>
  <si>
    <t>CT Gas CC (Bridgeport)</t>
  </si>
  <si>
    <t>Bridgeport Capacity Revenue</t>
  </si>
  <si>
    <t>Bridgeport Capacity Price ($/MW-day)</t>
  </si>
  <si>
    <t>BGSS</t>
  </si>
  <si>
    <t xml:space="preserve">LIPA/Kalaeloa </t>
  </si>
  <si>
    <t>PJM West + Ancillaries ($/mwh)</t>
  </si>
  <si>
    <t>2015-2018 CAGR</t>
  </si>
  <si>
    <t>1Q2016A</t>
  </si>
  <si>
    <t>1.90% Secured Medium-Term Notes, Series K due March 2021</t>
  </si>
  <si>
    <t>3.80% Secured Medium-Term Notes, Series K due March 2046</t>
  </si>
  <si>
    <t>2Q2016A</t>
  </si>
  <si>
    <t>3.0% Senior Notes, due June, 2021</t>
  </si>
  <si>
    <t>Ethan Ellison</t>
  </si>
  <si>
    <t>(212) 296-5124</t>
  </si>
  <si>
    <t>ethan.ellison@morganstanley.com</t>
  </si>
  <si>
    <t>EMAAC (2018/19 + Only)</t>
  </si>
  <si>
    <t>Pre-2019/2020 % cleared</t>
  </si>
  <si>
    <t>Post-2019/2020 % cleared</t>
  </si>
  <si>
    <t>Average Growth</t>
  </si>
  <si>
    <t>3Q2016A</t>
  </si>
  <si>
    <t>2.25% Secured Medium-Term Notes, Series L due September 2026,</t>
  </si>
  <si>
    <t>1Q2021E</t>
  </si>
  <si>
    <t>2Q2021E</t>
  </si>
  <si>
    <t>3Q2021E</t>
  </si>
  <si>
    <t>4Q2021E</t>
  </si>
  <si>
    <t>2021E</t>
  </si>
  <si>
    <t>1Q21</t>
  </si>
  <si>
    <t>2Q21</t>
  </si>
  <si>
    <t>3Q21</t>
  </si>
  <si>
    <t>4Q21</t>
  </si>
  <si>
    <t>2021 Forward Gas</t>
  </si>
  <si>
    <t>Assumed 2021</t>
  </si>
  <si>
    <t>Differential vs 2021</t>
  </si>
  <si>
    <t>2017 BGS Auction</t>
  </si>
  <si>
    <t>2019/20</t>
  </si>
  <si>
    <t xml:space="preserve"> '17 to '20 Forward Pricing</t>
  </si>
  <si>
    <t>Green Program</t>
  </si>
  <si>
    <t>Solar Pilot</t>
  </si>
  <si>
    <t>Load Factor</t>
  </si>
  <si>
    <t>Peak Load For BGS</t>
  </si>
  <si>
    <t>MWh for BGS</t>
  </si>
  <si>
    <t>Hourly Avg</t>
  </si>
  <si>
    <t>Implied Load Factor</t>
  </si>
  <si>
    <t>MW</t>
  </si>
  <si>
    <t>MWh</t>
  </si>
  <si>
    <t>BGS-FP Filings w/ $249.93/mw-day firm transmission</t>
  </si>
  <si>
    <t>Portion of Total 2018 MS PEG EPS (%)</t>
  </si>
  <si>
    <t>PS '17/18-'19/20 of $187/mw-day @ 38% Load Factor</t>
  </si>
  <si>
    <t>Energy Efficiency &amp; Renewable Energy</t>
  </si>
  <si>
    <t>2017-2021</t>
  </si>
  <si>
    <t>Assumed based on auction results</t>
  </si>
  <si>
    <t>2016A</t>
  </si>
  <si>
    <t>4Q2016A</t>
  </si>
  <si>
    <t>1.60% Senior notes due 2019</t>
  </si>
  <si>
    <t>2.00% Senior notes due 2021</t>
  </si>
  <si>
    <t>2016-21</t>
  </si>
  <si>
    <t>Electric Rate Change - Distribution w/ rider</t>
  </si>
  <si>
    <t>1Q2017A</t>
  </si>
  <si>
    <t>2Q2017A</t>
  </si>
  <si>
    <t>3.00% Secured Medium-Term Notes, Series L due May 2027</t>
  </si>
  <si>
    <t>Term loan maturing June 2019</t>
  </si>
  <si>
    <t>2017-21</t>
  </si>
  <si>
    <t>ZECs NPV</t>
  </si>
  <si>
    <t>NPV</t>
  </si>
  <si>
    <t>NJ ZEC Per Share Benefit</t>
  </si>
  <si>
    <t>Shares Out</t>
  </si>
  <si>
    <t>Annual CF</t>
  </si>
  <si>
    <t>ZEC WACC Calculation</t>
  </si>
  <si>
    <t>Debt/EBITDA</t>
  </si>
  <si>
    <t>Estimated WACC</t>
  </si>
  <si>
    <t>NPV of ZECs</t>
  </si>
  <si>
    <t>Salem 1</t>
  </si>
  <si>
    <t>Salem 2</t>
  </si>
  <si>
    <t>Hope Creek</t>
  </si>
  <si>
    <t>MW Capacity</t>
  </si>
  <si>
    <t>3Q2017A</t>
  </si>
  <si>
    <t>On-peak</t>
  </si>
  <si>
    <t>Off-peak</t>
  </si>
  <si>
    <t>2018 BGS Auction</t>
  </si>
  <si>
    <t>PS '18/19-'20/21 of $178/mw-day @ 38% Load Factor</t>
  </si>
  <si>
    <t>Basis</t>
  </si>
  <si>
    <t xml:space="preserve"> '18 to '21 Forward Pricing</t>
  </si>
  <si>
    <t>mid 18 - 19</t>
  </si>
  <si>
    <t>mid 19 - 20</t>
  </si>
  <si>
    <t>BGS-FP Filings w/ $277.25/mw-day firm transmission</t>
  </si>
  <si>
    <t>mid 20 - 21</t>
  </si>
  <si>
    <t>2020/21</t>
  </si>
  <si>
    <t>2018-2022</t>
  </si>
  <si>
    <t>Overweight</t>
  </si>
  <si>
    <t>2017A</t>
  </si>
  <si>
    <t>4Q2017A</t>
  </si>
  <si>
    <t>2.65% Senior notes due 2022</t>
  </si>
  <si>
    <t>3.60% Secured Medium-Term Notes, Series K due 2047</t>
  </si>
  <si>
    <t>Taxes Paid @ 26%</t>
  </si>
  <si>
    <t>54</t>
  </si>
  <si>
    <t xml:space="preserve">$3.14 </t>
  </si>
  <si>
    <t xml:space="preserve">$3.21 </t>
  </si>
  <si>
    <t xml:space="preserve">$3.25 </t>
  </si>
  <si>
    <t xml:space="preserve">$3.49 </t>
  </si>
  <si>
    <t>Research</t>
  </si>
  <si>
    <t>MSA54148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</si>
  <si>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</si>
  <si>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</si>
  <si>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</si>
  <si>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</si>
  <si>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</si>
  <si>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</si>
  <si>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</si>
  <si>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Stephen Byrd</t>
  </si>
  <si>
    <t>Date: 13 Apr 2018</t>
  </si>
  <si>
    <t>Ticker: PEG.N</t>
  </si>
  <si>
    <t>Stock Rating: Overweight</t>
  </si>
  <si>
    <t>Industry: Diversified Utilities / IPPs</t>
  </si>
  <si>
    <t>Industry View: Attractive</t>
  </si>
  <si>
    <t>Price as of 13 Apr 2018: 49.83</t>
  </si>
  <si>
    <t>Target Price: 57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</si>
  <si>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</si>
  <si>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</si>
  <si>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</si>
  <si>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</si>
  <si>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Public Service Enterprise Group Inc.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</si>
  <si>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</si>
  <si>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</si>
  <si>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</si>
  <si>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</si>
  <si>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</si>
  <si>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</si>
  <si>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</si>
  <si>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</si>
  <si>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</si>
  <si>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</si>
  <si>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</si>
  <si>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</si>
  <si>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</si>
  <si>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</si>
  <si>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</si>
  <si>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</si>
  <si>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</si>
  <si>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</si>
  <si>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</si>
  <si>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</si>
  <si>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</si>
  <si>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</si>
  <si>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</si>
  <si>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</si>
  <si>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</si>
  <si>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</si>
  <si>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</si>
  <si>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</si>
  <si>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</si>
  <si>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</si>
  <si>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</si>
  <si>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</si>
  <si>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</si>
  <si>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</si>
  <si>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</si>
  <si>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</si>
  <si>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</si>
  <si>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</si>
  <si>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</si>
  <si>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</si>
  <si>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</si>
  <si>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</si>
  <si>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</si>
  <si>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</si>
  <si>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</si>
  <si>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</si>
  <si>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</si>
  <si>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</si>
  <si>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</si>
  <si>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</si>
  <si>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</si>
  <si>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</si>
  <si>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</si>
  <si>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</si>
  <si>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</si>
  <si>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</si>
  <si>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</si>
  <si>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</si>
  <si>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</si>
  <si>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</si>
  <si>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</si>
  <si>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</si>
  <si>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</si>
  <si>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</si>
  <si>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</si>
  <si>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</si>
  <si>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</si>
  <si>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</si>
  <si>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</si>
  <si>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</si>
  <si>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</si>
  <si>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</si>
  <si>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</si>
  <si>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</si>
  <si>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</si>
  <si>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</si>
  <si>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</si>
  <si>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</si>
  <si>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</si>
  <si>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</si>
  <si>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</si>
  <si>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</si>
  <si>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</si>
  <si>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</si>
  <si>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</si>
  <si>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</si>
  <si>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</si>
  <si>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</si>
  <si>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</si>
  <si>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</si>
  <si>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</si>
  <si>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</si>
  <si>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</si>
  <si>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</si>
  <si>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</si>
  <si>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</si>
  <si>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</si>
  <si>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</si>
  <si>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</si>
  <si>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</si>
  <si>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</si>
  <si>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</si>
  <si>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</si>
  <si>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</si>
  <si>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</si>
  <si>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</si>
  <si>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</si>
  <si>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</si>
  <si>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</si>
  <si>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</si>
  <si>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</si>
  <si>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</si>
  <si>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</si>
  <si>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</si>
  <si>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</si>
  <si>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</si>
  <si>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</si>
  <si>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</si>
  <si>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</si>
  <si>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</si>
  <si>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</si>
  <si>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</si>
  <si>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</si>
  <si>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</si>
  <si>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</si>
  <si>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</si>
  <si>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</si>
  <si>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</si>
  <si>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</si>
  <si>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</si>
  <si>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</si>
  <si>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</si>
  <si>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</si>
  <si>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</si>
  <si>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</si>
  <si>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</si>
  <si>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</si>
  <si>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</si>
  <si>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</si>
  <si>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</si>
  <si>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</si>
  <si>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</si>
  <si>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</si>
  <si>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</si>
  <si>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</si>
  <si>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</si>
  <si>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</si>
  <si>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</si>
  <si>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</si>
  <si>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</si>
  <si>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</si>
  <si>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</si>
  <si>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</si>
  <si>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</si>
  <si>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</si>
  <si>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</si>
  <si>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</si>
  <si>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</si>
  <si>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</si>
  <si>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</si>
  <si>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</si>
  <si>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</si>
  <si>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</si>
  <si>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</si>
  <si>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</si>
  <si>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</si>
  <si>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</si>
  <si>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</si>
  <si>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</si>
  <si>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</si>
  <si>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</si>
  <si>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</si>
  <si>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</si>
  <si>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</si>
  <si>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</si>
  <si>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</si>
  <si>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Public Service Enterprise Group Inc.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</si>
  <si>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</si>
  <si>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</si>
  <si>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</si>
  <si>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</si>
  <si>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</si>
  <si>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</si>
  <si>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</si>
  <si>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</si>
  <si>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</si>
  <si>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</si>
  <si>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</si>
  <si>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</si>
  <si>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</si>
  <si>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</si>
  <si>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</si>
  <si>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</si>
  <si>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</si>
  <si>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</si>
  <si>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</si>
  <si>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</si>
  <si>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</si>
  <si>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</si>
  <si>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</si>
  <si>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</si>
  <si>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</si>
  <si>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</si>
  <si>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</si>
  <si>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</si>
  <si>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</si>
  <si>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</si>
  <si>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</si>
  <si>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</si>
  <si>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</si>
  <si>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</si>
  <si>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</si>
  <si>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</si>
  <si>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</si>
  <si>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</si>
  <si>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</si>
  <si>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</si>
  <si>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</si>
  <si>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</si>
  <si>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</si>
  <si>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</si>
  <si>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</si>
  <si>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</si>
  <si>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</si>
  <si>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</si>
  <si>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</si>
  <si>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</si>
  <si>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</si>
  <si>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</si>
  <si>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</si>
  <si>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</si>
  <si>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</si>
  <si>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</si>
  <si>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</si>
  <si>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</si>
  <si>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</si>
  <si>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</si>
  <si>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</si>
  <si>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</si>
  <si>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</si>
  <si>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</si>
  <si>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</si>
  <si>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</si>
  <si>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</si>
  <si>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</si>
  <si>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Public Service Enterprise Group Inc.</t>
  </si>
  <si>
    <t>Within the last 12 months, Morgan Stanley has provided or is providing investment banking services to,</t>
  </si>
  <si>
    <t>or has an investment banking client relationship with, the following company: Public Service Enterprise</t>
  </si>
  <si>
    <t>Group Inc.</t>
  </si>
  <si>
    <t>Within the last 12 months, Morgan Stanley has received compensation for products and services other than</t>
  </si>
  <si>
    <t>investment banking services from Public Service Enterprise Group Inc.</t>
  </si>
  <si>
    <t>In the next 3 months, Morgan Stanley expects to receive or intends to seek compensation for investment</t>
  </si>
  <si>
    <t>banking services from Public Service Enterprise Group Inc.</t>
  </si>
  <si>
    <t>Within the last 12 months, Morgan Stanley has received compensation for investment banking services from</t>
  </si>
  <si>
    <t>Public Service Enterprise Group Inc.</t>
  </si>
  <si>
    <t>Within the last 12 months, Morgan Stanley managed or co-managed a public offering (or 144A offering) of</t>
  </si>
  <si>
    <t>securities of Public Service Enterprise Group Inc.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</si>
  <si>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</si>
  <si>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</si>
  <si>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</si>
  <si>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</si>
  <si>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</si>
  <si>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Stephen C Byrd.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</si>
  <si>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</si>
  <si>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</si>
  <si>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</si>
  <si>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</si>
  <si>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</si>
  <si>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</si>
  <si>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</si>
  <si>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</si>
  <si>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</si>
  <si>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</si>
  <si>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</si>
  <si>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</si>
  <si>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</si>
  <si>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</si>
  <si>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</si>
  <si>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</si>
  <si>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</si>
  <si>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</si>
  <si>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</si>
  <si>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</si>
  <si>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</si>
  <si>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</si>
  <si>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</si>
  <si>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</si>
  <si>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</si>
  <si>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</si>
  <si>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</si>
  <si>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</si>
  <si>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</si>
  <si>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</si>
  <si>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</si>
  <si>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</si>
  <si>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</si>
  <si>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</si>
  <si>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</si>
  <si>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</si>
  <si>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</si>
  <si>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</si>
  <si>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</si>
  <si>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</si>
  <si>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</si>
  <si>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</si>
  <si>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</si>
  <si>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</si>
  <si>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</si>
  <si>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</si>
  <si>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</si>
  <si>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</si>
  <si>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</si>
  <si>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</si>
  <si>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</si>
  <si>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</si>
  <si>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</si>
  <si>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</si>
  <si>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</si>
  <si>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</si>
  <si>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</si>
  <si>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</si>
  <si>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</si>
  <si>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</si>
  <si>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</si>
  <si>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</si>
  <si>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</si>
  <si>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</si>
  <si>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</si>
  <si>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</si>
  <si>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Attractive</t>
  </si>
  <si>
    <t>Quarterly Update</t>
  </si>
  <si>
    <t>NorthAmerica</t>
  </si>
  <si>
    <t>elliseth</t>
  </si>
  <si>
    <t>L:\UTILITIES\Models\PEG\Published\PEG Model.xlsm</t>
  </si>
  <si>
    <t>[BRO MSA]</t>
  </si>
  <si>
    <t>[PRODUCT MODEL]</t>
  </si>
  <si>
    <t>[EMAIL_ALERT YES]</t>
  </si>
  <si>
    <t>[DISCIPLINE Company]</t>
  </si>
  <si>
    <t>[SUPPRESSED NO]</t>
  </si>
  <si>
    <t>[DOCDAT 2018-04-13]</t>
  </si>
  <si>
    <t>[DOCTIME 16:11]</t>
  </si>
  <si>
    <t>[PSYM PEG.N(S&amp;P) (None)]</t>
  </si>
  <si>
    <t>[COU 1]</t>
  </si>
  <si>
    <t>[ANA ]</t>
  </si>
  <si>
    <t>[HL PEG.N Model]</t>
  </si>
  <si>
    <t>[IND ELECCO]</t>
  </si>
  <si>
    <t>[PANA MSA54148]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</si>
</sst>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\ yy"/>
    <numFmt numFmtId="166" formatCode="[$-F400]h:mm:ss\ AM/PM"/>
    <numFmt numFmtId="167" formatCode="0.0%"/>
    <numFmt numFmtId="168" formatCode="#,##0.0"/>
    <numFmt numFmtId="169" formatCode="0.0\x"/>
    <numFmt numFmtId="170" formatCode="#,##0.0000"/>
    <numFmt numFmtId="172" formatCode="m/d/yy;@"/>
    <numFmt numFmtId="173" formatCode="0&quot;A&quot;"/>
    <numFmt numFmtId="174" formatCode="0&quot;E&quot;"/>
    <numFmt numFmtId="176" formatCode="0.00_);\(0.00\)"/>
    <numFmt numFmtId="179" formatCode="0.0"/>
    <numFmt numFmtId="180" formatCode="_(* #,##0_);_(* \(#,##0\);_(* &quot;-&quot;??_);_(@_)"/>
    <numFmt numFmtId="181" formatCode="0_);\(0\)"/>
    <numFmt numFmtId="182" formatCode="_(* #,##0.0_);_(* \(#,##0.0\);_(* &quot;-&quot;??_);_(@_)"/>
    <numFmt numFmtId="183" formatCode="0000&quot;E&quot;"/>
    <numFmt numFmtId="184" formatCode="0.0_);[Red]\(0.0\)"/>
    <numFmt numFmtId="185" formatCode="0_);[Red]\(0\)"/>
    <numFmt numFmtId="186" formatCode="0.000%"/>
    <numFmt numFmtId="187" formatCode="_(&quot;$&quot;* #,##0_);_(&quot;$&quot;* \(#,##0\);_(&quot;$&quot;* &quot;-&quot;??_);_(@_)"/>
    <numFmt numFmtId="188" formatCode="0000&quot;A&quot;"/>
    <numFmt numFmtId="189" formatCode="#,##0.0_);[Red]\(#,##0.0\)"/>
    <numFmt numFmtId="190" formatCode="&quot;$&quot;#,##0.0_);[Red]\(&quot;$&quot;#,##0.0\)"/>
    <numFmt numFmtId="191" formatCode="&quot;$&quot;#,##0.0"/>
    <numFmt numFmtId="192" formatCode="[$-409]mmmm\ d\,\ yyyy;@"/>
    <numFmt numFmtId="193" formatCode="_(* #,##0.000_);_(* \(#,##0.000\);_(* &quot;-&quot;??_);_(@_)"/>
    <numFmt numFmtId="194" formatCode="_(* #,##0.0000_);_(* \(#,##0.0000\);_(* &quot;-&quot;??_);_(@_)"/>
    <numFmt numFmtId="195" formatCode="&quot;$&quot;#,##0.000_);[Red]\(&quot;$&quot;#,##0.000\)"/>
    <numFmt numFmtId="196" formatCode="General&quot;E&quot;"/>
    <numFmt numFmtId="202" formatCode="mm/dd/yy\ hh:mm"/>
  </numFmts>
  <fonts count="14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color indexed="12"/>
      <name val="Arial"/>
      <family val="2"/>
    </font>
    <font>
      <b/>
      <sz val="14"/>
      <color indexed="9"/>
      <name val="Arial"/>
      <family val="2"/>
    </font>
    <font>
      <b/>
      <sz val="10"/>
      <color indexed="16"/>
      <name val="Arial"/>
      <family val="2"/>
    </font>
    <font>
      <b/>
      <sz val="10"/>
      <name val="Arial"/>
      <family val="2"/>
    </font>
    <font>
      <sz val="10"/>
      <color indexed="54"/>
      <name val="Arial"/>
      <family val="2"/>
    </font>
    <font>
      <sz val="10"/>
      <color indexed="16"/>
      <name val="Arial"/>
      <family val="2"/>
    </font>
    <font>
      <b/>
      <sz val="10"/>
      <color indexed="16"/>
      <name val="Arial"/>
      <family val="2"/>
    </font>
    <font>
      <sz val="12"/>
      <name val="Arial"/>
      <family val="2"/>
    </font>
    <font>
      <b/>
      <sz val="12"/>
      <color indexed="16"/>
      <name val="Arial"/>
      <family val="2"/>
    </font>
    <font>
      <sz val="12"/>
      <color indexed="16"/>
      <name val="Arial"/>
      <family val="2"/>
    </font>
    <font>
      <sz val="10"/>
      <color indexed="46"/>
      <name val="Arial"/>
      <family val="2"/>
    </font>
    <font>
      <i/>
      <sz val="10"/>
      <color indexed="9"/>
      <name val="Arial"/>
      <family val="2"/>
    </font>
    <font>
      <sz val="10"/>
      <color indexed="9"/>
      <name val="Arial"/>
      <family val="2"/>
    </font>
    <font>
      <sz val="12"/>
      <color indexed="53"/>
      <name val="Arial"/>
      <family val="2"/>
    </font>
    <font>
      <sz val="10"/>
      <color indexed="53"/>
      <name val="Arial"/>
      <family val="2"/>
    </font>
    <font>
      <sz val="10"/>
      <color indexed="16"/>
      <name val="Arial"/>
      <family val="2"/>
    </font>
    <font>
      <i/>
      <sz val="10"/>
      <name val="Arial"/>
      <family val="2"/>
    </font>
    <font>
      <b/>
      <sz val="10"/>
      <color indexed="8"/>
      <name val="Arial"/>
      <family val="2"/>
    </font>
    <font>
      <u/>
      <sz val="10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i/>
      <sz val="10"/>
      <color indexed="9"/>
      <name val="Arial"/>
      <family val="2"/>
    </font>
    <font>
      <b/>
      <sz val="8"/>
      <color indexed="16"/>
      <name val="Arial"/>
      <family val="2"/>
    </font>
    <font>
      <sz val="10"/>
      <color indexed="8"/>
      <name val="Arial"/>
      <family val="2"/>
    </font>
    <font>
      <b/>
      <i/>
      <sz val="10"/>
      <color indexed="9"/>
      <name val="Arial"/>
      <family val="2"/>
    </font>
    <font>
      <sz val="10"/>
      <color indexed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indexed="60"/>
      <name val="Arial"/>
      <family val="2"/>
    </font>
    <font>
      <sz val="10"/>
      <color indexed="52"/>
      <name val="Arial"/>
      <family val="2"/>
    </font>
    <font>
      <b/>
      <sz val="10"/>
      <color indexed="63"/>
      <name val="Arial"/>
      <family val="2"/>
    </font>
    <font>
      <sz val="10"/>
      <color indexed="63"/>
      <name val="Arial"/>
      <family val="2"/>
    </font>
    <font>
      <sz val="10"/>
      <color indexed="63"/>
      <name val="Arial"/>
      <family val="2"/>
    </font>
    <font>
      <b/>
      <sz val="8"/>
      <color indexed="63"/>
      <name val="Arial"/>
      <family val="2"/>
    </font>
    <font>
      <sz val="10"/>
      <color indexed="9"/>
      <name val="Arial"/>
      <family val="2"/>
    </font>
    <font>
      <sz val="10"/>
      <color indexed="51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u/>
      <sz val="10"/>
      <name val="Arial"/>
      <family val="2"/>
    </font>
    <font>
      <b/>
      <sz val="12"/>
      <color indexed="16"/>
      <name val="Arial"/>
      <family val="2"/>
    </font>
    <font>
      <sz val="12"/>
      <color indexed="16"/>
      <name val="Arial"/>
      <family val="2"/>
    </font>
    <font>
      <sz val="10"/>
      <name val="MS Sans Serif"/>
      <family val="2"/>
    </font>
    <font>
      <b/>
      <sz val="10"/>
      <color indexed="23"/>
      <name val="Arial"/>
      <family val="2"/>
    </font>
    <font>
      <sz val="10"/>
      <color indexed="11"/>
      <name val="Arial"/>
      <family val="2"/>
    </font>
    <font>
      <b/>
      <sz val="7"/>
      <color indexed="16"/>
      <name val="Arial"/>
      <family val="2"/>
    </font>
    <font>
      <b/>
      <sz val="12"/>
      <color indexed="9"/>
      <name val="Arial"/>
      <family val="2"/>
    </font>
    <font>
      <sz val="10"/>
      <color indexed="52"/>
      <name val="Arial"/>
      <family val="2"/>
    </font>
    <font>
      <sz val="10"/>
      <color indexed="13"/>
      <name val="Arial"/>
      <family val="2"/>
    </font>
    <font>
      <sz val="10"/>
      <color indexed="10"/>
      <name val="Arial"/>
      <family val="2"/>
    </font>
    <font>
      <sz val="11"/>
      <color indexed="8"/>
      <name val="Calibri"/>
      <family val="2"/>
    </font>
    <font>
      <b/>
      <sz val="12"/>
      <color indexed="9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Verdana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4"/>
      <color indexed="9"/>
      <name val="Arial"/>
      <family val="2"/>
    </font>
    <font>
      <sz val="10"/>
      <name val="Arial"/>
      <family val="2"/>
    </font>
    <font>
      <b/>
      <u/>
      <sz val="10"/>
      <color indexed="63"/>
      <name val="Arial"/>
      <family val="2"/>
    </font>
    <font>
      <sz val="7"/>
      <name val="Arial"/>
      <family val="2"/>
    </font>
    <font>
      <b/>
      <sz val="18"/>
      <color indexed="9"/>
      <name val="Arial"/>
      <family val="2"/>
    </font>
    <font>
      <b/>
      <sz val="11"/>
      <color indexed="16"/>
      <name val="Arial"/>
      <family val="2"/>
    </font>
    <font>
      <sz val="11"/>
      <name val="Arial"/>
      <family val="2"/>
    </font>
    <font>
      <b/>
      <sz val="10"/>
      <color indexed="52"/>
      <name val="Arial"/>
      <family val="2"/>
    </font>
    <font>
      <i/>
      <sz val="10"/>
      <color indexed="63"/>
      <name val="Arial"/>
      <family val="2"/>
    </font>
    <font>
      <b/>
      <i/>
      <sz val="10"/>
      <name val="Arial"/>
      <family val="2"/>
    </font>
    <font>
      <sz val="10"/>
      <color indexed="60"/>
      <name val="Arial"/>
      <family val="2"/>
    </font>
    <font>
      <b/>
      <sz val="10"/>
      <color indexed="63"/>
      <name val="Arial"/>
      <family val="2"/>
    </font>
    <font>
      <i/>
      <sz val="10"/>
      <color indexed="55"/>
      <name val="Arial"/>
      <family val="2"/>
    </font>
    <font>
      <sz val="8"/>
      <color indexed="55"/>
      <name val="Arial"/>
      <family val="2"/>
    </font>
    <font>
      <b/>
      <sz val="10"/>
      <color indexed="24"/>
      <name val="Arial"/>
      <family val="2"/>
    </font>
    <font>
      <sz val="10"/>
      <color indexed="46"/>
      <name val="Arial"/>
      <family val="2"/>
    </font>
    <font>
      <b/>
      <sz val="12"/>
      <color indexed="12"/>
      <name val="Arial"/>
      <family val="2"/>
    </font>
    <font>
      <i/>
      <sz val="10"/>
      <color indexed="52"/>
      <name val="Arial"/>
      <family val="2"/>
    </font>
    <font>
      <sz val="8"/>
      <color indexed="9"/>
      <name val="Arial"/>
      <family val="2"/>
    </font>
    <font>
      <sz val="7"/>
      <color indexed="22"/>
      <name val="Arial"/>
      <family val="2"/>
    </font>
    <font>
      <sz val="10"/>
      <color indexed="6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0"/>
      <color indexed="8"/>
      <name val="MS Sans Serif"/>
      <family val="2"/>
    </font>
    <font>
      <u/>
      <sz val="10"/>
      <color indexed="9"/>
      <name val="Arial"/>
      <family val="2"/>
    </font>
    <font>
      <b/>
      <i/>
      <sz val="10"/>
      <color indexed="52"/>
      <name val="Arial"/>
      <family val="2"/>
    </font>
    <font>
      <sz val="10"/>
      <color indexed="10"/>
      <name val="Arial"/>
      <family val="2"/>
    </font>
    <font>
      <sz val="12"/>
      <color indexed="53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24"/>
      <name val="Arial"/>
      <family val="2"/>
    </font>
    <font>
      <sz val="10"/>
      <color indexed="60"/>
      <name val="Arial"/>
      <family val="2"/>
    </font>
    <font>
      <sz val="10"/>
      <color indexed="60"/>
      <name val="Arial"/>
      <family val="2"/>
    </font>
    <font>
      <sz val="10"/>
      <color indexed="24"/>
      <name val="Arial"/>
      <family val="2"/>
    </font>
    <font>
      <i/>
      <sz val="10"/>
      <color indexed="24"/>
      <name val="Arial"/>
      <family val="2"/>
    </font>
    <font>
      <sz val="10"/>
      <name val="Arial"/>
      <family val="2"/>
    </font>
    <font>
      <sz val="12"/>
      <name val="바탕체"/>
      <family val="3"/>
      <charset val="129"/>
    </font>
    <font>
      <sz val="12"/>
      <name val="바탕체"/>
      <family val="3"/>
    </font>
    <font>
      <sz val="10"/>
      <name val="Arial"/>
      <family val="2"/>
    </font>
    <font>
      <b/>
      <i/>
      <sz val="10"/>
      <color indexed="60"/>
      <name val="Arial"/>
      <family val="2"/>
    </font>
    <font>
      <sz val="10"/>
      <name val="Arial"/>
      <family val="2"/>
    </font>
    <font>
      <i/>
      <u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Segoe UI"/>
      <family val="2"/>
    </font>
    <font>
      <sz val="10"/>
      <color indexed="4"/>
      <name val="Segoe UI"/>
      <family val="2"/>
    </font>
    <font>
      <b/>
      <sz val="10"/>
      <color indexed="0"/>
      <name val="Segoe UI"/>
      <family val="2"/>
    </font>
    <font>
      <sz val="10"/>
      <color indexed="2"/>
      <name val="Segoe UI"/>
      <family val="2"/>
    </font>
    <font>
      <b/>
      <i/>
      <sz val="10"/>
      <color indexed="4"/>
      <name val="Segoe UI"/>
      <family val="2"/>
    </font>
    <font>
      <sz val="10"/>
      <color rgb="FF0070C0"/>
      <name val="Arial"/>
      <family val="2"/>
    </font>
    <font>
      <sz val="10"/>
      <color rgb="FF0000FF"/>
      <name val="Arial"/>
      <family val="2"/>
    </font>
    <font>
      <b/>
      <sz val="10"/>
      <color rgb="FF0000FF"/>
      <name val="Arial"/>
      <family val="2"/>
    </font>
    <font>
      <b/>
      <u/>
      <sz val="10"/>
      <color rgb="FF0000FF"/>
      <name val="Arial"/>
      <family val="2"/>
    </font>
    <font>
      <sz val="10"/>
      <color theme="0" tint="-0.249977111117893"/>
      <name val="Arial"/>
      <family val="2"/>
    </font>
    <font>
      <b/>
      <sz val="10"/>
      <color theme="0"/>
      <name val="Arial"/>
      <family val="2"/>
    </font>
    <font>
      <i/>
      <sz val="10"/>
      <color rgb="FF0000FF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8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65"/>
        <bgColor indexed="64"/>
      </patternFill>
    </fill>
  </fills>
  <borders count="7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6"/>
      </right>
      <top/>
      <bottom/>
      <diagonal/>
    </border>
    <border>
      <left/>
      <right/>
      <top/>
      <bottom style="thin">
        <color indexed="60"/>
      </bottom>
      <diagonal/>
    </border>
    <border>
      <left style="thin">
        <color indexed="60"/>
      </left>
      <right/>
      <top style="thin">
        <color indexed="60"/>
      </top>
      <bottom/>
      <diagonal/>
    </border>
    <border>
      <left/>
      <right/>
      <top style="thin">
        <color indexed="60"/>
      </top>
      <bottom/>
      <diagonal/>
    </border>
    <border>
      <left/>
      <right style="thin">
        <color indexed="60"/>
      </right>
      <top style="thin">
        <color indexed="60"/>
      </top>
      <bottom/>
      <diagonal/>
    </border>
    <border>
      <left/>
      <right style="thin">
        <color indexed="16"/>
      </right>
      <top/>
      <bottom style="thin">
        <color indexed="60"/>
      </bottom>
      <diagonal/>
    </border>
    <border>
      <left/>
      <right style="thin">
        <color indexed="16"/>
      </right>
      <top style="thin">
        <color indexed="60"/>
      </top>
      <bottom/>
      <diagonal/>
    </border>
    <border>
      <left style="thin">
        <color indexed="16"/>
      </left>
      <right/>
      <top/>
      <bottom style="thin">
        <color indexed="60"/>
      </bottom>
      <diagonal/>
    </border>
    <border>
      <left style="thin">
        <color indexed="16"/>
      </left>
      <right/>
      <top style="thin">
        <color indexed="60"/>
      </top>
      <bottom/>
      <diagonal/>
    </border>
    <border>
      <left/>
      <right style="thin">
        <color indexed="60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9"/>
      </top>
      <bottom style="thin">
        <color indexed="5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1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dashDot">
        <color indexed="16"/>
      </right>
      <top/>
      <bottom/>
      <diagonal/>
    </border>
    <border>
      <left style="medium">
        <color indexed="16"/>
      </left>
      <right/>
      <top/>
      <bottom/>
      <diagonal/>
    </border>
    <border>
      <left style="medium">
        <color indexed="60"/>
      </left>
      <right/>
      <top style="medium">
        <color indexed="60"/>
      </top>
      <bottom style="thin">
        <color indexed="64"/>
      </bottom>
      <diagonal/>
    </border>
    <border>
      <left/>
      <right/>
      <top style="medium">
        <color indexed="60"/>
      </top>
      <bottom style="thin">
        <color indexed="64"/>
      </bottom>
      <diagonal/>
    </border>
    <border>
      <left style="thin">
        <color indexed="64"/>
      </left>
      <right/>
      <top style="medium">
        <color indexed="60"/>
      </top>
      <bottom/>
      <diagonal/>
    </border>
    <border>
      <left/>
      <right/>
      <top style="medium">
        <color indexed="60"/>
      </top>
      <bottom/>
      <diagonal/>
    </border>
    <border>
      <left/>
      <right style="thin">
        <color indexed="64"/>
      </right>
      <top style="medium">
        <color indexed="60"/>
      </top>
      <bottom/>
      <diagonal/>
    </border>
    <border>
      <left style="medium">
        <color indexed="60"/>
      </left>
      <right/>
      <top/>
      <bottom/>
      <diagonal/>
    </border>
    <border>
      <left style="medium">
        <color indexed="60"/>
      </left>
      <right style="dashDot">
        <color indexed="16"/>
      </right>
      <top/>
      <bottom style="medium">
        <color indexed="60"/>
      </bottom>
      <diagonal/>
    </border>
    <border>
      <left/>
      <right style="dashDot">
        <color indexed="16"/>
      </right>
      <top/>
      <bottom style="medium">
        <color indexed="60"/>
      </bottom>
      <diagonal/>
    </border>
    <border>
      <left style="thin">
        <color indexed="16"/>
      </left>
      <right/>
      <top/>
      <bottom style="medium">
        <color indexed="60"/>
      </bottom>
      <diagonal/>
    </border>
    <border>
      <left/>
      <right/>
      <top/>
      <bottom style="medium">
        <color indexed="60"/>
      </bottom>
      <diagonal/>
    </border>
    <border>
      <left style="thin">
        <color indexed="64"/>
      </left>
      <right/>
      <top style="thin">
        <color indexed="64"/>
      </top>
      <bottom style="thin">
        <color indexed="16"/>
      </bottom>
      <diagonal/>
    </border>
    <border>
      <left/>
      <right/>
      <top style="thin">
        <color indexed="64"/>
      </top>
      <bottom style="thin">
        <color indexed="16"/>
      </bottom>
      <diagonal/>
    </border>
    <border>
      <left/>
      <right style="thin">
        <color indexed="64"/>
      </right>
      <top style="thin">
        <color indexed="64"/>
      </top>
      <bottom style="thin">
        <color indexed="16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0"/>
      </top>
      <bottom style="thin">
        <color indexed="64"/>
      </bottom>
      <diagonal/>
    </border>
    <border>
      <left style="medium">
        <color indexed="6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23">
    <xf numFmtId="0" fontId="0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>
      <alignment vertical="top"/>
    </xf>
    <xf numFmtId="0" fontId="5" fillId="0" borderId="0">
      <alignment vertical="top"/>
    </xf>
    <xf numFmtId="0" fontId="108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103" fillId="0" borderId="0" applyNumberFormat="0" applyFont="0" applyFill="0" applyBorder="0" applyAlignment="0" applyProtection="0"/>
    <xf numFmtId="0" fontId="1" fillId="0" borderId="0"/>
    <xf numFmtId="0" fontId="1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5" fillId="0" borderId="0"/>
    <xf numFmtId="0" fontId="45" fillId="0" borderId="0"/>
    <xf numFmtId="0" fontId="53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61" fillId="2" borderId="0" applyNumberFormat="0" applyBorder="0" applyAlignment="0" applyProtection="0"/>
    <xf numFmtId="0" fontId="61" fillId="3" borderId="0" applyNumberFormat="0" applyBorder="0" applyAlignment="0" applyProtection="0"/>
    <xf numFmtId="0" fontId="61" fillId="4" borderId="0" applyNumberFormat="0" applyBorder="0" applyAlignment="0" applyProtection="0"/>
    <xf numFmtId="0" fontId="61" fillId="5" borderId="0" applyNumberFormat="0" applyBorder="0" applyAlignment="0" applyProtection="0"/>
    <xf numFmtId="0" fontId="61" fillId="6" borderId="0" applyNumberFormat="0" applyBorder="0" applyAlignment="0" applyProtection="0"/>
    <xf numFmtId="0" fontId="61" fillId="7" borderId="0" applyNumberFormat="0" applyBorder="0" applyAlignment="0" applyProtection="0"/>
    <xf numFmtId="0" fontId="61" fillId="8" borderId="0" applyNumberFormat="0" applyBorder="0" applyAlignment="0" applyProtection="0"/>
    <xf numFmtId="0" fontId="61" fillId="9" borderId="0" applyNumberFormat="0" applyBorder="0" applyAlignment="0" applyProtection="0"/>
    <xf numFmtId="0" fontId="61" fillId="10" borderId="0" applyNumberFormat="0" applyBorder="0" applyAlignment="0" applyProtection="0"/>
    <xf numFmtId="0" fontId="61" fillId="5" borderId="0" applyNumberFormat="0" applyBorder="0" applyAlignment="0" applyProtection="0"/>
    <xf numFmtId="0" fontId="61" fillId="8" borderId="0" applyNumberFormat="0" applyBorder="0" applyAlignment="0" applyProtection="0"/>
    <xf numFmtId="0" fontId="61" fillId="11" borderId="0" applyNumberFormat="0" applyBorder="0" applyAlignment="0" applyProtection="0"/>
    <xf numFmtId="0" fontId="63" fillId="12" borderId="0" applyNumberFormat="0" applyBorder="0" applyAlignment="0" applyProtection="0"/>
    <xf numFmtId="0" fontId="63" fillId="9" borderId="0" applyNumberFormat="0" applyBorder="0" applyAlignment="0" applyProtection="0"/>
    <xf numFmtId="0" fontId="63" fillId="10" borderId="0" applyNumberFormat="0" applyBorder="0" applyAlignment="0" applyProtection="0"/>
    <xf numFmtId="0" fontId="63" fillId="13" borderId="0" applyNumberFormat="0" applyBorder="0" applyAlignment="0" applyProtection="0"/>
    <xf numFmtId="0" fontId="63" fillId="14" borderId="0" applyNumberFormat="0" applyBorder="0" applyAlignment="0" applyProtection="0"/>
    <xf numFmtId="0" fontId="63" fillId="15" borderId="0" applyNumberFormat="0" applyBorder="0" applyAlignment="0" applyProtection="0"/>
    <xf numFmtId="0" fontId="63" fillId="16" borderId="0" applyNumberFormat="0" applyBorder="0" applyAlignment="0" applyProtection="0"/>
    <xf numFmtId="0" fontId="63" fillId="17" borderId="0" applyNumberFormat="0" applyBorder="0" applyAlignment="0" applyProtection="0"/>
    <xf numFmtId="0" fontId="63" fillId="18" borderId="0" applyNumberFormat="0" applyBorder="0" applyAlignment="0" applyProtection="0"/>
    <xf numFmtId="0" fontId="63" fillId="13" borderId="0" applyNumberFormat="0" applyBorder="0" applyAlignment="0" applyProtection="0"/>
    <xf numFmtId="0" fontId="63" fillId="14" borderId="0" applyNumberFormat="0" applyBorder="0" applyAlignment="0" applyProtection="0"/>
    <xf numFmtId="0" fontId="63" fillId="19" borderId="0" applyNumberFormat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64" fillId="3" borderId="0" applyNumberFormat="0" applyBorder="0" applyAlignment="0" applyProtection="0"/>
    <xf numFmtId="0" fontId="46" fillId="0" borderId="0"/>
    <xf numFmtId="0" fontId="5" fillId="0" borderId="0"/>
    <xf numFmtId="0" fontId="5" fillId="0" borderId="0"/>
    <xf numFmtId="0" fontId="65" fillId="20" borderId="1" applyNumberFormat="0" applyAlignment="0" applyProtection="0"/>
    <xf numFmtId="0" fontId="66" fillId="21" borderId="2" applyNumberFormat="0" applyAlignment="0" applyProtection="0"/>
    <xf numFmtId="43" fontId="1" fillId="0" borderId="0" applyFont="0" applyFill="0" applyBorder="0" applyAlignment="0" applyProtection="0"/>
    <xf numFmtId="41" fontId="5" fillId="0" borderId="0" applyFont="0" applyFill="0" applyBorder="0" applyAlignment="0" applyProtection="0"/>
    <xf numFmtId="38" fontId="4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" fillId="0" borderId="0" applyFont="0" applyFill="0" applyBorder="0" applyAlignment="0" applyProtection="0"/>
    <xf numFmtId="6" fontId="108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12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67" fillId="0" borderId="0" applyNumberFormat="0" applyFill="0" applyBorder="0" applyAlignment="0" applyProtection="0"/>
    <xf numFmtId="0" fontId="129" fillId="0" borderId="0"/>
    <xf numFmtId="0" fontId="128" fillId="22" borderId="0"/>
    <xf numFmtId="0" fontId="68" fillId="4" borderId="0" applyNumberFormat="0" applyBorder="0" applyAlignment="0" applyProtection="0"/>
    <xf numFmtId="0" fontId="69" fillId="0" borderId="3" applyNumberFormat="0" applyFill="0" applyAlignment="0" applyProtection="0"/>
    <xf numFmtId="0" fontId="70" fillId="0" borderId="4" applyNumberFormat="0" applyFill="0" applyAlignment="0" applyProtection="0"/>
    <xf numFmtId="0" fontId="71" fillId="0" borderId="5" applyNumberFormat="0" applyFill="0" applyAlignment="0" applyProtection="0"/>
    <xf numFmtId="0" fontId="71" fillId="0" borderId="0" applyNumberFormat="0" applyFill="0" applyBorder="0" applyAlignment="0" applyProtection="0"/>
    <xf numFmtId="0" fontId="126" fillId="0" borderId="0">
      <alignment wrapText="1"/>
    </xf>
    <xf numFmtId="0" fontId="26" fillId="0" borderId="0" applyNumberFormat="0" applyFill="0" applyBorder="0" applyAlignment="0" applyProtection="0">
      <alignment vertical="top"/>
      <protection locked="0"/>
    </xf>
    <xf numFmtId="0" fontId="72" fillId="7" borderId="1" applyNumberFormat="0" applyAlignment="0" applyProtection="0"/>
    <xf numFmtId="0" fontId="73" fillId="0" borderId="6" applyNumberFormat="0" applyFill="0" applyAlignment="0" applyProtection="0"/>
    <xf numFmtId="0" fontId="128" fillId="0" borderId="0"/>
    <xf numFmtId="0" fontId="130" fillId="0" borderId="0"/>
    <xf numFmtId="0" fontId="127" fillId="0" borderId="0"/>
    <xf numFmtId="0" fontId="74" fillId="23" borderId="0" applyNumberFormat="0" applyBorder="0" applyAlignment="0" applyProtection="0"/>
    <xf numFmtId="0" fontId="5" fillId="0" borderId="0"/>
    <xf numFmtId="0" fontId="5" fillId="0" borderId="0" applyNumberFormat="0" applyFont="0" applyFill="0" applyBorder="0" applyAlignment="0" applyProtection="0"/>
    <xf numFmtId="0" fontId="126" fillId="0" borderId="0"/>
    <xf numFmtId="0" fontId="103" fillId="0" borderId="0" applyNumberFormat="0" applyFont="0" applyFill="0" applyBorder="0" applyAlignment="0" applyProtection="0"/>
    <xf numFmtId="0" fontId="5" fillId="0" borderId="0"/>
    <xf numFmtId="0" fontId="1" fillId="0" borderId="0" applyNumberFormat="0" applyFont="0" applyFill="0" applyBorder="0" applyAlignment="0" applyProtection="0"/>
    <xf numFmtId="0" fontId="5" fillId="0" borderId="0"/>
    <xf numFmtId="0" fontId="119" fillId="0" borderId="0"/>
    <xf numFmtId="0" fontId="5" fillId="0" borderId="0"/>
    <xf numFmtId="0" fontId="5" fillId="0" borderId="0"/>
    <xf numFmtId="0" fontId="5" fillId="0" borderId="0"/>
    <xf numFmtId="0" fontId="75" fillId="24" borderId="7" applyNumberFormat="0" applyFont="0" applyAlignment="0" applyProtection="0"/>
    <xf numFmtId="0" fontId="76" fillId="20" borderId="8" applyNumberFormat="0" applyAlignment="0" applyProtection="0"/>
    <xf numFmtId="0" fontId="47" fillId="0" borderId="0">
      <alignment vertical="center"/>
    </xf>
    <xf numFmtId="0" fontId="127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24" fillId="0" borderId="0" applyFont="0" applyFill="0" applyBorder="0" applyAlignment="0" applyProtection="0"/>
    <xf numFmtId="0" fontId="5" fillId="25" borderId="0" applyNumberFormat="0" applyFont="0" applyBorder="0" applyAlignment="0" applyProtection="0"/>
    <xf numFmtId="0" fontId="48" fillId="0" borderId="0"/>
    <xf numFmtId="0" fontId="48" fillId="0" borderId="9">
      <alignment horizontal="centerContinuous"/>
    </xf>
    <xf numFmtId="0" fontId="49" fillId="0" borderId="9"/>
    <xf numFmtId="0" fontId="77" fillId="0" borderId="0" applyNumberFormat="0" applyFill="0" applyBorder="0" applyAlignment="0" applyProtection="0"/>
    <xf numFmtId="0" fontId="78" fillId="0" borderId="10" applyNumberFormat="0" applyFill="0" applyAlignment="0" applyProtection="0"/>
    <xf numFmtId="0" fontId="79" fillId="0" borderId="0" applyNumberFormat="0" applyFill="0" applyBorder="0" applyAlignment="0" applyProtection="0"/>
    <xf numFmtId="0" fontId="5" fillId="0" borderId="0" applyFont="0" applyFill="0" applyBorder="0" applyAlignment="0" applyProtection="0"/>
    <xf numFmtId="0" fontId="117" fillId="0" borderId="0" applyFont="0" applyFill="0" applyBorder="0" applyAlignment="0" applyProtection="0"/>
    <xf numFmtId="0" fontId="118" fillId="0" borderId="0"/>
    <xf numFmtId="0" fontId="138" fillId="0" borderId="0"/>
    <xf numFmtId="0" fontId="1" fillId="0" borderId="0"/>
  </cellStyleXfs>
  <cellXfs count="1791">
    <xf numFmtId="0" fontId="0" fillId="0" borderId="0" xfId="0"/>
    <xf numFmtId="0" fontId="5" fillId="0" borderId="0" xfId="93"/>
    <xf numFmtId="0" fontId="0" fillId="0" borderId="0" xfId="5" applyFont="1" applyFill="1" applyBorder="1"/>
    <xf numFmtId="3" fontId="0" fillId="0" borderId="0" xfId="5" applyNumberFormat="1" applyFont="1" applyFill="1" applyBorder="1"/>
    <xf numFmtId="3" fontId="1" fillId="0" borderId="0" xfId="5" applyNumberFormat="1" applyFont="1" applyFill="1" applyBorder="1"/>
    <xf numFmtId="0" fontId="6" fillId="0" borderId="0" xfId="5" applyFont="1"/>
    <xf numFmtId="0" fontId="0" fillId="26" borderId="0" xfId="5" applyFont="1" applyFill="1" applyBorder="1"/>
    <xf numFmtId="0" fontId="0" fillId="0" borderId="0" xfId="5" applyFont="1" applyFill="1"/>
    <xf numFmtId="0" fontId="14" fillId="0" borderId="0" xfId="5" applyFont="1"/>
    <xf numFmtId="166" fontId="8" fillId="28" borderId="0" xfId="5" applyNumberFormat="1" applyFont="1" applyFill="1"/>
    <xf numFmtId="166" fontId="7" fillId="28" borderId="0" xfId="5" applyNumberFormat="1" applyFont="1" applyFill="1"/>
    <xf numFmtId="166" fontId="15" fillId="28" borderId="0" xfId="5" applyNumberFormat="1" applyFont="1" applyFill="1"/>
    <xf numFmtId="166" fontId="16" fillId="28" borderId="0" xfId="5" applyNumberFormat="1" applyFont="1" applyFill="1"/>
    <xf numFmtId="166" fontId="13" fillId="28" borderId="0" xfId="5" applyNumberFormat="1" applyFont="1" applyFill="1"/>
    <xf numFmtId="166" fontId="12" fillId="28" borderId="0" xfId="5" applyNumberFormat="1" applyFont="1" applyFill="1"/>
    <xf numFmtId="0" fontId="17" fillId="0" borderId="0" xfId="5" applyFont="1"/>
    <xf numFmtId="166" fontId="18" fillId="28" borderId="0" xfId="5" applyNumberFormat="1" applyFont="1" applyFill="1"/>
    <xf numFmtId="0" fontId="1" fillId="0" borderId="0" xfId="5" applyFont="1" applyFill="1" applyBorder="1"/>
    <xf numFmtId="0" fontId="0" fillId="28" borderId="0" xfId="5" applyFont="1" applyFill="1"/>
    <xf numFmtId="0" fontId="0" fillId="28" borderId="0" xfId="5" applyFont="1" applyFill="1" applyBorder="1"/>
    <xf numFmtId="3" fontId="0" fillId="26" borderId="0" xfId="5" applyNumberFormat="1" applyFont="1" applyFill="1" applyBorder="1"/>
    <xf numFmtId="164" fontId="0" fillId="0" borderId="0" xfId="5" applyNumberFormat="1" applyFont="1"/>
    <xf numFmtId="0" fontId="0" fillId="0" borderId="15" xfId="5" applyFont="1" applyBorder="1"/>
    <xf numFmtId="0" fontId="0" fillId="0" borderId="16" xfId="5" applyFont="1" applyBorder="1"/>
    <xf numFmtId="0" fontId="0" fillId="0" borderId="0" xfId="5" applyFont="1" applyBorder="1"/>
    <xf numFmtId="3" fontId="4" fillId="0" borderId="0" xfId="5" applyNumberFormat="1" applyFont="1" applyFill="1" applyBorder="1"/>
    <xf numFmtId="3" fontId="5" fillId="0" borderId="0" xfId="5" applyNumberFormat="1" applyFont="1" applyFill="1" applyBorder="1"/>
    <xf numFmtId="166" fontId="12" fillId="28" borderId="0" xfId="5" applyNumberFormat="1" applyFont="1" applyFill="1" applyAlignment="1">
      <alignment horizontal="right"/>
    </xf>
    <xf numFmtId="3" fontId="0" fillId="0" borderId="0" xfId="5" applyNumberFormat="1" applyFont="1" applyBorder="1"/>
    <xf numFmtId="3" fontId="0" fillId="0" borderId="0" xfId="5" applyNumberFormat="1" applyFont="1"/>
    <xf numFmtId="4" fontId="5" fillId="0" borderId="0" xfId="5" applyNumberFormat="1" applyFont="1" applyFill="1" applyBorder="1"/>
    <xf numFmtId="37" fontId="5" fillId="0" borderId="0" xfId="5" applyNumberFormat="1" applyFont="1" applyFill="1" applyBorder="1"/>
    <xf numFmtId="167" fontId="5" fillId="0" borderId="0" xfId="5" applyNumberFormat="1" applyFont="1" applyFill="1" applyBorder="1"/>
    <xf numFmtId="4" fontId="4" fillId="0" borderId="0" xfId="5" applyNumberFormat="1" applyFont="1" applyFill="1" applyBorder="1"/>
    <xf numFmtId="3" fontId="0" fillId="0" borderId="15" xfId="5" applyNumberFormat="1" applyFont="1" applyBorder="1"/>
    <xf numFmtId="166" fontId="30" fillId="28" borderId="0" xfId="5" applyNumberFormat="1" applyFont="1" applyFill="1"/>
    <xf numFmtId="0" fontId="9" fillId="29" borderId="0" xfId="5" applyFont="1" applyFill="1"/>
    <xf numFmtId="0" fontId="5" fillId="0" borderId="0" xfId="5" applyFont="1" applyFill="1" applyBorder="1"/>
    <xf numFmtId="0" fontId="24" fillId="0" borderId="0" xfId="5" applyFont="1" applyFill="1" applyBorder="1"/>
    <xf numFmtId="166" fontId="3" fillId="28" borderId="0" xfId="5" applyNumberFormat="1" applyFont="1" applyFill="1" applyBorder="1"/>
    <xf numFmtId="0" fontId="0" fillId="0" borderId="17" xfId="5" applyFont="1" applyBorder="1"/>
    <xf numFmtId="0" fontId="0" fillId="28" borderId="16" xfId="5" applyFont="1" applyFill="1" applyBorder="1"/>
    <xf numFmtId="167" fontId="0" fillId="0" borderId="0" xfId="5" applyNumberFormat="1" applyFont="1" applyBorder="1"/>
    <xf numFmtId="167" fontId="0" fillId="0" borderId="15" xfId="5" applyNumberFormat="1" applyFont="1" applyBorder="1"/>
    <xf numFmtId="3" fontId="41" fillId="0" borderId="0" xfId="5" applyNumberFormat="1" applyFont="1" applyFill="1" applyBorder="1"/>
    <xf numFmtId="0" fontId="1" fillId="29" borderId="0" xfId="5" applyFont="1" applyFill="1"/>
    <xf numFmtId="166" fontId="16" fillId="28" borderId="0" xfId="5" applyNumberFormat="1" applyFont="1" applyFill="1" applyBorder="1"/>
    <xf numFmtId="0" fontId="1" fillId="0" borderId="0" xfId="5" applyFont="1"/>
    <xf numFmtId="169" fontId="0" fillId="0" borderId="0" xfId="5" applyNumberFormat="1" applyFont="1" applyFill="1" applyBorder="1"/>
    <xf numFmtId="0" fontId="4" fillId="0" borderId="0" xfId="5" applyFont="1" applyFill="1" applyBorder="1"/>
    <xf numFmtId="0" fontId="0" fillId="27" borderId="0" xfId="5" applyFont="1" applyFill="1"/>
    <xf numFmtId="0" fontId="44" fillId="29" borderId="0" xfId="5" applyFont="1" applyFill="1"/>
    <xf numFmtId="0" fontId="37" fillId="0" borderId="0" xfId="5" applyFont="1"/>
    <xf numFmtId="0" fontId="0" fillId="29" borderId="18" xfId="5" applyFont="1" applyFill="1" applyBorder="1"/>
    <xf numFmtId="0" fontId="0" fillId="29" borderId="19" xfId="5" applyFont="1" applyFill="1" applyBorder="1"/>
    <xf numFmtId="0" fontId="0" fillId="29" borderId="17" xfId="5" applyFont="1" applyFill="1" applyBorder="1"/>
    <xf numFmtId="0" fontId="37" fillId="29" borderId="0" xfId="5" applyFont="1" applyFill="1"/>
    <xf numFmtId="0" fontId="0" fillId="27" borderId="19" xfId="5" applyFont="1" applyFill="1" applyBorder="1"/>
    <xf numFmtId="0" fontId="0" fillId="27" borderId="20" xfId="5" applyFont="1" applyFill="1" applyBorder="1"/>
    <xf numFmtId="0" fontId="0" fillId="0" borderId="21" xfId="5" applyFont="1" applyBorder="1"/>
    <xf numFmtId="0" fontId="0" fillId="27" borderId="22" xfId="5" applyFont="1" applyFill="1" applyBorder="1"/>
    <xf numFmtId="0" fontId="0" fillId="0" borderId="23" xfId="5" applyFont="1" applyBorder="1"/>
    <xf numFmtId="0" fontId="0" fillId="27" borderId="24" xfId="5" applyFont="1" applyFill="1" applyBorder="1"/>
    <xf numFmtId="14" fontId="0" fillId="0" borderId="0" xfId="5" applyNumberFormat="1" applyFont="1"/>
    <xf numFmtId="0" fontId="4" fillId="0" borderId="0" xfId="5" applyFont="1"/>
    <xf numFmtId="0" fontId="5" fillId="0" borderId="0" xfId="5" applyFont="1" applyFill="1" applyBorder="1" applyAlignment="1">
      <alignment horizontal="right"/>
    </xf>
    <xf numFmtId="0" fontId="5" fillId="26" borderId="0" xfId="5" applyFont="1" applyFill="1" applyBorder="1"/>
    <xf numFmtId="0" fontId="19" fillId="0" borderId="0" xfId="5" applyFont="1" applyFill="1" applyBorder="1"/>
    <xf numFmtId="0" fontId="5" fillId="0" borderId="0" xfId="5" applyFont="1" applyFill="1" applyBorder="1" applyAlignment="1">
      <alignment horizontal="center"/>
    </xf>
    <xf numFmtId="0" fontId="19" fillId="0" borderId="0" xfId="5" applyFont="1" applyFill="1"/>
    <xf numFmtId="0" fontId="5" fillId="26" borderId="0" xfId="5" applyFont="1" applyFill="1" applyBorder="1" applyAlignment="1">
      <alignment horizontal="right"/>
    </xf>
    <xf numFmtId="0" fontId="5" fillId="0" borderId="0" xfId="5" applyFont="1" applyFill="1"/>
    <xf numFmtId="49" fontId="0" fillId="0" borderId="0" xfId="5" applyNumberFormat="1" applyFont="1"/>
    <xf numFmtId="2" fontId="0" fillId="0" borderId="0" xfId="5" applyNumberFormat="1" applyFont="1"/>
    <xf numFmtId="0" fontId="0" fillId="0" borderId="14" xfId="5" applyFont="1" applyBorder="1"/>
    <xf numFmtId="0" fontId="34" fillId="0" borderId="0" xfId="5" applyFont="1"/>
    <xf numFmtId="0" fontId="0" fillId="27" borderId="25" xfId="5" applyFont="1" applyFill="1" applyBorder="1"/>
    <xf numFmtId="180" fontId="5" fillId="0" borderId="0" xfId="61" applyNumberFormat="1" applyFont="1" applyFill="1" applyBorder="1"/>
    <xf numFmtId="166" fontId="16" fillId="28" borderId="0" xfId="5" applyNumberFormat="1" applyFont="1" applyFill="1" applyAlignment="1">
      <alignment horizontal="right"/>
    </xf>
    <xf numFmtId="166" fontId="57" fillId="28" borderId="0" xfId="5" applyNumberFormat="1" applyFont="1" applyFill="1"/>
    <xf numFmtId="164" fontId="9" fillId="0" borderId="14" xfId="5" applyNumberFormat="1" applyFont="1" applyFill="1" applyBorder="1"/>
    <xf numFmtId="164" fontId="3" fillId="0" borderId="14" xfId="5" applyNumberFormat="1" applyFont="1" applyFill="1" applyBorder="1"/>
    <xf numFmtId="164" fontId="31" fillId="0" borderId="14" xfId="5" applyNumberFormat="1" applyFont="1" applyFill="1" applyBorder="1" applyAlignment="1">
      <alignment horizontal="right"/>
    </xf>
    <xf numFmtId="0" fontId="9" fillId="0" borderId="26" xfId="63" applyNumberFormat="1" applyFont="1" applyBorder="1" applyAlignment="1">
      <alignment horizontal="center"/>
    </xf>
    <xf numFmtId="0" fontId="9" fillId="0" borderId="14" xfId="63" applyNumberFormat="1" applyFont="1" applyBorder="1" applyAlignment="1">
      <alignment horizontal="center"/>
    </xf>
    <xf numFmtId="167" fontId="9" fillId="0" borderId="14" xfId="63" applyNumberFormat="1" applyFont="1" applyBorder="1" applyAlignment="1">
      <alignment horizontal="center"/>
    </xf>
    <xf numFmtId="38" fontId="9" fillId="0" borderId="14" xfId="63" applyNumberFormat="1" applyFont="1" applyBorder="1" applyAlignment="1">
      <alignment horizontal="center"/>
    </xf>
    <xf numFmtId="164" fontId="0" fillId="0" borderId="14" xfId="5" applyNumberFormat="1" applyFont="1" applyFill="1" applyBorder="1"/>
    <xf numFmtId="183" fontId="9" fillId="0" borderId="27" xfId="5" applyNumberFormat="1" applyFont="1" applyFill="1" applyBorder="1" applyAlignment="1">
      <alignment horizontal="right"/>
    </xf>
    <xf numFmtId="164" fontId="9" fillId="26" borderId="28" xfId="5" applyNumberFormat="1" applyFont="1" applyFill="1" applyBorder="1" applyAlignment="1">
      <alignment horizontal="right"/>
    </xf>
    <xf numFmtId="164" fontId="9" fillId="26" borderId="29" xfId="5" applyNumberFormat="1" applyFont="1" applyFill="1" applyBorder="1" applyAlignment="1">
      <alignment horizontal="right"/>
    </xf>
    <xf numFmtId="164" fontId="9" fillId="26" borderId="30" xfId="5" applyNumberFormat="1" applyFont="1" applyFill="1" applyBorder="1" applyAlignment="1">
      <alignment horizontal="right"/>
    </xf>
    <xf numFmtId="0" fontId="9" fillId="0" borderId="31" xfId="5" applyNumberFormat="1" applyFont="1" applyFill="1" applyBorder="1" applyAlignment="1">
      <alignment horizontal="right"/>
    </xf>
    <xf numFmtId="0" fontId="4" fillId="0" borderId="12" xfId="5" applyFont="1" applyFill="1" applyBorder="1" applyAlignment="1"/>
    <xf numFmtId="0" fontId="23" fillId="0" borderId="32" xfId="5" applyFont="1" applyBorder="1" applyAlignment="1"/>
    <xf numFmtId="0" fontId="23" fillId="0" borderId="33" xfId="63" applyNumberFormat="1" applyFont="1" applyBorder="1" applyAlignment="1">
      <alignment horizontal="center"/>
    </xf>
    <xf numFmtId="0" fontId="23" fillId="0" borderId="32" xfId="63" applyNumberFormat="1" applyFont="1" applyBorder="1" applyAlignment="1">
      <alignment horizontal="center"/>
    </xf>
    <xf numFmtId="167" fontId="23" fillId="0" borderId="32" xfId="63" applyNumberFormat="1" applyFont="1" applyBorder="1" applyAlignment="1">
      <alignment horizontal="center"/>
    </xf>
    <xf numFmtId="38" fontId="23" fillId="0" borderId="32" xfId="63" applyNumberFormat="1" applyFont="1" applyBorder="1" applyAlignment="1">
      <alignment horizontal="center"/>
    </xf>
    <xf numFmtId="0" fontId="23" fillId="0" borderId="34" xfId="5" applyFont="1" applyBorder="1" applyAlignment="1">
      <alignment horizontal="left"/>
    </xf>
    <xf numFmtId="0" fontId="23" fillId="0" borderId="32" xfId="5" applyFont="1" applyBorder="1" applyAlignment="1">
      <alignment horizontal="right"/>
    </xf>
    <xf numFmtId="0" fontId="23" fillId="26" borderId="33" xfId="5" applyFont="1" applyFill="1" applyBorder="1" applyAlignment="1">
      <alignment horizontal="right"/>
    </xf>
    <xf numFmtId="0" fontId="23" fillId="26" borderId="32" xfId="5" applyFont="1" applyFill="1" applyBorder="1" applyAlignment="1">
      <alignment horizontal="right"/>
    </xf>
    <xf numFmtId="0" fontId="23" fillId="26" borderId="34" xfId="5" applyFont="1" applyFill="1" applyBorder="1" applyAlignment="1">
      <alignment horizontal="right"/>
    </xf>
    <xf numFmtId="0" fontId="23" fillId="0" borderId="34" xfId="5" applyFont="1" applyBorder="1" applyAlignment="1">
      <alignment horizontal="right"/>
    </xf>
    <xf numFmtId="0" fontId="3" fillId="28" borderId="0" xfId="5" applyFont="1" applyFill="1" applyBorder="1"/>
    <xf numFmtId="0" fontId="19" fillId="28" borderId="0" xfId="5" applyFont="1" applyFill="1"/>
    <xf numFmtId="38" fontId="5" fillId="0" borderId="35" xfId="5" applyNumberFormat="1" applyFont="1" applyFill="1" applyBorder="1" applyAlignment="1">
      <alignment horizontal="center"/>
    </xf>
    <xf numFmtId="38" fontId="5" fillId="0" borderId="0" xfId="5" applyNumberFormat="1" applyFont="1" applyFill="1" applyBorder="1" applyAlignment="1">
      <alignment horizontal="center"/>
    </xf>
    <xf numFmtId="1" fontId="5" fillId="0" borderId="0" xfId="5" applyNumberFormat="1" applyFont="1" applyFill="1" applyBorder="1" applyAlignment="1">
      <alignment horizontal="center"/>
    </xf>
    <xf numFmtId="167" fontId="5" fillId="0" borderId="0" xfId="5" applyNumberFormat="1" applyFont="1" applyFill="1" applyBorder="1" applyAlignment="1">
      <alignment horizontal="center"/>
    </xf>
    <xf numFmtId="179" fontId="5" fillId="0" borderId="0" xfId="5" applyNumberFormat="1" applyFont="1" applyFill="1" applyBorder="1" applyAlignment="1">
      <alignment horizontal="center"/>
    </xf>
    <xf numFmtId="180" fontId="5" fillId="0" borderId="36" xfId="61" applyNumberFormat="1" applyFont="1" applyFill="1" applyBorder="1" applyAlignment="1"/>
    <xf numFmtId="180" fontId="5" fillId="0" borderId="0" xfId="61" applyNumberFormat="1" applyFont="1" applyFill="1" applyBorder="1" applyAlignment="1">
      <alignment horizontal="right"/>
    </xf>
    <xf numFmtId="180" fontId="5" fillId="26" borderId="35" xfId="61" applyNumberFormat="1" applyFont="1" applyFill="1" applyBorder="1" applyAlignment="1">
      <alignment horizontal="right"/>
    </xf>
    <xf numFmtId="180" fontId="5" fillId="26" borderId="0" xfId="61" applyNumberFormat="1" applyFont="1" applyFill="1" applyBorder="1" applyAlignment="1">
      <alignment horizontal="right"/>
    </xf>
    <xf numFmtId="180" fontId="5" fillId="26" borderId="36" xfId="61" applyNumberFormat="1" applyFont="1" applyFill="1" applyBorder="1" applyAlignment="1">
      <alignment horizontal="right"/>
    </xf>
    <xf numFmtId="184" fontId="5" fillId="0" borderId="37" xfId="5" applyNumberFormat="1" applyFont="1" applyFill="1" applyBorder="1" applyAlignment="1">
      <alignment horizontal="right"/>
    </xf>
    <xf numFmtId="182" fontId="5" fillId="0" borderId="0" xfId="61" applyNumberFormat="1" applyFont="1" applyFill="1" applyBorder="1" applyAlignment="1">
      <alignment horizontal="right"/>
    </xf>
    <xf numFmtId="182" fontId="5" fillId="26" borderId="35" xfId="61" applyNumberFormat="1" applyFont="1" applyFill="1" applyBorder="1" applyAlignment="1">
      <alignment horizontal="right"/>
    </xf>
    <xf numFmtId="182" fontId="5" fillId="26" borderId="0" xfId="61" applyNumberFormat="1" applyFont="1" applyFill="1" applyBorder="1" applyAlignment="1">
      <alignment horizontal="right"/>
    </xf>
    <xf numFmtId="182" fontId="5" fillId="26" borderId="36" xfId="61" applyNumberFormat="1" applyFont="1" applyFill="1" applyBorder="1" applyAlignment="1">
      <alignment horizontal="right"/>
    </xf>
    <xf numFmtId="0" fontId="5" fillId="0" borderId="0" xfId="5" applyFont="1" applyFill="1" applyBorder="1" applyAlignment="1"/>
    <xf numFmtId="0" fontId="4" fillId="0" borderId="0" xfId="5" applyFont="1" applyFill="1" applyBorder="1" applyAlignment="1"/>
    <xf numFmtId="184" fontId="5" fillId="0" borderId="36" xfId="5" applyNumberFormat="1" applyFont="1" applyFill="1" applyBorder="1" applyAlignment="1">
      <alignment horizontal="right"/>
    </xf>
    <xf numFmtId="185" fontId="5" fillId="0" borderId="36" xfId="61" applyNumberFormat="1" applyFont="1" applyFill="1" applyBorder="1" applyAlignment="1">
      <alignment horizontal="right"/>
    </xf>
    <xf numFmtId="0" fontId="5" fillId="0" borderId="14" xfId="5" applyFont="1" applyFill="1" applyBorder="1" applyAlignment="1"/>
    <xf numFmtId="38" fontId="5" fillId="0" borderId="26" xfId="5" applyNumberFormat="1" applyFont="1" applyFill="1" applyBorder="1" applyAlignment="1">
      <alignment horizontal="center"/>
    </xf>
    <xf numFmtId="38" fontId="5" fillId="0" borderId="14" xfId="5" applyNumberFormat="1" applyFont="1" applyFill="1" applyBorder="1" applyAlignment="1">
      <alignment horizontal="center"/>
    </xf>
    <xf numFmtId="1" fontId="5" fillId="0" borderId="14" xfId="5" applyNumberFormat="1" applyFont="1" applyFill="1" applyBorder="1" applyAlignment="1">
      <alignment horizontal="center"/>
    </xf>
    <xf numFmtId="167" fontId="5" fillId="0" borderId="14" xfId="5" applyNumberFormat="1" applyFont="1" applyFill="1" applyBorder="1" applyAlignment="1">
      <alignment horizontal="center"/>
    </xf>
    <xf numFmtId="179" fontId="5" fillId="0" borderId="14" xfId="5" applyNumberFormat="1" applyFont="1" applyFill="1" applyBorder="1" applyAlignment="1">
      <alignment horizontal="center"/>
    </xf>
    <xf numFmtId="180" fontId="5" fillId="0" borderId="38" xfId="61" applyNumberFormat="1" applyFont="1" applyFill="1" applyBorder="1" applyAlignment="1"/>
    <xf numFmtId="180" fontId="5" fillId="0" borderId="14" xfId="61" applyNumberFormat="1" applyFont="1" applyFill="1" applyBorder="1" applyAlignment="1">
      <alignment horizontal="right"/>
    </xf>
    <xf numFmtId="180" fontId="5" fillId="26" borderId="26" xfId="61" applyNumberFormat="1" applyFont="1" applyFill="1" applyBorder="1" applyAlignment="1">
      <alignment horizontal="right"/>
    </xf>
    <xf numFmtId="180" fontId="5" fillId="26" borderId="14" xfId="61" applyNumberFormat="1" applyFont="1" applyFill="1" applyBorder="1" applyAlignment="1">
      <alignment horizontal="right"/>
    </xf>
    <xf numFmtId="180" fontId="5" fillId="26" borderId="38" xfId="61" applyNumberFormat="1" applyFont="1" applyFill="1" applyBorder="1" applyAlignment="1">
      <alignment horizontal="right"/>
    </xf>
    <xf numFmtId="184" fontId="5" fillId="0" borderId="38" xfId="61" applyNumberFormat="1" applyFont="1" applyFill="1" applyBorder="1" applyAlignment="1">
      <alignment horizontal="right"/>
    </xf>
    <xf numFmtId="182" fontId="5" fillId="0" borderId="14" xfId="61" applyNumberFormat="1" applyFont="1" applyFill="1" applyBorder="1" applyAlignment="1">
      <alignment horizontal="right"/>
    </xf>
    <xf numFmtId="182" fontId="5" fillId="26" borderId="26" xfId="61" applyNumberFormat="1" applyFont="1" applyFill="1" applyBorder="1" applyAlignment="1">
      <alignment horizontal="right"/>
    </xf>
    <xf numFmtId="182" fontId="5" fillId="26" borderId="14" xfId="61" applyNumberFormat="1" applyFont="1" applyFill="1" applyBorder="1" applyAlignment="1">
      <alignment horizontal="right"/>
    </xf>
    <xf numFmtId="182" fontId="5" fillId="26" borderId="38" xfId="61" applyNumberFormat="1" applyFont="1" applyFill="1" applyBorder="1" applyAlignment="1">
      <alignment horizontal="right"/>
    </xf>
    <xf numFmtId="38" fontId="4" fillId="0" borderId="35" xfId="5" applyNumberFormat="1" applyFont="1" applyFill="1" applyBorder="1" applyAlignment="1">
      <alignment horizontal="center"/>
    </xf>
    <xf numFmtId="38" fontId="4" fillId="0" borderId="0" xfId="70" applyNumberFormat="1" applyFont="1" applyFill="1" applyBorder="1" applyAlignment="1">
      <alignment horizontal="center"/>
    </xf>
    <xf numFmtId="1" fontId="4" fillId="0" borderId="0" xfId="5" applyNumberFormat="1" applyFont="1" applyFill="1" applyBorder="1" applyAlignment="1">
      <alignment horizontal="center"/>
    </xf>
    <xf numFmtId="167" fontId="4" fillId="0" borderId="0" xfId="5" applyNumberFormat="1" applyFont="1" applyFill="1" applyBorder="1" applyAlignment="1">
      <alignment horizontal="center"/>
    </xf>
    <xf numFmtId="179" fontId="4" fillId="0" borderId="0" xfId="5" applyNumberFormat="1" applyFont="1" applyFill="1" applyBorder="1" applyAlignment="1">
      <alignment horizontal="center"/>
    </xf>
    <xf numFmtId="180" fontId="4" fillId="0" borderId="0" xfId="61" applyNumberFormat="1" applyFont="1" applyFill="1" applyBorder="1" applyAlignment="1">
      <alignment horizontal="right"/>
    </xf>
    <xf numFmtId="180" fontId="4" fillId="26" borderId="35" xfId="61" applyNumberFormat="1" applyFont="1" applyFill="1" applyBorder="1" applyAlignment="1">
      <alignment horizontal="right"/>
    </xf>
    <xf numFmtId="180" fontId="4" fillId="26" borderId="0" xfId="61" applyNumberFormat="1" applyFont="1" applyFill="1" applyBorder="1" applyAlignment="1">
      <alignment horizontal="right"/>
    </xf>
    <xf numFmtId="180" fontId="4" fillId="26" borderId="36" xfId="61" applyNumberFormat="1" applyFont="1" applyFill="1" applyBorder="1" applyAlignment="1">
      <alignment horizontal="right"/>
    </xf>
    <xf numFmtId="182" fontId="4" fillId="0" borderId="36" xfId="61" applyNumberFormat="1" applyFont="1" applyFill="1" applyBorder="1" applyAlignment="1">
      <alignment horizontal="right"/>
    </xf>
    <xf numFmtId="182" fontId="4" fillId="0" borderId="0" xfId="61" applyNumberFormat="1" applyFont="1" applyFill="1" applyBorder="1" applyAlignment="1">
      <alignment horizontal="right"/>
    </xf>
    <xf numFmtId="182" fontId="4" fillId="26" borderId="35" xfId="61" applyNumberFormat="1" applyFont="1" applyFill="1" applyBorder="1" applyAlignment="1">
      <alignment horizontal="right"/>
    </xf>
    <xf numFmtId="182" fontId="4" fillId="26" borderId="0" xfId="61" applyNumberFormat="1" applyFont="1" applyFill="1" applyBorder="1" applyAlignment="1">
      <alignment horizontal="right"/>
    </xf>
    <xf numFmtId="182" fontId="4" fillId="26" borderId="36" xfId="61" applyNumberFormat="1" applyFont="1" applyFill="1" applyBorder="1" applyAlignment="1">
      <alignment horizontal="right"/>
    </xf>
    <xf numFmtId="38" fontId="4" fillId="0" borderId="0" xfId="5" applyNumberFormat="1" applyFont="1" applyFill="1" applyBorder="1" applyAlignment="1">
      <alignment horizontal="center"/>
    </xf>
    <xf numFmtId="0" fontId="5" fillId="0" borderId="12" xfId="5" applyFont="1" applyBorder="1" applyAlignment="1"/>
    <xf numFmtId="1" fontId="5" fillId="0" borderId="12" xfId="5" applyNumberFormat="1" applyFont="1" applyFill="1" applyBorder="1" applyAlignment="1">
      <alignment horizontal="center"/>
    </xf>
    <xf numFmtId="167" fontId="5" fillId="0" borderId="12" xfId="5" applyNumberFormat="1" applyFont="1" applyFill="1" applyBorder="1" applyAlignment="1">
      <alignment horizontal="center"/>
    </xf>
    <xf numFmtId="179" fontId="5" fillId="0" borderId="12" xfId="5" applyNumberFormat="1" applyFont="1" applyFill="1" applyBorder="1" applyAlignment="1">
      <alignment horizontal="center"/>
    </xf>
    <xf numFmtId="180" fontId="5" fillId="0" borderId="12" xfId="61" applyNumberFormat="1" applyFont="1" applyBorder="1" applyAlignment="1">
      <alignment horizontal="right"/>
    </xf>
    <xf numFmtId="182" fontId="5" fillId="0" borderId="12" xfId="61" applyNumberFormat="1" applyFont="1" applyBorder="1" applyAlignment="1">
      <alignment horizontal="right"/>
    </xf>
    <xf numFmtId="0" fontId="5" fillId="0" borderId="35" xfId="5" applyFont="1" applyFill="1" applyBorder="1" applyAlignment="1">
      <alignment horizontal="center"/>
    </xf>
    <xf numFmtId="167" fontId="29" fillId="0" borderId="0" xfId="63" applyNumberFormat="1" applyFont="1" applyFill="1" applyBorder="1" applyAlignment="1">
      <alignment horizontal="center"/>
    </xf>
    <xf numFmtId="38" fontId="29" fillId="0" borderId="0" xfId="63" applyNumberFormat="1" applyFont="1" applyFill="1" applyBorder="1" applyAlignment="1">
      <alignment horizontal="center"/>
    </xf>
    <xf numFmtId="0" fontId="5" fillId="0" borderId="36" xfId="5" applyFont="1" applyFill="1" applyBorder="1" applyAlignment="1">
      <alignment horizontal="center"/>
    </xf>
    <xf numFmtId="0" fontId="5" fillId="26" borderId="35" xfId="5" applyFont="1" applyFill="1" applyBorder="1" applyAlignment="1">
      <alignment horizontal="right"/>
    </xf>
    <xf numFmtId="0" fontId="5" fillId="26" borderId="36" xfId="5" applyFont="1" applyFill="1" applyBorder="1" applyAlignment="1">
      <alignment horizontal="right"/>
    </xf>
    <xf numFmtId="0" fontId="5" fillId="0" borderId="36" xfId="5" applyFont="1" applyFill="1" applyBorder="1" applyAlignment="1">
      <alignment horizontal="right"/>
    </xf>
    <xf numFmtId="0" fontId="5" fillId="0" borderId="35" xfId="5" applyFont="1" applyBorder="1" applyAlignment="1">
      <alignment horizontal="center"/>
    </xf>
    <xf numFmtId="0" fontId="5" fillId="0" borderId="0" xfId="5" applyFont="1" applyBorder="1" applyAlignment="1">
      <alignment horizontal="center"/>
    </xf>
    <xf numFmtId="167" fontId="29" fillId="0" borderId="0" xfId="63" applyNumberFormat="1" applyFont="1" applyBorder="1" applyAlignment="1">
      <alignment horizontal="center"/>
    </xf>
    <xf numFmtId="38" fontId="29" fillId="0" borderId="0" xfId="63" applyNumberFormat="1" applyFont="1" applyBorder="1" applyAlignment="1">
      <alignment horizontal="center"/>
    </xf>
    <xf numFmtId="38" fontId="5" fillId="0" borderId="36" xfId="5" applyNumberFormat="1" applyFont="1" applyBorder="1" applyAlignment="1">
      <alignment horizontal="center"/>
    </xf>
    <xf numFmtId="38" fontId="5" fillId="0" borderId="0" xfId="5" applyNumberFormat="1" applyFont="1" applyBorder="1" applyAlignment="1">
      <alignment horizontal="right"/>
    </xf>
    <xf numFmtId="38" fontId="5" fillId="26" borderId="35" xfId="5" applyNumberFormat="1" applyFont="1" applyFill="1" applyBorder="1" applyAlignment="1">
      <alignment horizontal="right"/>
    </xf>
    <xf numFmtId="38" fontId="5" fillId="26" borderId="0" xfId="5" applyNumberFormat="1" applyFont="1" applyFill="1" applyBorder="1" applyAlignment="1">
      <alignment horizontal="right"/>
    </xf>
    <xf numFmtId="38" fontId="5" fillId="26" borderId="36" xfId="5" applyNumberFormat="1" applyFont="1" applyFill="1" applyBorder="1" applyAlignment="1">
      <alignment horizontal="right"/>
    </xf>
    <xf numFmtId="38" fontId="5" fillId="0" borderId="36" xfId="5" applyNumberFormat="1" applyFont="1" applyBorder="1" applyAlignment="1">
      <alignment horizontal="right"/>
    </xf>
    <xf numFmtId="0" fontId="5" fillId="0" borderId="0" xfId="5" applyFont="1" applyBorder="1" applyAlignment="1">
      <alignment horizontal="right"/>
    </xf>
    <xf numFmtId="38" fontId="50" fillId="0" borderId="0" xfId="63" applyNumberFormat="1" applyFont="1" applyBorder="1" applyAlignment="1"/>
    <xf numFmtId="37" fontId="5" fillId="0" borderId="35" xfId="63" applyNumberFormat="1" applyFont="1" applyBorder="1" applyAlignment="1">
      <alignment horizontal="center"/>
    </xf>
    <xf numFmtId="37" fontId="5" fillId="0" borderId="0" xfId="63" applyNumberFormat="1" applyFont="1" applyBorder="1" applyAlignment="1">
      <alignment horizontal="center"/>
    </xf>
    <xf numFmtId="38" fontId="29" fillId="0" borderId="36" xfId="63" applyNumberFormat="1" applyFont="1" applyBorder="1" applyAlignment="1">
      <alignment horizontal="center"/>
    </xf>
    <xf numFmtId="184" fontId="5" fillId="0" borderId="0" xfId="5" applyNumberFormat="1" applyFont="1" applyBorder="1" applyAlignment="1">
      <alignment horizontal="right"/>
    </xf>
    <xf numFmtId="184" fontId="5" fillId="26" borderId="35" xfId="5" applyNumberFormat="1" applyFont="1" applyFill="1" applyBorder="1" applyAlignment="1">
      <alignment horizontal="right"/>
    </xf>
    <xf numFmtId="184" fontId="5" fillId="26" borderId="0" xfId="5" applyNumberFormat="1" applyFont="1" applyFill="1" applyBorder="1" applyAlignment="1">
      <alignment horizontal="right"/>
    </xf>
    <xf numFmtId="184" fontId="5" fillId="26" borderId="36" xfId="5" applyNumberFormat="1" applyFont="1" applyFill="1" applyBorder="1" applyAlignment="1">
      <alignment horizontal="right"/>
    </xf>
    <xf numFmtId="172" fontId="0" fillId="0" borderId="0" xfId="5" applyNumberFormat="1" applyFont="1" applyFill="1"/>
    <xf numFmtId="38" fontId="5" fillId="0" borderId="0" xfId="63" applyNumberFormat="1" applyFont="1" applyBorder="1" applyAlignment="1"/>
    <xf numFmtId="38" fontId="5" fillId="0" borderId="35" xfId="63" applyNumberFormat="1" applyFont="1" applyFill="1" applyBorder="1" applyAlignment="1">
      <alignment horizontal="center"/>
    </xf>
    <xf numFmtId="38" fontId="58" fillId="0" borderId="0" xfId="63" applyNumberFormat="1" applyFont="1" applyFill="1" applyBorder="1" applyAlignment="1">
      <alignment horizontal="center"/>
    </xf>
    <xf numFmtId="1" fontId="58" fillId="0" borderId="0" xfId="63" applyNumberFormat="1" applyFont="1" applyFill="1" applyBorder="1" applyAlignment="1">
      <alignment horizontal="center"/>
    </xf>
    <xf numFmtId="38" fontId="5" fillId="0" borderId="36" xfId="63" applyNumberFormat="1" applyFont="1" applyFill="1" applyBorder="1" applyAlignment="1">
      <alignment horizontal="right"/>
    </xf>
    <xf numFmtId="38" fontId="5" fillId="0" borderId="0" xfId="63" applyNumberFormat="1" applyFont="1" applyFill="1" applyBorder="1" applyAlignment="1"/>
    <xf numFmtId="0" fontId="5" fillId="0" borderId="14" xfId="5" applyFont="1" applyBorder="1" applyAlignment="1">
      <alignment horizontal="left"/>
    </xf>
    <xf numFmtId="38" fontId="5" fillId="0" borderId="26" xfId="63" applyNumberFormat="1" applyFont="1" applyFill="1" applyBorder="1" applyAlignment="1">
      <alignment horizontal="center"/>
    </xf>
    <xf numFmtId="38" fontId="5" fillId="0" borderId="14" xfId="63" applyNumberFormat="1" applyFont="1" applyFill="1" applyBorder="1" applyAlignment="1">
      <alignment horizontal="center"/>
    </xf>
    <xf numFmtId="1" fontId="5" fillId="0" borderId="14" xfId="108" applyNumberFormat="1" applyFont="1" applyFill="1" applyBorder="1" applyAlignment="1">
      <alignment horizontal="center"/>
    </xf>
    <xf numFmtId="167" fontId="5" fillId="0" borderId="14" xfId="108" applyNumberFormat="1" applyFont="1" applyFill="1" applyBorder="1" applyAlignment="1">
      <alignment horizontal="center"/>
    </xf>
    <xf numFmtId="179" fontId="5" fillId="0" borderId="14" xfId="63" applyNumberFormat="1" applyFont="1" applyFill="1" applyBorder="1" applyAlignment="1">
      <alignment horizontal="center"/>
    </xf>
    <xf numFmtId="38" fontId="5" fillId="0" borderId="38" xfId="63" applyNumberFormat="1" applyFont="1" applyFill="1" applyBorder="1" applyAlignment="1">
      <alignment horizontal="right"/>
    </xf>
    <xf numFmtId="0" fontId="4" fillId="0" borderId="0" xfId="5" applyFont="1" applyFill="1"/>
    <xf numFmtId="38" fontId="4" fillId="0" borderId="0" xfId="63" applyNumberFormat="1" applyFont="1" applyBorder="1" applyAlignment="1"/>
    <xf numFmtId="38" fontId="4" fillId="0" borderId="35" xfId="70" applyNumberFormat="1" applyFont="1" applyFill="1" applyBorder="1" applyAlignment="1">
      <alignment horizontal="center"/>
    </xf>
    <xf numFmtId="1" fontId="4" fillId="0" borderId="0" xfId="63" applyNumberFormat="1" applyFont="1" applyFill="1" applyBorder="1" applyAlignment="1">
      <alignment horizontal="center"/>
    </xf>
    <xf numFmtId="167" fontId="4" fillId="0" borderId="0" xfId="63" applyNumberFormat="1" applyFont="1" applyFill="1" applyBorder="1" applyAlignment="1">
      <alignment horizontal="center"/>
    </xf>
    <xf numFmtId="179" fontId="4" fillId="0" borderId="0" xfId="63" applyNumberFormat="1" applyFont="1" applyFill="1" applyBorder="1" applyAlignment="1">
      <alignment horizontal="center"/>
    </xf>
    <xf numFmtId="180" fontId="4" fillId="0" borderId="36" xfId="61" applyNumberFormat="1" applyFont="1" applyBorder="1" applyAlignment="1"/>
    <xf numFmtId="180" fontId="4" fillId="0" borderId="0" xfId="61" applyNumberFormat="1" applyFont="1" applyBorder="1" applyAlignment="1">
      <alignment horizontal="right"/>
    </xf>
    <xf numFmtId="38" fontId="4" fillId="0" borderId="39" xfId="63" applyNumberFormat="1" applyFont="1" applyFill="1" applyBorder="1" applyAlignment="1">
      <alignment horizontal="right"/>
    </xf>
    <xf numFmtId="182" fontId="4" fillId="0" borderId="0" xfId="61" applyNumberFormat="1" applyFont="1" applyBorder="1" applyAlignment="1">
      <alignment horizontal="right"/>
    </xf>
    <xf numFmtId="38" fontId="5" fillId="0" borderId="0" xfId="63" applyNumberFormat="1" applyFont="1" applyFill="1" applyBorder="1" applyAlignment="1">
      <alignment horizontal="center"/>
    </xf>
    <xf numFmtId="1" fontId="5" fillId="0" borderId="0" xfId="63" applyNumberFormat="1" applyFont="1" applyFill="1" applyBorder="1" applyAlignment="1">
      <alignment horizontal="center"/>
    </xf>
    <xf numFmtId="179" fontId="5" fillId="0" borderId="0" xfId="63" applyNumberFormat="1" applyFont="1" applyFill="1" applyBorder="1" applyAlignment="1">
      <alignment horizontal="center"/>
    </xf>
    <xf numFmtId="0" fontId="50" fillId="0" borderId="0" xfId="5" applyFont="1" applyBorder="1" applyAlignment="1"/>
    <xf numFmtId="180" fontId="5" fillId="0" borderId="0" xfId="61" applyNumberFormat="1" applyFont="1" applyBorder="1" applyAlignment="1">
      <alignment horizontal="right"/>
    </xf>
    <xf numFmtId="182" fontId="5" fillId="0" borderId="0" xfId="61" applyNumberFormat="1" applyFont="1" applyBorder="1" applyAlignment="1">
      <alignment horizontal="right"/>
    </xf>
    <xf numFmtId="1" fontId="41" fillId="0" borderId="0" xfId="63" applyNumberFormat="1" applyFont="1" applyFill="1" applyBorder="1" applyAlignment="1">
      <alignment horizontal="center"/>
    </xf>
    <xf numFmtId="167" fontId="41" fillId="0" borderId="0" xfId="108" applyNumberFormat="1" applyFont="1" applyFill="1" applyBorder="1" applyAlignment="1">
      <alignment horizontal="center"/>
    </xf>
    <xf numFmtId="179" fontId="41" fillId="0" borderId="0" xfId="63" applyNumberFormat="1" applyFont="1" applyFill="1" applyBorder="1" applyAlignment="1">
      <alignment horizontal="center"/>
    </xf>
    <xf numFmtId="38" fontId="5" fillId="0" borderId="36" xfId="5" applyNumberFormat="1" applyFont="1" applyFill="1" applyBorder="1" applyAlignment="1">
      <alignment horizontal="right"/>
    </xf>
    <xf numFmtId="0" fontId="5" fillId="0" borderId="14" xfId="5" applyFont="1" applyFill="1" applyBorder="1" applyAlignment="1">
      <alignment horizontal="left"/>
    </xf>
    <xf numFmtId="0" fontId="59" fillId="0" borderId="14" xfId="5" applyFont="1" applyFill="1" applyBorder="1" applyAlignment="1">
      <alignment horizontal="left"/>
    </xf>
    <xf numFmtId="1" fontId="59" fillId="0" borderId="14" xfId="5" applyNumberFormat="1" applyFont="1" applyFill="1" applyBorder="1" applyAlignment="1">
      <alignment horizontal="center"/>
    </xf>
    <xf numFmtId="167" fontId="59" fillId="0" borderId="14" xfId="5" applyNumberFormat="1" applyFont="1" applyFill="1" applyBorder="1" applyAlignment="1">
      <alignment horizontal="center"/>
    </xf>
    <xf numFmtId="179" fontId="59" fillId="0" borderId="14" xfId="5" applyNumberFormat="1" applyFont="1" applyFill="1" applyBorder="1" applyAlignment="1">
      <alignment horizontal="center"/>
    </xf>
    <xf numFmtId="180" fontId="59" fillId="0" borderId="38" xfId="61" applyNumberFormat="1" applyFont="1" applyFill="1" applyBorder="1" applyAlignment="1"/>
    <xf numFmtId="180" fontId="59" fillId="0" borderId="14" xfId="61" applyNumberFormat="1" applyFont="1" applyFill="1" applyBorder="1" applyAlignment="1">
      <alignment horizontal="right"/>
    </xf>
    <xf numFmtId="180" fontId="59" fillId="26" borderId="26" xfId="61" applyNumberFormat="1" applyFont="1" applyFill="1" applyBorder="1" applyAlignment="1">
      <alignment horizontal="right"/>
    </xf>
    <xf numFmtId="180" fontId="59" fillId="26" borderId="14" xfId="61" applyNumberFormat="1" applyFont="1" applyFill="1" applyBorder="1" applyAlignment="1">
      <alignment horizontal="right"/>
    </xf>
    <xf numFmtId="180" fontId="59" fillId="26" borderId="38" xfId="61" applyNumberFormat="1" applyFont="1" applyFill="1" applyBorder="1" applyAlignment="1">
      <alignment horizontal="right"/>
    </xf>
    <xf numFmtId="38" fontId="59" fillId="0" borderId="38" xfId="5" applyNumberFormat="1" applyFont="1" applyFill="1" applyBorder="1" applyAlignment="1">
      <alignment horizontal="right"/>
    </xf>
    <xf numFmtId="180" fontId="4" fillId="0" borderId="36" xfId="61" applyNumberFormat="1" applyFont="1" applyFill="1" applyBorder="1" applyAlignment="1"/>
    <xf numFmtId="38" fontId="4" fillId="0" borderId="36" xfId="5" applyNumberFormat="1" applyFont="1" applyFill="1" applyBorder="1" applyAlignment="1">
      <alignment horizontal="right"/>
    </xf>
    <xf numFmtId="38" fontId="5" fillId="0" borderId="40" xfId="5" applyNumberFormat="1" applyFont="1" applyFill="1" applyBorder="1" applyAlignment="1">
      <alignment horizontal="center"/>
    </xf>
    <xf numFmtId="38" fontId="5" fillId="0" borderId="12" xfId="5" applyNumberFormat="1" applyFont="1" applyFill="1" applyBorder="1" applyAlignment="1">
      <alignment horizontal="center"/>
    </xf>
    <xf numFmtId="180" fontId="5" fillId="0" borderId="41" xfId="61" applyNumberFormat="1" applyFont="1" applyBorder="1" applyAlignment="1"/>
    <xf numFmtId="180" fontId="5" fillId="26" borderId="40" xfId="61" applyNumberFormat="1" applyFont="1" applyFill="1" applyBorder="1" applyAlignment="1">
      <alignment horizontal="right"/>
    </xf>
    <xf numFmtId="180" fontId="5" fillId="26" borderId="12" xfId="61" applyNumberFormat="1" applyFont="1" applyFill="1" applyBorder="1" applyAlignment="1">
      <alignment horizontal="right"/>
    </xf>
    <xf numFmtId="180" fontId="5" fillId="26" borderId="41" xfId="61" applyNumberFormat="1" applyFont="1" applyFill="1" applyBorder="1" applyAlignment="1">
      <alignment horizontal="right"/>
    </xf>
    <xf numFmtId="38" fontId="5" fillId="0" borderId="41" xfId="5" applyNumberFormat="1" applyFont="1" applyBorder="1" applyAlignment="1">
      <alignment horizontal="right"/>
    </xf>
    <xf numFmtId="182" fontId="5" fillId="26" borderId="40" xfId="61" applyNumberFormat="1" applyFont="1" applyFill="1" applyBorder="1" applyAlignment="1">
      <alignment horizontal="right"/>
    </xf>
    <xf numFmtId="182" fontId="5" fillId="26" borderId="12" xfId="61" applyNumberFormat="1" applyFont="1" applyFill="1" applyBorder="1" applyAlignment="1">
      <alignment horizontal="right"/>
    </xf>
    <xf numFmtId="182" fontId="5" fillId="26" borderId="41" xfId="61" applyNumberFormat="1" applyFont="1" applyFill="1" applyBorder="1" applyAlignment="1">
      <alignment horizontal="right"/>
    </xf>
    <xf numFmtId="179" fontId="29" fillId="0" borderId="0" xfId="63" applyNumberFormat="1" applyFont="1" applyFill="1" applyBorder="1" applyAlignment="1">
      <alignment horizontal="center"/>
    </xf>
    <xf numFmtId="180" fontId="29" fillId="0" borderId="36" xfId="61" applyNumberFormat="1" applyFont="1" applyFill="1" applyBorder="1" applyAlignment="1">
      <alignment horizontal="center"/>
    </xf>
    <xf numFmtId="38" fontId="5" fillId="0" borderId="38" xfId="5" applyNumberFormat="1" applyFont="1" applyFill="1" applyBorder="1" applyAlignment="1">
      <alignment horizontal="right"/>
    </xf>
    <xf numFmtId="38" fontId="4" fillId="0" borderId="36" xfId="63" applyNumberFormat="1" applyFont="1" applyFill="1" applyBorder="1" applyAlignment="1">
      <alignment horizontal="right"/>
    </xf>
    <xf numFmtId="167" fontId="5" fillId="0" borderId="0" xfId="63" applyNumberFormat="1" applyFont="1" applyFill="1" applyBorder="1" applyAlignment="1">
      <alignment horizontal="center"/>
    </xf>
    <xf numFmtId="0" fontId="50" fillId="0" borderId="0" xfId="5" applyFont="1" applyFill="1" applyBorder="1" applyAlignment="1"/>
    <xf numFmtId="0" fontId="4" fillId="0" borderId="0" xfId="5" applyFont="1" applyBorder="1" applyAlignment="1"/>
    <xf numFmtId="0" fontId="5" fillId="0" borderId="0" xfId="5" applyFont="1" applyBorder="1" applyAlignment="1"/>
    <xf numFmtId="180" fontId="5" fillId="0" borderId="41" xfId="61" applyNumberFormat="1" applyFont="1" applyFill="1" applyBorder="1" applyAlignment="1"/>
    <xf numFmtId="180" fontId="5" fillId="0" borderId="12" xfId="61" applyNumberFormat="1" applyFont="1" applyFill="1" applyBorder="1" applyAlignment="1">
      <alignment horizontal="right"/>
    </xf>
    <xf numFmtId="38" fontId="5" fillId="0" borderId="41" xfId="5" applyNumberFormat="1" applyFont="1" applyFill="1" applyBorder="1" applyAlignment="1">
      <alignment horizontal="right"/>
    </xf>
    <xf numFmtId="182" fontId="5" fillId="0" borderId="12" xfId="61" applyNumberFormat="1" applyFont="1" applyFill="1" applyBorder="1" applyAlignment="1">
      <alignment horizontal="right"/>
    </xf>
    <xf numFmtId="0" fontId="4" fillId="0" borderId="12" xfId="5" applyFont="1" applyBorder="1" applyAlignment="1"/>
    <xf numFmtId="0" fontId="3" fillId="0" borderId="0" xfId="5" applyFont="1" applyFill="1" applyBorder="1"/>
    <xf numFmtId="8" fontId="0" fillId="0" borderId="0" xfId="5" applyNumberFormat="1" applyFont="1" applyFill="1" applyBorder="1"/>
    <xf numFmtId="14" fontId="0" fillId="0" borderId="0" xfId="5" applyNumberFormat="1" applyFont="1" applyFill="1" applyBorder="1"/>
    <xf numFmtId="8" fontId="5" fillId="0" borderId="0" xfId="5" applyNumberFormat="1" applyFont="1" applyFill="1" applyBorder="1"/>
    <xf numFmtId="0" fontId="0" fillId="0" borderId="0" xfId="5" applyFont="1" applyFill="1" applyBorder="1" applyAlignment="1">
      <alignment horizontal="left"/>
    </xf>
    <xf numFmtId="9" fontId="4" fillId="0" borderId="0" xfId="5" applyNumberFormat="1" applyFont="1" applyFill="1" applyBorder="1"/>
    <xf numFmtId="9" fontId="40" fillId="0" borderId="0" xfId="5" applyNumberFormat="1" applyFont="1" applyFill="1" applyBorder="1"/>
    <xf numFmtId="0" fontId="23" fillId="0" borderId="0" xfId="5" applyFont="1" applyFill="1" applyBorder="1" applyAlignment="1">
      <alignment horizontal="right"/>
    </xf>
    <xf numFmtId="38" fontId="29" fillId="0" borderId="35" xfId="63" applyNumberFormat="1" applyFont="1" applyFill="1" applyBorder="1" applyAlignment="1">
      <alignment horizontal="center"/>
    </xf>
    <xf numFmtId="38" fontId="23" fillId="0" borderId="0" xfId="63" applyNumberFormat="1" applyFont="1" applyBorder="1" applyAlignment="1"/>
    <xf numFmtId="179" fontId="41" fillId="0" borderId="0" xfId="5" applyNumberFormat="1" applyFont="1" applyFill="1" applyBorder="1" applyAlignment="1">
      <alignment horizontal="center"/>
    </xf>
    <xf numFmtId="180" fontId="32" fillId="0" borderId="0" xfId="61" applyNumberFormat="1" applyFont="1" applyFill="1" applyBorder="1" applyAlignment="1">
      <alignment horizontal="right"/>
    </xf>
    <xf numFmtId="180" fontId="32" fillId="26" borderId="35" xfId="61" applyNumberFormat="1" applyFont="1" applyFill="1" applyBorder="1" applyAlignment="1">
      <alignment horizontal="right"/>
    </xf>
    <xf numFmtId="180" fontId="32" fillId="26" borderId="0" xfId="61" applyNumberFormat="1" applyFont="1" applyFill="1" applyBorder="1" applyAlignment="1">
      <alignment horizontal="right"/>
    </xf>
    <xf numFmtId="38" fontId="32" fillId="0" borderId="36" xfId="5" applyNumberFormat="1" applyFont="1" applyFill="1" applyBorder="1" applyAlignment="1">
      <alignment horizontal="right"/>
    </xf>
    <xf numFmtId="166" fontId="21" fillId="0" borderId="0" xfId="5" applyNumberFormat="1" applyFont="1" applyFill="1" applyBorder="1"/>
    <xf numFmtId="166" fontId="12" fillId="0" borderId="0" xfId="5" applyNumberFormat="1" applyFont="1" applyFill="1" applyBorder="1"/>
    <xf numFmtId="0" fontId="3" fillId="28" borderId="28" xfId="5" applyFont="1" applyFill="1" applyBorder="1"/>
    <xf numFmtId="0" fontId="19" fillId="28" borderId="29" xfId="5" applyFont="1" applyFill="1" applyBorder="1"/>
    <xf numFmtId="0" fontId="23" fillId="0" borderId="0" xfId="5" applyFont="1"/>
    <xf numFmtId="166" fontId="12" fillId="0" borderId="0" xfId="5" applyNumberFormat="1" applyFont="1" applyFill="1" applyBorder="1" applyAlignment="1">
      <alignment horizontal="right"/>
    </xf>
    <xf numFmtId="166" fontId="18" fillId="28" borderId="29" xfId="5" applyNumberFormat="1" applyFont="1" applyFill="1" applyBorder="1"/>
    <xf numFmtId="166" fontId="13" fillId="28" borderId="29" xfId="5" applyNumberFormat="1" applyFont="1" applyFill="1" applyBorder="1"/>
    <xf numFmtId="166" fontId="13" fillId="28" borderId="30" xfId="5" applyNumberFormat="1" applyFont="1" applyFill="1" applyBorder="1"/>
    <xf numFmtId="166" fontId="33" fillId="0" borderId="0" xfId="5" applyNumberFormat="1" applyFont="1" applyFill="1" applyBorder="1"/>
    <xf numFmtId="182" fontId="32" fillId="0" borderId="14" xfId="61" applyNumberFormat="1" applyFont="1" applyFill="1" applyBorder="1" applyAlignment="1">
      <alignment horizontal="right"/>
    </xf>
    <xf numFmtId="182" fontId="32" fillId="26" borderId="26" xfId="61" applyNumberFormat="1" applyFont="1" applyFill="1" applyBorder="1" applyAlignment="1">
      <alignment horizontal="right"/>
    </xf>
    <xf numFmtId="182" fontId="32" fillId="26" borderId="14" xfId="61" applyNumberFormat="1" applyFont="1" applyFill="1" applyBorder="1" applyAlignment="1">
      <alignment horizontal="right"/>
    </xf>
    <xf numFmtId="182" fontId="32" fillId="26" borderId="38" xfId="61" applyNumberFormat="1" applyFont="1" applyFill="1" applyBorder="1" applyAlignment="1">
      <alignment horizontal="right"/>
    </xf>
    <xf numFmtId="1" fontId="0" fillId="0" borderId="0" xfId="5" applyNumberFormat="1" applyFont="1" applyFill="1" applyBorder="1"/>
    <xf numFmtId="9" fontId="23" fillId="0" borderId="0" xfId="5" applyNumberFormat="1" applyFont="1" applyFill="1" applyBorder="1"/>
    <xf numFmtId="0" fontId="23" fillId="0" borderId="0" xfId="5" applyFont="1" applyFill="1" applyBorder="1"/>
    <xf numFmtId="167" fontId="0" fillId="0" borderId="0" xfId="108" applyNumberFormat="1" applyFont="1" applyFill="1" applyBorder="1"/>
    <xf numFmtId="9" fontId="1" fillId="0" borderId="0" xfId="108" applyNumberFormat="1" applyFill="1" applyBorder="1"/>
    <xf numFmtId="9" fontId="0" fillId="0" borderId="0" xfId="5" applyNumberFormat="1" applyFont="1" applyFill="1" applyBorder="1"/>
    <xf numFmtId="38" fontId="4" fillId="0" borderId="0" xfId="63" applyNumberFormat="1" applyFont="1" applyFill="1" applyBorder="1"/>
    <xf numFmtId="38" fontId="5" fillId="0" borderId="0" xfId="63" applyNumberFormat="1" applyFont="1" applyFill="1" applyBorder="1"/>
    <xf numFmtId="180" fontId="0" fillId="0" borderId="0" xfId="61" applyNumberFormat="1" applyFont="1" applyFill="1" applyBorder="1"/>
    <xf numFmtId="180" fontId="4" fillId="0" borderId="0" xfId="61" applyNumberFormat="1" applyFont="1" applyFill="1" applyBorder="1"/>
    <xf numFmtId="180" fontId="40" fillId="0" borderId="0" xfId="61" applyNumberFormat="1" applyFont="1" applyFill="1" applyBorder="1"/>
    <xf numFmtId="9" fontId="1" fillId="0" borderId="0" xfId="108" applyFill="1" applyBorder="1"/>
    <xf numFmtId="0" fontId="42" fillId="0" borderId="0" xfId="5" applyFont="1" applyFill="1" applyBorder="1" applyAlignment="1">
      <alignment horizontal="center"/>
    </xf>
    <xf numFmtId="169" fontId="5" fillId="0" borderId="0" xfId="5" applyNumberFormat="1" applyFont="1" applyFill="1" applyBorder="1"/>
    <xf numFmtId="9" fontId="0" fillId="0" borderId="0" xfId="108" applyFont="1" applyFill="1" applyBorder="1"/>
    <xf numFmtId="0" fontId="81" fillId="0" borderId="0" xfId="5" applyFont="1" applyFill="1" applyBorder="1"/>
    <xf numFmtId="0" fontId="3" fillId="28" borderId="0" xfId="5" applyFont="1" applyFill="1"/>
    <xf numFmtId="0" fontId="5" fillId="0" borderId="0" xfId="5" applyFont="1"/>
    <xf numFmtId="9" fontId="5" fillId="0" borderId="0" xfId="108" applyFont="1" applyFill="1" applyBorder="1"/>
    <xf numFmtId="4" fontId="0" fillId="0" borderId="0" xfId="5" applyNumberFormat="1" applyFont="1"/>
    <xf numFmtId="170" fontId="0" fillId="0" borderId="0" xfId="5" applyNumberFormat="1" applyFont="1"/>
    <xf numFmtId="0" fontId="0" fillId="0" borderId="0" xfId="5" applyFont="1" applyFill="1" applyBorder="1" applyAlignment="1">
      <alignment horizontal="right"/>
    </xf>
    <xf numFmtId="187" fontId="0" fillId="0" borderId="0" xfId="70" applyNumberFormat="1" applyFont="1" applyFill="1" applyBorder="1"/>
    <xf numFmtId="43" fontId="0" fillId="0" borderId="0" xfId="5" applyNumberFormat="1" applyFont="1" applyFill="1"/>
    <xf numFmtId="3" fontId="5" fillId="26" borderId="0" xfId="5" applyNumberFormat="1" applyFont="1" applyFill="1" applyBorder="1"/>
    <xf numFmtId="0" fontId="1" fillId="26" borderId="0" xfId="5" applyFont="1" applyFill="1" applyBorder="1"/>
    <xf numFmtId="9" fontId="5" fillId="26" borderId="0" xfId="5" applyNumberFormat="1" applyFont="1" applyFill="1" applyBorder="1"/>
    <xf numFmtId="169" fontId="5" fillId="26" borderId="0" xfId="5" applyNumberFormat="1" applyFont="1" applyFill="1" applyBorder="1"/>
    <xf numFmtId="167" fontId="5" fillId="26" borderId="0" xfId="5" applyNumberFormat="1" applyFont="1" applyFill="1" applyBorder="1"/>
    <xf numFmtId="3" fontId="4" fillId="26" borderId="0" xfId="5" applyNumberFormat="1" applyFont="1" applyFill="1" applyBorder="1"/>
    <xf numFmtId="4" fontId="5" fillId="26" borderId="0" xfId="5" applyNumberFormat="1" applyFont="1" applyFill="1" applyBorder="1"/>
    <xf numFmtId="0" fontId="4" fillId="26" borderId="42" xfId="5" applyFont="1" applyFill="1" applyBorder="1" applyAlignment="1">
      <alignment horizontal="left"/>
    </xf>
    <xf numFmtId="37" fontId="5" fillId="26" borderId="0" xfId="5" applyNumberFormat="1" applyFont="1" applyFill="1" applyBorder="1"/>
    <xf numFmtId="0" fontId="5" fillId="0" borderId="0" xfId="5" applyFont="1" applyFill="1" applyAlignment="1">
      <alignment horizontal="left"/>
    </xf>
    <xf numFmtId="0" fontId="19" fillId="28" borderId="0" xfId="5" applyFont="1" applyFill="1" applyBorder="1"/>
    <xf numFmtId="0" fontId="4" fillId="26" borderId="28" xfId="5" applyFont="1" applyFill="1" applyBorder="1" applyAlignment="1">
      <alignment horizontal="left"/>
    </xf>
    <xf numFmtId="0" fontId="4" fillId="26" borderId="28" xfId="5" applyFont="1" applyFill="1" applyBorder="1"/>
    <xf numFmtId="164" fontId="4" fillId="27" borderId="43" xfId="5" applyNumberFormat="1" applyFont="1" applyFill="1" applyBorder="1"/>
    <xf numFmtId="3" fontId="22" fillId="26" borderId="0" xfId="5" applyNumberFormat="1" applyFont="1" applyFill="1" applyBorder="1"/>
    <xf numFmtId="3" fontId="40" fillId="26" borderId="0" xfId="5" applyNumberFormat="1" applyFont="1" applyFill="1" applyBorder="1"/>
    <xf numFmtId="4" fontId="0" fillId="26" borderId="0" xfId="5" applyNumberFormat="1" applyFont="1" applyFill="1" applyBorder="1"/>
    <xf numFmtId="4" fontId="4" fillId="26" borderId="0" xfId="5" applyNumberFormat="1" applyFont="1" applyFill="1" applyBorder="1"/>
    <xf numFmtId="9" fontId="23" fillId="26" borderId="0" xfId="5" applyNumberFormat="1" applyFont="1" applyFill="1" applyBorder="1"/>
    <xf numFmtId="1" fontId="0" fillId="26" borderId="0" xfId="5" applyNumberFormat="1" applyFont="1" applyFill="1" applyBorder="1"/>
    <xf numFmtId="9" fontId="1" fillId="26" borderId="0" xfId="108" applyNumberFormat="1" applyFill="1" applyBorder="1"/>
    <xf numFmtId="169" fontId="0" fillId="26" borderId="0" xfId="5" applyNumberFormat="1" applyFont="1" applyFill="1" applyBorder="1"/>
    <xf numFmtId="9" fontId="0" fillId="26" borderId="0" xfId="5" applyNumberFormat="1" applyFont="1" applyFill="1" applyBorder="1"/>
    <xf numFmtId="167" fontId="0" fillId="26" borderId="0" xfId="5" applyNumberFormat="1" applyFont="1" applyFill="1" applyBorder="1"/>
    <xf numFmtId="167" fontId="41" fillId="26" borderId="0" xfId="108" applyNumberFormat="1" applyFont="1" applyFill="1" applyBorder="1"/>
    <xf numFmtId="3" fontId="41" fillId="26" borderId="0" xfId="5" applyNumberFormat="1" applyFont="1" applyFill="1" applyBorder="1"/>
    <xf numFmtId="167" fontId="41" fillId="26" borderId="0" xfId="5" applyNumberFormat="1" applyFont="1" applyFill="1" applyBorder="1"/>
    <xf numFmtId="0" fontId="11" fillId="26" borderId="0" xfId="5" applyFont="1" applyFill="1" applyBorder="1"/>
    <xf numFmtId="180" fontId="10" fillId="26" borderId="0" xfId="61" applyNumberFormat="1" applyFont="1" applyFill="1" applyBorder="1"/>
    <xf numFmtId="180" fontId="0" fillId="26" borderId="0" xfId="61" applyNumberFormat="1" applyFont="1" applyFill="1" applyBorder="1"/>
    <xf numFmtId="180" fontId="5" fillId="26" borderId="0" xfId="61" applyNumberFormat="1" applyFont="1" applyFill="1" applyBorder="1"/>
    <xf numFmtId="180" fontId="4" fillId="26" borderId="0" xfId="61" applyNumberFormat="1" applyFont="1" applyFill="1" applyBorder="1"/>
    <xf numFmtId="180" fontId="40" fillId="26" borderId="0" xfId="61" applyNumberFormat="1" applyFont="1" applyFill="1" applyBorder="1"/>
    <xf numFmtId="180" fontId="39" fillId="26" borderId="0" xfId="61" applyNumberFormat="1" applyFont="1" applyFill="1" applyBorder="1"/>
    <xf numFmtId="180" fontId="22" fillId="26" borderId="0" xfId="61" applyNumberFormat="1" applyFont="1" applyFill="1" applyBorder="1"/>
    <xf numFmtId="182" fontId="0" fillId="26" borderId="0" xfId="61" applyNumberFormat="1" applyFont="1" applyFill="1" applyBorder="1"/>
    <xf numFmtId="180" fontId="1" fillId="26" borderId="0" xfId="61" applyNumberFormat="1" applyFont="1" applyFill="1" applyBorder="1"/>
    <xf numFmtId="37" fontId="4" fillId="26" borderId="0" xfId="5" applyNumberFormat="1" applyFont="1" applyFill="1" applyBorder="1"/>
    <xf numFmtId="3" fontId="5" fillId="26" borderId="0" xfId="5" applyNumberFormat="1" applyFont="1" applyFill="1" applyBorder="1" applyAlignment="1">
      <alignment horizontal="center"/>
    </xf>
    <xf numFmtId="170" fontId="4" fillId="26" borderId="0" xfId="5" applyNumberFormat="1" applyFont="1" applyFill="1" applyBorder="1"/>
    <xf numFmtId="9" fontId="5" fillId="26" borderId="0" xfId="108" applyFont="1" applyFill="1" applyBorder="1"/>
    <xf numFmtId="180" fontId="41" fillId="26" borderId="0" xfId="61" applyNumberFormat="1" applyFont="1" applyFill="1" applyBorder="1"/>
    <xf numFmtId="0" fontId="1" fillId="26" borderId="35" xfId="5" applyFont="1" applyFill="1" applyBorder="1"/>
    <xf numFmtId="0" fontId="1" fillId="26" borderId="36" xfId="5" applyFont="1" applyFill="1" applyBorder="1"/>
    <xf numFmtId="3" fontId="22" fillId="26" borderId="35" xfId="5" applyNumberFormat="1" applyFont="1" applyFill="1" applyBorder="1"/>
    <xf numFmtId="3" fontId="22" fillId="26" borderId="36" xfId="5" applyNumberFormat="1" applyFont="1" applyFill="1" applyBorder="1"/>
    <xf numFmtId="3" fontId="5" fillId="26" borderId="35" xfId="5" applyNumberFormat="1" applyFont="1" applyFill="1" applyBorder="1"/>
    <xf numFmtId="3" fontId="5" fillId="26" borderId="36" xfId="5" applyNumberFormat="1" applyFont="1" applyFill="1" applyBorder="1"/>
    <xf numFmtId="3" fontId="0" fillId="26" borderId="35" xfId="5" applyNumberFormat="1" applyFont="1" applyFill="1" applyBorder="1"/>
    <xf numFmtId="3" fontId="0" fillId="26" borderId="36" xfId="5" applyNumberFormat="1" applyFont="1" applyFill="1" applyBorder="1"/>
    <xf numFmtId="3" fontId="4" fillId="26" borderId="35" xfId="5" applyNumberFormat="1" applyFont="1" applyFill="1" applyBorder="1"/>
    <xf numFmtId="3" fontId="4" fillId="26" borderId="36" xfId="5" applyNumberFormat="1" applyFont="1" applyFill="1" applyBorder="1"/>
    <xf numFmtId="3" fontId="40" fillId="26" borderId="36" xfId="5" applyNumberFormat="1" applyFont="1" applyFill="1" applyBorder="1"/>
    <xf numFmtId="0" fontId="0" fillId="26" borderId="35" xfId="5" applyFont="1" applyFill="1" applyBorder="1"/>
    <xf numFmtId="0" fontId="0" fillId="26" borderId="36" xfId="5" applyFont="1" applyFill="1" applyBorder="1"/>
    <xf numFmtId="3" fontId="40" fillId="26" borderId="35" xfId="5" applyNumberFormat="1" applyFont="1" applyFill="1" applyBorder="1"/>
    <xf numFmtId="4" fontId="0" fillId="26" borderId="35" xfId="5" applyNumberFormat="1" applyFont="1" applyFill="1" applyBorder="1"/>
    <xf numFmtId="9" fontId="23" fillId="26" borderId="35" xfId="5" applyNumberFormat="1" applyFont="1" applyFill="1" applyBorder="1"/>
    <xf numFmtId="9" fontId="23" fillId="26" borderId="36" xfId="5" applyNumberFormat="1" applyFont="1" applyFill="1" applyBorder="1"/>
    <xf numFmtId="1" fontId="0" fillId="26" borderId="36" xfId="5" applyNumberFormat="1" applyFont="1" applyFill="1" applyBorder="1"/>
    <xf numFmtId="9" fontId="1" fillId="26" borderId="35" xfId="108" applyNumberFormat="1" applyFill="1" applyBorder="1"/>
    <xf numFmtId="9" fontId="1" fillId="26" borderId="36" xfId="108" applyNumberFormat="1" applyFill="1" applyBorder="1"/>
    <xf numFmtId="169" fontId="0" fillId="26" borderId="35" xfId="5" applyNumberFormat="1" applyFont="1" applyFill="1" applyBorder="1"/>
    <xf numFmtId="169" fontId="0" fillId="26" borderId="36" xfId="5" applyNumberFormat="1" applyFont="1" applyFill="1" applyBorder="1"/>
    <xf numFmtId="9" fontId="0" fillId="26" borderId="35" xfId="5" applyNumberFormat="1" applyFont="1" applyFill="1" applyBorder="1"/>
    <xf numFmtId="9" fontId="0" fillId="26" borderId="36" xfId="5" applyNumberFormat="1" applyFont="1" applyFill="1" applyBorder="1"/>
    <xf numFmtId="167" fontId="40" fillId="26" borderId="35" xfId="5" applyNumberFormat="1" applyFont="1" applyFill="1" applyBorder="1"/>
    <xf numFmtId="167" fontId="0" fillId="26" borderId="36" xfId="5" applyNumberFormat="1" applyFont="1" applyFill="1" applyBorder="1"/>
    <xf numFmtId="167" fontId="41" fillId="26" borderId="35" xfId="108" applyNumberFormat="1" applyFont="1" applyFill="1" applyBorder="1"/>
    <xf numFmtId="167" fontId="41" fillId="26" borderId="36" xfId="108" applyNumberFormat="1" applyFont="1" applyFill="1" applyBorder="1"/>
    <xf numFmtId="3" fontId="41" fillId="26" borderId="35" xfId="5" applyNumberFormat="1" applyFont="1" applyFill="1" applyBorder="1"/>
    <xf numFmtId="3" fontId="41" fillId="26" borderId="36" xfId="5" applyNumberFormat="1" applyFont="1" applyFill="1" applyBorder="1"/>
    <xf numFmtId="167" fontId="41" fillId="26" borderId="35" xfId="5" applyNumberFormat="1" applyFont="1" applyFill="1" applyBorder="1"/>
    <xf numFmtId="167" fontId="41" fillId="26" borderId="36" xfId="5" applyNumberFormat="1" applyFont="1" applyFill="1" applyBorder="1"/>
    <xf numFmtId="167" fontId="5" fillId="26" borderId="35" xfId="5" applyNumberFormat="1" applyFont="1" applyFill="1" applyBorder="1"/>
    <xf numFmtId="167" fontId="5" fillId="26" borderId="36" xfId="5" applyNumberFormat="1" applyFont="1" applyFill="1" applyBorder="1"/>
    <xf numFmtId="0" fontId="11" fillId="26" borderId="35" xfId="5" applyFont="1" applyFill="1" applyBorder="1"/>
    <xf numFmtId="0" fontId="11" fillId="26" borderId="36" xfId="5" applyFont="1" applyFill="1" applyBorder="1"/>
    <xf numFmtId="180" fontId="10" fillId="26" borderId="35" xfId="61" applyNumberFormat="1" applyFont="1" applyFill="1" applyBorder="1"/>
    <xf numFmtId="180" fontId="10" fillId="26" borderId="36" xfId="61" applyNumberFormat="1" applyFont="1" applyFill="1" applyBorder="1"/>
    <xf numFmtId="180" fontId="0" fillId="26" borderId="35" xfId="61" applyNumberFormat="1" applyFont="1" applyFill="1" applyBorder="1"/>
    <xf numFmtId="180" fontId="0" fillId="26" borderId="36" xfId="61" applyNumberFormat="1" applyFont="1" applyFill="1" applyBorder="1"/>
    <xf numFmtId="180" fontId="5" fillId="26" borderId="35" xfId="61" applyNumberFormat="1" applyFont="1" applyFill="1" applyBorder="1"/>
    <xf numFmtId="180" fontId="5" fillId="26" borderId="36" xfId="61" applyNumberFormat="1" applyFont="1" applyFill="1" applyBorder="1"/>
    <xf numFmtId="180" fontId="4" fillId="26" borderId="35" xfId="61" applyNumberFormat="1" applyFont="1" applyFill="1" applyBorder="1"/>
    <xf numFmtId="180" fontId="4" fillId="26" borderId="36" xfId="61" applyNumberFormat="1" applyFont="1" applyFill="1" applyBorder="1"/>
    <xf numFmtId="180" fontId="40" fillId="26" borderId="35" xfId="61" applyNumberFormat="1" applyFont="1" applyFill="1" applyBorder="1"/>
    <xf numFmtId="180" fontId="40" fillId="26" borderId="36" xfId="61" applyNumberFormat="1" applyFont="1" applyFill="1" applyBorder="1"/>
    <xf numFmtId="180" fontId="39" fillId="26" borderId="35" xfId="61" applyNumberFormat="1" applyFont="1" applyFill="1" applyBorder="1"/>
    <xf numFmtId="180" fontId="22" fillId="26" borderId="35" xfId="61" applyNumberFormat="1" applyFont="1" applyFill="1" applyBorder="1"/>
    <xf numFmtId="180" fontId="22" fillId="26" borderId="36" xfId="61" applyNumberFormat="1" applyFont="1" applyFill="1" applyBorder="1"/>
    <xf numFmtId="167" fontId="0" fillId="26" borderId="35" xfId="5" applyNumberFormat="1" applyFont="1" applyFill="1" applyBorder="1"/>
    <xf numFmtId="182" fontId="0" fillId="26" borderId="36" xfId="61" applyNumberFormat="1" applyFont="1" applyFill="1" applyBorder="1"/>
    <xf numFmtId="180" fontId="1" fillId="26" borderId="36" xfId="61" applyNumberFormat="1" applyFont="1" applyFill="1" applyBorder="1"/>
    <xf numFmtId="180" fontId="1" fillId="26" borderId="35" xfId="61" applyNumberFormat="1" applyFont="1" applyFill="1" applyBorder="1"/>
    <xf numFmtId="37" fontId="4" fillId="26" borderId="35" xfId="5" applyNumberFormat="1" applyFont="1" applyFill="1" applyBorder="1"/>
    <xf numFmtId="37" fontId="4" fillId="26" borderId="36" xfId="5" applyNumberFormat="1" applyFont="1" applyFill="1" applyBorder="1"/>
    <xf numFmtId="9" fontId="5" fillId="26" borderId="35" xfId="5" applyNumberFormat="1" applyFont="1" applyFill="1" applyBorder="1"/>
    <xf numFmtId="9" fontId="5" fillId="26" borderId="36" xfId="5" applyNumberFormat="1" applyFont="1" applyFill="1" applyBorder="1"/>
    <xf numFmtId="169" fontId="5" fillId="26" borderId="35" xfId="5" applyNumberFormat="1" applyFont="1" applyFill="1" applyBorder="1"/>
    <xf numFmtId="169" fontId="5" fillId="26" borderId="36" xfId="5" applyNumberFormat="1" applyFont="1" applyFill="1" applyBorder="1"/>
    <xf numFmtId="3" fontId="5" fillId="26" borderId="35" xfId="5" applyNumberFormat="1" applyFont="1" applyFill="1" applyBorder="1" applyAlignment="1">
      <alignment horizontal="center"/>
    </xf>
    <xf numFmtId="170" fontId="4" fillId="26" borderId="35" xfId="5" applyNumberFormat="1" applyFont="1" applyFill="1" applyBorder="1"/>
    <xf numFmtId="9" fontId="5" fillId="26" borderId="35" xfId="108" applyFont="1" applyFill="1" applyBorder="1"/>
    <xf numFmtId="9" fontId="5" fillId="26" borderId="36" xfId="108" applyFont="1" applyFill="1" applyBorder="1"/>
    <xf numFmtId="0" fontId="5" fillId="26" borderId="35" xfId="5" applyFont="1" applyFill="1" applyBorder="1"/>
    <xf numFmtId="180" fontId="41" fillId="26" borderId="35" xfId="61" applyNumberFormat="1" applyFont="1" applyFill="1" applyBorder="1"/>
    <xf numFmtId="180" fontId="41" fillId="26" borderId="36" xfId="61" applyNumberFormat="1" applyFont="1" applyFill="1" applyBorder="1"/>
    <xf numFmtId="37" fontId="5" fillId="26" borderId="35" xfId="5" applyNumberFormat="1" applyFont="1" applyFill="1" applyBorder="1"/>
    <xf numFmtId="37" fontId="5" fillId="26" borderId="36" xfId="5" applyNumberFormat="1" applyFont="1" applyFill="1" applyBorder="1"/>
    <xf numFmtId="167" fontId="5" fillId="26" borderId="35" xfId="108" applyNumberFormat="1" applyFont="1" applyFill="1" applyBorder="1"/>
    <xf numFmtId="0" fontId="43" fillId="28" borderId="0" xfId="5" applyFont="1" applyFill="1"/>
    <xf numFmtId="0" fontId="84" fillId="28" borderId="0" xfId="5" applyFont="1" applyFill="1"/>
    <xf numFmtId="0" fontId="62" fillId="28" borderId="0" xfId="5" applyFont="1" applyFill="1"/>
    <xf numFmtId="7" fontId="62" fillId="28" borderId="0" xfId="5" applyNumberFormat="1" applyFont="1" applyFill="1" applyAlignment="1">
      <alignment horizontal="left"/>
    </xf>
    <xf numFmtId="0" fontId="12" fillId="27" borderId="0" xfId="5" applyFont="1" applyFill="1"/>
    <xf numFmtId="0" fontId="85" fillId="27" borderId="0" xfId="5" applyFont="1" applyFill="1"/>
    <xf numFmtId="0" fontId="9" fillId="27" borderId="0" xfId="5" applyFont="1" applyFill="1"/>
    <xf numFmtId="0" fontId="4" fillId="27" borderId="0" xfId="5" applyFont="1" applyFill="1"/>
    <xf numFmtId="167" fontId="5" fillId="26" borderId="0" xfId="108" applyNumberFormat="1" applyFont="1" applyFill="1" applyBorder="1"/>
    <xf numFmtId="167" fontId="5" fillId="26" borderId="36" xfId="108" applyNumberFormat="1" applyFont="1" applyFill="1" applyBorder="1"/>
    <xf numFmtId="180" fontId="40" fillId="26" borderId="0" xfId="5" applyNumberFormat="1" applyFont="1" applyFill="1" applyBorder="1"/>
    <xf numFmtId="180" fontId="0" fillId="26" borderId="35" xfId="5" applyNumberFormat="1" applyFont="1" applyFill="1" applyBorder="1"/>
    <xf numFmtId="180" fontId="0" fillId="26" borderId="0" xfId="5" applyNumberFormat="1" applyFont="1" applyFill="1" applyBorder="1"/>
    <xf numFmtId="180" fontId="0" fillId="26" borderId="36" xfId="5" applyNumberFormat="1" applyFont="1" applyFill="1" applyBorder="1"/>
    <xf numFmtId="180" fontId="0" fillId="0" borderId="0" xfId="5" applyNumberFormat="1" applyFont="1" applyFill="1" applyBorder="1"/>
    <xf numFmtId="43" fontId="22" fillId="26" borderId="35" xfId="61" applyFont="1" applyFill="1" applyBorder="1"/>
    <xf numFmtId="43" fontId="22" fillId="26" borderId="0" xfId="61" applyFont="1" applyFill="1" applyBorder="1"/>
    <xf numFmtId="43" fontId="22" fillId="26" borderId="36" xfId="61" applyFont="1" applyFill="1" applyBorder="1"/>
    <xf numFmtId="43" fontId="0" fillId="0" borderId="0" xfId="61" applyFont="1" applyFill="1" applyBorder="1"/>
    <xf numFmtId="0" fontId="38" fillId="0" borderId="0" xfId="5" applyFont="1" applyAlignment="1">
      <alignment horizontal="center"/>
    </xf>
    <xf numFmtId="167" fontId="38" fillId="0" borderId="0" xfId="63" applyNumberFormat="1" applyFont="1" applyFill="1" applyBorder="1" applyAlignment="1">
      <alignment horizontal="center"/>
    </xf>
    <xf numFmtId="38" fontId="41" fillId="0" borderId="0" xfId="63" applyNumberFormat="1" applyFont="1" applyFill="1" applyBorder="1" applyAlignment="1">
      <alignment horizontal="center"/>
    </xf>
    <xf numFmtId="38" fontId="4" fillId="0" borderId="42" xfId="70" applyNumberFormat="1" applyFont="1" applyFill="1" applyBorder="1" applyAlignment="1">
      <alignment horizontal="center"/>
    </xf>
    <xf numFmtId="3" fontId="60" fillId="0" borderId="0" xfId="5" applyNumberFormat="1" applyFont="1" applyBorder="1"/>
    <xf numFmtId="167" fontId="0" fillId="0" borderId="44" xfId="5" applyNumberFormat="1" applyFont="1" applyBorder="1"/>
    <xf numFmtId="3" fontId="60" fillId="0" borderId="44" xfId="5" applyNumberFormat="1" applyFont="1" applyBorder="1"/>
    <xf numFmtId="0" fontId="0" fillId="0" borderId="44" xfId="5" applyFont="1" applyBorder="1"/>
    <xf numFmtId="3" fontId="0" fillId="0" borderId="44" xfId="5" applyNumberFormat="1" applyFont="1" applyBorder="1"/>
    <xf numFmtId="180" fontId="1" fillId="0" borderId="0" xfId="61" applyNumberFormat="1" applyFont="1" applyFill="1" applyBorder="1"/>
    <xf numFmtId="37" fontId="0" fillId="0" borderId="0" xfId="5" applyNumberFormat="1" applyFont="1" applyFill="1" applyBorder="1"/>
    <xf numFmtId="37" fontId="0" fillId="26" borderId="35" xfId="5" applyNumberFormat="1" applyFont="1" applyFill="1" applyBorder="1"/>
    <xf numFmtId="37" fontId="0" fillId="26" borderId="0" xfId="5" applyNumberFormat="1" applyFont="1" applyFill="1" applyBorder="1"/>
    <xf numFmtId="37" fontId="0" fillId="26" borderId="36" xfId="5" applyNumberFormat="1" applyFont="1" applyFill="1" applyBorder="1"/>
    <xf numFmtId="180" fontId="58" fillId="26" borderId="35" xfId="61" applyNumberFormat="1" applyFont="1" applyFill="1" applyBorder="1"/>
    <xf numFmtId="180" fontId="58" fillId="26" borderId="0" xfId="61" applyNumberFormat="1" applyFont="1" applyFill="1" applyBorder="1"/>
    <xf numFmtId="180" fontId="58" fillId="26" borderId="36" xfId="61" applyNumberFormat="1" applyFont="1" applyFill="1" applyBorder="1"/>
    <xf numFmtId="180" fontId="38" fillId="26" borderId="35" xfId="61" applyNumberFormat="1" applyFont="1" applyFill="1" applyBorder="1"/>
    <xf numFmtId="180" fontId="38" fillId="26" borderId="0" xfId="61" applyNumberFormat="1" applyFont="1" applyFill="1" applyBorder="1"/>
    <xf numFmtId="180" fontId="38" fillId="26" borderId="36" xfId="61" applyNumberFormat="1" applyFont="1" applyFill="1" applyBorder="1"/>
    <xf numFmtId="180" fontId="38" fillId="0" borderId="0" xfId="61" applyNumberFormat="1" applyFont="1" applyFill="1" applyBorder="1"/>
    <xf numFmtId="180" fontId="81" fillId="0" borderId="0" xfId="61" applyNumberFormat="1" applyFont="1" applyFill="1" applyBorder="1"/>
    <xf numFmtId="180" fontId="10" fillId="0" borderId="0" xfId="61" applyNumberFormat="1" applyFont="1" applyFill="1" applyBorder="1"/>
    <xf numFmtId="4" fontId="10" fillId="0" borderId="0" xfId="5" applyNumberFormat="1" applyFont="1" applyFill="1" applyBorder="1"/>
    <xf numFmtId="0" fontId="81" fillId="26" borderId="0" xfId="5" applyFont="1" applyFill="1" applyBorder="1"/>
    <xf numFmtId="180" fontId="87" fillId="26" borderId="35" xfId="61" applyNumberFormat="1" applyFont="1" applyFill="1" applyBorder="1"/>
    <xf numFmtId="0" fontId="4" fillId="26" borderId="0" xfId="5" applyFont="1" applyFill="1" applyBorder="1"/>
    <xf numFmtId="0" fontId="81" fillId="26" borderId="0" xfId="5" applyFont="1" applyFill="1"/>
    <xf numFmtId="180" fontId="87" fillId="26" borderId="0" xfId="61" applyNumberFormat="1" applyFont="1" applyFill="1" applyBorder="1"/>
    <xf numFmtId="180" fontId="87" fillId="0" borderId="0" xfId="61" applyNumberFormat="1" applyFont="1" applyFill="1" applyBorder="1"/>
    <xf numFmtId="180" fontId="5" fillId="26" borderId="35" xfId="5" applyNumberFormat="1" applyFont="1" applyFill="1" applyBorder="1"/>
    <xf numFmtId="180" fontId="5" fillId="26" borderId="0" xfId="5" applyNumberFormat="1" applyFont="1" applyFill="1" applyBorder="1"/>
    <xf numFmtId="180" fontId="5" fillId="26" borderId="36" xfId="5" applyNumberFormat="1" applyFont="1" applyFill="1" applyBorder="1"/>
    <xf numFmtId="180" fontId="4" fillId="0" borderId="0" xfId="5" applyNumberFormat="1" applyFont="1" applyFill="1" applyBorder="1"/>
    <xf numFmtId="180" fontId="5" fillId="0" borderId="0" xfId="5" applyNumberFormat="1" applyFont="1" applyFill="1" applyBorder="1"/>
    <xf numFmtId="180" fontId="4" fillId="26" borderId="35" xfId="5" applyNumberFormat="1" applyFont="1" applyFill="1" applyBorder="1"/>
    <xf numFmtId="180" fontId="4" fillId="26" borderId="0" xfId="5" applyNumberFormat="1" applyFont="1" applyFill="1" applyBorder="1"/>
    <xf numFmtId="180" fontId="4" fillId="26" borderId="36" xfId="5" applyNumberFormat="1" applyFont="1" applyFill="1" applyBorder="1"/>
    <xf numFmtId="180" fontId="81" fillId="26" borderId="0" xfId="61" applyNumberFormat="1" applyFont="1" applyFill="1" applyBorder="1"/>
    <xf numFmtId="180" fontId="81" fillId="26" borderId="36" xfId="61" applyNumberFormat="1" applyFont="1" applyFill="1" applyBorder="1"/>
    <xf numFmtId="167" fontId="0" fillId="0" borderId="0" xfId="5" applyNumberFormat="1" applyFont="1" applyFill="1" applyBorder="1"/>
    <xf numFmtId="0" fontId="10" fillId="0" borderId="28" xfId="5" applyFont="1" applyFill="1" applyBorder="1"/>
    <xf numFmtId="0" fontId="81" fillId="0" borderId="29" xfId="5" applyFont="1" applyFill="1" applyBorder="1"/>
    <xf numFmtId="7" fontId="10" fillId="26" borderId="28" xfId="5" applyNumberFormat="1" applyFont="1" applyFill="1" applyBorder="1"/>
    <xf numFmtId="7" fontId="10" fillId="26" borderId="29" xfId="5" applyNumberFormat="1" applyFont="1" applyFill="1" applyBorder="1"/>
    <xf numFmtId="7" fontId="10" fillId="26" borderId="30" xfId="5" applyNumberFormat="1" applyFont="1" applyFill="1" applyBorder="1"/>
    <xf numFmtId="7" fontId="10" fillId="0" borderId="29" xfId="5" applyNumberFormat="1" applyFont="1" applyFill="1" applyBorder="1"/>
    <xf numFmtId="167" fontId="5" fillId="0" borderId="0" xfId="108" applyNumberFormat="1" applyFont="1" applyFill="1" applyBorder="1"/>
    <xf numFmtId="7" fontId="4" fillId="26" borderId="35" xfId="5" applyNumberFormat="1" applyFont="1" applyFill="1" applyBorder="1"/>
    <xf numFmtId="7" fontId="4" fillId="26" borderId="0" xfId="5" applyNumberFormat="1" applyFont="1" applyFill="1" applyBorder="1"/>
    <xf numFmtId="7" fontId="4" fillId="26" borderId="36" xfId="5" applyNumberFormat="1" applyFont="1" applyFill="1" applyBorder="1"/>
    <xf numFmtId="7" fontId="5" fillId="26" borderId="35" xfId="5" applyNumberFormat="1" applyFont="1" applyFill="1" applyBorder="1"/>
    <xf numFmtId="7" fontId="5" fillId="26" borderId="0" xfId="5" applyNumberFormat="1" applyFont="1" applyFill="1" applyBorder="1"/>
    <xf numFmtId="7" fontId="5" fillId="26" borderId="36" xfId="5" applyNumberFormat="1" applyFont="1" applyFill="1" applyBorder="1"/>
    <xf numFmtId="7" fontId="5" fillId="0" borderId="0" xfId="5" applyNumberFormat="1" applyFont="1" applyFill="1" applyBorder="1"/>
    <xf numFmtId="0" fontId="4" fillId="0" borderId="28" xfId="5" applyFont="1" applyFill="1" applyBorder="1"/>
    <xf numFmtId="0" fontId="5" fillId="0" borderId="29" xfId="5" applyFont="1" applyFill="1" applyBorder="1"/>
    <xf numFmtId="7" fontId="4" fillId="26" borderId="28" xfId="5" applyNumberFormat="1" applyFont="1" applyFill="1" applyBorder="1"/>
    <xf numFmtId="7" fontId="4" fillId="26" borderId="29" xfId="5" applyNumberFormat="1" applyFont="1" applyFill="1" applyBorder="1"/>
    <xf numFmtId="7" fontId="4" fillId="26" borderId="30" xfId="5" applyNumberFormat="1" applyFont="1" applyFill="1" applyBorder="1"/>
    <xf numFmtId="7" fontId="4" fillId="0" borderId="29" xfId="5" applyNumberFormat="1" applyFont="1" applyFill="1" applyBorder="1"/>
    <xf numFmtId="180" fontId="1" fillId="26" borderId="35" xfId="5" applyNumberFormat="1" applyFont="1" applyFill="1" applyBorder="1"/>
    <xf numFmtId="180" fontId="1" fillId="26" borderId="0" xfId="5" applyNumberFormat="1" applyFont="1" applyFill="1" applyBorder="1"/>
    <xf numFmtId="180" fontId="1" fillId="26" borderId="36" xfId="5" applyNumberFormat="1" applyFont="1" applyFill="1" applyBorder="1"/>
    <xf numFmtId="180" fontId="38" fillId="26" borderId="35" xfId="5" applyNumberFormat="1" applyFont="1" applyFill="1" applyBorder="1"/>
    <xf numFmtId="180" fontId="38" fillId="26" borderId="0" xfId="5" applyNumberFormat="1" applyFont="1" applyFill="1" applyBorder="1"/>
    <xf numFmtId="180" fontId="38" fillId="26" borderId="36" xfId="5" applyNumberFormat="1" applyFont="1" applyFill="1" applyBorder="1"/>
    <xf numFmtId="180" fontId="81" fillId="26" borderId="35" xfId="61" applyNumberFormat="1" applyFont="1" applyFill="1" applyBorder="1"/>
    <xf numFmtId="180" fontId="1" fillId="0" borderId="0" xfId="5" applyNumberFormat="1" applyFont="1" applyFill="1" applyBorder="1"/>
    <xf numFmtId="180" fontId="22" fillId="26" borderId="35" xfId="5" applyNumberFormat="1" applyFont="1" applyFill="1" applyBorder="1"/>
    <xf numFmtId="180" fontId="22" fillId="26" borderId="0" xfId="5" applyNumberFormat="1" applyFont="1" applyFill="1" applyBorder="1"/>
    <xf numFmtId="180" fontId="22" fillId="26" borderId="36" xfId="5" applyNumberFormat="1" applyFont="1" applyFill="1" applyBorder="1"/>
    <xf numFmtId="180" fontId="5" fillId="26" borderId="35" xfId="61" quotePrefix="1" applyNumberFormat="1" applyFont="1" applyFill="1" applyBorder="1"/>
    <xf numFmtId="180" fontId="5" fillId="26" borderId="0" xfId="61" quotePrefix="1" applyNumberFormat="1" applyFont="1" applyFill="1" applyBorder="1"/>
    <xf numFmtId="180" fontId="5" fillId="26" borderId="36" xfId="61" quotePrefix="1" applyNumberFormat="1" applyFont="1" applyFill="1" applyBorder="1"/>
    <xf numFmtId="7" fontId="81" fillId="26" borderId="35" xfId="5" applyNumberFormat="1" applyFont="1" applyFill="1" applyBorder="1"/>
    <xf numFmtId="7" fontId="81" fillId="26" borderId="0" xfId="5" applyNumberFormat="1" applyFont="1" applyFill="1" applyBorder="1"/>
    <xf numFmtId="7" fontId="81" fillId="26" borderId="36" xfId="5" applyNumberFormat="1" applyFont="1" applyFill="1" applyBorder="1"/>
    <xf numFmtId="7" fontId="81" fillId="0" borderId="0" xfId="5" applyNumberFormat="1" applyFont="1" applyFill="1" applyBorder="1"/>
    <xf numFmtId="37" fontId="1" fillId="26" borderId="35" xfId="5" applyNumberFormat="1" applyFont="1" applyFill="1" applyBorder="1"/>
    <xf numFmtId="37" fontId="1" fillId="26" borderId="0" xfId="5" applyNumberFormat="1" applyFont="1" applyFill="1" applyBorder="1"/>
    <xf numFmtId="37" fontId="1" fillId="26" borderId="36" xfId="5" applyNumberFormat="1" applyFont="1" applyFill="1" applyBorder="1"/>
    <xf numFmtId="37" fontId="1" fillId="0" borderId="0" xfId="5" applyNumberFormat="1" applyFont="1" applyFill="1" applyBorder="1"/>
    <xf numFmtId="167" fontId="40" fillId="0" borderId="0" xfId="63" applyNumberFormat="1" applyFont="1" applyFill="1" applyBorder="1" applyAlignment="1">
      <alignment horizontal="center"/>
    </xf>
    <xf numFmtId="0" fontId="40" fillId="0" borderId="0" xfId="5" applyFont="1" applyAlignment="1">
      <alignment horizontal="center"/>
    </xf>
    <xf numFmtId="180" fontId="0" fillId="0" borderId="15" xfId="5" applyNumberFormat="1" applyFont="1" applyBorder="1"/>
    <xf numFmtId="167" fontId="23" fillId="0" borderId="0" xfId="5" applyNumberFormat="1" applyFont="1" applyFill="1" applyBorder="1"/>
    <xf numFmtId="167" fontId="23" fillId="26" borderId="35" xfId="5" applyNumberFormat="1" applyFont="1" applyFill="1" applyBorder="1"/>
    <xf numFmtId="167" fontId="23" fillId="26" borderId="0" xfId="5" applyNumberFormat="1" applyFont="1" applyFill="1" applyBorder="1"/>
    <xf numFmtId="167" fontId="23" fillId="26" borderId="36" xfId="5" applyNumberFormat="1" applyFont="1" applyFill="1" applyBorder="1"/>
    <xf numFmtId="0" fontId="23" fillId="26" borderId="0" xfId="5" applyFont="1" applyFill="1" applyBorder="1"/>
    <xf numFmtId="181" fontId="3" fillId="28" borderId="0" xfId="5" applyNumberFormat="1" applyFont="1" applyFill="1" applyBorder="1"/>
    <xf numFmtId="0" fontId="0" fillId="0" borderId="13" xfId="5" applyFont="1" applyFill="1" applyBorder="1"/>
    <xf numFmtId="0" fontId="5" fillId="0" borderId="35" xfId="5" applyFont="1" applyFill="1" applyBorder="1"/>
    <xf numFmtId="0" fontId="0" fillId="0" borderId="14" xfId="5" applyFont="1" applyFill="1" applyBorder="1"/>
    <xf numFmtId="4" fontId="23" fillId="26" borderId="0" xfId="5" applyNumberFormat="1" applyFont="1" applyFill="1" applyBorder="1"/>
    <xf numFmtId="181" fontId="5" fillId="0" borderId="0" xfId="5" applyNumberFormat="1" applyFont="1" applyFill="1" applyBorder="1"/>
    <xf numFmtId="181" fontId="23" fillId="0" borderId="0" xfId="5" applyNumberFormat="1" applyFont="1" applyFill="1" applyBorder="1"/>
    <xf numFmtId="167" fontId="23" fillId="0" borderId="0" xfId="108" applyNumberFormat="1" applyFont="1" applyFill="1" applyBorder="1"/>
    <xf numFmtId="167" fontId="23" fillId="26" borderId="35" xfId="108" applyNumberFormat="1" applyFont="1" applyFill="1" applyBorder="1"/>
    <xf numFmtId="167" fontId="23" fillId="26" borderId="0" xfId="108" applyNumberFormat="1" applyFont="1" applyFill="1" applyBorder="1"/>
    <xf numFmtId="167" fontId="23" fillId="26" borderId="36" xfId="108" applyNumberFormat="1" applyFont="1" applyFill="1" applyBorder="1"/>
    <xf numFmtId="167" fontId="41" fillId="0" borderId="0" xfId="108" applyNumberFormat="1" applyFont="1" applyFill="1" applyBorder="1"/>
    <xf numFmtId="38" fontId="4" fillId="0" borderId="0" xfId="63" applyNumberFormat="1" applyFont="1"/>
    <xf numFmtId="9" fontId="23" fillId="0" borderId="0" xfId="108" applyFont="1"/>
    <xf numFmtId="38" fontId="5" fillId="0" borderId="0" xfId="63" applyNumberFormat="1" applyFont="1"/>
    <xf numFmtId="4" fontId="89" fillId="0" borderId="0" xfId="5" applyNumberFormat="1" applyFont="1" applyFill="1" applyBorder="1"/>
    <xf numFmtId="38" fontId="4" fillId="0" borderId="0" xfId="63" applyNumberFormat="1" applyFont="1" applyFill="1"/>
    <xf numFmtId="38" fontId="5" fillId="0" borderId="0" xfId="63" applyNumberFormat="1" applyFont="1" applyFill="1"/>
    <xf numFmtId="179" fontId="4" fillId="0" borderId="13" xfId="63" applyNumberFormat="1" applyFont="1" applyFill="1" applyBorder="1" applyAlignment="1">
      <alignment horizontal="center"/>
    </xf>
    <xf numFmtId="38" fontId="4" fillId="0" borderId="0" xfId="63" applyFont="1"/>
    <xf numFmtId="38" fontId="5" fillId="0" borderId="0" xfId="63" applyFont="1"/>
    <xf numFmtId="7" fontId="4" fillId="0" borderId="0" xfId="61" applyNumberFormat="1" applyFont="1" applyFill="1" applyBorder="1"/>
    <xf numFmtId="7" fontId="4" fillId="26" borderId="35" xfId="61" applyNumberFormat="1" applyFont="1" applyFill="1" applyBorder="1"/>
    <xf numFmtId="7" fontId="4" fillId="26" borderId="0" xfId="61" applyNumberFormat="1" applyFont="1" applyFill="1" applyBorder="1"/>
    <xf numFmtId="7" fontId="4" fillId="26" borderId="36" xfId="61" applyNumberFormat="1" applyFont="1" applyFill="1" applyBorder="1"/>
    <xf numFmtId="7" fontId="5" fillId="0" borderId="0" xfId="61" applyNumberFormat="1" applyFont="1" applyFill="1" applyBorder="1"/>
    <xf numFmtId="7" fontId="5" fillId="26" borderId="35" xfId="61" applyNumberFormat="1" applyFont="1" applyFill="1" applyBorder="1"/>
    <xf numFmtId="7" fontId="5" fillId="26" borderId="0" xfId="61" applyNumberFormat="1" applyFont="1" applyFill="1" applyBorder="1"/>
    <xf numFmtId="7" fontId="5" fillId="26" borderId="36" xfId="61" applyNumberFormat="1" applyFont="1" applyFill="1" applyBorder="1"/>
    <xf numFmtId="6" fontId="5" fillId="0" borderId="0" xfId="71" applyFont="1"/>
    <xf numFmtId="6" fontId="4" fillId="0" borderId="0" xfId="71" applyFont="1"/>
    <xf numFmtId="9" fontId="23" fillId="0" borderId="0" xfId="108" applyFont="1" applyBorder="1"/>
    <xf numFmtId="38" fontId="5" fillId="0" borderId="0" xfId="63" applyNumberFormat="1" applyFont="1" applyBorder="1"/>
    <xf numFmtId="6" fontId="4" fillId="0" borderId="0" xfId="71" applyFont="1" applyBorder="1"/>
    <xf numFmtId="4" fontId="60" fillId="26" borderId="35" xfId="5" applyNumberFormat="1" applyFont="1" applyFill="1" applyBorder="1"/>
    <xf numFmtId="4" fontId="60" fillId="26" borderId="0" xfId="5" applyNumberFormat="1" applyFont="1" applyFill="1" applyBorder="1"/>
    <xf numFmtId="4" fontId="60" fillId="26" borderId="36" xfId="5" applyNumberFormat="1" applyFont="1" applyFill="1" applyBorder="1"/>
    <xf numFmtId="4" fontId="60" fillId="0" borderId="0" xfId="5" applyNumberFormat="1" applyFont="1" applyFill="1" applyBorder="1"/>
    <xf numFmtId="4" fontId="5" fillId="26" borderId="35" xfId="5" applyNumberFormat="1" applyFont="1" applyFill="1" applyBorder="1"/>
    <xf numFmtId="4" fontId="5" fillId="26" borderId="36" xfId="5" applyNumberFormat="1" applyFont="1" applyFill="1" applyBorder="1"/>
    <xf numFmtId="38" fontId="4" fillId="0" borderId="13" xfId="63" applyNumberFormat="1" applyFont="1" applyBorder="1" applyAlignment="1"/>
    <xf numFmtId="38" fontId="4" fillId="0" borderId="13" xfId="63" applyNumberFormat="1" applyFont="1" applyFill="1" applyBorder="1" applyAlignment="1"/>
    <xf numFmtId="38" fontId="4" fillId="0" borderId="13" xfId="70" applyNumberFormat="1" applyFont="1" applyFill="1" applyBorder="1" applyAlignment="1">
      <alignment horizontal="center"/>
    </xf>
    <xf numFmtId="1" fontId="4" fillId="0" borderId="13" xfId="63" applyNumberFormat="1" applyFont="1" applyFill="1" applyBorder="1" applyAlignment="1">
      <alignment horizontal="center"/>
    </xf>
    <xf numFmtId="167" fontId="4" fillId="0" borderId="13" xfId="63" applyNumberFormat="1" applyFont="1" applyFill="1" applyBorder="1" applyAlignment="1">
      <alignment horizontal="center"/>
    </xf>
    <xf numFmtId="179" fontId="39" fillId="0" borderId="13" xfId="63" applyNumberFormat="1" applyFont="1" applyFill="1" applyBorder="1" applyAlignment="1">
      <alignment horizontal="center"/>
    </xf>
    <xf numFmtId="180" fontId="4" fillId="0" borderId="39" xfId="61" applyNumberFormat="1" applyFont="1" applyFill="1" applyBorder="1" applyAlignment="1"/>
    <xf numFmtId="38" fontId="4" fillId="0" borderId="42" xfId="63" applyNumberFormat="1" applyFont="1" applyFill="1" applyBorder="1" applyAlignment="1">
      <alignment horizontal="center"/>
    </xf>
    <xf numFmtId="38" fontId="4" fillId="0" borderId="13" xfId="63" applyNumberFormat="1" applyFont="1" applyFill="1" applyBorder="1" applyAlignment="1">
      <alignment horizontal="center"/>
    </xf>
    <xf numFmtId="38" fontId="28" fillId="0" borderId="35" xfId="63" applyNumberFormat="1" applyFont="1" applyFill="1" applyBorder="1" applyAlignment="1"/>
    <xf numFmtId="38" fontId="28" fillId="0" borderId="0" xfId="63" applyNumberFormat="1" applyFont="1" applyFill="1" applyBorder="1" applyAlignment="1"/>
    <xf numFmtId="1" fontId="60" fillId="0" borderId="0" xfId="63" applyNumberFormat="1" applyFont="1" applyFill="1" applyBorder="1" applyAlignment="1"/>
    <xf numFmtId="167" fontId="28" fillId="0" borderId="0" xfId="108" applyNumberFormat="1" applyFont="1" applyFill="1" applyBorder="1" applyAlignment="1"/>
    <xf numFmtId="179" fontId="60" fillId="0" borderId="0" xfId="63" applyNumberFormat="1" applyFont="1" applyFill="1" applyBorder="1" applyAlignment="1"/>
    <xf numFmtId="167" fontId="38" fillId="0" borderId="0" xfId="108" applyNumberFormat="1" applyFont="1" applyAlignment="1">
      <alignment horizontal="center"/>
    </xf>
    <xf numFmtId="167" fontId="40" fillId="0" borderId="0" xfId="108" applyNumberFormat="1" applyFont="1" applyAlignment="1">
      <alignment horizontal="center"/>
    </xf>
    <xf numFmtId="180" fontId="41" fillId="0" borderId="0" xfId="61" applyNumberFormat="1" applyFont="1" applyFill="1" applyBorder="1"/>
    <xf numFmtId="180" fontId="58" fillId="0" borderId="0" xfId="61" applyNumberFormat="1" applyFont="1" applyFill="1" applyBorder="1"/>
    <xf numFmtId="180" fontId="1" fillId="0" borderId="0" xfId="61" applyNumberFormat="1" applyFill="1" applyBorder="1"/>
    <xf numFmtId="38" fontId="82" fillId="0" borderId="0" xfId="63" applyNumberFormat="1" applyFont="1" applyBorder="1"/>
    <xf numFmtId="8" fontId="4" fillId="0" borderId="0" xfId="61" applyNumberFormat="1" applyFont="1" applyFill="1" applyBorder="1"/>
    <xf numFmtId="8" fontId="41" fillId="0" borderId="0" xfId="61" applyNumberFormat="1" applyFont="1" applyFill="1" applyBorder="1"/>
    <xf numFmtId="8" fontId="5" fillId="0" borderId="0" xfId="61" applyNumberFormat="1" applyFont="1" applyFill="1" applyBorder="1"/>
    <xf numFmtId="8" fontId="5" fillId="26" borderId="0" xfId="5" applyNumberFormat="1" applyFont="1" applyFill="1" applyBorder="1"/>
    <xf numFmtId="8" fontId="0" fillId="26" borderId="0" xfId="5" applyNumberFormat="1" applyFont="1" applyFill="1" applyBorder="1"/>
    <xf numFmtId="7" fontId="0" fillId="26" borderId="35" xfId="5" applyNumberFormat="1" applyFont="1" applyFill="1" applyBorder="1"/>
    <xf numFmtId="7" fontId="0" fillId="26" borderId="0" xfId="5" applyNumberFormat="1" applyFont="1" applyFill="1" applyBorder="1"/>
    <xf numFmtId="7" fontId="0" fillId="26" borderId="36" xfId="5" applyNumberFormat="1" applyFont="1" applyFill="1" applyBorder="1"/>
    <xf numFmtId="7" fontId="0" fillId="0" borderId="0" xfId="5" applyNumberFormat="1" applyFont="1" applyFill="1" applyBorder="1"/>
    <xf numFmtId="187" fontId="1" fillId="0" borderId="0" xfId="70" applyNumberFormat="1" applyFill="1" applyBorder="1"/>
    <xf numFmtId="0" fontId="41" fillId="0" borderId="0" xfId="5" applyFont="1" applyFill="1" applyBorder="1"/>
    <xf numFmtId="39" fontId="0" fillId="0" borderId="0" xfId="5" applyNumberFormat="1" applyFont="1" applyFill="1" applyBorder="1"/>
    <xf numFmtId="39" fontId="0" fillId="26" borderId="35" xfId="5" applyNumberFormat="1" applyFont="1" applyFill="1" applyBorder="1"/>
    <xf numFmtId="39" fontId="0" fillId="26" borderId="0" xfId="5" applyNumberFormat="1" applyFont="1" applyFill="1" applyBorder="1"/>
    <xf numFmtId="39" fontId="0" fillId="26" borderId="36" xfId="5" applyNumberFormat="1" applyFont="1" applyFill="1" applyBorder="1"/>
    <xf numFmtId="37" fontId="4" fillId="0" borderId="0" xfId="5" applyNumberFormat="1" applyFont="1" applyFill="1" applyBorder="1"/>
    <xf numFmtId="38" fontId="39" fillId="0" borderId="0" xfId="63" applyNumberFormat="1" applyFont="1" applyBorder="1"/>
    <xf numFmtId="38" fontId="4" fillId="0" borderId="0" xfId="63" applyNumberFormat="1" applyFont="1" applyBorder="1"/>
    <xf numFmtId="5" fontId="40" fillId="0" borderId="0" xfId="5" applyNumberFormat="1" applyFont="1" applyFill="1" applyBorder="1"/>
    <xf numFmtId="5" fontId="0" fillId="26" borderId="35" xfId="5" applyNumberFormat="1" applyFont="1" applyFill="1" applyBorder="1"/>
    <xf numFmtId="5" fontId="0" fillId="26" borderId="0" xfId="5" applyNumberFormat="1" applyFont="1" applyFill="1" applyBorder="1"/>
    <xf numFmtId="5" fontId="0" fillId="26" borderId="36" xfId="5" applyNumberFormat="1" applyFont="1" applyFill="1" applyBorder="1"/>
    <xf numFmtId="5" fontId="0" fillId="0" borderId="0" xfId="5" applyNumberFormat="1" applyFont="1" applyFill="1" applyBorder="1"/>
    <xf numFmtId="5" fontId="4" fillId="26" borderId="35" xfId="5" applyNumberFormat="1" applyFont="1" applyFill="1" applyBorder="1"/>
    <xf numFmtId="5" fontId="4" fillId="26" borderId="0" xfId="5" applyNumberFormat="1" applyFont="1" applyFill="1" applyBorder="1"/>
    <xf numFmtId="5" fontId="4" fillId="26" borderId="36" xfId="5" applyNumberFormat="1" applyFont="1" applyFill="1" applyBorder="1"/>
    <xf numFmtId="5" fontId="4" fillId="0" borderId="0" xfId="5" applyNumberFormat="1" applyFont="1" applyFill="1" applyBorder="1"/>
    <xf numFmtId="5" fontId="5" fillId="26" borderId="35" xfId="5" applyNumberFormat="1" applyFont="1" applyFill="1" applyBorder="1"/>
    <xf numFmtId="5" fontId="5" fillId="26" borderId="0" xfId="5" applyNumberFormat="1" applyFont="1" applyFill="1" applyBorder="1"/>
    <xf numFmtId="5" fontId="5" fillId="26" borderId="36" xfId="5" applyNumberFormat="1" applyFont="1" applyFill="1" applyBorder="1"/>
    <xf numFmtId="5" fontId="5" fillId="0" borderId="0" xfId="5" applyNumberFormat="1" applyFont="1" applyFill="1" applyBorder="1"/>
    <xf numFmtId="0" fontId="37" fillId="0" borderId="0" xfId="5" applyFont="1" applyFill="1" applyBorder="1"/>
    <xf numFmtId="166" fontId="13" fillId="0" borderId="0" xfId="5" applyNumberFormat="1" applyFont="1" applyFill="1"/>
    <xf numFmtId="38" fontId="92" fillId="0" borderId="0" xfId="63" applyNumberFormat="1" applyFont="1"/>
    <xf numFmtId="43" fontId="5" fillId="26" borderId="35" xfId="61" applyFont="1" applyFill="1" applyBorder="1"/>
    <xf numFmtId="43" fontId="5" fillId="26" borderId="0" xfId="61" applyFont="1" applyFill="1" applyBorder="1"/>
    <xf numFmtId="43" fontId="5" fillId="26" borderId="36" xfId="61" applyFont="1" applyFill="1" applyBorder="1"/>
    <xf numFmtId="43" fontId="5" fillId="0" borderId="0" xfId="61" applyFont="1" applyFill="1" applyBorder="1"/>
    <xf numFmtId="180" fontId="92" fillId="26" borderId="35" xfId="61" applyNumberFormat="1" applyFont="1" applyFill="1" applyBorder="1"/>
    <xf numFmtId="180" fontId="92" fillId="26" borderId="0" xfId="61" applyNumberFormat="1" applyFont="1" applyFill="1" applyBorder="1"/>
    <xf numFmtId="180" fontId="92" fillId="26" borderId="36" xfId="61" applyNumberFormat="1" applyFont="1" applyFill="1" applyBorder="1"/>
    <xf numFmtId="180" fontId="92" fillId="0" borderId="0" xfId="61" applyNumberFormat="1" applyFont="1" applyBorder="1"/>
    <xf numFmtId="181" fontId="0" fillId="0" borderId="44" xfId="5" applyNumberFormat="1" applyFont="1" applyBorder="1"/>
    <xf numFmtId="181" fontId="0" fillId="0" borderId="0" xfId="5" applyNumberFormat="1" applyFont="1" applyBorder="1"/>
    <xf numFmtId="181" fontId="0" fillId="0" borderId="16" xfId="5" applyNumberFormat="1" applyFont="1" applyBorder="1"/>
    <xf numFmtId="181" fontId="0" fillId="0" borderId="0" xfId="5" applyNumberFormat="1" applyFont="1"/>
    <xf numFmtId="181" fontId="0" fillId="0" borderId="15" xfId="5" applyNumberFormat="1" applyFont="1" applyBorder="1"/>
    <xf numFmtId="182" fontId="81" fillId="26" borderId="0" xfId="61" applyNumberFormat="1" applyFont="1" applyFill="1" applyBorder="1"/>
    <xf numFmtId="9" fontId="22" fillId="0" borderId="0" xfId="5" applyNumberFormat="1" applyFont="1" applyAlignment="1">
      <alignment horizontal="center"/>
    </xf>
    <xf numFmtId="3" fontId="4" fillId="0" borderId="0" xfId="5" applyNumberFormat="1" applyFont="1"/>
    <xf numFmtId="0" fontId="83" fillId="0" borderId="0" xfId="5" applyFont="1" applyAlignment="1">
      <alignment horizontal="left"/>
    </xf>
    <xf numFmtId="166" fontId="80" fillId="28" borderId="0" xfId="5" applyNumberFormat="1" applyFont="1" applyFill="1"/>
    <xf numFmtId="166" fontId="51" fillId="28" borderId="0" xfId="5" applyNumberFormat="1" applyFont="1" applyFill="1"/>
    <xf numFmtId="166" fontId="52" fillId="28" borderId="0" xfId="5" applyNumberFormat="1" applyFont="1" applyFill="1"/>
    <xf numFmtId="166" fontId="62" fillId="28" borderId="0" xfId="5" applyNumberFormat="1" applyFont="1" applyFill="1"/>
    <xf numFmtId="166" fontId="22" fillId="28" borderId="0" xfId="5" applyNumberFormat="1" applyFont="1" applyFill="1"/>
    <xf numFmtId="164" fontId="9" fillId="0" borderId="45" xfId="5" applyNumberFormat="1" applyFont="1" applyBorder="1"/>
    <xf numFmtId="164" fontId="22" fillId="0" borderId="45" xfId="5" applyNumberFormat="1" applyFont="1" applyBorder="1"/>
    <xf numFmtId="173" fontId="9" fillId="0" borderId="45" xfId="5" applyNumberFormat="1" applyFont="1" applyBorder="1" applyAlignment="1">
      <alignment horizontal="center"/>
    </xf>
    <xf numFmtId="4" fontId="1" fillId="0" borderId="0" xfId="5" applyNumberFormat="1" applyFont="1"/>
    <xf numFmtId="0" fontId="27" fillId="0" borderId="0" xfId="5" applyFont="1" applyAlignment="1">
      <alignment horizontal="left"/>
    </xf>
    <xf numFmtId="0" fontId="29" fillId="0" borderId="0" xfId="5" applyFont="1" applyAlignment="1">
      <alignment horizontal="center"/>
    </xf>
    <xf numFmtId="8" fontId="0" fillId="0" borderId="0" xfId="5" applyNumberFormat="1" applyFont="1"/>
    <xf numFmtId="7" fontId="1" fillId="0" borderId="0" xfId="5" applyNumberFormat="1" applyFont="1"/>
    <xf numFmtId="7" fontId="0" fillId="0" borderId="0" xfId="5" applyNumberFormat="1" applyFont="1"/>
    <xf numFmtId="0" fontId="5" fillId="0" borderId="0" xfId="5" applyFont="1" applyAlignment="1">
      <alignment horizontal="left" indent="1"/>
    </xf>
    <xf numFmtId="3" fontId="1" fillId="0" borderId="0" xfId="5" applyNumberFormat="1" applyFont="1"/>
    <xf numFmtId="0" fontId="4" fillId="26" borderId="13" xfId="5" applyFont="1" applyFill="1" applyBorder="1"/>
    <xf numFmtId="8" fontId="4" fillId="26" borderId="13" xfId="5" applyNumberFormat="1" applyFont="1" applyFill="1" applyBorder="1"/>
    <xf numFmtId="7" fontId="4" fillId="26" borderId="13" xfId="5" applyNumberFormat="1" applyFont="1" applyFill="1" applyBorder="1"/>
    <xf numFmtId="0" fontId="4" fillId="26" borderId="35" xfId="5" applyFont="1" applyFill="1" applyBorder="1"/>
    <xf numFmtId="0" fontId="4" fillId="26" borderId="36" xfId="5" applyFont="1" applyFill="1" applyBorder="1"/>
    <xf numFmtId="0" fontId="4" fillId="26" borderId="26" xfId="5" applyFont="1" applyFill="1" applyBorder="1"/>
    <xf numFmtId="0" fontId="4" fillId="26" borderId="14" xfId="5" applyFont="1" applyFill="1" applyBorder="1"/>
    <xf numFmtId="9" fontId="4" fillId="26" borderId="14" xfId="5" applyNumberFormat="1" applyFont="1" applyFill="1" applyBorder="1"/>
    <xf numFmtId="0" fontId="4" fillId="0" borderId="0" xfId="5" applyFont="1" applyAlignment="1">
      <alignment horizontal="left" indent="1"/>
    </xf>
    <xf numFmtId="9" fontId="0" fillId="0" borderId="0" xfId="5" applyNumberFormat="1" applyFont="1"/>
    <xf numFmtId="9" fontId="1" fillId="0" borderId="0" xfId="5" applyNumberFormat="1" applyFont="1"/>
    <xf numFmtId="0" fontId="0" fillId="0" borderId="0" xfId="5" applyFont="1" applyAlignment="1">
      <alignment horizontal="left"/>
    </xf>
    <xf numFmtId="0" fontId="1" fillId="0" borderId="0" xfId="5" applyFont="1" applyAlignment="1">
      <alignment horizontal="left"/>
    </xf>
    <xf numFmtId="9" fontId="5" fillId="0" borderId="0" xfId="5" applyNumberFormat="1" applyFont="1"/>
    <xf numFmtId="180" fontId="1" fillId="0" borderId="0" xfId="61" applyNumberFormat="1" applyBorder="1"/>
    <xf numFmtId="180" fontId="5" fillId="0" borderId="0" xfId="61" applyNumberFormat="1" applyFont="1"/>
    <xf numFmtId="0" fontId="1" fillId="0" borderId="0" xfId="5" applyFont="1" applyAlignment="1">
      <alignment horizontal="left" indent="1"/>
    </xf>
    <xf numFmtId="169" fontId="5" fillId="0" borderId="0" xfId="5" applyNumberFormat="1" applyFont="1"/>
    <xf numFmtId="0" fontId="27" fillId="0" borderId="0" xfId="5" applyFont="1"/>
    <xf numFmtId="180" fontId="1" fillId="0" borderId="0" xfId="61" applyNumberFormat="1" applyFont="1"/>
    <xf numFmtId="3" fontId="5" fillId="0" borderId="0" xfId="5" applyNumberFormat="1" applyFont="1"/>
    <xf numFmtId="0" fontId="5" fillId="26" borderId="29" xfId="5" applyFont="1" applyFill="1" applyBorder="1"/>
    <xf numFmtId="180" fontId="4" fillId="26" borderId="29" xfId="61" applyNumberFormat="1" applyFont="1" applyFill="1" applyBorder="1"/>
    <xf numFmtId="0" fontId="9" fillId="0" borderId="0" xfId="5" applyFont="1" applyAlignment="1">
      <alignment horizontal="left"/>
    </xf>
    <xf numFmtId="43" fontId="0" fillId="0" borderId="0" xfId="5" applyNumberFormat="1" applyFont="1"/>
    <xf numFmtId="43" fontId="1" fillId="0" borderId="0" xfId="5" applyNumberFormat="1" applyFont="1"/>
    <xf numFmtId="0" fontId="5" fillId="0" borderId="0" xfId="5" applyFont="1" applyAlignment="1">
      <alignment horizontal="left"/>
    </xf>
    <xf numFmtId="0" fontId="4" fillId="0" borderId="0" xfId="5" applyFont="1" applyAlignment="1">
      <alignment horizontal="left"/>
    </xf>
    <xf numFmtId="8" fontId="4" fillId="0" borderId="0" xfId="5" applyNumberFormat="1" applyFont="1"/>
    <xf numFmtId="167" fontId="0" fillId="0" borderId="0" xfId="5" applyNumberFormat="1" applyFont="1"/>
    <xf numFmtId="167" fontId="1" fillId="0" borderId="0" xfId="5" applyNumberFormat="1" applyFont="1"/>
    <xf numFmtId="180" fontId="1" fillId="0" borderId="0" xfId="61" applyNumberFormat="1"/>
    <xf numFmtId="180" fontId="4" fillId="0" borderId="0" xfId="61" applyNumberFormat="1" applyFont="1" applyBorder="1"/>
    <xf numFmtId="180" fontId="4" fillId="0" borderId="0" xfId="61" applyNumberFormat="1" applyFont="1"/>
    <xf numFmtId="189" fontId="5" fillId="0" borderId="0" xfId="63" quotePrefix="1" applyNumberFormat="1" applyFont="1" applyAlignment="1">
      <alignment horizontal="left"/>
    </xf>
    <xf numFmtId="0" fontId="22" fillId="0" borderId="0" xfId="5" applyFont="1"/>
    <xf numFmtId="167" fontId="5" fillId="0" borderId="0" xfId="5" applyNumberFormat="1" applyFont="1"/>
    <xf numFmtId="0" fontId="1" fillId="26" borderId="29" xfId="5" applyFont="1" applyFill="1" applyBorder="1"/>
    <xf numFmtId="8" fontId="5" fillId="0" borderId="0" xfId="5" applyNumberFormat="1" applyFont="1"/>
    <xf numFmtId="37" fontId="0" fillId="0" borderId="0" xfId="5" applyNumberFormat="1" applyFont="1"/>
    <xf numFmtId="8" fontId="1" fillId="0" borderId="0" xfId="5" applyNumberFormat="1" applyFont="1"/>
    <xf numFmtId="180" fontId="5" fillId="0" borderId="0" xfId="61" applyNumberFormat="1" applyFont="1" applyAlignment="1">
      <alignment horizontal="left" indent="1"/>
    </xf>
    <xf numFmtId="180" fontId="1" fillId="0" borderId="0" xfId="61" applyNumberFormat="1" applyFont="1" applyBorder="1"/>
    <xf numFmtId="180" fontId="9" fillId="0" borderId="0" xfId="61" applyNumberFormat="1" applyFont="1"/>
    <xf numFmtId="180" fontId="9" fillId="0" borderId="0" xfId="61" applyNumberFormat="1" applyFont="1" applyBorder="1"/>
    <xf numFmtId="4" fontId="41" fillId="0" borderId="0" xfId="5" applyNumberFormat="1" applyFont="1"/>
    <xf numFmtId="180" fontId="4" fillId="0" borderId="0" xfId="5" applyNumberFormat="1" applyFont="1"/>
    <xf numFmtId="180" fontId="0" fillId="0" borderId="0" xfId="5" applyNumberFormat="1" applyFont="1"/>
    <xf numFmtId="167" fontId="1" fillId="0" borderId="0" xfId="108" applyNumberFormat="1" applyFont="1"/>
    <xf numFmtId="167" fontId="0" fillId="0" borderId="0" xfId="108" applyNumberFormat="1" applyFont="1"/>
    <xf numFmtId="0" fontId="5" fillId="0" borderId="0" xfId="5" applyFont="1" applyFill="1" applyAlignment="1">
      <alignment horizontal="left" indent="1"/>
    </xf>
    <xf numFmtId="180" fontId="89" fillId="26" borderId="35" xfId="61" applyNumberFormat="1" applyFont="1" applyFill="1" applyBorder="1"/>
    <xf numFmtId="180" fontId="89" fillId="26" borderId="0" xfId="61" applyNumberFormat="1" applyFont="1" applyFill="1" applyBorder="1"/>
    <xf numFmtId="180" fontId="89" fillId="26" borderId="36" xfId="61" applyNumberFormat="1" applyFont="1" applyFill="1" applyBorder="1"/>
    <xf numFmtId="0" fontId="0" fillId="26" borderId="14" xfId="5" applyFont="1" applyFill="1" applyBorder="1"/>
    <xf numFmtId="0" fontId="0" fillId="26" borderId="38" xfId="5" applyFont="1" applyFill="1" applyBorder="1"/>
    <xf numFmtId="0" fontId="0" fillId="26" borderId="26" xfId="5" applyFont="1" applyFill="1" applyBorder="1"/>
    <xf numFmtId="180" fontId="93" fillId="28" borderId="0" xfId="61" applyNumberFormat="1" applyFont="1" applyFill="1"/>
    <xf numFmtId="38" fontId="10" fillId="0" borderId="0" xfId="63" applyNumberFormat="1" applyFont="1" applyBorder="1"/>
    <xf numFmtId="0" fontId="81" fillId="26" borderId="35" xfId="5" applyFont="1" applyFill="1" applyBorder="1"/>
    <xf numFmtId="0" fontId="81" fillId="26" borderId="36" xfId="5" applyFont="1" applyFill="1" applyBorder="1"/>
    <xf numFmtId="37" fontId="10" fillId="26" borderId="35" xfId="5" applyNumberFormat="1" applyFont="1" applyFill="1" applyBorder="1"/>
    <xf numFmtId="37" fontId="10" fillId="26" borderId="0" xfId="5" applyNumberFormat="1" applyFont="1" applyFill="1" applyBorder="1"/>
    <xf numFmtId="37" fontId="10" fillId="26" borderId="36" xfId="5" applyNumberFormat="1" applyFont="1" applyFill="1" applyBorder="1"/>
    <xf numFmtId="37" fontId="10" fillId="0" borderId="0" xfId="5" applyNumberFormat="1" applyFont="1" applyFill="1" applyBorder="1"/>
    <xf numFmtId="180" fontId="41" fillId="0" borderId="46" xfId="61" applyNumberFormat="1" applyFont="1" applyFill="1" applyBorder="1"/>
    <xf numFmtId="9" fontId="41" fillId="0" borderId="46" xfId="5" applyNumberFormat="1" applyFont="1" applyFill="1" applyBorder="1"/>
    <xf numFmtId="6" fontId="0" fillId="0" borderId="0" xfId="70" applyNumberFormat="1" applyFont="1" applyFill="1" applyBorder="1"/>
    <xf numFmtId="6" fontId="0" fillId="26" borderId="35" xfId="70" applyNumberFormat="1" applyFont="1" applyFill="1" applyBorder="1"/>
    <xf numFmtId="6" fontId="0" fillId="26" borderId="0" xfId="70" applyNumberFormat="1" applyFont="1" applyFill="1" applyBorder="1"/>
    <xf numFmtId="6" fontId="0" fillId="26" borderId="36" xfId="70" applyNumberFormat="1" applyFont="1" applyFill="1" applyBorder="1"/>
    <xf numFmtId="5" fontId="1" fillId="0" borderId="0" xfId="5" applyNumberFormat="1" applyFont="1" applyFill="1" applyBorder="1"/>
    <xf numFmtId="9" fontId="5" fillId="0" borderId="0" xfId="5" applyNumberFormat="1" applyFont="1" applyFill="1" applyBorder="1"/>
    <xf numFmtId="8" fontId="41" fillId="0" borderId="46" xfId="5" applyNumberFormat="1" applyFont="1" applyFill="1" applyBorder="1"/>
    <xf numFmtId="169" fontId="41" fillId="0" borderId="46" xfId="5" applyNumberFormat="1" applyFont="1" applyFill="1" applyBorder="1"/>
    <xf numFmtId="166" fontId="9" fillId="28" borderId="0" xfId="5" applyNumberFormat="1" applyFont="1" applyFill="1"/>
    <xf numFmtId="166" fontId="94" fillId="28" borderId="0" xfId="5" applyNumberFormat="1" applyFont="1" applyFill="1"/>
    <xf numFmtId="0" fontId="95" fillId="0" borderId="0" xfId="5" applyFont="1"/>
    <xf numFmtId="164" fontId="9" fillId="0" borderId="43" xfId="5" applyNumberFormat="1" applyFont="1" applyBorder="1"/>
    <xf numFmtId="164" fontId="31" fillId="0" borderId="43" xfId="5" applyNumberFormat="1" applyFont="1" applyBorder="1" applyAlignment="1">
      <alignment horizontal="right"/>
    </xf>
    <xf numFmtId="164" fontId="9" fillId="26" borderId="42" xfId="5" applyNumberFormat="1" applyFont="1" applyFill="1" applyBorder="1" applyAlignment="1">
      <alignment horizontal="right"/>
    </xf>
    <xf numFmtId="164" fontId="9" fillId="26" borderId="13" xfId="5" applyNumberFormat="1" applyFont="1" applyFill="1" applyBorder="1" applyAlignment="1">
      <alignment horizontal="right"/>
    </xf>
    <xf numFmtId="164" fontId="9" fillId="26" borderId="39" xfId="5" applyNumberFormat="1" applyFont="1" applyFill="1" applyBorder="1" applyAlignment="1">
      <alignment horizontal="right"/>
    </xf>
    <xf numFmtId="183" fontId="9" fillId="0" borderId="43" xfId="5" applyNumberFormat="1" applyFont="1" applyBorder="1" applyAlignment="1">
      <alignment horizontal="right"/>
    </xf>
    <xf numFmtId="164" fontId="0" fillId="0" borderId="43" xfId="5" applyNumberFormat="1" applyFont="1" applyBorder="1"/>
    <xf numFmtId="38" fontId="23" fillId="0" borderId="0" xfId="63" applyNumberFormat="1" applyFont="1" applyBorder="1"/>
    <xf numFmtId="0" fontId="23" fillId="26" borderId="35" xfId="5" applyFont="1" applyFill="1" applyBorder="1"/>
    <xf numFmtId="0" fontId="23" fillId="26" borderId="36" xfId="5" applyFont="1" applyFill="1" applyBorder="1"/>
    <xf numFmtId="37" fontId="23" fillId="26" borderId="35" xfId="5" applyNumberFormat="1" applyFont="1" applyFill="1" applyBorder="1"/>
    <xf numFmtId="37" fontId="23" fillId="26" borderId="0" xfId="5" applyNumberFormat="1" applyFont="1" applyFill="1" applyBorder="1"/>
    <xf numFmtId="37" fontId="23" fillId="26" borderId="36" xfId="5" applyNumberFormat="1" applyFont="1" applyFill="1" applyBorder="1"/>
    <xf numFmtId="37" fontId="23" fillId="0" borderId="0" xfId="5" applyNumberFormat="1" applyFont="1" applyFill="1" applyBorder="1"/>
    <xf numFmtId="0" fontId="5" fillId="0" borderId="42" xfId="5" applyFont="1" applyFill="1" applyBorder="1"/>
    <xf numFmtId="0" fontId="5" fillId="0" borderId="13" xfId="5" applyFont="1" applyFill="1" applyBorder="1"/>
    <xf numFmtId="0" fontId="0" fillId="26" borderId="42" xfId="5" applyFont="1" applyFill="1" applyBorder="1"/>
    <xf numFmtId="0" fontId="0" fillId="26" borderId="13" xfId="5" applyFont="1" applyFill="1" applyBorder="1"/>
    <xf numFmtId="0" fontId="0" fillId="26" borderId="39" xfId="5" applyFont="1" applyFill="1" applyBorder="1"/>
    <xf numFmtId="38" fontId="82" fillId="0" borderId="35" xfId="63" applyNumberFormat="1" applyFont="1" applyBorder="1"/>
    <xf numFmtId="38" fontId="5" fillId="0" borderId="35" xfId="63" applyNumberFormat="1" applyFont="1" applyBorder="1"/>
    <xf numFmtId="0" fontId="0" fillId="0" borderId="35" xfId="5" applyFont="1" applyFill="1" applyBorder="1"/>
    <xf numFmtId="0" fontId="0" fillId="0" borderId="26" xfId="5" applyFont="1" applyFill="1" applyBorder="1"/>
    <xf numFmtId="0" fontId="5" fillId="0" borderId="14" xfId="5" applyFont="1" applyFill="1" applyBorder="1"/>
    <xf numFmtId="167" fontId="88" fillId="0" borderId="0" xfId="5" applyNumberFormat="1" applyFont="1" applyFill="1" applyBorder="1"/>
    <xf numFmtId="6" fontId="0" fillId="26" borderId="35" xfId="5" applyNumberFormat="1" applyFont="1" applyFill="1" applyBorder="1"/>
    <xf numFmtId="6" fontId="0" fillId="26" borderId="0" xfId="5" applyNumberFormat="1" applyFont="1" applyFill="1" applyBorder="1"/>
    <xf numFmtId="6" fontId="0" fillId="26" borderId="36" xfId="5" applyNumberFormat="1" applyFont="1" applyFill="1" applyBorder="1"/>
    <xf numFmtId="9" fontId="23" fillId="26" borderId="35" xfId="108" applyFont="1" applyFill="1" applyBorder="1"/>
    <xf numFmtId="9" fontId="23" fillId="26" borderId="0" xfId="108" applyFont="1" applyFill="1" applyBorder="1"/>
    <xf numFmtId="9" fontId="23" fillId="26" borderId="36" xfId="108" applyFont="1" applyFill="1" applyBorder="1"/>
    <xf numFmtId="9" fontId="23" fillId="0" borderId="0" xfId="108" applyFont="1" applyFill="1" applyBorder="1"/>
    <xf numFmtId="0" fontId="32" fillId="0" borderId="0" xfId="5" applyFont="1" applyFill="1" applyBorder="1"/>
    <xf numFmtId="9" fontId="23" fillId="0" borderId="0" xfId="108" applyNumberFormat="1" applyFont="1" applyFill="1" applyBorder="1"/>
    <xf numFmtId="9" fontId="23" fillId="26" borderId="35" xfId="108" applyNumberFormat="1" applyFont="1" applyFill="1" applyBorder="1"/>
    <xf numFmtId="9" fontId="23" fillId="26" borderId="0" xfId="108" applyNumberFormat="1" applyFont="1" applyFill="1" applyBorder="1"/>
    <xf numFmtId="9" fontId="23" fillId="26" borderId="36" xfId="108" applyNumberFormat="1" applyFont="1" applyFill="1" applyBorder="1"/>
    <xf numFmtId="180" fontId="40" fillId="0" borderId="0" xfId="5" applyNumberFormat="1" applyFont="1" applyFill="1" applyBorder="1"/>
    <xf numFmtId="181" fontId="5" fillId="0" borderId="0" xfId="63" applyNumberFormat="1" applyFont="1"/>
    <xf numFmtId="43" fontId="0" fillId="0" borderId="0" xfId="5" applyNumberFormat="1" applyFont="1" applyFill="1" applyBorder="1"/>
    <xf numFmtId="166" fontId="96" fillId="28" borderId="0" xfId="5" applyNumberFormat="1" applyFont="1" applyFill="1"/>
    <xf numFmtId="180" fontId="24" fillId="26" borderId="35" xfId="61" applyNumberFormat="1" applyFont="1" applyFill="1" applyBorder="1"/>
    <xf numFmtId="180" fontId="24" fillId="26" borderId="0" xfId="61" applyNumberFormat="1" applyFont="1" applyFill="1" applyBorder="1"/>
    <xf numFmtId="180" fontId="24" fillId="26" borderId="36" xfId="61" applyNumberFormat="1" applyFont="1" applyFill="1" applyBorder="1"/>
    <xf numFmtId="180" fontId="24" fillId="0" borderId="0" xfId="61" applyNumberFormat="1" applyFont="1" applyFill="1" applyBorder="1"/>
    <xf numFmtId="8" fontId="1" fillId="0" borderId="0" xfId="61" applyNumberFormat="1" applyFont="1" applyFill="1" applyBorder="1"/>
    <xf numFmtId="180" fontId="32" fillId="26" borderId="36" xfId="61" applyNumberFormat="1" applyFont="1" applyFill="1" applyBorder="1"/>
    <xf numFmtId="180" fontId="41" fillId="26" borderId="0" xfId="61" applyNumberFormat="1" applyFont="1" applyFill="1"/>
    <xf numFmtId="180" fontId="32" fillId="0" borderId="0" xfId="61" applyNumberFormat="1" applyFont="1"/>
    <xf numFmtId="43" fontId="5" fillId="0" borderId="0" xfId="61" applyFont="1" applyBorder="1"/>
    <xf numFmtId="43" fontId="32" fillId="0" borderId="0" xfId="61" applyFont="1" applyBorder="1"/>
    <xf numFmtId="4" fontId="4" fillId="26" borderId="35" xfId="5" applyNumberFormat="1" applyFont="1" applyFill="1" applyBorder="1"/>
    <xf numFmtId="4" fontId="4" fillId="26" borderId="36" xfId="5" applyNumberFormat="1" applyFont="1" applyFill="1" applyBorder="1"/>
    <xf numFmtId="167" fontId="5" fillId="0" borderId="0" xfId="61" applyNumberFormat="1" applyFont="1" applyFill="1" applyBorder="1"/>
    <xf numFmtId="4" fontId="4" fillId="26" borderId="42" xfId="5" applyNumberFormat="1" applyFont="1" applyFill="1" applyBorder="1"/>
    <xf numFmtId="4" fontId="4" fillId="26" borderId="13" xfId="5" applyNumberFormat="1" applyFont="1" applyFill="1" applyBorder="1"/>
    <xf numFmtId="4" fontId="4" fillId="26" borderId="39" xfId="5" applyNumberFormat="1" applyFont="1" applyFill="1" applyBorder="1"/>
    <xf numFmtId="4" fontId="4" fillId="0" borderId="13" xfId="5" applyNumberFormat="1" applyFont="1" applyFill="1" applyBorder="1"/>
    <xf numFmtId="167" fontId="5" fillId="26" borderId="42" xfId="5" applyNumberFormat="1" applyFont="1" applyFill="1" applyBorder="1"/>
    <xf numFmtId="167" fontId="5" fillId="26" borderId="13" xfId="5" applyNumberFormat="1" applyFont="1" applyFill="1" applyBorder="1"/>
    <xf numFmtId="167" fontId="5" fillId="26" borderId="39" xfId="5" applyNumberFormat="1" applyFont="1" applyFill="1" applyBorder="1"/>
    <xf numFmtId="167" fontId="5" fillId="0" borderId="13" xfId="5" applyNumberFormat="1" applyFont="1" applyFill="1" applyBorder="1"/>
    <xf numFmtId="167" fontId="41" fillId="0" borderId="13" xfId="5" applyNumberFormat="1" applyFont="1" applyFill="1" applyBorder="1"/>
    <xf numFmtId="167" fontId="41" fillId="0" borderId="0" xfId="5" applyNumberFormat="1" applyFont="1" applyFill="1" applyBorder="1"/>
    <xf numFmtId="167" fontId="5" fillId="26" borderId="0" xfId="61" applyNumberFormat="1" applyFont="1" applyFill="1" applyBorder="1"/>
    <xf numFmtId="167" fontId="5" fillId="26" borderId="36" xfId="61" applyNumberFormat="1" applyFont="1" applyFill="1" applyBorder="1"/>
    <xf numFmtId="167" fontId="41" fillId="0" borderId="0" xfId="61" applyNumberFormat="1" applyFont="1" applyFill="1" applyBorder="1"/>
    <xf numFmtId="181" fontId="5" fillId="26" borderId="35" xfId="5" applyNumberFormat="1" applyFont="1" applyFill="1" applyBorder="1"/>
    <xf numFmtId="181" fontId="5" fillId="26" borderId="0" xfId="5" applyNumberFormat="1" applyFont="1" applyFill="1" applyBorder="1"/>
    <xf numFmtId="181" fontId="5" fillId="26" borderId="36" xfId="5" applyNumberFormat="1" applyFont="1" applyFill="1" applyBorder="1"/>
    <xf numFmtId="181" fontId="5" fillId="26" borderId="35" xfId="61" applyNumberFormat="1" applyFont="1" applyFill="1" applyBorder="1"/>
    <xf numFmtId="181" fontId="5" fillId="26" borderId="0" xfId="61" applyNumberFormat="1" applyFont="1" applyFill="1" applyBorder="1"/>
    <xf numFmtId="189" fontId="5" fillId="0" borderId="35" xfId="63" applyNumberFormat="1" applyFont="1" applyBorder="1" applyAlignment="1">
      <alignment horizontal="left"/>
    </xf>
    <xf numFmtId="189" fontId="5" fillId="0" borderId="26" xfId="63" applyNumberFormat="1" applyFont="1" applyBorder="1" applyAlignment="1">
      <alignment horizontal="left"/>
    </xf>
    <xf numFmtId="4" fontId="4" fillId="26" borderId="26" xfId="5" applyNumberFormat="1" applyFont="1" applyFill="1" applyBorder="1"/>
    <xf numFmtId="4" fontId="4" fillId="26" borderId="38" xfId="5" applyNumberFormat="1" applyFont="1" applyFill="1" applyBorder="1"/>
    <xf numFmtId="167" fontId="5" fillId="26" borderId="26" xfId="5" applyNumberFormat="1" applyFont="1" applyFill="1" applyBorder="1"/>
    <xf numFmtId="167" fontId="5" fillId="26" borderId="38" xfId="5" applyNumberFormat="1" applyFont="1" applyFill="1" applyBorder="1"/>
    <xf numFmtId="180" fontId="58" fillId="26" borderId="36" xfId="5" applyNumberFormat="1" applyFont="1" applyFill="1" applyBorder="1"/>
    <xf numFmtId="180" fontId="58" fillId="26" borderId="35" xfId="5" applyNumberFormat="1" applyFont="1" applyFill="1" applyBorder="1"/>
    <xf numFmtId="180" fontId="58" fillId="26" borderId="0" xfId="5" applyNumberFormat="1" applyFont="1" applyFill="1" applyBorder="1"/>
    <xf numFmtId="180" fontId="58" fillId="0" borderId="0" xfId="5" applyNumberFormat="1" applyFont="1" applyBorder="1"/>
    <xf numFmtId="190" fontId="4" fillId="26" borderId="35" xfId="70" applyNumberFormat="1" applyFont="1" applyFill="1" applyBorder="1"/>
    <xf numFmtId="190" fontId="4" fillId="26" borderId="0" xfId="70" applyNumberFormat="1" applyFont="1" applyFill="1" applyBorder="1"/>
    <xf numFmtId="190" fontId="4" fillId="26" borderId="36" xfId="70" applyNumberFormat="1" applyFont="1" applyFill="1" applyBorder="1"/>
    <xf numFmtId="190" fontId="4" fillId="0" borderId="0" xfId="70" applyNumberFormat="1" applyFont="1" applyFill="1" applyBorder="1"/>
    <xf numFmtId="191" fontId="4" fillId="26" borderId="35" xfId="5" applyNumberFormat="1" applyFont="1" applyFill="1" applyBorder="1"/>
    <xf numFmtId="191" fontId="4" fillId="26" borderId="0" xfId="5" applyNumberFormat="1" applyFont="1" applyFill="1" applyBorder="1"/>
    <xf numFmtId="191" fontId="5" fillId="0" borderId="0" xfId="5" applyNumberFormat="1" applyFont="1" applyFill="1" applyBorder="1"/>
    <xf numFmtId="190" fontId="4" fillId="26" borderId="35" xfId="5" applyNumberFormat="1" applyFont="1" applyFill="1" applyBorder="1"/>
    <xf numFmtId="190" fontId="4" fillId="26" borderId="0" xfId="5" applyNumberFormat="1" applyFont="1" applyFill="1" applyBorder="1"/>
    <xf numFmtId="190" fontId="4" fillId="26" borderId="36" xfId="5" applyNumberFormat="1" applyFont="1" applyFill="1" applyBorder="1"/>
    <xf numFmtId="190" fontId="4" fillId="0" borderId="0" xfId="5" applyNumberFormat="1" applyFont="1" applyFill="1" applyBorder="1"/>
    <xf numFmtId="4" fontId="89" fillId="26" borderId="35" xfId="5" applyNumberFormat="1" applyFont="1" applyFill="1" applyBorder="1"/>
    <xf numFmtId="4" fontId="89" fillId="26" borderId="0" xfId="5" applyNumberFormat="1" applyFont="1" applyFill="1" applyBorder="1"/>
    <xf numFmtId="4" fontId="89" fillId="26" borderId="36" xfId="5" applyNumberFormat="1" applyFont="1" applyFill="1" applyBorder="1"/>
    <xf numFmtId="2" fontId="23" fillId="26" borderId="0" xfId="5" applyNumberFormat="1" applyFont="1" applyFill="1" applyBorder="1"/>
    <xf numFmtId="181" fontId="4" fillId="0" borderId="0" xfId="5" applyNumberFormat="1" applyFont="1" applyFill="1" applyBorder="1"/>
    <xf numFmtId="9" fontId="39" fillId="0" borderId="0" xfId="5" applyNumberFormat="1" applyFont="1" applyFill="1" applyBorder="1"/>
    <xf numFmtId="0" fontId="39" fillId="0" borderId="0" xfId="5" applyFont="1" applyFill="1" applyBorder="1"/>
    <xf numFmtId="4" fontId="23" fillId="26" borderId="35" xfId="5" applyNumberFormat="1" applyFont="1" applyFill="1" applyBorder="1"/>
    <xf numFmtId="4" fontId="23" fillId="26" borderId="36" xfId="5" applyNumberFormat="1" applyFont="1" applyFill="1" applyBorder="1"/>
    <xf numFmtId="180" fontId="58" fillId="0" borderId="0" xfId="61" applyNumberFormat="1" applyFont="1" applyBorder="1"/>
    <xf numFmtId="180" fontId="32" fillId="26" borderId="0" xfId="61" applyNumberFormat="1" applyFont="1" applyFill="1" applyBorder="1"/>
    <xf numFmtId="180" fontId="32" fillId="0" borderId="0" xfId="61" applyNumberFormat="1" applyFont="1" applyFill="1" applyBorder="1"/>
    <xf numFmtId="180" fontId="32" fillId="26" borderId="35" xfId="61" applyNumberFormat="1" applyFont="1" applyFill="1" applyBorder="1"/>
    <xf numFmtId="180" fontId="32" fillId="26" borderId="0" xfId="61" applyNumberFormat="1" applyFont="1" applyFill="1"/>
    <xf numFmtId="180" fontId="87" fillId="0" borderId="0" xfId="61" applyNumberFormat="1" applyFont="1" applyBorder="1"/>
    <xf numFmtId="181" fontId="5" fillId="0" borderId="0" xfId="5" applyNumberFormat="1" applyFont="1"/>
    <xf numFmtId="9" fontId="5" fillId="26" borderId="0" xfId="5" applyNumberFormat="1" applyFont="1" applyFill="1"/>
    <xf numFmtId="9" fontId="23" fillId="26" borderId="0" xfId="5" applyNumberFormat="1" applyFont="1" applyFill="1"/>
    <xf numFmtId="9" fontId="23" fillId="0" borderId="0" xfId="5" applyNumberFormat="1" applyFont="1"/>
    <xf numFmtId="167" fontId="32" fillId="26" borderId="0" xfId="5" applyNumberFormat="1" applyFont="1" applyFill="1" applyBorder="1"/>
    <xf numFmtId="167" fontId="32" fillId="26" borderId="36" xfId="5" applyNumberFormat="1" applyFont="1" applyFill="1" applyBorder="1"/>
    <xf numFmtId="167" fontId="32" fillId="26" borderId="35" xfId="5" applyNumberFormat="1" applyFont="1" applyFill="1" applyBorder="1"/>
    <xf numFmtId="181" fontId="5" fillId="26" borderId="36" xfId="61" applyNumberFormat="1" applyFont="1" applyFill="1" applyBorder="1"/>
    <xf numFmtId="181" fontId="5" fillId="0" borderId="0" xfId="61" applyNumberFormat="1" applyFont="1" applyFill="1" applyBorder="1"/>
    <xf numFmtId="181" fontId="19" fillId="28" borderId="0" xfId="5" applyNumberFormat="1" applyFont="1" applyFill="1" applyBorder="1"/>
    <xf numFmtId="181" fontId="0" fillId="28" borderId="0" xfId="5" applyNumberFormat="1" applyFont="1" applyFill="1" applyBorder="1"/>
    <xf numFmtId="180" fontId="1" fillId="26" borderId="0" xfId="61" applyNumberFormat="1" applyFill="1" applyBorder="1"/>
    <xf numFmtId="180" fontId="1" fillId="26" borderId="36" xfId="61" applyNumberFormat="1" applyFill="1" applyBorder="1"/>
    <xf numFmtId="180" fontId="60" fillId="26" borderId="35" xfId="61" applyNumberFormat="1" applyFont="1" applyFill="1" applyBorder="1"/>
    <xf numFmtId="180" fontId="60" fillId="26" borderId="0" xfId="61" applyNumberFormat="1" applyFont="1" applyFill="1" applyBorder="1"/>
    <xf numFmtId="180" fontId="60" fillId="26" borderId="36" xfId="61" applyNumberFormat="1" applyFont="1" applyFill="1" applyBorder="1"/>
    <xf numFmtId="180" fontId="60" fillId="0" borderId="0" xfId="61" applyNumberFormat="1" applyFont="1" applyFill="1" applyBorder="1"/>
    <xf numFmtId="180" fontId="4" fillId="26" borderId="0" xfId="61" applyNumberFormat="1" applyFont="1" applyFill="1"/>
    <xf numFmtId="180" fontId="39" fillId="0" borderId="0" xfId="61" applyNumberFormat="1" applyFont="1" applyFill="1" applyBorder="1"/>
    <xf numFmtId="167" fontId="32" fillId="0" borderId="0" xfId="5" applyNumberFormat="1" applyFont="1" applyFill="1" applyBorder="1"/>
    <xf numFmtId="0" fontId="0" fillId="0" borderId="13" xfId="5" applyFont="1" applyBorder="1"/>
    <xf numFmtId="7" fontId="58" fillId="26" borderId="35" xfId="5" applyNumberFormat="1" applyFont="1" applyFill="1" applyBorder="1"/>
    <xf numFmtId="7" fontId="58" fillId="26" borderId="0" xfId="5" applyNumberFormat="1" applyFont="1" applyFill="1" applyBorder="1"/>
    <xf numFmtId="7" fontId="58" fillId="26" borderId="36" xfId="5" applyNumberFormat="1" applyFont="1" applyFill="1" applyBorder="1"/>
    <xf numFmtId="181" fontId="5" fillId="0" borderId="35" xfId="63" applyNumberFormat="1" applyFont="1" applyBorder="1" applyAlignment="1">
      <alignment horizontal="left"/>
    </xf>
    <xf numFmtId="4" fontId="4" fillId="26" borderId="14" xfId="5" applyNumberFormat="1" applyFont="1" applyFill="1" applyBorder="1"/>
    <xf numFmtId="167" fontId="5" fillId="0" borderId="14" xfId="5" applyNumberFormat="1" applyFont="1" applyFill="1" applyBorder="1"/>
    <xf numFmtId="167" fontId="5" fillId="26" borderId="14" xfId="5" applyNumberFormat="1" applyFont="1" applyFill="1" applyBorder="1"/>
    <xf numFmtId="180" fontId="97" fillId="26" borderId="35" xfId="61" applyNumberFormat="1" applyFont="1" applyFill="1" applyBorder="1"/>
    <xf numFmtId="180" fontId="97" fillId="26" borderId="0" xfId="61" applyNumberFormat="1" applyFont="1" applyFill="1" applyBorder="1"/>
    <xf numFmtId="180" fontId="23" fillId="26" borderId="36" xfId="61" applyNumberFormat="1" applyFont="1" applyFill="1" applyBorder="1"/>
    <xf numFmtId="180" fontId="97" fillId="0" borderId="0" xfId="61" applyNumberFormat="1" applyFont="1" applyFill="1" applyBorder="1"/>
    <xf numFmtId="8" fontId="5" fillId="26" borderId="35" xfId="5" applyNumberFormat="1" applyFont="1" applyFill="1" applyBorder="1"/>
    <xf numFmtId="8" fontId="5" fillId="26" borderId="36" xfId="5" applyNumberFormat="1" applyFont="1" applyFill="1" applyBorder="1"/>
    <xf numFmtId="172" fontId="5" fillId="0" borderId="0" xfId="5" applyNumberFormat="1" applyFont="1"/>
    <xf numFmtId="180" fontId="10" fillId="26" borderId="35" xfId="5" applyNumberFormat="1" applyFont="1" applyFill="1" applyBorder="1"/>
    <xf numFmtId="180" fontId="10" fillId="26" borderId="0" xfId="5" applyNumberFormat="1" applyFont="1" applyFill="1" applyBorder="1"/>
    <xf numFmtId="180" fontId="10" fillId="26" borderId="36" xfId="5" applyNumberFormat="1" applyFont="1" applyFill="1" applyBorder="1"/>
    <xf numFmtId="180" fontId="81" fillId="26" borderId="35" xfId="5" applyNumberFormat="1" applyFont="1" applyFill="1" applyBorder="1"/>
    <xf numFmtId="180" fontId="81" fillId="26" borderId="0" xfId="5" applyNumberFormat="1" applyFont="1" applyFill="1" applyBorder="1"/>
    <xf numFmtId="180" fontId="81" fillId="26" borderId="36" xfId="5" applyNumberFormat="1" applyFont="1" applyFill="1" applyBorder="1"/>
    <xf numFmtId="3" fontId="39" fillId="26" borderId="35" xfId="5" applyNumberFormat="1" applyFont="1" applyFill="1" applyBorder="1"/>
    <xf numFmtId="3" fontId="39" fillId="26" borderId="0" xfId="5" applyNumberFormat="1" applyFont="1" applyFill="1" applyBorder="1"/>
    <xf numFmtId="3" fontId="39" fillId="26" borderId="36" xfId="5" applyNumberFormat="1" applyFont="1" applyFill="1" applyBorder="1"/>
    <xf numFmtId="1" fontId="4" fillId="0" borderId="0" xfId="5" applyNumberFormat="1" applyFont="1" applyFill="1" applyBorder="1"/>
    <xf numFmtId="1" fontId="23" fillId="26" borderId="35" xfId="5" applyNumberFormat="1" applyFont="1" applyFill="1" applyBorder="1"/>
    <xf numFmtId="0" fontId="5" fillId="26" borderId="36" xfId="5" applyFont="1" applyFill="1" applyBorder="1"/>
    <xf numFmtId="8" fontId="41" fillId="26" borderId="35" xfId="61" applyNumberFormat="1" applyFont="1" applyFill="1" applyBorder="1"/>
    <xf numFmtId="8" fontId="41" fillId="26" borderId="0" xfId="61" applyNumberFormat="1" applyFont="1" applyFill="1" applyBorder="1"/>
    <xf numFmtId="8" fontId="41" fillId="26" borderId="36" xfId="61" applyNumberFormat="1" applyFont="1" applyFill="1" applyBorder="1"/>
    <xf numFmtId="8" fontId="5" fillId="26" borderId="0" xfId="61" applyNumberFormat="1" applyFont="1" applyFill="1" applyBorder="1"/>
    <xf numFmtId="8" fontId="5" fillId="26" borderId="36" xfId="61" applyNumberFormat="1" applyFont="1" applyFill="1" applyBorder="1"/>
    <xf numFmtId="8" fontId="58" fillId="26" borderId="35" xfId="5" applyNumberFormat="1" applyFont="1" applyFill="1" applyBorder="1"/>
    <xf numFmtId="8" fontId="0" fillId="26" borderId="36" xfId="5" applyNumberFormat="1" applyFont="1" applyFill="1" applyBorder="1"/>
    <xf numFmtId="8" fontId="1" fillId="0" borderId="0" xfId="5" applyNumberFormat="1" applyFont="1" applyBorder="1"/>
    <xf numFmtId="8" fontId="40" fillId="26" borderId="35" xfId="5" applyNumberFormat="1" applyFont="1" applyFill="1" applyBorder="1"/>
    <xf numFmtId="167" fontId="23" fillId="0" borderId="0" xfId="5" applyNumberFormat="1" applyFont="1" applyBorder="1"/>
    <xf numFmtId="8" fontId="5" fillId="26" borderId="35" xfId="61" applyNumberFormat="1" applyFont="1" applyFill="1" applyBorder="1"/>
    <xf numFmtId="166" fontId="62" fillId="28" borderId="0" xfId="5" applyNumberFormat="1" applyFont="1" applyFill="1" applyAlignment="1">
      <alignment horizontal="center"/>
    </xf>
    <xf numFmtId="164" fontId="9" fillId="0" borderId="0" xfId="5" applyNumberFormat="1" applyFont="1"/>
    <xf numFmtId="164" fontId="3" fillId="0" borderId="0" xfId="5" applyNumberFormat="1" applyFont="1"/>
    <xf numFmtId="164" fontId="31" fillId="0" borderId="0" xfId="5" applyNumberFormat="1" applyFont="1" applyAlignment="1">
      <alignment horizontal="right"/>
    </xf>
    <xf numFmtId="0" fontId="0" fillId="0" borderId="0" xfId="5" applyNumberFormat="1" applyFont="1"/>
    <xf numFmtId="0" fontId="9" fillId="0" borderId="0" xfId="5" applyFont="1" applyAlignment="1">
      <alignment horizontal="right"/>
    </xf>
    <xf numFmtId="0" fontId="5" fillId="0" borderId="0" xfId="5" applyFont="1" applyAlignment="1">
      <alignment horizontal="right"/>
    </xf>
    <xf numFmtId="8" fontId="0" fillId="0" borderId="0" xfId="5" applyNumberFormat="1" applyFont="1" applyAlignment="1">
      <alignment horizontal="right"/>
    </xf>
    <xf numFmtId="8" fontId="5" fillId="0" borderId="0" xfId="5" applyNumberFormat="1" applyFont="1" applyAlignment="1">
      <alignment horizontal="right"/>
    </xf>
    <xf numFmtId="169" fontId="60" fillId="0" borderId="0" xfId="5" applyNumberFormat="1" applyFont="1" applyAlignment="1">
      <alignment horizontal="right"/>
    </xf>
    <xf numFmtId="169" fontId="41" fillId="0" borderId="0" xfId="5" applyNumberFormat="1" applyFont="1" applyAlignment="1">
      <alignment horizontal="right"/>
    </xf>
    <xf numFmtId="169" fontId="40" fillId="0" borderId="0" xfId="5" applyNumberFormat="1" applyFont="1" applyAlignment="1">
      <alignment horizontal="right"/>
    </xf>
    <xf numFmtId="169" fontId="0" fillId="0" borderId="0" xfId="5" applyNumberFormat="1" applyFont="1" applyAlignment="1">
      <alignment horizontal="right"/>
    </xf>
    <xf numFmtId="167" fontId="28" fillId="0" borderId="0" xfId="5" applyNumberFormat="1" applyFont="1" applyAlignment="1">
      <alignment horizontal="right"/>
    </xf>
    <xf numFmtId="167" fontId="41" fillId="0" borderId="0" xfId="5" applyNumberFormat="1" applyFont="1" applyAlignment="1">
      <alignment horizontal="right"/>
    </xf>
    <xf numFmtId="0" fontId="4" fillId="26" borderId="29" xfId="5" applyFont="1" applyFill="1" applyBorder="1"/>
    <xf numFmtId="8" fontId="4" fillId="26" borderId="29" xfId="5" applyNumberFormat="1" applyFont="1" applyFill="1" applyBorder="1" applyAlignment="1">
      <alignment horizontal="right"/>
    </xf>
    <xf numFmtId="8" fontId="4" fillId="26" borderId="30" xfId="5" applyNumberFormat="1" applyFont="1" applyFill="1" applyBorder="1" applyAlignment="1">
      <alignment horizontal="right"/>
    </xf>
    <xf numFmtId="8" fontId="39" fillId="0" borderId="0" xfId="5" applyNumberFormat="1" applyFont="1"/>
    <xf numFmtId="8" fontId="41" fillId="0" borderId="0" xfId="5" applyNumberFormat="1" applyFont="1"/>
    <xf numFmtId="167" fontId="41" fillId="0" borderId="0" xfId="5" applyNumberFormat="1" applyFont="1"/>
    <xf numFmtId="0" fontId="0" fillId="26" borderId="29" xfId="5" applyFont="1" applyFill="1" applyBorder="1"/>
    <xf numFmtId="167" fontId="4" fillId="26" borderId="29" xfId="5" applyNumberFormat="1" applyFont="1" applyFill="1" applyBorder="1"/>
    <xf numFmtId="167" fontId="4" fillId="26" borderId="30" xfId="5" applyNumberFormat="1" applyFont="1" applyFill="1" applyBorder="1"/>
    <xf numFmtId="7" fontId="40" fillId="0" borderId="0" xfId="5" applyNumberFormat="1" applyFont="1"/>
    <xf numFmtId="7" fontId="40" fillId="0" borderId="0" xfId="5" applyNumberFormat="1" applyFont="1" applyFill="1" applyBorder="1"/>
    <xf numFmtId="8" fontId="40" fillId="0" borderId="0" xfId="5" applyNumberFormat="1" applyFont="1"/>
    <xf numFmtId="0" fontId="43" fillId="0" borderId="0" xfId="5" applyFont="1"/>
    <xf numFmtId="14" fontId="98" fillId="0" borderId="0" xfId="5" applyNumberFormat="1" applyFont="1" applyFill="1"/>
    <xf numFmtId="0" fontId="25" fillId="0" borderId="0" xfId="5" quotePrefix="1" applyFont="1" applyFill="1" applyAlignment="1">
      <alignment horizontal="right"/>
    </xf>
    <xf numFmtId="167" fontId="0" fillId="0" borderId="0" xfId="5" applyNumberFormat="1" applyFont="1" applyFill="1"/>
    <xf numFmtId="0" fontId="39" fillId="0" borderId="46" xfId="5" applyFont="1" applyFill="1" applyBorder="1"/>
    <xf numFmtId="10" fontId="40" fillId="0" borderId="0" xfId="108" applyNumberFormat="1" applyFont="1" applyFill="1"/>
    <xf numFmtId="167" fontId="40" fillId="0" borderId="0" xfId="108" applyNumberFormat="1" applyFont="1" applyFill="1"/>
    <xf numFmtId="182" fontId="40" fillId="0" borderId="0" xfId="61" applyNumberFormat="1" applyFont="1" applyFill="1"/>
    <xf numFmtId="43" fontId="40" fillId="0" borderId="0" xfId="61" applyFont="1" applyFill="1"/>
    <xf numFmtId="0" fontId="4" fillId="0" borderId="0" xfId="5" applyFont="1" applyFill="1" applyAlignment="1">
      <alignment horizontal="centerContinuous"/>
    </xf>
    <xf numFmtId="0" fontId="0" fillId="0" borderId="0" xfId="5" applyFont="1" applyFill="1" applyAlignment="1">
      <alignment horizontal="centerContinuous"/>
    </xf>
    <xf numFmtId="167" fontId="4" fillId="26" borderId="30" xfId="108" applyNumberFormat="1" applyFont="1" applyFill="1" applyBorder="1"/>
    <xf numFmtId="182" fontId="0" fillId="0" borderId="0" xfId="5" applyNumberFormat="1" applyFont="1" applyFill="1"/>
    <xf numFmtId="180" fontId="5" fillId="0" borderId="0" xfId="5" applyNumberFormat="1" applyFont="1"/>
    <xf numFmtId="180" fontId="40" fillId="0" borderId="0" xfId="61" applyNumberFormat="1" applyFont="1" applyFill="1"/>
    <xf numFmtId="37" fontId="4" fillId="0" borderId="0" xfId="5" applyNumberFormat="1" applyFont="1"/>
    <xf numFmtId="182" fontId="1" fillId="0" borderId="0" xfId="61" applyNumberFormat="1"/>
    <xf numFmtId="9" fontId="1" fillId="0" borderId="0" xfId="108" applyFill="1"/>
    <xf numFmtId="0" fontId="89" fillId="0" borderId="0" xfId="5" applyFont="1"/>
    <xf numFmtId="169" fontId="89" fillId="0" borderId="0" xfId="61" applyNumberFormat="1" applyFont="1"/>
    <xf numFmtId="167" fontId="23" fillId="0" borderId="0" xfId="5" applyNumberFormat="1" applyFont="1"/>
    <xf numFmtId="37" fontId="4" fillId="0" borderId="0" xfId="61" applyNumberFormat="1" applyFont="1"/>
    <xf numFmtId="182" fontId="4" fillId="26" borderId="30" xfId="5" applyNumberFormat="1" applyFont="1" applyFill="1" applyBorder="1"/>
    <xf numFmtId="0" fontId="4" fillId="0" borderId="0" xfId="5" applyFont="1" applyAlignment="1">
      <alignment horizontal="right"/>
    </xf>
    <xf numFmtId="167" fontId="0" fillId="0" borderId="0" xfId="5" applyNumberFormat="1" applyFont="1" applyAlignment="1">
      <alignment horizontal="right"/>
    </xf>
    <xf numFmtId="43" fontId="1" fillId="0" borderId="0" xfId="61"/>
    <xf numFmtId="186" fontId="1" fillId="0" borderId="0" xfId="108" applyNumberFormat="1"/>
    <xf numFmtId="181" fontId="5" fillId="0" borderId="0" xfId="63" applyNumberFormat="1" applyFont="1" applyBorder="1" applyAlignment="1">
      <alignment horizontal="left"/>
    </xf>
    <xf numFmtId="0" fontId="90" fillId="0" borderId="0" xfId="5" applyFont="1"/>
    <xf numFmtId="10" fontId="0" fillId="0" borderId="0" xfId="5" applyNumberFormat="1" applyFont="1" applyFill="1" applyBorder="1"/>
    <xf numFmtId="180" fontId="39" fillId="0" borderId="0" xfId="61" applyNumberFormat="1" applyFont="1"/>
    <xf numFmtId="9" fontId="23" fillId="0" borderId="0" xfId="108" applyFont="1" applyFill="1"/>
    <xf numFmtId="9" fontId="1" fillId="0" borderId="0" xfId="108" applyFont="1" applyFill="1"/>
    <xf numFmtId="14" fontId="99" fillId="0" borderId="0" xfId="5" applyNumberFormat="1" applyFont="1" applyFill="1" applyAlignment="1">
      <alignment horizontal="left"/>
    </xf>
    <xf numFmtId="14" fontId="99" fillId="0" borderId="0" xfId="5" applyNumberFormat="1" applyFont="1" applyFill="1"/>
    <xf numFmtId="180" fontId="0" fillId="0" borderId="0" xfId="61" applyNumberFormat="1" applyFont="1"/>
    <xf numFmtId="7" fontId="4" fillId="0" borderId="0" xfId="5" applyNumberFormat="1" applyFont="1"/>
    <xf numFmtId="8" fontId="89" fillId="0" borderId="0" xfId="5" applyNumberFormat="1" applyFont="1"/>
    <xf numFmtId="8" fontId="39" fillId="0" borderId="0" xfId="61" applyNumberFormat="1" applyFont="1"/>
    <xf numFmtId="8" fontId="4" fillId="0" borderId="0" xfId="61" applyNumberFormat="1" applyFont="1"/>
    <xf numFmtId="181" fontId="41" fillId="0" borderId="0" xfId="61" applyNumberFormat="1" applyFont="1" applyFill="1" applyBorder="1"/>
    <xf numFmtId="9" fontId="5" fillId="0" borderId="0" xfId="61" applyNumberFormat="1" applyFont="1" applyFill="1" applyBorder="1"/>
    <xf numFmtId="9" fontId="0" fillId="0" borderId="0" xfId="61" applyNumberFormat="1" applyFont="1" applyFill="1" applyBorder="1"/>
    <xf numFmtId="180" fontId="41" fillId="0" borderId="0" xfId="5" applyNumberFormat="1" applyFont="1" applyFill="1" applyBorder="1"/>
    <xf numFmtId="8" fontId="38" fillId="0" borderId="0" xfId="5" applyNumberFormat="1" applyFont="1" applyFill="1" applyBorder="1"/>
    <xf numFmtId="0" fontId="4" fillId="0" borderId="0" xfId="5" applyFont="1" applyFill="1" applyBorder="1" applyAlignment="1">
      <alignment horizontal="left"/>
    </xf>
    <xf numFmtId="0" fontId="4" fillId="0" borderId="0" xfId="5" applyFont="1" applyFill="1" applyBorder="1" applyAlignment="1">
      <alignment horizontal="right"/>
    </xf>
    <xf numFmtId="6" fontId="38" fillId="0" borderId="0" xfId="5" applyNumberFormat="1" applyFont="1" applyFill="1" applyBorder="1"/>
    <xf numFmtId="190" fontId="0" fillId="0" borderId="0" xfId="5" applyNumberFormat="1" applyFont="1" applyFill="1" applyBorder="1"/>
    <xf numFmtId="190" fontId="40" fillId="0" borderId="0" xfId="61" applyNumberFormat="1" applyFont="1" applyFill="1" applyBorder="1"/>
    <xf numFmtId="190" fontId="1" fillId="0" borderId="0" xfId="61" applyNumberFormat="1" applyFont="1" applyFill="1" applyBorder="1"/>
    <xf numFmtId="0" fontId="0" fillId="0" borderId="29" xfId="5" applyFont="1" applyFill="1" applyBorder="1"/>
    <xf numFmtId="190" fontId="4" fillId="0" borderId="29" xfId="5" applyNumberFormat="1" applyFont="1" applyFill="1" applyBorder="1"/>
    <xf numFmtId="190" fontId="4" fillId="0" borderId="30" xfId="5" applyNumberFormat="1" applyFont="1" applyFill="1" applyBorder="1"/>
    <xf numFmtId="190" fontId="4" fillId="26" borderId="29" xfId="5" applyNumberFormat="1" applyFont="1" applyFill="1" applyBorder="1"/>
    <xf numFmtId="190" fontId="4" fillId="26" borderId="30" xfId="5" applyNumberFormat="1" applyFont="1" applyFill="1" applyBorder="1"/>
    <xf numFmtId="190" fontId="40" fillId="0" borderId="0" xfId="5" applyNumberFormat="1" applyFont="1" applyFill="1" applyBorder="1"/>
    <xf numFmtId="8" fontId="99" fillId="0" borderId="0" xfId="5" applyNumberFormat="1" applyFont="1" applyFill="1"/>
    <xf numFmtId="0" fontId="4" fillId="0" borderId="42" xfId="5" applyFont="1" applyBorder="1"/>
    <xf numFmtId="8" fontId="4" fillId="0" borderId="39" xfId="5" applyNumberFormat="1" applyFont="1" applyFill="1" applyBorder="1"/>
    <xf numFmtId="0" fontId="4" fillId="0" borderId="26" xfId="5" applyFont="1" applyBorder="1"/>
    <xf numFmtId="8" fontId="39" fillId="0" borderId="38" xfId="5" applyNumberFormat="1" applyFont="1" applyFill="1" applyBorder="1"/>
    <xf numFmtId="7" fontId="88" fillId="0" borderId="0" xfId="5" applyNumberFormat="1" applyFont="1"/>
    <xf numFmtId="0" fontId="88" fillId="0" borderId="0" xfId="5" applyFont="1"/>
    <xf numFmtId="169" fontId="4" fillId="0" borderId="0" xfId="5" applyNumberFormat="1" applyFont="1" applyAlignment="1">
      <alignment horizontal="right"/>
    </xf>
    <xf numFmtId="167" fontId="5" fillId="0" borderId="0" xfId="5" applyNumberFormat="1" applyFont="1" applyFill="1"/>
    <xf numFmtId="167" fontId="41" fillId="0" borderId="0" xfId="5" applyNumberFormat="1" applyFont="1" applyFill="1"/>
    <xf numFmtId="6" fontId="5" fillId="0" borderId="0" xfId="61" applyNumberFormat="1" applyFont="1" applyFill="1" applyBorder="1"/>
    <xf numFmtId="43" fontId="4" fillId="26" borderId="35" xfId="61" applyFont="1" applyFill="1" applyBorder="1"/>
    <xf numFmtId="43" fontId="4" fillId="26" borderId="0" xfId="61" applyFont="1" applyFill="1" applyBorder="1"/>
    <xf numFmtId="43" fontId="4" fillId="26" borderId="36" xfId="61" applyFont="1" applyFill="1" applyBorder="1"/>
    <xf numFmtId="43" fontId="4" fillId="0" borderId="0" xfId="61" applyFont="1" applyFill="1" applyBorder="1"/>
    <xf numFmtId="8" fontId="0" fillId="0" borderId="0" xfId="61" applyNumberFormat="1" applyFont="1" applyFill="1" applyBorder="1"/>
    <xf numFmtId="167" fontId="0" fillId="0" borderId="0" xfId="61" applyNumberFormat="1" applyFont="1" applyFill="1" applyBorder="1"/>
    <xf numFmtId="8" fontId="41" fillId="0" borderId="0" xfId="5" applyNumberFormat="1" applyFont="1" applyAlignment="1">
      <alignment horizontal="right"/>
    </xf>
    <xf numFmtId="43" fontId="23" fillId="26" borderId="0" xfId="61" applyFont="1" applyFill="1" applyBorder="1"/>
    <xf numFmtId="43" fontId="88" fillId="26" borderId="0" xfId="61" applyFont="1" applyFill="1" applyBorder="1"/>
    <xf numFmtId="43" fontId="81" fillId="0" borderId="0" xfId="61" applyFont="1" applyFill="1" applyBorder="1"/>
    <xf numFmtId="43" fontId="23" fillId="0" borderId="0" xfId="61" applyFont="1" applyFill="1" applyBorder="1"/>
    <xf numFmtId="43" fontId="81" fillId="26" borderId="35" xfId="61" applyFont="1" applyFill="1" applyBorder="1"/>
    <xf numFmtId="43" fontId="81" fillId="26" borderId="0" xfId="61" applyFont="1" applyFill="1" applyBorder="1"/>
    <xf numFmtId="43" fontId="81" fillId="26" borderId="36" xfId="61" applyFont="1" applyFill="1" applyBorder="1"/>
    <xf numFmtId="43" fontId="23" fillId="26" borderId="35" xfId="61" applyFont="1" applyFill="1" applyBorder="1"/>
    <xf numFmtId="43" fontId="23" fillId="26" borderId="36" xfId="61" applyFont="1" applyFill="1" applyBorder="1"/>
    <xf numFmtId="43" fontId="88" fillId="0" borderId="0" xfId="61" applyFont="1" applyFill="1" applyBorder="1"/>
    <xf numFmtId="43" fontId="88" fillId="26" borderId="36" xfId="61" applyFont="1" applyFill="1" applyBorder="1"/>
    <xf numFmtId="43" fontId="10" fillId="0" borderId="0" xfId="61" applyFont="1" applyFill="1" applyBorder="1"/>
    <xf numFmtId="43" fontId="41" fillId="26" borderId="0" xfId="61" applyFont="1" applyFill="1" applyBorder="1"/>
    <xf numFmtId="43" fontId="41" fillId="26" borderId="36" xfId="61" applyFont="1" applyFill="1" applyBorder="1"/>
    <xf numFmtId="43" fontId="41" fillId="0" borderId="0" xfId="61" applyFont="1" applyBorder="1"/>
    <xf numFmtId="43" fontId="41" fillId="26" borderId="35" xfId="61" applyFont="1" applyFill="1" applyBorder="1"/>
    <xf numFmtId="9" fontId="81" fillId="26" borderId="0" xfId="108" applyFont="1" applyFill="1" applyBorder="1"/>
    <xf numFmtId="9" fontId="81" fillId="0" borderId="0" xfId="108" applyFont="1" applyFill="1" applyBorder="1"/>
    <xf numFmtId="43" fontId="5" fillId="0" borderId="0" xfId="61" applyNumberFormat="1" applyFont="1" applyFill="1" applyBorder="1"/>
    <xf numFmtId="9" fontId="1" fillId="26" borderId="0" xfId="108" applyFont="1" applyFill="1" applyBorder="1"/>
    <xf numFmtId="9" fontId="10" fillId="0" borderId="0" xfId="108" applyFont="1" applyFill="1" applyBorder="1"/>
    <xf numFmtId="9" fontId="81" fillId="26" borderId="35" xfId="108" applyFont="1" applyFill="1" applyBorder="1"/>
    <xf numFmtId="9" fontId="81" fillId="26" borderId="36" xfId="108" applyFont="1" applyFill="1" applyBorder="1"/>
    <xf numFmtId="9" fontId="101" fillId="0" borderId="0" xfId="108" applyFont="1" applyFill="1" applyBorder="1"/>
    <xf numFmtId="9" fontId="102" fillId="0" borderId="0" xfId="108" applyFont="1" applyFill="1" applyBorder="1"/>
    <xf numFmtId="9" fontId="102" fillId="26" borderId="35" xfId="108" applyFont="1" applyFill="1" applyBorder="1"/>
    <xf numFmtId="9" fontId="102" fillId="26" borderId="0" xfId="108" applyFont="1" applyFill="1" applyBorder="1"/>
    <xf numFmtId="9" fontId="102" fillId="26" borderId="36" xfId="108" applyFont="1" applyFill="1" applyBorder="1"/>
    <xf numFmtId="0" fontId="4" fillId="0" borderId="0" xfId="61" applyNumberFormat="1" applyFont="1" applyFill="1" applyBorder="1"/>
    <xf numFmtId="180" fontId="5" fillId="0" borderId="0" xfId="61" applyNumberFormat="1" applyFont="1" applyFill="1"/>
    <xf numFmtId="167" fontId="32" fillId="0" borderId="0" xfId="61" applyNumberFormat="1" applyFont="1" applyBorder="1"/>
    <xf numFmtId="167" fontId="4" fillId="26" borderId="14" xfId="108" applyNumberFormat="1" applyFont="1" applyFill="1" applyBorder="1"/>
    <xf numFmtId="9" fontId="40" fillId="0" borderId="0" xfId="108" applyFont="1"/>
    <xf numFmtId="9" fontId="0" fillId="0" borderId="0" xfId="108" applyFont="1"/>
    <xf numFmtId="9" fontId="41" fillId="0" borderId="0" xfId="61" applyNumberFormat="1" applyFont="1" applyBorder="1"/>
    <xf numFmtId="4" fontId="4" fillId="0" borderId="0" xfId="5" applyNumberFormat="1" applyFont="1" applyFill="1" applyBorder="1" applyAlignment="1">
      <alignment horizontal="right"/>
    </xf>
    <xf numFmtId="4" fontId="5" fillId="0" borderId="0" xfId="5" applyNumberFormat="1" applyFont="1" applyFill="1" applyBorder="1" applyAlignment="1">
      <alignment horizontal="right"/>
    </xf>
    <xf numFmtId="0" fontId="5" fillId="0" borderId="0" xfId="5" applyFont="1" applyFill="1" applyBorder="1" applyAlignment="1">
      <alignment horizontal="centerContinuous"/>
    </xf>
    <xf numFmtId="4" fontId="5" fillId="0" borderId="0" xfId="5" applyNumberFormat="1" applyFont="1" applyBorder="1" applyAlignment="1">
      <alignment horizontal="right"/>
    </xf>
    <xf numFmtId="3" fontId="5" fillId="0" borderId="0" xfId="5" applyNumberFormat="1" applyFont="1" applyFill="1" applyBorder="1" applyAlignment="1">
      <alignment horizontal="right"/>
    </xf>
    <xf numFmtId="180" fontId="23" fillId="0" borderId="0" xfId="61" applyNumberFormat="1" applyFont="1" applyFill="1" applyBorder="1"/>
    <xf numFmtId="38" fontId="89" fillId="0" borderId="0" xfId="63" applyNumberFormat="1" applyFont="1"/>
    <xf numFmtId="180" fontId="105" fillId="0" borderId="0" xfId="61" applyNumberFormat="1" applyFont="1" applyFill="1" applyBorder="1"/>
    <xf numFmtId="180" fontId="89" fillId="0" borderId="0" xfId="61" applyNumberFormat="1" applyFont="1" applyFill="1" applyBorder="1"/>
    <xf numFmtId="9" fontId="89" fillId="0" borderId="0" xfId="61" applyNumberFormat="1" applyFont="1" applyFill="1" applyBorder="1"/>
    <xf numFmtId="9" fontId="0" fillId="0" borderId="0" xfId="5" applyNumberFormat="1" applyFont="1" applyFill="1"/>
    <xf numFmtId="7" fontId="23" fillId="0" borderId="0" xfId="5" applyNumberFormat="1" applyFont="1"/>
    <xf numFmtId="166" fontId="80" fillId="28" borderId="0" xfId="98" applyNumberFormat="1" applyFont="1" applyFill="1"/>
    <xf numFmtId="166" fontId="51" fillId="28" borderId="0" xfId="98" applyNumberFormat="1" applyFont="1" applyFill="1"/>
    <xf numFmtId="166" fontId="51" fillId="28" borderId="0" xfId="102" applyNumberFormat="1" applyFont="1" applyFill="1" applyAlignment="1">
      <alignment horizontal="right"/>
    </xf>
    <xf numFmtId="166" fontId="51" fillId="28" borderId="0" xfId="102" applyNumberFormat="1" applyFont="1" applyFill="1"/>
    <xf numFmtId="166" fontId="107" fillId="28" borderId="0" xfId="102" applyNumberFormat="1" applyFont="1" applyFill="1"/>
    <xf numFmtId="166" fontId="20" fillId="28" borderId="0" xfId="102" applyNumberFormat="1" applyFont="1" applyFill="1"/>
    <xf numFmtId="166" fontId="20" fillId="28" borderId="0" xfId="101" applyNumberFormat="1" applyFont="1" applyFill="1"/>
    <xf numFmtId="166" fontId="62" fillId="28" borderId="0" xfId="101" applyNumberFormat="1" applyFont="1" applyFill="1"/>
    <xf numFmtId="0" fontId="5" fillId="0" borderId="0" xfId="102"/>
    <xf numFmtId="166" fontId="96" fillId="28" borderId="0" xfId="102" applyNumberFormat="1" applyFont="1" applyFill="1" applyBorder="1"/>
    <xf numFmtId="166" fontId="62" fillId="28" borderId="0" xfId="98" applyNumberFormat="1" applyFont="1" applyFill="1"/>
    <xf numFmtId="166" fontId="96" fillId="28" borderId="0" xfId="98" applyNumberFormat="1" applyFont="1" applyFill="1"/>
    <xf numFmtId="166" fontId="52" fillId="28" borderId="0" xfId="102" applyNumberFormat="1" applyFont="1" applyFill="1" applyAlignment="1">
      <alignment horizontal="right"/>
    </xf>
    <xf numFmtId="166" fontId="52" fillId="28" borderId="0" xfId="102" applyNumberFormat="1" applyFont="1" applyFill="1"/>
    <xf numFmtId="166" fontId="9" fillId="28" borderId="0" xfId="102" applyNumberFormat="1" applyFont="1" applyFill="1" applyBorder="1"/>
    <xf numFmtId="166" fontId="13" fillId="28" borderId="0" xfId="102" applyNumberFormat="1" applyFont="1" applyFill="1"/>
    <xf numFmtId="166" fontId="21" fillId="28" borderId="0" xfId="102" applyNumberFormat="1" applyFont="1" applyFill="1"/>
    <xf numFmtId="166" fontId="21" fillId="28" borderId="0" xfId="102" applyNumberFormat="1" applyFont="1" applyFill="1" applyBorder="1"/>
    <xf numFmtId="166" fontId="21" fillId="28" borderId="0" xfId="101" applyNumberFormat="1" applyFont="1" applyFill="1"/>
    <xf numFmtId="164" fontId="9" fillId="0" borderId="47" xfId="102" applyNumberFormat="1" applyFont="1" applyFill="1" applyBorder="1"/>
    <xf numFmtId="164" fontId="9" fillId="0" borderId="48" xfId="102" quotePrefix="1" applyNumberFormat="1" applyFont="1" applyFill="1" applyBorder="1"/>
    <xf numFmtId="164" fontId="19" fillId="0" borderId="48" xfId="102" applyNumberFormat="1" applyFont="1" applyFill="1" applyBorder="1"/>
    <xf numFmtId="173" fontId="9" fillId="26" borderId="35" xfId="102" applyNumberFormat="1" applyFont="1" applyFill="1" applyBorder="1" applyAlignment="1">
      <alignment horizontal="right"/>
    </xf>
    <xf numFmtId="173" fontId="9" fillId="26" borderId="0" xfId="102" applyNumberFormat="1" applyFont="1" applyFill="1" applyBorder="1" applyAlignment="1">
      <alignment horizontal="right"/>
    </xf>
    <xf numFmtId="174" fontId="9" fillId="26" borderId="36" xfId="102" applyNumberFormat="1" applyFont="1" applyFill="1" applyBorder="1" applyAlignment="1">
      <alignment horizontal="right"/>
    </xf>
    <xf numFmtId="173" fontId="9" fillId="26" borderId="36" xfId="102" applyNumberFormat="1" applyFont="1" applyFill="1" applyBorder="1" applyAlignment="1">
      <alignment horizontal="right"/>
    </xf>
    <xf numFmtId="173" fontId="9" fillId="0" borderId="0" xfId="102" applyNumberFormat="1" applyFont="1" applyFill="1" applyBorder="1" applyAlignment="1">
      <alignment horizontal="center"/>
    </xf>
    <xf numFmtId="173" fontId="54" fillId="0" borderId="0" xfId="102" applyNumberFormat="1" applyFont="1" applyFill="1" applyBorder="1" applyAlignment="1">
      <alignment horizontal="center"/>
    </xf>
    <xf numFmtId="1" fontId="9" fillId="0" borderId="0" xfId="102" applyNumberFormat="1" applyFont="1" applyFill="1" applyBorder="1" applyAlignment="1">
      <alignment horizontal="center"/>
    </xf>
    <xf numFmtId="174" fontId="9" fillId="0" borderId="0" xfId="102" applyNumberFormat="1" applyFont="1" applyFill="1" applyBorder="1" applyAlignment="1">
      <alignment horizontal="center"/>
    </xf>
    <xf numFmtId="0" fontId="22" fillId="0" borderId="0" xfId="102" applyFont="1" applyBorder="1" applyAlignment="1"/>
    <xf numFmtId="0" fontId="9" fillId="0" borderId="49" xfId="102" applyFont="1" applyBorder="1" applyAlignment="1"/>
    <xf numFmtId="0" fontId="22" fillId="0" borderId="0" xfId="102" applyFont="1" applyAlignment="1"/>
    <xf numFmtId="0" fontId="22" fillId="0" borderId="0" xfId="102" applyFont="1"/>
    <xf numFmtId="166" fontId="19" fillId="0" borderId="0" xfId="102" applyNumberFormat="1" applyFont="1"/>
    <xf numFmtId="0" fontId="5" fillId="0" borderId="0" xfId="102" applyFill="1" applyBorder="1"/>
    <xf numFmtId="0" fontId="1" fillId="0" borderId="0" xfId="102" applyFont="1" applyFill="1"/>
    <xf numFmtId="164" fontId="37" fillId="0" borderId="0" xfId="102" applyNumberFormat="1" applyFont="1" applyFill="1" applyBorder="1" applyAlignment="1">
      <alignment horizontal="center"/>
    </xf>
    <xf numFmtId="164" fontId="5" fillId="0" borderId="0" xfId="102" applyNumberFormat="1" applyFont="1" applyFill="1" applyBorder="1"/>
    <xf numFmtId="0" fontId="3" fillId="28" borderId="26" xfId="102" applyFont="1" applyFill="1" applyBorder="1" applyAlignment="1">
      <alignment horizontal="left"/>
    </xf>
    <xf numFmtId="0" fontId="19" fillId="28" borderId="14" xfId="102" applyFont="1" applyFill="1" applyBorder="1" applyAlignment="1">
      <alignment horizontal="left"/>
    </xf>
    <xf numFmtId="0" fontId="19" fillId="28" borderId="29" xfId="102" applyFont="1" applyFill="1" applyBorder="1" applyAlignment="1">
      <alignment horizontal="left"/>
    </xf>
    <xf numFmtId="0" fontId="9" fillId="26" borderId="35" xfId="102" applyFont="1" applyFill="1" applyBorder="1" applyAlignment="1">
      <alignment horizontal="centerContinuous"/>
    </xf>
    <xf numFmtId="0" fontId="22" fillId="26" borderId="0" xfId="102" applyFont="1" applyFill="1" applyBorder="1" applyAlignment="1">
      <alignment horizontal="centerContinuous"/>
    </xf>
    <xf numFmtId="0" fontId="22" fillId="26" borderId="36" xfId="102" applyFont="1" applyFill="1" applyBorder="1" applyAlignment="1">
      <alignment horizontal="centerContinuous"/>
    </xf>
    <xf numFmtId="0" fontId="9" fillId="26" borderId="36" xfId="102" applyFont="1" applyFill="1" applyBorder="1" applyAlignment="1">
      <alignment horizontal="centerContinuous"/>
    </xf>
    <xf numFmtId="0" fontId="9" fillId="26" borderId="0" xfId="102" applyFont="1" applyFill="1" applyBorder="1" applyAlignment="1">
      <alignment horizontal="centerContinuous"/>
    </xf>
    <xf numFmtId="0" fontId="9" fillId="0" borderId="0" xfId="102" applyFont="1" applyFill="1" applyBorder="1" applyAlignment="1">
      <alignment horizontal="centerContinuous"/>
    </xf>
    <xf numFmtId="0" fontId="22" fillId="0" borderId="0" xfId="102" applyFont="1" applyFill="1" applyBorder="1" applyAlignment="1">
      <alignment horizontal="centerContinuous"/>
    </xf>
    <xf numFmtId="0" fontId="5" fillId="0" borderId="0" xfId="102" applyBorder="1" applyAlignment="1"/>
    <xf numFmtId="0" fontId="5" fillId="0" borderId="49" xfId="102" applyBorder="1" applyAlignment="1"/>
    <xf numFmtId="0" fontId="5" fillId="0" borderId="0" xfId="102" applyAlignment="1"/>
    <xf numFmtId="0" fontId="9" fillId="0" borderId="0" xfId="102" applyFont="1" applyFill="1" applyAlignment="1">
      <alignment horizontal="left"/>
    </xf>
    <xf numFmtId="0" fontId="1" fillId="0" borderId="0" xfId="102" applyFont="1" applyFill="1" applyAlignment="1">
      <alignment horizontal="left"/>
    </xf>
    <xf numFmtId="4" fontId="106" fillId="26" borderId="35" xfId="102" applyNumberFormat="1" applyFont="1" applyFill="1" applyBorder="1" applyAlignment="1">
      <alignment horizontal="right"/>
    </xf>
    <xf numFmtId="4" fontId="106" fillId="26" borderId="0" xfId="102" applyNumberFormat="1" applyFont="1" applyFill="1" applyBorder="1" applyAlignment="1">
      <alignment horizontal="right"/>
    </xf>
    <xf numFmtId="4" fontId="106" fillId="26" borderId="36" xfId="102" applyNumberFormat="1" applyFont="1" applyFill="1" applyBorder="1" applyAlignment="1">
      <alignment horizontal="right"/>
    </xf>
    <xf numFmtId="4" fontId="55" fillId="26" borderId="36" xfId="102" applyNumberFormat="1" applyFont="1" applyFill="1" applyBorder="1" applyAlignment="1">
      <alignment horizontal="right"/>
    </xf>
    <xf numFmtId="4" fontId="55" fillId="26" borderId="35" xfId="102" applyNumberFormat="1" applyFont="1" applyFill="1" applyBorder="1" applyAlignment="1">
      <alignment horizontal="right"/>
    </xf>
    <xf numFmtId="4" fontId="55" fillId="26" borderId="0" xfId="102" applyNumberFormat="1" applyFont="1" applyFill="1" applyBorder="1" applyAlignment="1">
      <alignment horizontal="right"/>
    </xf>
    <xf numFmtId="4" fontId="55" fillId="0" borderId="0" xfId="102" applyNumberFormat="1" applyFont="1" applyFill="1" applyBorder="1" applyAlignment="1">
      <alignment horizontal="right"/>
    </xf>
    <xf numFmtId="0" fontId="5" fillId="0" borderId="0" xfId="102" applyBorder="1"/>
    <xf numFmtId="0" fontId="5" fillId="0" borderId="49" xfId="102" applyBorder="1"/>
    <xf numFmtId="3" fontId="40" fillId="0" borderId="0" xfId="102" applyNumberFormat="1" applyFont="1" applyFill="1" applyBorder="1" applyAlignment="1">
      <alignment horizontal="center"/>
    </xf>
    <xf numFmtId="4" fontId="1" fillId="26" borderId="35" xfId="102" applyNumberFormat="1" applyFont="1" applyFill="1" applyBorder="1" applyAlignment="1">
      <alignment horizontal="right"/>
    </xf>
    <xf numFmtId="4" fontId="1" fillId="26" borderId="0" xfId="102" applyNumberFormat="1" applyFont="1" applyFill="1" applyBorder="1" applyAlignment="1">
      <alignment horizontal="right"/>
    </xf>
    <xf numFmtId="4" fontId="1" fillId="26" borderId="36" xfId="102" applyNumberFormat="1" applyFont="1" applyFill="1" applyBorder="1" applyAlignment="1">
      <alignment horizontal="right"/>
    </xf>
    <xf numFmtId="4" fontId="40" fillId="26" borderId="35" xfId="102" applyNumberFormat="1" applyFont="1" applyFill="1" applyBorder="1" applyAlignment="1">
      <alignment horizontal="right"/>
    </xf>
    <xf numFmtId="4" fontId="40" fillId="26" borderId="0" xfId="102" applyNumberFormat="1" applyFont="1" applyFill="1" applyBorder="1" applyAlignment="1">
      <alignment horizontal="right"/>
    </xf>
    <xf numFmtId="4" fontId="40" fillId="26" borderId="36" xfId="102" applyNumberFormat="1" applyFont="1" applyFill="1" applyBorder="1" applyAlignment="1">
      <alignment horizontal="right"/>
    </xf>
    <xf numFmtId="4" fontId="40" fillId="0" borderId="0" xfId="102" applyNumberFormat="1" applyFont="1" applyFill="1" applyBorder="1" applyAlignment="1">
      <alignment horizontal="right"/>
    </xf>
    <xf numFmtId="0" fontId="4" fillId="0" borderId="26" xfId="102" applyFont="1" applyBorder="1"/>
    <xf numFmtId="4" fontId="91" fillId="0" borderId="0" xfId="102" applyNumberFormat="1" applyFont="1" applyFill="1" applyBorder="1" applyAlignment="1">
      <alignment horizontal="right"/>
    </xf>
    <xf numFmtId="168" fontId="1" fillId="0" borderId="0" xfId="102" applyNumberFormat="1" applyFont="1" applyFill="1" applyBorder="1" applyAlignment="1">
      <alignment horizontal="center"/>
    </xf>
    <xf numFmtId="0" fontId="5" fillId="0" borderId="50" xfId="102" applyBorder="1"/>
    <xf numFmtId="0" fontId="39" fillId="0" borderId="0" xfId="102" applyFont="1" applyBorder="1"/>
    <xf numFmtId="0" fontId="4" fillId="0" borderId="0" xfId="102" applyFont="1"/>
    <xf numFmtId="0" fontId="40" fillId="26" borderId="36" xfId="102" applyFont="1" applyFill="1" applyBorder="1" applyAlignment="1">
      <alignment horizontal="centerContinuous"/>
    </xf>
    <xf numFmtId="0" fontId="40" fillId="26" borderId="0" xfId="102" applyFont="1" applyFill="1" applyBorder="1" applyAlignment="1">
      <alignment horizontal="centerContinuous"/>
    </xf>
    <xf numFmtId="0" fontId="91" fillId="0" borderId="0" xfId="102" applyFont="1" applyFill="1" applyBorder="1" applyAlignment="1">
      <alignment horizontal="centerContinuous"/>
    </xf>
    <xf numFmtId="0" fontId="40" fillId="0" borderId="0" xfId="102" applyFont="1" applyFill="1" applyBorder="1" applyAlignment="1">
      <alignment horizontal="centerContinuous"/>
    </xf>
    <xf numFmtId="0" fontId="40" fillId="0" borderId="0" xfId="102" applyFont="1" applyAlignment="1">
      <alignment horizontal="right"/>
    </xf>
    <xf numFmtId="180" fontId="5" fillId="0" borderId="0" xfId="61" applyNumberFormat="1" applyFont="1" applyBorder="1"/>
    <xf numFmtId="9" fontId="40" fillId="0" borderId="0" xfId="102" applyNumberFormat="1" applyFont="1" applyFill="1" applyBorder="1" applyAlignment="1">
      <alignment horizontal="center"/>
    </xf>
    <xf numFmtId="0" fontId="5" fillId="0" borderId="0" xfId="102" applyFont="1" applyFill="1" applyAlignment="1">
      <alignment horizontal="left"/>
    </xf>
    <xf numFmtId="0" fontId="5" fillId="0" borderId="0" xfId="102" applyFont="1" applyBorder="1"/>
    <xf numFmtId="0" fontId="56" fillId="0" borderId="0" xfId="102" applyFont="1" applyFill="1"/>
    <xf numFmtId="0" fontId="1" fillId="0" borderId="0" xfId="102" applyFont="1" applyFill="1" applyBorder="1"/>
    <xf numFmtId="0" fontId="90" fillId="0" borderId="49" xfId="102" applyFont="1" applyBorder="1"/>
    <xf numFmtId="0" fontId="9" fillId="28" borderId="0" xfId="102" applyFont="1" applyFill="1" applyBorder="1" applyAlignment="1">
      <alignment horizontal="centerContinuous"/>
    </xf>
    <xf numFmtId="39" fontId="1" fillId="0" borderId="49" xfId="102" applyNumberFormat="1" applyFont="1" applyFill="1" applyBorder="1" applyAlignment="1">
      <alignment horizontal="right"/>
    </xf>
    <xf numFmtId="39" fontId="1" fillId="0" borderId="0" xfId="102" applyNumberFormat="1" applyFont="1" applyFill="1" applyBorder="1" applyAlignment="1">
      <alignment horizontal="right"/>
    </xf>
    <xf numFmtId="2" fontId="40" fillId="26" borderId="35" xfId="102" applyNumberFormat="1" applyFont="1" applyFill="1" applyBorder="1" applyAlignment="1">
      <alignment horizontal="right"/>
    </xf>
    <xf numFmtId="2" fontId="40" fillId="26" borderId="0" xfId="102" applyNumberFormat="1" applyFont="1" applyFill="1" applyBorder="1" applyAlignment="1">
      <alignment horizontal="right"/>
    </xf>
    <xf numFmtId="2" fontId="40" fillId="26" borderId="36" xfId="102" applyNumberFormat="1" applyFont="1" applyFill="1" applyBorder="1" applyAlignment="1">
      <alignment horizontal="right"/>
    </xf>
    <xf numFmtId="0" fontId="9" fillId="0" borderId="0" xfId="102" applyFont="1" applyFill="1" applyBorder="1" applyAlignment="1">
      <alignment horizontal="left"/>
    </xf>
    <xf numFmtId="0" fontId="4" fillId="0" borderId="0" xfId="102" applyFont="1" applyFill="1" applyBorder="1"/>
    <xf numFmtId="3" fontId="1" fillId="26" borderId="35" xfId="102" applyNumberFormat="1" applyFont="1" applyFill="1" applyBorder="1" applyAlignment="1">
      <alignment horizontal="right"/>
    </xf>
    <xf numFmtId="3" fontId="1" fillId="26" borderId="0" xfId="102" applyNumberFormat="1" applyFont="1" applyFill="1" applyBorder="1" applyAlignment="1">
      <alignment horizontal="right"/>
    </xf>
    <xf numFmtId="3" fontId="1" fillId="26" borderId="36" xfId="102" applyNumberFormat="1" applyFont="1" applyFill="1" applyBorder="1" applyAlignment="1">
      <alignment horizontal="right"/>
    </xf>
    <xf numFmtId="3" fontId="40" fillId="26" borderId="35" xfId="102" applyNumberFormat="1" applyFont="1" applyFill="1" applyBorder="1" applyAlignment="1">
      <alignment horizontal="right"/>
    </xf>
    <xf numFmtId="3" fontId="40" fillId="26" borderId="0" xfId="102" applyNumberFormat="1" applyFont="1" applyFill="1" applyBorder="1" applyAlignment="1">
      <alignment horizontal="right"/>
    </xf>
    <xf numFmtId="3" fontId="40" fillId="26" borderId="36" xfId="102" applyNumberFormat="1" applyFont="1" applyFill="1" applyBorder="1" applyAlignment="1">
      <alignment horizontal="right"/>
    </xf>
    <xf numFmtId="3" fontId="40" fillId="0" borderId="0" xfId="102" applyNumberFormat="1" applyFont="1" applyFill="1" applyBorder="1" applyAlignment="1">
      <alignment horizontal="right"/>
    </xf>
    <xf numFmtId="0" fontId="1" fillId="0" borderId="49" xfId="102" applyNumberFormat="1" applyFont="1" applyFill="1" applyBorder="1" applyAlignment="1">
      <alignment horizontal="right"/>
    </xf>
    <xf numFmtId="3" fontId="1" fillId="0" borderId="0" xfId="102" applyNumberFormat="1" applyFont="1" applyBorder="1" applyAlignment="1">
      <alignment horizontal="right"/>
    </xf>
    <xf numFmtId="3" fontId="1" fillId="0" borderId="0" xfId="102" applyNumberFormat="1" applyFont="1" applyFill="1" applyBorder="1" applyAlignment="1">
      <alignment horizontal="right"/>
    </xf>
    <xf numFmtId="0" fontId="1" fillId="0" borderId="0" xfId="102" applyFont="1" applyFill="1" applyBorder="1" applyAlignment="1">
      <alignment horizontal="left"/>
    </xf>
    <xf numFmtId="0" fontId="1" fillId="26" borderId="35" xfId="102" applyFont="1" applyFill="1" applyBorder="1"/>
    <xf numFmtId="4" fontId="1" fillId="0" borderId="0" xfId="102" applyNumberFormat="1" applyFont="1" applyFill="1" applyBorder="1" applyAlignment="1">
      <alignment horizontal="right"/>
    </xf>
    <xf numFmtId="0" fontId="5" fillId="0" borderId="0" xfId="98" applyNumberFormat="1" applyFont="1" applyFill="1" applyBorder="1" applyAlignment="1"/>
    <xf numFmtId="0" fontId="1" fillId="26" borderId="0" xfId="102" applyFont="1" applyFill="1" applyBorder="1"/>
    <xf numFmtId="0" fontId="1" fillId="26" borderId="36" xfId="102" applyFont="1" applyFill="1" applyBorder="1"/>
    <xf numFmtId="0" fontId="5" fillId="28" borderId="51" xfId="102" applyFill="1" applyBorder="1"/>
    <xf numFmtId="0" fontId="5" fillId="28" borderId="51" xfId="102" applyFill="1" applyBorder="1" applyAlignment="1">
      <alignment horizontal="left"/>
    </xf>
    <xf numFmtId="0" fontId="5" fillId="28" borderId="15" xfId="102" applyFill="1" applyBorder="1"/>
    <xf numFmtId="0" fontId="5" fillId="28" borderId="0" xfId="102" applyFill="1" applyBorder="1"/>
    <xf numFmtId="0" fontId="5" fillId="0" borderId="52" xfId="102" applyBorder="1"/>
    <xf numFmtId="0" fontId="3" fillId="28" borderId="53" xfId="102" applyFont="1" applyFill="1" applyBorder="1"/>
    <xf numFmtId="0" fontId="19" fillId="28" borderId="54" xfId="102" applyFont="1" applyFill="1" applyBorder="1"/>
    <xf numFmtId="0" fontId="9" fillId="26" borderId="55" xfId="102" applyFont="1" applyFill="1" applyBorder="1" applyAlignment="1">
      <alignment horizontal="centerContinuous"/>
    </xf>
    <xf numFmtId="0" fontId="22" fillId="26" borderId="56" xfId="102" applyFont="1" applyFill="1" applyBorder="1" applyAlignment="1">
      <alignment horizontal="centerContinuous"/>
    </xf>
    <xf numFmtId="0" fontId="22" fillId="26" borderId="57" xfId="102" applyFont="1" applyFill="1" applyBorder="1" applyAlignment="1">
      <alignment horizontal="centerContinuous"/>
    </xf>
    <xf numFmtId="0" fontId="9" fillId="26" borderId="57" xfId="102" applyFont="1" applyFill="1" applyBorder="1" applyAlignment="1">
      <alignment horizontal="centerContinuous"/>
    </xf>
    <xf numFmtId="0" fontId="9" fillId="26" borderId="56" xfId="102" applyFont="1" applyFill="1" applyBorder="1" applyAlignment="1">
      <alignment horizontal="centerContinuous"/>
    </xf>
    <xf numFmtId="0" fontId="9" fillId="0" borderId="58" xfId="102" applyFont="1" applyFill="1" applyBorder="1"/>
    <xf numFmtId="0" fontId="1" fillId="0" borderId="58" xfId="102" applyFont="1" applyFill="1" applyBorder="1"/>
    <xf numFmtId="0" fontId="4" fillId="0" borderId="0" xfId="102" applyFont="1" applyFill="1" applyBorder="1" applyAlignment="1">
      <alignment horizontal="right"/>
    </xf>
    <xf numFmtId="0" fontId="5" fillId="0" borderId="0" xfId="102" applyFont="1" applyFill="1" applyBorder="1"/>
    <xf numFmtId="0" fontId="5" fillId="28" borderId="59" xfId="102" applyFill="1" applyBorder="1"/>
    <xf numFmtId="0" fontId="5" fillId="28" borderId="60" xfId="102" applyFill="1" applyBorder="1"/>
    <xf numFmtId="0" fontId="5" fillId="28" borderId="61" xfId="102" applyFill="1" applyBorder="1"/>
    <xf numFmtId="0" fontId="5" fillId="28" borderId="62" xfId="102" applyFill="1" applyBorder="1"/>
    <xf numFmtId="0" fontId="5" fillId="0" borderId="0" xfId="102" applyAlignment="1">
      <alignment horizontal="right"/>
    </xf>
    <xf numFmtId="6" fontId="41" fillId="0" borderId="0" xfId="5" applyNumberFormat="1" applyFont="1" applyFill="1" applyBorder="1" applyAlignment="1">
      <alignment horizontal="center"/>
    </xf>
    <xf numFmtId="0" fontId="0" fillId="0" borderId="0" xfId="5" applyFont="1" applyAlignment="1">
      <alignment horizontal="center"/>
    </xf>
    <xf numFmtId="8" fontId="41" fillId="0" borderId="0" xfId="5" applyNumberFormat="1" applyFont="1" applyFill="1" applyBorder="1" applyAlignment="1">
      <alignment horizontal="center"/>
    </xf>
    <xf numFmtId="8" fontId="40" fillId="0" borderId="0" xfId="5" applyNumberFormat="1" applyFont="1" applyFill="1" applyBorder="1"/>
    <xf numFmtId="8" fontId="39" fillId="0" borderId="0" xfId="5" applyNumberFormat="1" applyFont="1" applyFill="1" applyBorder="1"/>
    <xf numFmtId="8" fontId="1" fillId="0" borderId="0" xfId="5" applyNumberFormat="1" applyFont="1" applyFill="1" applyBorder="1"/>
    <xf numFmtId="38" fontId="39" fillId="0" borderId="35" xfId="63" applyNumberFormat="1" applyFont="1" applyBorder="1"/>
    <xf numFmtId="7" fontId="41" fillId="0" borderId="0" xfId="5" applyNumberFormat="1" applyFont="1" applyFill="1" applyBorder="1"/>
    <xf numFmtId="0" fontId="0" fillId="0" borderId="35" xfId="5" applyNumberFormat="1" applyFont="1" applyFill="1" applyBorder="1"/>
    <xf numFmtId="6" fontId="5" fillId="26" borderId="35" xfId="61" applyNumberFormat="1" applyFont="1" applyFill="1" applyBorder="1"/>
    <xf numFmtId="6" fontId="5" fillId="26" borderId="0" xfId="61" applyNumberFormat="1" applyFont="1" applyFill="1" applyBorder="1"/>
    <xf numFmtId="6" fontId="5" fillId="26" borderId="36" xfId="61" applyNumberFormat="1" applyFont="1" applyFill="1" applyBorder="1"/>
    <xf numFmtId="0" fontId="4" fillId="0" borderId="35" xfId="5" applyFont="1" applyFill="1" applyBorder="1"/>
    <xf numFmtId="7" fontId="39" fillId="0" borderId="0" xfId="5" applyNumberFormat="1" applyFont="1" applyFill="1" applyBorder="1"/>
    <xf numFmtId="9" fontId="1" fillId="0" borderId="0" xfId="5" applyNumberFormat="1" applyFont="1" applyFill="1" applyBorder="1"/>
    <xf numFmtId="7" fontId="4" fillId="26" borderId="36" xfId="108" applyNumberFormat="1" applyFont="1" applyFill="1" applyBorder="1"/>
    <xf numFmtId="7" fontId="4" fillId="26" borderId="35" xfId="108" applyNumberFormat="1" applyFont="1" applyFill="1" applyBorder="1"/>
    <xf numFmtId="7" fontId="4" fillId="26" borderId="0" xfId="108" applyNumberFormat="1" applyFont="1" applyFill="1" applyBorder="1"/>
    <xf numFmtId="180" fontId="40" fillId="0" borderId="0" xfId="61" applyNumberFormat="1" applyFont="1"/>
    <xf numFmtId="164" fontId="9" fillId="26" borderId="63" xfId="5" applyNumberFormat="1" applyFont="1" applyFill="1" applyBorder="1" applyAlignment="1">
      <alignment horizontal="right"/>
    </xf>
    <xf numFmtId="164" fontId="9" fillId="26" borderId="64" xfId="5" applyNumberFormat="1" applyFont="1" applyFill="1" applyBorder="1" applyAlignment="1">
      <alignment horizontal="right"/>
    </xf>
    <xf numFmtId="164" fontId="9" fillId="26" borderId="65" xfId="5" applyNumberFormat="1" applyFont="1" applyFill="1" applyBorder="1" applyAlignment="1">
      <alignment horizontal="right"/>
    </xf>
    <xf numFmtId="188" fontId="9" fillId="0" borderId="48" xfId="5" applyNumberFormat="1" applyFont="1" applyBorder="1" applyAlignment="1">
      <alignment horizontal="right"/>
    </xf>
    <xf numFmtId="183" fontId="9" fillId="0" borderId="48" xfId="5" applyNumberFormat="1" applyFont="1" applyBorder="1" applyAlignment="1">
      <alignment horizontal="right"/>
    </xf>
    <xf numFmtId="9" fontId="39" fillId="0" borderId="46" xfId="5" applyNumberFormat="1" applyFont="1" applyFill="1" applyBorder="1"/>
    <xf numFmtId="0" fontId="9" fillId="0" borderId="0" xfId="5" applyFont="1" applyAlignment="1">
      <alignment horizontal="center"/>
    </xf>
    <xf numFmtId="164" fontId="9" fillId="26" borderId="13" xfId="5" applyNumberFormat="1" applyFont="1" applyFill="1" applyBorder="1" applyAlignment="1">
      <alignment horizontal="center"/>
    </xf>
    <xf numFmtId="7" fontId="1" fillId="26" borderId="0" xfId="5" applyNumberFormat="1" applyFont="1" applyFill="1" applyBorder="1"/>
    <xf numFmtId="7" fontId="23" fillId="26" borderId="0" xfId="61" applyNumberFormat="1" applyFont="1" applyFill="1" applyBorder="1"/>
    <xf numFmtId="188" fontId="9" fillId="0" borderId="27" xfId="5" applyNumberFormat="1" applyFont="1" applyFill="1" applyBorder="1" applyAlignment="1">
      <alignment horizontal="right"/>
    </xf>
    <xf numFmtId="0" fontId="38" fillId="0" borderId="0" xfId="5" applyFont="1" applyFill="1" applyAlignment="1">
      <alignment horizontal="center"/>
    </xf>
    <xf numFmtId="167" fontId="38" fillId="0" borderId="0" xfId="108" applyNumberFormat="1" applyFont="1" applyFill="1" applyAlignment="1">
      <alignment horizontal="center"/>
    </xf>
    <xf numFmtId="182" fontId="0" fillId="0" borderId="0" xfId="61" applyNumberFormat="1" applyFont="1"/>
    <xf numFmtId="167" fontId="4" fillId="0" borderId="0" xfId="108" applyNumberFormat="1" applyFont="1" applyFill="1" applyBorder="1"/>
    <xf numFmtId="180" fontId="4" fillId="0" borderId="0" xfId="61" applyNumberFormat="1" applyFont="1" applyFill="1" applyBorder="1" applyAlignment="1">
      <alignment horizontal="center"/>
    </xf>
    <xf numFmtId="173" fontId="9" fillId="0" borderId="45" xfId="5" applyNumberFormat="1" applyFont="1" applyBorder="1" applyAlignment="1">
      <alignment horizontal="right"/>
    </xf>
    <xf numFmtId="174" fontId="9" fillId="0" borderId="45" xfId="5" applyNumberFormat="1" applyFont="1" applyBorder="1" applyAlignment="1">
      <alignment horizontal="right"/>
    </xf>
    <xf numFmtId="167" fontId="4" fillId="26" borderId="29" xfId="5" applyNumberFormat="1" applyFont="1" applyFill="1" applyBorder="1" applyAlignment="1">
      <alignment horizontal="right"/>
    </xf>
    <xf numFmtId="169" fontId="1" fillId="0" borderId="0" xfId="5" applyNumberFormat="1" applyFont="1" applyAlignment="1">
      <alignment horizontal="right"/>
    </xf>
    <xf numFmtId="180" fontId="32" fillId="26" borderId="36" xfId="61" applyNumberFormat="1" applyFont="1" applyFill="1" applyBorder="1" applyAlignment="1">
      <alignment horizontal="right"/>
    </xf>
    <xf numFmtId="6" fontId="1" fillId="26" borderId="35" xfId="70" applyNumberFormat="1" applyFont="1" applyFill="1" applyBorder="1"/>
    <xf numFmtId="6" fontId="1" fillId="26" borderId="0" xfId="70" applyNumberFormat="1" applyFont="1" applyFill="1" applyBorder="1"/>
    <xf numFmtId="6" fontId="1" fillId="26" borderId="36" xfId="70" applyNumberFormat="1" applyFont="1" applyFill="1" applyBorder="1"/>
    <xf numFmtId="37" fontId="1" fillId="0" borderId="0" xfId="5" applyNumberFormat="1" applyFont="1"/>
    <xf numFmtId="9" fontId="40" fillId="26" borderId="0" xfId="5" applyNumberFormat="1" applyFont="1" applyFill="1" applyBorder="1"/>
    <xf numFmtId="9" fontId="40" fillId="26" borderId="36" xfId="5" applyNumberFormat="1" applyFont="1" applyFill="1" applyBorder="1"/>
    <xf numFmtId="7" fontId="88" fillId="26" borderId="35" xfId="61" applyNumberFormat="1" applyFont="1" applyFill="1" applyBorder="1"/>
    <xf numFmtId="166" fontId="51" fillId="28" borderId="0" xfId="102" applyNumberFormat="1" applyFont="1" applyFill="1" applyAlignment="1">
      <alignment horizontal="center"/>
    </xf>
    <xf numFmtId="166" fontId="52" fillId="28" borderId="0" xfId="102" applyNumberFormat="1" applyFont="1" applyFill="1" applyAlignment="1">
      <alignment horizontal="center"/>
    </xf>
    <xf numFmtId="166" fontId="18" fillId="28" borderId="0" xfId="96" applyNumberFormat="1" applyFont="1" applyFill="1"/>
    <xf numFmtId="166" fontId="13" fillId="28" borderId="0" xfId="96" applyNumberFormat="1" applyFont="1" applyFill="1"/>
    <xf numFmtId="192" fontId="18" fillId="28" borderId="0" xfId="96" applyNumberFormat="1" applyFont="1" applyFill="1" applyAlignment="1">
      <alignment horizontal="left"/>
    </xf>
    <xf numFmtId="164" fontId="37" fillId="0" borderId="11" xfId="102" applyNumberFormat="1" applyFont="1" applyFill="1" applyBorder="1" applyAlignment="1">
      <alignment horizontal="left"/>
    </xf>
    <xf numFmtId="164" fontId="37" fillId="0" borderId="66" xfId="102" applyNumberFormat="1" applyFont="1" applyFill="1" applyBorder="1" applyAlignment="1">
      <alignment horizontal="center"/>
    </xf>
    <xf numFmtId="164" fontId="19" fillId="0" borderId="48" xfId="102" applyNumberFormat="1" applyFont="1" applyFill="1" applyBorder="1" applyAlignment="1">
      <alignment horizontal="center"/>
    </xf>
    <xf numFmtId="164" fontId="5" fillId="0" borderId="0" xfId="102" applyNumberFormat="1" applyFont="1" applyFill="1" applyBorder="1" applyAlignment="1">
      <alignment horizontal="center"/>
    </xf>
    <xf numFmtId="0" fontId="19" fillId="28" borderId="30" xfId="102" applyFont="1" applyFill="1" applyBorder="1" applyAlignment="1">
      <alignment horizontal="center"/>
    </xf>
    <xf numFmtId="0" fontId="82" fillId="0" borderId="0" xfId="102" applyFont="1"/>
    <xf numFmtId="0" fontId="25" fillId="0" borderId="0" xfId="102" applyFont="1" applyFill="1" applyBorder="1" applyAlignment="1">
      <alignment horizontal="center"/>
    </xf>
    <xf numFmtId="9" fontId="55" fillId="0" borderId="0" xfId="102" applyNumberFormat="1" applyFont="1" applyFill="1" applyBorder="1" applyAlignment="1">
      <alignment horizontal="right"/>
    </xf>
    <xf numFmtId="0" fontId="5" fillId="0" borderId="42" xfId="102" applyFont="1" applyBorder="1"/>
    <xf numFmtId="8" fontId="5" fillId="0" borderId="39" xfId="102" applyNumberFormat="1" applyFont="1" applyBorder="1"/>
    <xf numFmtId="4" fontId="4" fillId="0" borderId="0" xfId="96" applyNumberFormat="1" applyFont="1" applyFill="1" applyBorder="1" applyAlignment="1">
      <alignment horizontal="right"/>
    </xf>
    <xf numFmtId="0" fontId="5" fillId="0" borderId="35" xfId="102" applyFont="1" applyBorder="1"/>
    <xf numFmtId="8" fontId="5" fillId="0" borderId="36" xfId="102" applyNumberFormat="1" applyFont="1" applyBorder="1"/>
    <xf numFmtId="8" fontId="4" fillId="0" borderId="38" xfId="102" applyNumberFormat="1" applyFont="1" applyBorder="1"/>
    <xf numFmtId="0" fontId="100" fillId="0" borderId="0" xfId="102" applyFont="1"/>
    <xf numFmtId="4" fontId="5" fillId="0" borderId="0" xfId="96" applyNumberFormat="1" applyFont="1" applyFill="1" applyBorder="1" applyAlignment="1">
      <alignment horizontal="right"/>
    </xf>
    <xf numFmtId="0" fontId="5" fillId="0" borderId="0" xfId="102" applyAlignment="1">
      <alignment horizontal="center"/>
    </xf>
    <xf numFmtId="0" fontId="5" fillId="0" borderId="0" xfId="96" applyFont="1" applyFill="1" applyBorder="1" applyAlignment="1">
      <alignment horizontal="centerContinuous"/>
    </xf>
    <xf numFmtId="0" fontId="5" fillId="0" borderId="42" xfId="96" applyFont="1" applyBorder="1"/>
    <xf numFmtId="8" fontId="41" fillId="0" borderId="13" xfId="96" applyNumberFormat="1" applyFont="1" applyFill="1" applyBorder="1"/>
    <xf numFmtId="0" fontId="5" fillId="0" borderId="39" xfId="96" applyFont="1" applyFill="1" applyBorder="1"/>
    <xf numFmtId="4" fontId="5" fillId="0" borderId="0" xfId="96" applyNumberFormat="1" applyFont="1" applyBorder="1" applyAlignment="1">
      <alignment horizontal="right"/>
    </xf>
    <xf numFmtId="9" fontId="5" fillId="0" borderId="0" xfId="96" applyNumberFormat="1" applyFont="1" applyBorder="1" applyAlignment="1">
      <alignment horizontal="right"/>
    </xf>
    <xf numFmtId="0" fontId="5" fillId="0" borderId="35" xfId="96" applyFont="1" applyBorder="1"/>
    <xf numFmtId="0" fontId="5" fillId="0" borderId="36" xfId="96" applyFont="1" applyFill="1" applyBorder="1"/>
    <xf numFmtId="4" fontId="5" fillId="0" borderId="49" xfId="96" applyNumberFormat="1" applyFont="1" applyBorder="1" applyAlignment="1">
      <alignment horizontal="right"/>
    </xf>
    <xf numFmtId="0" fontId="5" fillId="0" borderId="26" xfId="96" applyFont="1" applyBorder="1"/>
    <xf numFmtId="180" fontId="5" fillId="0" borderId="14" xfId="96" applyNumberFormat="1" applyFont="1" applyFill="1" applyBorder="1"/>
    <xf numFmtId="0" fontId="5" fillId="0" borderId="38" xfId="96" applyFont="1" applyFill="1" applyBorder="1"/>
    <xf numFmtId="0" fontId="1" fillId="0" borderId="0" xfId="102" applyFont="1" applyFill="1" applyBorder="1" applyAlignment="1">
      <alignment horizontal="center"/>
    </xf>
    <xf numFmtId="0" fontId="9" fillId="28" borderId="0" xfId="102" applyFont="1" applyFill="1" applyBorder="1" applyAlignment="1">
      <alignment horizontal="center"/>
    </xf>
    <xf numFmtId="4" fontId="5" fillId="0" borderId="0" xfId="96" applyNumberFormat="1" applyFont="1" applyFill="1" applyBorder="1" applyAlignment="1">
      <alignment horizontal="centerContinuous"/>
    </xf>
    <xf numFmtId="3" fontId="5" fillId="0" borderId="0" xfId="102" applyNumberFormat="1" applyFont="1"/>
    <xf numFmtId="0" fontId="104" fillId="28" borderId="0" xfId="102" applyFont="1" applyFill="1" applyBorder="1" applyAlignment="1">
      <alignment horizontal="center"/>
    </xf>
    <xf numFmtId="0" fontId="5" fillId="0" borderId="0" xfId="102" applyFont="1"/>
    <xf numFmtId="7" fontId="41" fillId="0" borderId="0" xfId="102" applyNumberFormat="1" applyFont="1"/>
    <xf numFmtId="0" fontId="4" fillId="0" borderId="0" xfId="102" applyFont="1" applyFill="1" applyBorder="1" applyAlignment="1">
      <alignment horizontal="center"/>
    </xf>
    <xf numFmtId="7" fontId="5" fillId="0" borderId="0" xfId="102" applyNumberFormat="1" applyFont="1"/>
    <xf numFmtId="7" fontId="4" fillId="0" borderId="0" xfId="102" applyNumberFormat="1" applyFont="1"/>
    <xf numFmtId="0" fontId="4" fillId="0" borderId="0" xfId="102" applyFont="1" applyAlignment="1">
      <alignment horizontal="right"/>
    </xf>
    <xf numFmtId="180" fontId="5" fillId="0" borderId="0" xfId="102" applyNumberFormat="1" applyFont="1"/>
    <xf numFmtId="3" fontId="5" fillId="0" borderId="0" xfId="96" applyNumberFormat="1" applyFont="1" applyFill="1" applyBorder="1" applyAlignment="1">
      <alignment horizontal="right"/>
    </xf>
    <xf numFmtId="0" fontId="5" fillId="0" borderId="0" xfId="96" applyNumberFormat="1" applyFont="1" applyFill="1" applyBorder="1" applyAlignment="1"/>
    <xf numFmtId="0" fontId="5" fillId="0" borderId="0" xfId="96" applyNumberFormat="1" applyFont="1" applyFill="1" applyBorder="1" applyAlignment="1">
      <alignment horizontal="left"/>
    </xf>
    <xf numFmtId="0" fontId="5" fillId="0" borderId="0" xfId="96" applyNumberFormat="1" applyFont="1" applyFill="1" applyBorder="1" applyAlignment="1">
      <alignment horizontal="center"/>
    </xf>
    <xf numFmtId="0" fontId="5" fillId="28" borderId="51" xfId="102" applyFill="1" applyBorder="1" applyAlignment="1">
      <alignment horizontal="center"/>
    </xf>
    <xf numFmtId="0" fontId="19" fillId="28" borderId="67" xfId="102" applyFont="1" applyFill="1" applyBorder="1" applyAlignment="1">
      <alignment horizontal="center"/>
    </xf>
    <xf numFmtId="0" fontId="1" fillId="0" borderId="0" xfId="96" applyFont="1" applyFill="1"/>
    <xf numFmtId="3" fontId="1" fillId="26" borderId="35" xfId="0" applyNumberFormat="1" applyFont="1" applyFill="1" applyBorder="1" applyAlignment="1">
      <alignment horizontal="right"/>
    </xf>
    <xf numFmtId="3" fontId="1" fillId="26" borderId="0" xfId="0" applyNumberFormat="1" applyFont="1" applyFill="1" applyBorder="1" applyAlignment="1">
      <alignment horizontal="right"/>
    </xf>
    <xf numFmtId="3" fontId="1" fillId="26" borderId="36" xfId="0" applyNumberFormat="1" applyFont="1" applyFill="1" applyBorder="1" applyAlignment="1">
      <alignment horizontal="right"/>
    </xf>
    <xf numFmtId="0" fontId="1" fillId="0" borderId="0" xfId="96" applyFont="1" applyFill="1" applyBorder="1"/>
    <xf numFmtId="0" fontId="5" fillId="0" borderId="0" xfId="96" applyFont="1" applyFill="1"/>
    <xf numFmtId="4" fontId="1" fillId="26" borderId="35" xfId="0" applyNumberFormat="1" applyFont="1" applyFill="1" applyBorder="1" applyAlignment="1">
      <alignment horizontal="right"/>
    </xf>
    <xf numFmtId="166" fontId="8" fillId="0" borderId="0" xfId="96" applyNumberFormat="1" applyFont="1" applyFill="1"/>
    <xf numFmtId="166" fontId="57" fillId="0" borderId="0" xfId="96" applyNumberFormat="1" applyFont="1" applyFill="1"/>
    <xf numFmtId="0" fontId="5" fillId="0" borderId="58" xfId="96" applyNumberFormat="1" applyFont="1" applyFill="1" applyBorder="1" applyAlignment="1"/>
    <xf numFmtId="166" fontId="18" fillId="0" borderId="0" xfId="96" applyNumberFormat="1" applyFont="1" applyFill="1"/>
    <xf numFmtId="0" fontId="5" fillId="28" borderId="60" xfId="102" applyFill="1" applyBorder="1" applyAlignment="1">
      <alignment horizontal="center"/>
    </xf>
    <xf numFmtId="0" fontId="5" fillId="0" borderId="0" xfId="96" applyFont="1"/>
    <xf numFmtId="0" fontId="5" fillId="0" borderId="0" xfId="96" applyFont="1" applyAlignment="1">
      <alignment horizontal="center"/>
    </xf>
    <xf numFmtId="0" fontId="5" fillId="0" borderId="0" xfId="96" applyFont="1" applyAlignment="1">
      <alignment horizontal="right"/>
    </xf>
    <xf numFmtId="9" fontId="40" fillId="26" borderId="35" xfId="5" applyNumberFormat="1" applyFont="1" applyFill="1" applyBorder="1"/>
    <xf numFmtId="180" fontId="39" fillId="26" borderId="36" xfId="61" applyNumberFormat="1" applyFont="1" applyFill="1" applyBorder="1"/>
    <xf numFmtId="7" fontId="41" fillId="0" borderId="0" xfId="5" applyNumberFormat="1" applyFont="1" applyFill="1" applyBorder="1" applyAlignment="1">
      <alignment horizontal="center"/>
    </xf>
    <xf numFmtId="0" fontId="5" fillId="0" borderId="35" xfId="102" applyBorder="1"/>
    <xf numFmtId="0" fontId="5" fillId="0" borderId="36" xfId="102" applyBorder="1"/>
    <xf numFmtId="0" fontId="5" fillId="0" borderId="28" xfId="102" applyFont="1" applyBorder="1"/>
    <xf numFmtId="0" fontId="5" fillId="0" borderId="29" xfId="102" applyBorder="1"/>
    <xf numFmtId="6" fontId="5" fillId="0" borderId="29" xfId="70" applyNumberFormat="1" applyFont="1" applyBorder="1"/>
    <xf numFmtId="0" fontId="5" fillId="0" borderId="30" xfId="102" applyFont="1" applyBorder="1"/>
    <xf numFmtId="6" fontId="40" fillId="0" borderId="0" xfId="5" applyNumberFormat="1" applyFont="1" applyFill="1" applyBorder="1"/>
    <xf numFmtId="8" fontId="58" fillId="0" borderId="0" xfId="5" applyNumberFormat="1" applyFont="1" applyFill="1" applyBorder="1" applyAlignment="1">
      <alignment horizontal="right"/>
    </xf>
    <xf numFmtId="5" fontId="1" fillId="26" borderId="35" xfId="5" applyNumberFormat="1" applyFont="1" applyFill="1" applyBorder="1"/>
    <xf numFmtId="5" fontId="1" fillId="26" borderId="0" xfId="5" applyNumberFormat="1" applyFont="1" applyFill="1" applyBorder="1"/>
    <xf numFmtId="5" fontId="1" fillId="26" borderId="36" xfId="5" applyNumberFormat="1" applyFont="1" applyFill="1" applyBorder="1"/>
    <xf numFmtId="10" fontId="1" fillId="0" borderId="0" xfId="61" applyNumberFormat="1" applyFont="1" applyFill="1" applyBorder="1"/>
    <xf numFmtId="43" fontId="0" fillId="0" borderId="0" xfId="0" applyNumberFormat="1"/>
    <xf numFmtId="180" fontId="111" fillId="26" borderId="0" xfId="61" applyNumberFormat="1" applyFont="1" applyFill="1" applyBorder="1"/>
    <xf numFmtId="181" fontId="112" fillId="0" borderId="0" xfId="5" applyNumberFormat="1" applyFont="1" applyFill="1"/>
    <xf numFmtId="7" fontId="88" fillId="0" borderId="0" xfId="5" applyNumberFormat="1" applyFont="1" applyAlignment="1">
      <alignment horizontal="right"/>
    </xf>
    <xf numFmtId="0" fontId="88" fillId="0" borderId="0" xfId="5" applyFont="1" applyAlignment="1">
      <alignment horizontal="right"/>
    </xf>
    <xf numFmtId="0" fontId="5" fillId="0" borderId="0" xfId="0" applyFont="1"/>
    <xf numFmtId="8" fontId="38" fillId="26" borderId="35" xfId="5" applyNumberFormat="1" applyFont="1" applyFill="1" applyBorder="1"/>
    <xf numFmtId="7" fontId="38" fillId="26" borderId="0" xfId="5" applyNumberFormat="1" applyFont="1" applyFill="1" applyBorder="1"/>
    <xf numFmtId="7" fontId="38" fillId="26" borderId="36" xfId="5" applyNumberFormat="1" applyFont="1" applyFill="1" applyBorder="1"/>
    <xf numFmtId="3" fontId="12" fillId="26" borderId="35" xfId="5" applyNumberFormat="1" applyFont="1" applyFill="1" applyBorder="1"/>
    <xf numFmtId="3" fontId="12" fillId="26" borderId="0" xfId="5" applyNumberFormat="1" applyFont="1" applyFill="1" applyBorder="1"/>
    <xf numFmtId="3" fontId="12" fillId="26" borderId="36" xfId="5" applyNumberFormat="1" applyFont="1" applyFill="1" applyBorder="1"/>
    <xf numFmtId="167" fontId="40" fillId="26" borderId="35" xfId="108" applyNumberFormat="1" applyFont="1" applyFill="1" applyBorder="1"/>
    <xf numFmtId="167" fontId="40" fillId="26" borderId="0" xfId="108" applyNumberFormat="1" applyFont="1" applyFill="1" applyBorder="1"/>
    <xf numFmtId="167" fontId="40" fillId="26" borderId="36" xfId="108" applyNumberFormat="1" applyFont="1" applyFill="1" applyBorder="1"/>
    <xf numFmtId="3" fontId="40" fillId="0" borderId="0" xfId="5" applyNumberFormat="1" applyFont="1" applyFill="1" applyBorder="1"/>
    <xf numFmtId="180" fontId="12" fillId="26" borderId="35" xfId="61" applyNumberFormat="1" applyFont="1" applyFill="1" applyBorder="1"/>
    <xf numFmtId="180" fontId="12" fillId="26" borderId="0" xfId="61" applyNumberFormat="1" applyFont="1" applyFill="1" applyBorder="1"/>
    <xf numFmtId="180" fontId="12" fillId="26" borderId="36" xfId="61" applyNumberFormat="1" applyFont="1" applyFill="1" applyBorder="1"/>
    <xf numFmtId="190" fontId="4" fillId="0" borderId="0" xfId="72" applyNumberFormat="1" applyFont="1" applyFill="1" applyBorder="1"/>
    <xf numFmtId="190" fontId="4" fillId="26" borderId="0" xfId="72" applyNumberFormat="1" applyFont="1" applyFill="1" applyBorder="1"/>
    <xf numFmtId="190" fontId="4" fillId="26" borderId="36" xfId="72" applyNumberFormat="1" applyFont="1" applyFill="1" applyBorder="1"/>
    <xf numFmtId="180" fontId="87" fillId="26" borderId="36" xfId="61" applyNumberFormat="1" applyFont="1" applyFill="1" applyBorder="1"/>
    <xf numFmtId="167" fontId="40" fillId="0" borderId="0" xfId="5" applyNumberFormat="1" applyFont="1" applyFill="1" applyBorder="1"/>
    <xf numFmtId="167" fontId="40" fillId="26" borderId="0" xfId="5" applyNumberFormat="1" applyFont="1" applyFill="1" applyBorder="1"/>
    <xf numFmtId="167" fontId="40" fillId="26" borderId="36" xfId="5" applyNumberFormat="1" applyFont="1" applyFill="1" applyBorder="1"/>
    <xf numFmtId="167" fontId="40" fillId="0" borderId="0" xfId="108" applyNumberFormat="1" applyFont="1" applyFill="1" applyBorder="1"/>
    <xf numFmtId="180" fontId="40" fillId="26" borderId="35" xfId="5" applyNumberFormat="1" applyFont="1" applyFill="1" applyBorder="1"/>
    <xf numFmtId="180" fontId="12" fillId="26" borderId="0" xfId="5" applyNumberFormat="1" applyFont="1" applyFill="1" applyBorder="1"/>
    <xf numFmtId="180" fontId="12" fillId="26" borderId="36" xfId="5" applyNumberFormat="1" applyFont="1" applyFill="1" applyBorder="1"/>
    <xf numFmtId="1" fontId="38" fillId="0" borderId="0" xfId="63" applyNumberFormat="1" applyFont="1" applyFill="1" applyBorder="1" applyAlignment="1">
      <alignment horizontal="center"/>
    </xf>
    <xf numFmtId="38" fontId="38" fillId="0" borderId="0" xfId="63" applyNumberFormat="1" applyFont="1" applyFill="1" applyBorder="1" applyAlignment="1">
      <alignment horizontal="center"/>
    </xf>
    <xf numFmtId="0" fontId="5" fillId="0" borderId="0" xfId="6" applyFont="1" applyFill="1" applyBorder="1" applyAlignment="1">
      <alignment horizontal="centerContinuous"/>
    </xf>
    <xf numFmtId="3" fontId="5" fillId="0" borderId="0" xfId="102" applyNumberFormat="1" applyFont="1" applyFill="1" applyBorder="1" applyAlignment="1">
      <alignment horizontal="right"/>
    </xf>
    <xf numFmtId="4" fontId="5" fillId="0" borderId="0" xfId="102" applyNumberFormat="1" applyFont="1" applyFill="1" applyBorder="1" applyAlignment="1">
      <alignment horizontal="right"/>
    </xf>
    <xf numFmtId="0" fontId="12" fillId="0" borderId="0" xfId="102" applyFont="1" applyFill="1" applyBorder="1" applyAlignment="1">
      <alignment horizontal="centerContinuous"/>
    </xf>
    <xf numFmtId="14" fontId="57" fillId="28" borderId="0" xfId="5" applyNumberFormat="1" applyFont="1" applyFill="1" applyAlignment="1">
      <alignment horizontal="left"/>
    </xf>
    <xf numFmtId="0" fontId="114" fillId="0" borderId="0" xfId="5" applyFont="1" applyFill="1"/>
    <xf numFmtId="0" fontId="115" fillId="0" borderId="0" xfId="5" applyFont="1" applyFill="1"/>
    <xf numFmtId="0" fontId="114" fillId="0" borderId="0" xfId="0" applyFont="1" applyFill="1"/>
    <xf numFmtId="8" fontId="113" fillId="0" borderId="44" xfId="61" applyNumberFormat="1" applyFont="1" applyFill="1" applyBorder="1"/>
    <xf numFmtId="6" fontId="114" fillId="0" borderId="35" xfId="70" applyNumberFormat="1" applyFont="1" applyFill="1" applyBorder="1"/>
    <xf numFmtId="6" fontId="0" fillId="0" borderId="35" xfId="70" applyNumberFormat="1" applyFont="1" applyFill="1" applyBorder="1"/>
    <xf numFmtId="5" fontId="0" fillId="0" borderId="35" xfId="5" applyNumberFormat="1" applyFont="1" applyFill="1" applyBorder="1"/>
    <xf numFmtId="6" fontId="5" fillId="0" borderId="35" xfId="61" applyNumberFormat="1" applyFont="1" applyFill="1" applyBorder="1"/>
    <xf numFmtId="5" fontId="4" fillId="0" borderId="35" xfId="5" applyNumberFormat="1" applyFont="1" applyFill="1" applyBorder="1"/>
    <xf numFmtId="9" fontId="89" fillId="0" borderId="0" xfId="61" applyNumberFormat="1" applyFont="1"/>
    <xf numFmtId="167" fontId="38" fillId="0" borderId="0" xfId="108" applyNumberFormat="1" applyFont="1" applyFill="1" applyBorder="1" applyAlignment="1">
      <alignment horizontal="center"/>
    </xf>
    <xf numFmtId="38" fontId="38" fillId="0" borderId="35" xfId="63" applyNumberFormat="1" applyFont="1" applyFill="1" applyBorder="1" applyAlignment="1">
      <alignment horizontal="center"/>
    </xf>
    <xf numFmtId="43" fontId="40" fillId="26" borderId="35" xfId="61" applyFont="1" applyFill="1" applyBorder="1"/>
    <xf numFmtId="43" fontId="40" fillId="26" borderId="0" xfId="61" applyFont="1" applyFill="1" applyBorder="1"/>
    <xf numFmtId="43" fontId="40" fillId="26" borderId="36" xfId="61" applyFont="1" applyFill="1" applyBorder="1"/>
    <xf numFmtId="10" fontId="0" fillId="0" borderId="0" xfId="108" applyNumberFormat="1" applyFont="1"/>
    <xf numFmtId="168" fontId="116" fillId="0" borderId="0" xfId="102" applyNumberFormat="1" applyFont="1" applyFill="1" applyBorder="1" applyAlignment="1">
      <alignment horizontal="center"/>
    </xf>
    <xf numFmtId="0" fontId="116" fillId="0" borderId="0" xfId="102" applyFont="1" applyFill="1" applyBorder="1"/>
    <xf numFmtId="0" fontId="9" fillId="0" borderId="0" xfId="102" applyFont="1" applyFill="1" applyBorder="1"/>
    <xf numFmtId="0" fontId="3" fillId="28" borderId="0" xfId="102" applyFont="1" applyFill="1" applyBorder="1"/>
    <xf numFmtId="0" fontId="12" fillId="28" borderId="0" xfId="102" applyFont="1" applyFill="1" applyBorder="1"/>
    <xf numFmtId="0" fontId="12" fillId="28" borderId="0" xfId="102" applyFont="1" applyFill="1" applyBorder="1" applyAlignment="1">
      <alignment horizontal="center"/>
    </xf>
    <xf numFmtId="0" fontId="116" fillId="0" borderId="0" xfId="102" applyFont="1" applyFill="1" applyBorder="1" applyAlignment="1">
      <alignment horizontal="center"/>
    </xf>
    <xf numFmtId="0" fontId="3" fillId="28" borderId="28" xfId="102" applyFont="1" applyFill="1" applyBorder="1"/>
    <xf numFmtId="0" fontId="116" fillId="28" borderId="0" xfId="102" applyFont="1" applyFill="1" applyBorder="1"/>
    <xf numFmtId="0" fontId="39" fillId="26" borderId="35" xfId="102" applyFont="1" applyFill="1" applyBorder="1" applyAlignment="1">
      <alignment horizontal="centerContinuous"/>
    </xf>
    <xf numFmtId="0" fontId="39" fillId="26" borderId="36" xfId="102" applyFont="1" applyFill="1" applyBorder="1" applyAlignment="1">
      <alignment horizontal="centerContinuous"/>
    </xf>
    <xf numFmtId="0" fontId="39" fillId="26" borderId="0" xfId="102" applyFont="1" applyFill="1" applyBorder="1" applyAlignment="1">
      <alignment horizontal="centerContinuous"/>
    </xf>
    <xf numFmtId="4" fontId="39" fillId="26" borderId="0" xfId="102" applyNumberFormat="1" applyFont="1" applyFill="1" applyBorder="1" applyAlignment="1">
      <alignment horizontal="right"/>
    </xf>
    <xf numFmtId="4" fontId="39" fillId="26" borderId="36" xfId="102" applyNumberFormat="1" applyFont="1" applyFill="1" applyBorder="1" applyAlignment="1">
      <alignment horizontal="right"/>
    </xf>
    <xf numFmtId="3" fontId="39" fillId="26" borderId="0" xfId="102" applyNumberFormat="1" applyFont="1" applyFill="1" applyBorder="1" applyAlignment="1">
      <alignment horizontal="right"/>
    </xf>
    <xf numFmtId="3" fontId="39" fillId="26" borderId="36" xfId="102" applyNumberFormat="1" applyFont="1" applyFill="1" applyBorder="1" applyAlignment="1">
      <alignment horizontal="right"/>
    </xf>
    <xf numFmtId="3" fontId="5" fillId="26" borderId="0" xfId="102" applyNumberFormat="1" applyFont="1" applyFill="1" applyBorder="1" applyAlignment="1">
      <alignment horizontal="right"/>
    </xf>
    <xf numFmtId="3" fontId="60" fillId="26" borderId="0" xfId="102" applyNumberFormat="1" applyFont="1" applyFill="1" applyBorder="1" applyAlignment="1">
      <alignment horizontal="right"/>
    </xf>
    <xf numFmtId="3" fontId="60" fillId="26" borderId="36" xfId="102" applyNumberFormat="1" applyFont="1" applyFill="1" applyBorder="1" applyAlignment="1">
      <alignment horizontal="right"/>
    </xf>
    <xf numFmtId="4" fontId="5" fillId="26" borderId="35" xfId="102" applyNumberFormat="1" applyFont="1" applyFill="1" applyBorder="1" applyAlignment="1">
      <alignment horizontal="right"/>
    </xf>
    <xf numFmtId="4" fontId="5" fillId="26" borderId="0" xfId="102" applyNumberFormat="1" applyFont="1" applyFill="1" applyBorder="1" applyAlignment="1">
      <alignment horizontal="right"/>
    </xf>
    <xf numFmtId="4" fontId="5" fillId="26" borderId="36" xfId="102" applyNumberFormat="1" applyFont="1" applyFill="1" applyBorder="1" applyAlignment="1">
      <alignment horizontal="right"/>
    </xf>
    <xf numFmtId="0" fontId="4" fillId="26" borderId="35" xfId="102" applyFont="1" applyFill="1" applyBorder="1" applyAlignment="1">
      <alignment horizontal="centerContinuous"/>
    </xf>
    <xf numFmtId="0" fontId="5" fillId="26" borderId="0" xfId="102" applyFont="1" applyFill="1" applyBorder="1" applyAlignment="1">
      <alignment horizontal="centerContinuous"/>
    </xf>
    <xf numFmtId="0" fontId="5" fillId="26" borderId="36" xfId="102" applyFont="1" applyFill="1" applyBorder="1" applyAlignment="1">
      <alignment horizontal="centerContinuous"/>
    </xf>
    <xf numFmtId="2" fontId="5" fillId="26" borderId="35" xfId="102" applyNumberFormat="1" applyFont="1" applyFill="1" applyBorder="1" applyAlignment="1">
      <alignment horizontal="right"/>
    </xf>
    <xf numFmtId="2" fontId="5" fillId="26" borderId="0" xfId="102" applyNumberFormat="1" applyFont="1" applyFill="1" applyBorder="1" applyAlignment="1">
      <alignment horizontal="right"/>
    </xf>
    <xf numFmtId="2" fontId="5" fillId="26" borderId="36" xfId="102" applyNumberFormat="1" applyFont="1" applyFill="1" applyBorder="1" applyAlignment="1">
      <alignment horizontal="right"/>
    </xf>
    <xf numFmtId="3" fontId="5" fillId="26" borderId="35" xfId="102" applyNumberFormat="1" applyFont="1" applyFill="1" applyBorder="1" applyAlignment="1">
      <alignment horizontal="right"/>
    </xf>
    <xf numFmtId="3" fontId="5" fillId="26" borderId="36" xfId="102" applyNumberFormat="1" applyFont="1" applyFill="1" applyBorder="1" applyAlignment="1">
      <alignment horizontal="right"/>
    </xf>
    <xf numFmtId="0" fontId="4" fillId="0" borderId="0" xfId="103" applyFont="1"/>
    <xf numFmtId="180" fontId="40" fillId="0" borderId="0" xfId="64" applyNumberFormat="1" applyFont="1"/>
    <xf numFmtId="8" fontId="5" fillId="0" borderId="0" xfId="103" applyNumberFormat="1"/>
    <xf numFmtId="0" fontId="0" fillId="0" borderId="0" xfId="97" applyFont="1" applyFill="1" applyBorder="1"/>
    <xf numFmtId="6" fontId="40" fillId="0" borderId="0" xfId="5" applyNumberFormat="1" applyFont="1" applyFill="1" applyBorder="1" applyAlignment="1">
      <alignment horizontal="center"/>
    </xf>
    <xf numFmtId="0" fontId="40" fillId="26" borderId="0" xfId="100" applyFont="1" applyFill="1" applyBorder="1" applyAlignment="1">
      <alignment horizontal="centerContinuous"/>
    </xf>
    <xf numFmtId="0" fontId="39" fillId="26" borderId="35" xfId="100" applyFont="1" applyFill="1" applyBorder="1" applyAlignment="1">
      <alignment horizontal="centerContinuous"/>
    </xf>
    <xf numFmtId="0" fontId="40" fillId="26" borderId="36" xfId="100" applyFont="1" applyFill="1" applyBorder="1" applyAlignment="1">
      <alignment horizontal="centerContinuous"/>
    </xf>
    <xf numFmtId="3" fontId="119" fillId="26" borderId="0" xfId="100" applyNumberFormat="1" applyFont="1" applyFill="1" applyBorder="1" applyAlignment="1">
      <alignment horizontal="right"/>
    </xf>
    <xf numFmtId="3" fontId="40" fillId="26" borderId="0" xfId="100" applyNumberFormat="1" applyFont="1" applyFill="1" applyBorder="1" applyAlignment="1">
      <alignment horizontal="right"/>
    </xf>
    <xf numFmtId="3" fontId="40" fillId="26" borderId="35" xfId="100" applyNumberFormat="1" applyFont="1" applyFill="1" applyBorder="1" applyAlignment="1">
      <alignment horizontal="right"/>
    </xf>
    <xf numFmtId="3" fontId="40" fillId="26" borderId="36" xfId="100" applyNumberFormat="1" applyFont="1" applyFill="1" applyBorder="1" applyAlignment="1">
      <alignment horizontal="right"/>
    </xf>
    <xf numFmtId="3" fontId="119" fillId="26" borderId="35" xfId="100" applyNumberFormat="1" applyFont="1" applyFill="1" applyBorder="1" applyAlignment="1">
      <alignment horizontal="right"/>
    </xf>
    <xf numFmtId="3" fontId="119" fillId="26" borderId="36" xfId="100" applyNumberFormat="1" applyFont="1" applyFill="1" applyBorder="1" applyAlignment="1">
      <alignment horizontal="right"/>
    </xf>
    <xf numFmtId="0" fontId="4" fillId="26" borderId="35" xfId="100" applyFont="1" applyFill="1" applyBorder="1" applyAlignment="1">
      <alignment horizontal="centerContinuous"/>
    </xf>
    <xf numFmtId="0" fontId="119" fillId="26" borderId="0" xfId="100" applyFont="1" applyFill="1" applyBorder="1" applyAlignment="1">
      <alignment horizontal="centerContinuous"/>
    </xf>
    <xf numFmtId="0" fontId="119" fillId="26" borderId="36" xfId="100" applyFont="1" applyFill="1" applyBorder="1" applyAlignment="1">
      <alignment horizontal="centerContinuous"/>
    </xf>
    <xf numFmtId="0" fontId="119" fillId="0" borderId="0" xfId="102" applyFont="1" applyFill="1" applyBorder="1"/>
    <xf numFmtId="168" fontId="119" fillId="0" borderId="0" xfId="102" applyNumberFormat="1" applyFont="1" applyFill="1" applyBorder="1" applyAlignment="1">
      <alignment horizontal="center"/>
    </xf>
    <xf numFmtId="0" fontId="119" fillId="0" borderId="0" xfId="102" applyFont="1" applyFill="1" applyBorder="1" applyAlignment="1">
      <alignment horizontal="center"/>
    </xf>
    <xf numFmtId="0" fontId="119" fillId="28" borderId="0" xfId="102" applyFont="1" applyFill="1" applyBorder="1"/>
    <xf numFmtId="3" fontId="38" fillId="26" borderId="35" xfId="100" applyNumberFormat="1" applyFont="1" applyFill="1" applyBorder="1" applyAlignment="1">
      <alignment horizontal="right"/>
    </xf>
    <xf numFmtId="3" fontId="38" fillId="26" borderId="0" xfId="100" applyNumberFormat="1" applyFont="1" applyFill="1" applyBorder="1" applyAlignment="1">
      <alignment horizontal="right"/>
    </xf>
    <xf numFmtId="3" fontId="38" fillId="26" borderId="36" xfId="100" applyNumberFormat="1" applyFont="1" applyFill="1" applyBorder="1" applyAlignment="1">
      <alignment horizontal="right"/>
    </xf>
    <xf numFmtId="3" fontId="5" fillId="26" borderId="36" xfId="99" applyNumberFormat="1" applyFont="1" applyFill="1" applyBorder="1" applyAlignment="1">
      <alignment horizontal="right"/>
    </xf>
    <xf numFmtId="3" fontId="5" fillId="26" borderId="0" xfId="99" applyNumberFormat="1" applyFont="1" applyFill="1" applyBorder="1" applyAlignment="1">
      <alignment horizontal="right"/>
    </xf>
    <xf numFmtId="3" fontId="40" fillId="26" borderId="0" xfId="99" applyNumberFormat="1" applyFont="1" applyFill="1" applyBorder="1" applyAlignment="1">
      <alignment horizontal="right"/>
    </xf>
    <xf numFmtId="3" fontId="40" fillId="26" borderId="36" xfId="99" applyNumberFormat="1" applyFont="1" applyFill="1" applyBorder="1" applyAlignment="1">
      <alignment horizontal="right"/>
    </xf>
    <xf numFmtId="3" fontId="38" fillId="26" borderId="0" xfId="99" applyNumberFormat="1" applyFont="1" applyFill="1" applyBorder="1" applyAlignment="1">
      <alignment horizontal="right"/>
    </xf>
    <xf numFmtId="3" fontId="38" fillId="26" borderId="36" xfId="99" applyNumberFormat="1" applyFont="1" applyFill="1" applyBorder="1" applyAlignment="1">
      <alignment horizontal="right"/>
    </xf>
    <xf numFmtId="169" fontId="5" fillId="0" borderId="0" xfId="5" applyNumberFormat="1" applyFont="1" applyAlignment="1">
      <alignment horizontal="right"/>
    </xf>
    <xf numFmtId="0" fontId="26" fillId="0" borderId="0" xfId="86" applyFill="1" applyBorder="1" applyAlignment="1" applyProtection="1"/>
    <xf numFmtId="0" fontId="4" fillId="0" borderId="0" xfId="5" applyFont="1" applyBorder="1"/>
    <xf numFmtId="38" fontId="23" fillId="0" borderId="35" xfId="63" applyNumberFormat="1" applyFont="1" applyBorder="1" applyAlignment="1">
      <alignment horizontal="right"/>
    </xf>
    <xf numFmtId="8" fontId="113" fillId="0" borderId="35" xfId="61" applyNumberFormat="1" applyFont="1" applyFill="1" applyBorder="1"/>
    <xf numFmtId="7" fontId="23" fillId="26" borderId="35" xfId="5" applyNumberFormat="1" applyFont="1" applyFill="1" applyBorder="1"/>
    <xf numFmtId="7" fontId="23" fillId="26" borderId="0" xfId="5" applyNumberFormat="1" applyFont="1" applyFill="1" applyBorder="1"/>
    <xf numFmtId="7" fontId="23" fillId="26" borderId="36" xfId="5" applyNumberFormat="1" applyFont="1" applyFill="1" applyBorder="1"/>
    <xf numFmtId="9" fontId="131" fillId="26" borderId="36" xfId="5" applyNumberFormat="1" applyFont="1" applyFill="1" applyBorder="1"/>
    <xf numFmtId="0" fontId="3" fillId="28" borderId="0" xfId="6" applyFont="1" applyFill="1" applyBorder="1"/>
    <xf numFmtId="0" fontId="0" fillId="26" borderId="35" xfId="6" applyFont="1" applyFill="1" applyBorder="1"/>
    <xf numFmtId="0" fontId="0" fillId="26" borderId="0" xfId="6" applyFont="1" applyFill="1" applyBorder="1"/>
    <xf numFmtId="0" fontId="0" fillId="26" borderId="36" xfId="6" applyFont="1" applyFill="1" applyBorder="1"/>
    <xf numFmtId="43" fontId="0" fillId="0" borderId="0" xfId="6" applyNumberFormat="1" applyFont="1"/>
    <xf numFmtId="180" fontId="0" fillId="26" borderId="35" xfId="64" applyNumberFormat="1" applyFont="1" applyFill="1" applyBorder="1"/>
    <xf numFmtId="180" fontId="0" fillId="26" borderId="0" xfId="64" applyNumberFormat="1" applyFont="1" applyFill="1" applyBorder="1"/>
    <xf numFmtId="180" fontId="0" fillId="26" borderId="36" xfId="64" applyNumberFormat="1" applyFont="1" applyFill="1" applyBorder="1"/>
    <xf numFmtId="180" fontId="5" fillId="0" borderId="0" xfId="64" applyNumberFormat="1" applyFont="1"/>
    <xf numFmtId="0" fontId="4" fillId="0" borderId="0" xfId="6" applyFont="1"/>
    <xf numFmtId="0" fontId="0" fillId="0" borderId="0" xfId="6" applyFont="1" applyFill="1" applyBorder="1"/>
    <xf numFmtId="180" fontId="38" fillId="0" borderId="0" xfId="64" applyNumberFormat="1" applyFont="1"/>
    <xf numFmtId="0" fontId="5" fillId="0" borderId="0" xfId="6" applyFont="1" applyFill="1" applyBorder="1"/>
    <xf numFmtId="180" fontId="5" fillId="0" borderId="0" xfId="64" applyNumberFormat="1" applyFont="1" applyFill="1" applyBorder="1"/>
    <xf numFmtId="180" fontId="40" fillId="26" borderId="35" xfId="64" applyNumberFormat="1" applyFont="1" applyFill="1" applyBorder="1"/>
    <xf numFmtId="180" fontId="40" fillId="26" borderId="0" xfId="64" applyNumberFormat="1" applyFont="1" applyFill="1" applyBorder="1"/>
    <xf numFmtId="180" fontId="40" fillId="26" borderId="36" xfId="64" applyNumberFormat="1" applyFont="1" applyFill="1" applyBorder="1"/>
    <xf numFmtId="9" fontId="5" fillId="26" borderId="35" xfId="6" applyNumberFormat="1" applyFont="1" applyFill="1" applyBorder="1"/>
    <xf numFmtId="9" fontId="5" fillId="26" borderId="0" xfId="6" applyNumberFormat="1" applyFont="1" applyFill="1" applyBorder="1"/>
    <xf numFmtId="9" fontId="5" fillId="26" borderId="36" xfId="6" applyNumberFormat="1" applyFont="1" applyFill="1" applyBorder="1"/>
    <xf numFmtId="9" fontId="40" fillId="0" borderId="0" xfId="6" applyNumberFormat="1" applyFont="1"/>
    <xf numFmtId="180" fontId="5" fillId="26" borderId="35" xfId="64" applyNumberFormat="1" applyFont="1" applyFill="1" applyBorder="1"/>
    <xf numFmtId="180" fontId="5" fillId="26" borderId="0" xfId="64" applyNumberFormat="1" applyFont="1" applyFill="1" applyBorder="1"/>
    <xf numFmtId="180" fontId="5" fillId="26" borderId="36" xfId="64" applyNumberFormat="1" applyFont="1" applyFill="1" applyBorder="1"/>
    <xf numFmtId="190" fontId="5" fillId="26" borderId="35" xfId="6" applyNumberFormat="1" applyFont="1" applyFill="1" applyBorder="1"/>
    <xf numFmtId="190" fontId="5" fillId="26" borderId="0" xfId="6" applyNumberFormat="1" applyFont="1" applyFill="1" applyBorder="1"/>
    <xf numFmtId="190" fontId="5" fillId="26" borderId="36" xfId="6" applyNumberFormat="1" applyFont="1" applyFill="1" applyBorder="1"/>
    <xf numFmtId="190" fontId="40" fillId="0" borderId="0" xfId="6" applyNumberFormat="1" applyFont="1"/>
    <xf numFmtId="190" fontId="4" fillId="26" borderId="35" xfId="6" applyNumberFormat="1" applyFont="1" applyFill="1" applyBorder="1"/>
    <xf numFmtId="190" fontId="4" fillId="26" borderId="0" xfId="6" applyNumberFormat="1" applyFont="1" applyFill="1" applyBorder="1"/>
    <xf numFmtId="190" fontId="4" fillId="26" borderId="36" xfId="6" applyNumberFormat="1" applyFont="1" applyFill="1" applyBorder="1"/>
    <xf numFmtId="190" fontId="4" fillId="0" borderId="0" xfId="6" applyNumberFormat="1" applyFont="1"/>
    <xf numFmtId="180" fontId="0" fillId="0" borderId="0" xfId="6" applyNumberFormat="1" applyFont="1"/>
    <xf numFmtId="0" fontId="5" fillId="0" borderId="0" xfId="6" applyFont="1"/>
    <xf numFmtId="180" fontId="4" fillId="0" borderId="0" xfId="6" applyNumberFormat="1" applyFont="1"/>
    <xf numFmtId="180" fontId="4" fillId="26" borderId="35" xfId="64" applyNumberFormat="1" applyFont="1" applyFill="1" applyBorder="1"/>
    <xf numFmtId="180" fontId="4" fillId="26" borderId="0" xfId="64" applyNumberFormat="1" applyFont="1" applyFill="1" applyBorder="1"/>
    <xf numFmtId="180" fontId="4" fillId="26" borderId="36" xfId="64" applyNumberFormat="1" applyFont="1" applyFill="1" applyBorder="1"/>
    <xf numFmtId="4" fontId="5" fillId="26" borderId="35" xfId="99" applyNumberFormat="1" applyFont="1" applyFill="1" applyBorder="1" applyAlignment="1">
      <alignment horizontal="right"/>
    </xf>
    <xf numFmtId="4" fontId="5" fillId="26" borderId="0" xfId="99" applyNumberFormat="1" applyFont="1" applyFill="1" applyBorder="1" applyAlignment="1">
      <alignment horizontal="right"/>
    </xf>
    <xf numFmtId="4" fontId="5" fillId="26" borderId="36" xfId="99" applyNumberFormat="1" applyFont="1" applyFill="1" applyBorder="1" applyAlignment="1">
      <alignment horizontal="right"/>
    </xf>
    <xf numFmtId="4" fontId="40" fillId="26" borderId="0" xfId="99" applyNumberFormat="1" applyFont="1" applyFill="1" applyBorder="1" applyAlignment="1">
      <alignment horizontal="right"/>
    </xf>
    <xf numFmtId="4" fontId="40" fillId="26" borderId="36" xfId="99" applyNumberFormat="1" applyFont="1" applyFill="1" applyBorder="1" applyAlignment="1">
      <alignment horizontal="right"/>
    </xf>
    <xf numFmtId="0" fontId="40" fillId="26" borderId="0" xfId="99" applyFont="1" applyFill="1" applyBorder="1" applyAlignment="1">
      <alignment horizontal="centerContinuous"/>
    </xf>
    <xf numFmtId="0" fontId="40" fillId="26" borderId="36" xfId="99" applyFont="1" applyFill="1" applyBorder="1" applyAlignment="1">
      <alignment horizontal="centerContinuous"/>
    </xf>
    <xf numFmtId="0" fontId="39" fillId="26" borderId="0" xfId="99" applyFont="1" applyFill="1" applyBorder="1" applyAlignment="1">
      <alignment horizontal="centerContinuous"/>
    </xf>
    <xf numFmtId="0" fontId="39" fillId="26" borderId="36" xfId="99" applyFont="1" applyFill="1" applyBorder="1" applyAlignment="1">
      <alignment horizontal="centerContinuous"/>
    </xf>
    <xf numFmtId="2" fontId="5" fillId="26" borderId="0" xfId="99" applyNumberFormat="1" applyFont="1" applyFill="1" applyBorder="1" applyAlignment="1">
      <alignment horizontal="right"/>
    </xf>
    <xf numFmtId="2" fontId="5" fillId="26" borderId="36" xfId="99" applyNumberFormat="1" applyFont="1" applyFill="1" applyBorder="1" applyAlignment="1">
      <alignment horizontal="right"/>
    </xf>
    <xf numFmtId="2" fontId="40" fillId="26" borderId="0" xfId="99" applyNumberFormat="1" applyFont="1" applyFill="1" applyBorder="1" applyAlignment="1">
      <alignment horizontal="right"/>
    </xf>
    <xf numFmtId="2" fontId="40" fillId="26" borderId="36" xfId="99" applyNumberFormat="1" applyFont="1" applyFill="1" applyBorder="1" applyAlignment="1">
      <alignment horizontal="right"/>
    </xf>
    <xf numFmtId="3" fontId="5" fillId="26" borderId="35" xfId="99" applyNumberFormat="1" applyFont="1" applyFill="1" applyBorder="1" applyAlignment="1">
      <alignment horizontal="right"/>
    </xf>
    <xf numFmtId="0" fontId="5" fillId="26" borderId="0" xfId="99" applyFont="1" applyFill="1" applyBorder="1" applyAlignment="1">
      <alignment horizontal="centerContinuous"/>
    </xf>
    <xf numFmtId="3" fontId="60" fillId="26" borderId="0" xfId="99" applyNumberFormat="1" applyFont="1" applyFill="1" applyBorder="1" applyAlignment="1">
      <alignment horizontal="right"/>
    </xf>
    <xf numFmtId="3" fontId="60" fillId="26" borderId="36" xfId="99" applyNumberFormat="1" applyFont="1" applyFill="1" applyBorder="1" applyAlignment="1">
      <alignment horizontal="right"/>
    </xf>
    <xf numFmtId="9" fontId="132" fillId="26" borderId="35" xfId="5" applyNumberFormat="1" applyFont="1" applyFill="1" applyBorder="1"/>
    <xf numFmtId="7" fontId="132" fillId="26" borderId="35" xfId="5" applyNumberFormat="1" applyFont="1" applyFill="1" applyBorder="1"/>
    <xf numFmtId="180" fontId="132" fillId="26" borderId="35" xfId="61" applyNumberFormat="1" applyFont="1" applyFill="1" applyBorder="1"/>
    <xf numFmtId="180" fontId="132" fillId="26" borderId="0" xfId="61" applyNumberFormat="1" applyFont="1" applyFill="1" applyBorder="1"/>
    <xf numFmtId="180" fontId="132" fillId="26" borderId="36" xfId="61" applyNumberFormat="1" applyFont="1" applyFill="1" applyBorder="1"/>
    <xf numFmtId="5" fontId="132" fillId="26" borderId="35" xfId="5" applyNumberFormat="1" applyFont="1" applyFill="1" applyBorder="1"/>
    <xf numFmtId="5" fontId="132" fillId="26" borderId="0" xfId="5" applyNumberFormat="1" applyFont="1" applyFill="1" applyBorder="1"/>
    <xf numFmtId="5" fontId="132" fillId="26" borderId="36" xfId="5" applyNumberFormat="1" applyFont="1" applyFill="1" applyBorder="1"/>
    <xf numFmtId="9" fontId="23" fillId="26" borderId="35" xfId="5" applyNumberFormat="1" applyFont="1" applyFill="1" applyBorder="1" applyAlignment="1">
      <alignment horizontal="right"/>
    </xf>
    <xf numFmtId="0" fontId="0" fillId="0" borderId="0" xfId="0" applyFill="1"/>
    <xf numFmtId="0" fontId="119" fillId="0" borderId="58" xfId="102" applyFont="1" applyFill="1" applyBorder="1"/>
    <xf numFmtId="0" fontId="3" fillId="28" borderId="58" xfId="102" applyFont="1" applyFill="1" applyBorder="1"/>
    <xf numFmtId="0" fontId="5" fillId="0" borderId="58" xfId="102" applyFont="1" applyFill="1" applyBorder="1"/>
    <xf numFmtId="0" fontId="3" fillId="28" borderId="68" xfId="102" applyFont="1" applyFill="1" applyBorder="1"/>
    <xf numFmtId="0" fontId="9" fillId="0" borderId="58" xfId="102" applyFont="1" applyFill="1" applyBorder="1" applyAlignment="1">
      <alignment horizontal="left"/>
    </xf>
    <xf numFmtId="172" fontId="5" fillId="0" borderId="0" xfId="5" applyNumberFormat="1" applyFont="1" applyFill="1"/>
    <xf numFmtId="8" fontId="37" fillId="0" borderId="0" xfId="61" applyNumberFormat="1" applyFont="1" applyFill="1" applyBorder="1"/>
    <xf numFmtId="8" fontId="120" fillId="0" borderId="0" xfId="61" applyNumberFormat="1" applyFont="1" applyFill="1" applyBorder="1"/>
    <xf numFmtId="0" fontId="5" fillId="0" borderId="0" xfId="103"/>
    <xf numFmtId="0" fontId="50" fillId="0" borderId="0" xfId="103" applyFont="1"/>
    <xf numFmtId="4" fontId="5" fillId="0" borderId="0" xfId="103" applyNumberFormat="1" applyFill="1"/>
    <xf numFmtId="0" fontId="5" fillId="0" borderId="0" xfId="103" applyFont="1" applyFill="1" applyAlignment="1">
      <alignment horizontal="left"/>
    </xf>
    <xf numFmtId="9" fontId="114" fillId="0" borderId="0" xfId="109" applyFont="1"/>
    <xf numFmtId="9" fontId="5" fillId="0" borderId="0" xfId="109" applyFont="1"/>
    <xf numFmtId="7" fontId="40" fillId="0" borderId="0" xfId="103" applyNumberFormat="1" applyFont="1"/>
    <xf numFmtId="0" fontId="82" fillId="0" borderId="0" xfId="103" applyFont="1"/>
    <xf numFmtId="0" fontId="12" fillId="0" borderId="0" xfId="103" applyFont="1"/>
    <xf numFmtId="0" fontId="82" fillId="0" borderId="0" xfId="102" applyFont="1" applyFill="1"/>
    <xf numFmtId="4" fontId="133" fillId="26" borderId="0" xfId="102" applyNumberFormat="1" applyFont="1" applyFill="1" applyBorder="1" applyAlignment="1">
      <alignment horizontal="right"/>
    </xf>
    <xf numFmtId="4" fontId="133" fillId="26" borderId="36" xfId="102" applyNumberFormat="1" applyFont="1" applyFill="1" applyBorder="1" applyAlignment="1">
      <alignment horizontal="right"/>
    </xf>
    <xf numFmtId="0" fontId="121" fillId="0" borderId="0" xfId="5" applyFont="1" applyFill="1" applyBorder="1"/>
    <xf numFmtId="181" fontId="5" fillId="0" borderId="0" xfId="5" applyNumberFormat="1" applyFont="1" applyFill="1"/>
    <xf numFmtId="2" fontId="23" fillId="26" borderId="35" xfId="5" applyNumberFormat="1" applyFont="1" applyFill="1" applyBorder="1"/>
    <xf numFmtId="5" fontId="132" fillId="0" borderId="0" xfId="5" applyNumberFormat="1" applyFont="1" applyFill="1" applyBorder="1"/>
    <xf numFmtId="0" fontId="122" fillId="0" borderId="0" xfId="5" applyFont="1" applyFill="1" applyBorder="1"/>
    <xf numFmtId="9" fontId="132" fillId="26" borderId="0" xfId="5" applyNumberFormat="1" applyFont="1" applyFill="1" applyBorder="1"/>
    <xf numFmtId="9" fontId="132" fillId="26" borderId="36" xfId="5" applyNumberFormat="1" applyFont="1" applyFill="1" applyBorder="1"/>
    <xf numFmtId="167" fontId="4" fillId="26" borderId="35" xfId="108" applyNumberFormat="1" applyFont="1" applyFill="1" applyBorder="1"/>
    <xf numFmtId="167" fontId="4" fillId="26" borderId="0" xfId="108" applyNumberFormat="1" applyFont="1" applyFill="1" applyBorder="1"/>
    <xf numFmtId="167" fontId="4" fillId="26" borderId="36" xfId="108" applyNumberFormat="1" applyFont="1" applyFill="1" applyBorder="1"/>
    <xf numFmtId="0" fontId="134" fillId="0" borderId="0" xfId="103" applyFont="1"/>
    <xf numFmtId="0" fontId="5" fillId="0" borderId="0" xfId="103" applyFont="1" applyAlignment="1">
      <alignment horizontal="right"/>
    </xf>
    <xf numFmtId="6" fontId="5" fillId="0" borderId="0" xfId="103" applyNumberFormat="1"/>
    <xf numFmtId="0" fontId="132" fillId="0" borderId="0" xfId="103" applyFont="1"/>
    <xf numFmtId="0" fontId="5" fillId="30" borderId="0" xfId="103" applyFill="1"/>
    <xf numFmtId="8" fontId="5" fillId="30" borderId="0" xfId="103" applyNumberFormat="1" applyFill="1"/>
    <xf numFmtId="180" fontId="135" fillId="0" borderId="0" xfId="64" applyNumberFormat="1" applyFont="1"/>
    <xf numFmtId="0" fontId="5" fillId="0" borderId="0" xfId="103" applyFont="1"/>
    <xf numFmtId="44" fontId="114" fillId="0" borderId="0" xfId="72" applyFont="1"/>
    <xf numFmtId="44" fontId="114" fillId="31" borderId="0" xfId="72" applyFont="1" applyFill="1"/>
    <xf numFmtId="0" fontId="0" fillId="0" borderId="0" xfId="0" applyBorder="1"/>
    <xf numFmtId="0" fontId="0" fillId="0" borderId="0" xfId="0" applyFill="1" applyBorder="1"/>
    <xf numFmtId="0" fontId="0" fillId="26" borderId="35" xfId="0" applyFill="1" applyBorder="1"/>
    <xf numFmtId="0" fontId="0" fillId="26" borderId="0" xfId="0" applyFill="1" applyBorder="1"/>
    <xf numFmtId="0" fontId="114" fillId="0" borderId="0" xfId="0" applyFont="1" applyFill="1" applyBorder="1"/>
    <xf numFmtId="0" fontId="0" fillId="26" borderId="36" xfId="0" applyFill="1" applyBorder="1"/>
    <xf numFmtId="0" fontId="5" fillId="0" borderId="0" xfId="0" applyFont="1" applyFill="1" applyBorder="1"/>
    <xf numFmtId="7" fontId="0" fillId="26" borderId="35" xfId="0" applyNumberFormat="1" applyFill="1" applyBorder="1"/>
    <xf numFmtId="7" fontId="0" fillId="26" borderId="0" xfId="0" applyNumberFormat="1" applyFill="1" applyBorder="1"/>
    <xf numFmtId="7" fontId="0" fillId="26" borderId="36" xfId="0" applyNumberFormat="1" applyFill="1" applyBorder="1"/>
    <xf numFmtId="5" fontId="0" fillId="0" borderId="0" xfId="0" applyNumberFormat="1" applyFill="1" applyBorder="1"/>
    <xf numFmtId="5" fontId="0" fillId="26" borderId="35" xfId="0" applyNumberFormat="1" applyFill="1" applyBorder="1"/>
    <xf numFmtId="5" fontId="0" fillId="26" borderId="0" xfId="0" applyNumberFormat="1" applyFill="1" applyBorder="1"/>
    <xf numFmtId="5" fontId="0" fillId="26" borderId="36" xfId="0" applyNumberFormat="1" applyFill="1" applyBorder="1"/>
    <xf numFmtId="6" fontId="5" fillId="26" borderId="35" xfId="72" applyNumberFormat="1" applyFill="1" applyBorder="1"/>
    <xf numFmtId="6" fontId="5" fillId="26" borderId="0" xfId="72" applyNumberFormat="1" applyFill="1" applyBorder="1"/>
    <xf numFmtId="6" fontId="5" fillId="26" borderId="36" xfId="72" applyNumberFormat="1" applyFill="1" applyBorder="1"/>
    <xf numFmtId="0" fontId="5" fillId="0" borderId="35" xfId="0" applyFont="1" applyFill="1" applyBorder="1"/>
    <xf numFmtId="0" fontId="132" fillId="0" borderId="46" xfId="0" applyFont="1" applyFill="1" applyBorder="1"/>
    <xf numFmtId="0" fontId="132" fillId="0" borderId="0" xfId="0" applyFont="1" applyBorder="1"/>
    <xf numFmtId="6" fontId="5" fillId="0" borderId="0" xfId="72" applyNumberFormat="1" applyFill="1" applyBorder="1"/>
    <xf numFmtId="5" fontId="132" fillId="26" borderId="35" xfId="0" applyNumberFormat="1" applyFont="1" applyFill="1" applyBorder="1"/>
    <xf numFmtId="180" fontId="133" fillId="26" borderId="0" xfId="61" applyNumberFormat="1" applyFont="1" applyFill="1" applyBorder="1"/>
    <xf numFmtId="180" fontId="133" fillId="26" borderId="35" xfId="61" applyNumberFormat="1" applyFont="1" applyFill="1" applyBorder="1"/>
    <xf numFmtId="1" fontId="5" fillId="26" borderId="35" xfId="61" applyNumberFormat="1" applyFont="1" applyFill="1" applyBorder="1"/>
    <xf numFmtId="43" fontId="132" fillId="26" borderId="35" xfId="61" applyFont="1" applyFill="1" applyBorder="1"/>
    <xf numFmtId="43" fontId="132" fillId="26" borderId="36" xfId="61" applyFont="1" applyFill="1" applyBorder="1"/>
    <xf numFmtId="43" fontId="132" fillId="26" borderId="0" xfId="61" applyFont="1" applyFill="1" applyBorder="1"/>
    <xf numFmtId="1" fontId="0" fillId="26" borderId="35" xfId="5" applyNumberFormat="1" applyFont="1" applyFill="1" applyBorder="1"/>
    <xf numFmtId="43" fontId="4" fillId="26" borderId="36" xfId="61" applyNumberFormat="1" applyFont="1" applyFill="1" applyBorder="1"/>
    <xf numFmtId="43" fontId="132" fillId="26" borderId="0" xfId="61" applyFont="1" applyFill="1" applyBorder="1" applyAlignment="1">
      <alignment horizontal="right"/>
    </xf>
    <xf numFmtId="43" fontId="132" fillId="26" borderId="36" xfId="61" applyFont="1" applyFill="1" applyBorder="1" applyAlignment="1">
      <alignment horizontal="right"/>
    </xf>
    <xf numFmtId="43" fontId="132" fillId="26" borderId="35" xfId="61" applyFont="1" applyFill="1" applyBorder="1" applyAlignment="1">
      <alignment horizontal="right"/>
    </xf>
    <xf numFmtId="43" fontId="5" fillId="0" borderId="0" xfId="61" applyNumberFormat="1" applyFont="1" applyFill="1" applyBorder="1" applyAlignment="1">
      <alignment horizontal="right"/>
    </xf>
    <xf numFmtId="9" fontId="23" fillId="26" borderId="0" xfId="5" applyNumberFormat="1" applyFont="1" applyFill="1" applyBorder="1" applyAlignment="1">
      <alignment horizontal="right"/>
    </xf>
    <xf numFmtId="167" fontId="5" fillId="26" borderId="35" xfId="5" applyNumberFormat="1" applyFont="1" applyFill="1" applyBorder="1" applyAlignment="1">
      <alignment horizontal="right"/>
    </xf>
    <xf numFmtId="167" fontId="5" fillId="26" borderId="0" xfId="5" applyNumberFormat="1" applyFont="1" applyFill="1" applyBorder="1" applyAlignment="1">
      <alignment horizontal="right"/>
    </xf>
    <xf numFmtId="192" fontId="18" fillId="28" borderId="0" xfId="6" applyNumberFormat="1" applyFont="1" applyFill="1" applyAlignment="1">
      <alignment horizontal="left"/>
    </xf>
    <xf numFmtId="10" fontId="41" fillId="26" borderId="35" xfId="108" applyNumberFormat="1" applyFont="1" applyFill="1" applyBorder="1"/>
    <xf numFmtId="43" fontId="1" fillId="0" borderId="0" xfId="61" applyNumberFormat="1" applyFont="1" applyFill="1" applyBorder="1"/>
    <xf numFmtId="7" fontId="132" fillId="26" borderId="36" xfId="5" applyNumberFormat="1" applyFont="1" applyFill="1" applyBorder="1"/>
    <xf numFmtId="180" fontId="0" fillId="0" borderId="0" xfId="0" applyNumberFormat="1"/>
    <xf numFmtId="180" fontId="81" fillId="0" borderId="0" xfId="108" applyNumberFormat="1" applyFont="1"/>
    <xf numFmtId="8" fontId="132" fillId="0" borderId="0" xfId="5" applyNumberFormat="1" applyFont="1" applyFill="1" applyBorder="1"/>
    <xf numFmtId="0" fontId="4" fillId="32" borderId="0" xfId="5" applyFont="1" applyFill="1" applyBorder="1"/>
    <xf numFmtId="0" fontId="5" fillId="32" borderId="0" xfId="5" applyFont="1" applyFill="1" applyBorder="1"/>
    <xf numFmtId="0" fontId="136" fillId="33" borderId="42" xfId="5" applyFont="1" applyFill="1" applyBorder="1"/>
    <xf numFmtId="0" fontId="136" fillId="33" borderId="13" xfId="5" applyFont="1" applyFill="1" applyBorder="1"/>
    <xf numFmtId="0" fontId="136" fillId="33" borderId="39" xfId="5" applyFont="1" applyFill="1" applyBorder="1" applyAlignment="1">
      <alignment horizontal="right"/>
    </xf>
    <xf numFmtId="0" fontId="5" fillId="32" borderId="35" xfId="5" applyFont="1" applyFill="1" applyBorder="1"/>
    <xf numFmtId="190" fontId="5" fillId="32" borderId="36" xfId="5" applyNumberFormat="1" applyFont="1" applyFill="1" applyBorder="1"/>
    <xf numFmtId="8" fontId="5" fillId="32" borderId="36" xfId="5" applyNumberFormat="1" applyFont="1" applyFill="1" applyBorder="1"/>
    <xf numFmtId="0" fontId="4" fillId="32" borderId="26" xfId="5" applyFont="1" applyFill="1" applyBorder="1"/>
    <xf numFmtId="0" fontId="5" fillId="32" borderId="14" xfId="5" applyFont="1" applyFill="1" applyBorder="1"/>
    <xf numFmtId="8" fontId="4" fillId="32" borderId="38" xfId="5" applyNumberFormat="1" applyFont="1" applyFill="1" applyBorder="1"/>
    <xf numFmtId="0" fontId="123" fillId="32" borderId="0" xfId="5" applyFont="1" applyFill="1" applyBorder="1"/>
    <xf numFmtId="0" fontId="3" fillId="28" borderId="42" xfId="5" applyFont="1" applyFill="1" applyBorder="1"/>
    <xf numFmtId="0" fontId="19" fillId="28" borderId="13" xfId="5" applyFont="1" applyFill="1" applyBorder="1"/>
    <xf numFmtId="0" fontId="19" fillId="28" borderId="39" xfId="5" applyFont="1" applyFill="1" applyBorder="1"/>
    <xf numFmtId="0" fontId="123" fillId="32" borderId="35" xfId="5" applyFont="1" applyFill="1" applyBorder="1"/>
    <xf numFmtId="0" fontId="4" fillId="32" borderId="35" xfId="5" applyFont="1" applyFill="1" applyBorder="1"/>
    <xf numFmtId="0" fontId="89" fillId="32" borderId="26" xfId="5" applyFont="1" applyFill="1" applyBorder="1"/>
    <xf numFmtId="0" fontId="89" fillId="32" borderId="14" xfId="5" applyFont="1" applyFill="1" applyBorder="1"/>
    <xf numFmtId="167" fontId="5" fillId="0" borderId="0" xfId="5" applyNumberFormat="1" applyFont="1" applyFill="1" applyBorder="1" applyAlignment="1">
      <alignment horizontal="right"/>
    </xf>
    <xf numFmtId="9" fontId="23" fillId="26" borderId="36" xfId="5" applyNumberFormat="1" applyFont="1" applyFill="1" applyBorder="1" applyAlignment="1">
      <alignment horizontal="right"/>
    </xf>
    <xf numFmtId="9" fontId="23" fillId="0" borderId="0" xfId="5" applyNumberFormat="1" applyFont="1" applyFill="1" applyBorder="1" applyAlignment="1">
      <alignment horizontal="right"/>
    </xf>
    <xf numFmtId="167" fontId="5" fillId="26" borderId="36" xfId="5" applyNumberFormat="1" applyFont="1" applyFill="1" applyBorder="1" applyAlignment="1">
      <alignment horizontal="right"/>
    </xf>
    <xf numFmtId="4" fontId="4" fillId="26" borderId="35" xfId="5" applyNumberFormat="1" applyFont="1" applyFill="1" applyBorder="1" applyAlignment="1">
      <alignment horizontal="right"/>
    </xf>
    <xf numFmtId="4" fontId="4" fillId="26" borderId="0" xfId="5" applyNumberFormat="1" applyFont="1" applyFill="1" applyBorder="1" applyAlignment="1">
      <alignment horizontal="right"/>
    </xf>
    <xf numFmtId="4" fontId="4" fillId="26" borderId="36" xfId="5" applyNumberFormat="1" applyFont="1" applyFill="1" applyBorder="1" applyAlignment="1">
      <alignment horizontal="right"/>
    </xf>
    <xf numFmtId="8" fontId="5" fillId="0" borderId="0" xfId="5" applyNumberFormat="1" applyFont="1" applyAlignment="1"/>
    <xf numFmtId="9" fontId="0" fillId="0" borderId="0" xfId="108" applyNumberFormat="1" applyFont="1"/>
    <xf numFmtId="9" fontId="0" fillId="0" borderId="0" xfId="0" applyNumberFormat="1"/>
    <xf numFmtId="1" fontId="0" fillId="0" borderId="0" xfId="0" applyNumberFormat="1"/>
    <xf numFmtId="180" fontId="132" fillId="0" borderId="0" xfId="61" applyNumberFormat="1" applyFont="1" applyFill="1" applyBorder="1"/>
    <xf numFmtId="193" fontId="0" fillId="0" borderId="0" xfId="61" applyNumberFormat="1" applyFont="1" applyFill="1" applyBorder="1"/>
    <xf numFmtId="8" fontId="132" fillId="0" borderId="0" xfId="5" applyNumberFormat="1" applyFont="1" applyAlignment="1">
      <alignment horizontal="right"/>
    </xf>
    <xf numFmtId="180" fontId="132" fillId="26" borderId="0" xfId="61" applyNumberFormat="1" applyFont="1" applyFill="1" applyBorder="1" applyAlignment="1">
      <alignment horizontal="right"/>
    </xf>
    <xf numFmtId="180" fontId="132" fillId="26" borderId="36" xfId="61" applyNumberFormat="1" applyFont="1" applyFill="1" applyBorder="1" applyAlignment="1">
      <alignment horizontal="right"/>
    </xf>
    <xf numFmtId="9" fontId="132" fillId="0" borderId="46" xfId="5" applyNumberFormat="1" applyFont="1" applyFill="1" applyBorder="1"/>
    <xf numFmtId="7" fontId="4" fillId="0" borderId="0" xfId="5" applyNumberFormat="1" applyFont="1" applyFill="1" applyBorder="1"/>
    <xf numFmtId="194" fontId="0" fillId="0" borderId="0" xfId="61" applyNumberFormat="1" applyFont="1" applyFill="1" applyBorder="1"/>
    <xf numFmtId="176" fontId="5" fillId="26" borderId="36" xfId="61" applyNumberFormat="1" applyFont="1" applyFill="1" applyBorder="1"/>
    <xf numFmtId="194" fontId="0" fillId="0" borderId="0" xfId="5" applyNumberFormat="1" applyFont="1" applyFill="1" applyBorder="1"/>
    <xf numFmtId="169" fontId="132" fillId="0" borderId="0" xfId="5" applyNumberFormat="1" applyFont="1" applyAlignment="1">
      <alignment horizontal="right"/>
    </xf>
    <xf numFmtId="0" fontId="57" fillId="28" borderId="0" xfId="5" applyFont="1" applyFill="1"/>
    <xf numFmtId="8" fontId="0" fillId="0" borderId="0" xfId="0" applyNumberFormat="1"/>
    <xf numFmtId="4" fontId="40" fillId="26" borderId="35" xfId="99" applyNumberFormat="1" applyFont="1" applyFill="1" applyBorder="1" applyAlignment="1">
      <alignment horizontal="right"/>
    </xf>
    <xf numFmtId="0" fontId="5" fillId="28" borderId="69" xfId="102" applyFill="1" applyBorder="1"/>
    <xf numFmtId="4" fontId="132" fillId="26" borderId="0" xfId="102" applyNumberFormat="1" applyFont="1" applyFill="1" applyBorder="1" applyAlignment="1">
      <alignment horizontal="right"/>
    </xf>
    <xf numFmtId="4" fontId="132" fillId="26" borderId="36" xfId="102" applyNumberFormat="1" applyFont="1" applyFill="1" applyBorder="1" applyAlignment="1">
      <alignment horizontal="right"/>
    </xf>
    <xf numFmtId="43" fontId="5" fillId="0" borderId="0" xfId="103" applyNumberFormat="1"/>
    <xf numFmtId="8" fontId="132" fillId="0" borderId="0" xfId="97" applyNumberFormat="1" applyFont="1" applyAlignment="1">
      <alignment horizontal="right"/>
    </xf>
    <xf numFmtId="193" fontId="1" fillId="0" borderId="0" xfId="61" applyNumberFormat="1" applyFont="1" applyFill="1" applyBorder="1"/>
    <xf numFmtId="14" fontId="5" fillId="0" borderId="0" xfId="5" applyNumberFormat="1" applyFont="1" applyFill="1" applyBorder="1"/>
    <xf numFmtId="14" fontId="5" fillId="0" borderId="0" xfId="5" applyNumberFormat="1" applyFont="1" applyFill="1" applyBorder="1" applyAlignment="1">
      <alignment horizontal="right"/>
    </xf>
    <xf numFmtId="8" fontId="5" fillId="0" borderId="0" xfId="5" applyNumberFormat="1" applyFont="1" applyFill="1" applyBorder="1" applyAlignment="1">
      <alignment horizontal="right"/>
    </xf>
    <xf numFmtId="164" fontId="5" fillId="0" borderId="0" xfId="5" applyNumberFormat="1" applyFont="1"/>
    <xf numFmtId="7" fontId="0" fillId="0" borderId="0" xfId="0" applyNumberFormat="1"/>
    <xf numFmtId="195" fontId="0" fillId="0" borderId="0" xfId="5" applyNumberFormat="1" applyFont="1" applyFill="1" applyBorder="1"/>
    <xf numFmtId="180" fontId="5" fillId="0" borderId="0" xfId="65" applyNumberFormat="1" applyFont="1" applyFill="1" applyBorder="1"/>
    <xf numFmtId="180" fontId="0" fillId="0" borderId="0" xfId="65" applyNumberFormat="1" applyFont="1" applyFill="1" applyBorder="1"/>
    <xf numFmtId="180" fontId="4" fillId="0" borderId="0" xfId="65" applyNumberFormat="1" applyFont="1" applyFill="1" applyBorder="1"/>
    <xf numFmtId="9" fontId="5" fillId="0" borderId="0" xfId="110" applyFont="1" applyFill="1" applyBorder="1"/>
    <xf numFmtId="180" fontId="0" fillId="0" borderId="0" xfId="6" applyNumberFormat="1" applyFont="1" applyFill="1" applyBorder="1"/>
    <xf numFmtId="180" fontId="124" fillId="0" borderId="0" xfId="65" applyNumberFormat="1" applyFont="1" applyFill="1" applyBorder="1"/>
    <xf numFmtId="180" fontId="5" fillId="0" borderId="0" xfId="6" applyNumberFormat="1" applyFont="1" applyFill="1" applyBorder="1"/>
    <xf numFmtId="7" fontId="5" fillId="0" borderId="0" xfId="6" applyNumberFormat="1" applyFont="1" applyFill="1" applyBorder="1"/>
    <xf numFmtId="180" fontId="5" fillId="0" borderId="0" xfId="67" applyNumberFormat="1" applyFont="1" applyFill="1" applyBorder="1"/>
    <xf numFmtId="180" fontId="4" fillId="0" borderId="0" xfId="67" applyNumberFormat="1" applyFont="1" applyFill="1" applyBorder="1"/>
    <xf numFmtId="167" fontId="23" fillId="0" borderId="0" xfId="109" applyNumberFormat="1" applyFont="1" applyFill="1" applyBorder="1"/>
    <xf numFmtId="193" fontId="5" fillId="0" borderId="0" xfId="67" applyNumberFormat="1" applyFont="1" applyFill="1" applyBorder="1"/>
    <xf numFmtId="7" fontId="4" fillId="0" borderId="0" xfId="6" applyNumberFormat="1" applyFont="1" applyFill="1" applyBorder="1"/>
    <xf numFmtId="0" fontId="4" fillId="26" borderId="35" xfId="99" applyFont="1" applyFill="1" applyBorder="1" applyAlignment="1">
      <alignment horizontal="centerContinuous"/>
    </xf>
    <xf numFmtId="0" fontId="5" fillId="26" borderId="36" xfId="99" applyFont="1" applyFill="1" applyBorder="1" applyAlignment="1">
      <alignment horizontal="centerContinuous"/>
    </xf>
    <xf numFmtId="0" fontId="40" fillId="26" borderId="35" xfId="99" applyFont="1" applyFill="1" applyBorder="1" applyAlignment="1">
      <alignment horizontal="centerContinuous"/>
    </xf>
    <xf numFmtId="0" fontId="5" fillId="26" borderId="35" xfId="99" applyFont="1" applyFill="1" applyBorder="1" applyAlignment="1">
      <alignment horizontal="centerContinuous"/>
    </xf>
    <xf numFmtId="2" fontId="5" fillId="26" borderId="35" xfId="99" applyNumberFormat="1" applyFont="1" applyFill="1" applyBorder="1" applyAlignment="1">
      <alignment horizontal="right"/>
    </xf>
    <xf numFmtId="43" fontId="0" fillId="26" borderId="0" xfId="5" applyNumberFormat="1" applyFont="1" applyFill="1" applyBorder="1"/>
    <xf numFmtId="39" fontId="4" fillId="26" borderId="0" xfId="5" applyNumberFormat="1" applyFont="1" applyFill="1" applyBorder="1"/>
    <xf numFmtId="167" fontId="81" fillId="0" borderId="0" xfId="5" applyNumberFormat="1" applyFont="1" applyFill="1" applyBorder="1"/>
    <xf numFmtId="3" fontId="5" fillId="0" borderId="0" xfId="93" applyNumberFormat="1"/>
    <xf numFmtId="0" fontId="4" fillId="0" borderId="0" xfId="93" applyFont="1"/>
    <xf numFmtId="0" fontId="5" fillId="0" borderId="0" xfId="93" applyFont="1" applyFill="1"/>
    <xf numFmtId="2" fontId="5" fillId="0" borderId="0" xfId="93" applyNumberFormat="1"/>
    <xf numFmtId="0" fontId="3" fillId="28" borderId="0" xfId="93" applyFont="1" applyFill="1"/>
    <xf numFmtId="180" fontId="5" fillId="0" borderId="0" xfId="68" applyNumberFormat="1" applyFont="1"/>
    <xf numFmtId="180" fontId="4" fillId="0" borderId="0" xfId="68" applyNumberFormat="1" applyFont="1"/>
    <xf numFmtId="196" fontId="9" fillId="0" borderId="0" xfId="93" applyNumberFormat="1" applyFont="1" applyAlignment="1">
      <alignment horizontal="right"/>
    </xf>
    <xf numFmtId="1" fontId="4" fillId="0" borderId="0" xfId="93" applyNumberFormat="1" applyFont="1"/>
    <xf numFmtId="180" fontId="5" fillId="0" borderId="0" xfId="93" applyNumberFormat="1"/>
    <xf numFmtId="167" fontId="5" fillId="0" borderId="0" xfId="109" applyNumberFormat="1" applyFont="1"/>
    <xf numFmtId="10" fontId="40" fillId="0" borderId="0" xfId="109" applyNumberFormat="1" applyFont="1" applyFill="1"/>
    <xf numFmtId="167" fontId="40" fillId="0" borderId="0" xfId="109" applyNumberFormat="1" applyFont="1" applyFill="1"/>
    <xf numFmtId="182" fontId="40" fillId="0" borderId="0" xfId="69" applyNumberFormat="1" applyFont="1" applyFill="1"/>
    <xf numFmtId="43" fontId="40" fillId="0" borderId="0" xfId="69" applyFont="1" applyFill="1"/>
    <xf numFmtId="167" fontId="4" fillId="26" borderId="30" xfId="109" applyNumberFormat="1" applyFont="1" applyFill="1" applyBorder="1"/>
    <xf numFmtId="9" fontId="5" fillId="0" borderId="0" xfId="109" applyFont="1" applyFill="1"/>
    <xf numFmtId="0" fontId="5" fillId="0" borderId="0" xfId="97" applyFill="1" applyBorder="1"/>
    <xf numFmtId="0" fontId="5" fillId="0" borderId="0" xfId="97" applyFill="1"/>
    <xf numFmtId="0" fontId="4" fillId="26" borderId="28" xfId="97" applyFont="1" applyFill="1" applyBorder="1"/>
    <xf numFmtId="0" fontId="4" fillId="26" borderId="29" xfId="97" applyFont="1" applyFill="1" applyBorder="1"/>
    <xf numFmtId="0" fontId="125" fillId="0" borderId="0" xfId="5" applyFont="1" applyFill="1" applyBorder="1"/>
    <xf numFmtId="180" fontId="132" fillId="26" borderId="36" xfId="5" applyNumberFormat="1" applyFont="1" applyFill="1" applyBorder="1"/>
    <xf numFmtId="180" fontId="132" fillId="26" borderId="35" xfId="5" applyNumberFormat="1" applyFont="1" applyFill="1" applyBorder="1"/>
    <xf numFmtId="180" fontId="132" fillId="26" borderId="0" xfId="5" applyNumberFormat="1" applyFont="1" applyFill="1" applyBorder="1"/>
    <xf numFmtId="8" fontId="39" fillId="26" borderId="70" xfId="6" applyNumberFormat="1" applyFont="1" applyFill="1" applyBorder="1" applyAlignment="1">
      <alignment horizontal="center"/>
    </xf>
    <xf numFmtId="39" fontId="40" fillId="0" borderId="70" xfId="6" applyNumberFormat="1" applyFont="1" applyFill="1" applyBorder="1" applyAlignment="1">
      <alignment horizontal="center"/>
    </xf>
    <xf numFmtId="6" fontId="40" fillId="0" borderId="44" xfId="6" applyNumberFormat="1" applyFont="1" applyFill="1" applyBorder="1" applyAlignment="1">
      <alignment horizontal="center"/>
    </xf>
    <xf numFmtId="6" fontId="40" fillId="0" borderId="71" xfId="6" applyNumberFormat="1" applyFont="1" applyFill="1" applyBorder="1" applyAlignment="1">
      <alignment horizontal="center"/>
    </xf>
    <xf numFmtId="0" fontId="19" fillId="28" borderId="0" xfId="6" applyFont="1" applyFill="1" applyBorder="1"/>
    <xf numFmtId="0" fontId="4" fillId="0" borderId="0" xfId="6" applyFont="1" applyFill="1" applyBorder="1"/>
    <xf numFmtId="0" fontId="4" fillId="0" borderId="0" xfId="6" applyFont="1" applyFill="1" applyBorder="1" applyAlignment="1">
      <alignment horizontal="right"/>
    </xf>
    <xf numFmtId="10" fontId="0" fillId="0" borderId="0" xfId="6" applyNumberFormat="1" applyFont="1" applyFill="1" applyBorder="1"/>
    <xf numFmtId="190" fontId="40" fillId="0" borderId="0" xfId="6" applyNumberFormat="1" applyFont="1" applyFill="1" applyBorder="1"/>
    <xf numFmtId="0" fontId="4" fillId="0" borderId="42" xfId="6" applyFont="1" applyFill="1" applyBorder="1"/>
    <xf numFmtId="0" fontId="0" fillId="0" borderId="13" xfId="6" applyFont="1" applyFill="1" applyBorder="1"/>
    <xf numFmtId="0" fontId="5" fillId="0" borderId="13" xfId="6" applyFont="1" applyFill="1" applyBorder="1"/>
    <xf numFmtId="0" fontId="0" fillId="0" borderId="39" xfId="6" applyFont="1" applyFill="1" applyBorder="1"/>
    <xf numFmtId="0" fontId="0" fillId="0" borderId="35" xfId="6" applyFont="1" applyFill="1" applyBorder="1"/>
    <xf numFmtId="0" fontId="5" fillId="0" borderId="0" xfId="6" applyFont="1" applyFill="1" applyBorder="1" applyAlignment="1">
      <alignment horizontal="right"/>
    </xf>
    <xf numFmtId="180" fontId="0" fillId="0" borderId="0" xfId="64" applyNumberFormat="1" applyFont="1" applyFill="1" applyBorder="1"/>
    <xf numFmtId="17" fontId="0" fillId="0" borderId="35" xfId="6" applyNumberFormat="1" applyFont="1" applyFill="1" applyBorder="1"/>
    <xf numFmtId="8" fontId="0" fillId="0" borderId="0" xfId="6" applyNumberFormat="1" applyFont="1" applyFill="1" applyBorder="1"/>
    <xf numFmtId="0" fontId="0" fillId="0" borderId="36" xfId="6" applyFont="1" applyFill="1" applyBorder="1"/>
    <xf numFmtId="8" fontId="0" fillId="0" borderId="14" xfId="6" applyNumberFormat="1" applyFont="1" applyFill="1" applyBorder="1"/>
    <xf numFmtId="0" fontId="0" fillId="0" borderId="26" xfId="6" applyFont="1" applyFill="1" applyBorder="1"/>
    <xf numFmtId="0" fontId="5" fillId="0" borderId="14" xfId="6" applyFont="1" applyFill="1" applyBorder="1" applyAlignment="1">
      <alignment horizontal="right"/>
    </xf>
    <xf numFmtId="167" fontId="0" fillId="0" borderId="14" xfId="109" applyNumberFormat="1" applyFont="1" applyFill="1" applyBorder="1"/>
    <xf numFmtId="0" fontId="0" fillId="0" borderId="14" xfId="6" applyFont="1" applyFill="1" applyBorder="1"/>
    <xf numFmtId="17" fontId="0" fillId="0" borderId="26" xfId="6" applyNumberFormat="1" applyFont="1" applyFill="1" applyBorder="1"/>
    <xf numFmtId="8" fontId="4" fillId="0" borderId="38" xfId="6" applyNumberFormat="1" applyFont="1" applyFill="1" applyBorder="1"/>
    <xf numFmtId="8" fontId="5" fillId="0" borderId="0" xfId="6" applyNumberFormat="1" applyFont="1" applyFill="1" applyBorder="1"/>
    <xf numFmtId="8" fontId="132" fillId="0" borderId="0" xfId="6" applyNumberFormat="1" applyFont="1" applyFill="1" applyBorder="1"/>
    <xf numFmtId="14" fontId="5" fillId="0" borderId="0" xfId="6" applyNumberFormat="1" applyFont="1" applyFill="1" applyBorder="1" applyAlignment="1">
      <alignment horizontal="right"/>
    </xf>
    <xf numFmtId="8" fontId="39" fillId="0" borderId="0" xfId="6" applyNumberFormat="1" applyFont="1" applyFill="1" applyBorder="1"/>
    <xf numFmtId="8" fontId="5" fillId="0" borderId="0" xfId="6" applyNumberFormat="1" applyFont="1" applyFill="1" applyBorder="1" applyAlignment="1">
      <alignment horizontal="right"/>
    </xf>
    <xf numFmtId="8" fontId="5" fillId="0" borderId="14" xfId="6" applyNumberFormat="1" applyFont="1" applyFill="1" applyBorder="1"/>
    <xf numFmtId="14" fontId="5" fillId="0" borderId="0" xfId="6" applyNumberFormat="1" applyFont="1" applyFill="1" applyBorder="1"/>
    <xf numFmtId="180" fontId="40" fillId="32" borderId="36" xfId="64" applyNumberFormat="1" applyFont="1" applyFill="1" applyBorder="1"/>
    <xf numFmtId="9" fontId="40" fillId="32" borderId="36" xfId="64" applyNumberFormat="1" applyFont="1" applyFill="1" applyBorder="1"/>
    <xf numFmtId="43" fontId="4" fillId="32" borderId="36" xfId="64" applyNumberFormat="1" applyFont="1" applyFill="1" applyBorder="1"/>
    <xf numFmtId="6" fontId="40" fillId="32" borderId="36" xfId="6" applyNumberFormat="1" applyFont="1" applyFill="1" applyBorder="1"/>
    <xf numFmtId="6" fontId="4" fillId="32" borderId="36" xfId="6" applyNumberFormat="1" applyFont="1" applyFill="1" applyBorder="1"/>
    <xf numFmtId="8" fontId="4" fillId="32" borderId="36" xfId="6" applyNumberFormat="1" applyFont="1" applyFill="1" applyBorder="1"/>
    <xf numFmtId="167" fontId="89" fillId="32" borderId="38" xfId="6" applyNumberFormat="1" applyFont="1" applyFill="1" applyBorder="1"/>
    <xf numFmtId="6" fontId="38" fillId="0" borderId="0" xfId="6" applyNumberFormat="1" applyFont="1" applyFill="1" applyBorder="1"/>
    <xf numFmtId="0" fontId="12" fillId="26" borderId="0" xfId="102" applyFont="1" applyFill="1" applyBorder="1" applyAlignment="1">
      <alignment horizontal="centerContinuous"/>
    </xf>
    <xf numFmtId="0" fontId="12" fillId="26" borderId="36" xfId="102" applyFont="1" applyFill="1" applyBorder="1" applyAlignment="1">
      <alignment horizontal="centerContinuous"/>
    </xf>
    <xf numFmtId="0" fontId="1" fillId="0" borderId="35" xfId="5" applyFont="1" applyBorder="1"/>
    <xf numFmtId="0" fontId="0" fillId="0" borderId="35" xfId="0" applyBorder="1"/>
    <xf numFmtId="0" fontId="5" fillId="0" borderId="35" xfId="5" applyFont="1" applyBorder="1"/>
    <xf numFmtId="167" fontId="58" fillId="26" borderId="36" xfId="108" applyNumberFormat="1" applyFont="1" applyFill="1" applyBorder="1"/>
    <xf numFmtId="7" fontId="4" fillId="0" borderId="35" xfId="5" applyNumberFormat="1" applyFont="1" applyFill="1" applyBorder="1"/>
    <xf numFmtId="0" fontId="14" fillId="0" borderId="0" xfId="5" applyFont="1" applyBorder="1"/>
    <xf numFmtId="0" fontId="95" fillId="0" borderId="0" xfId="5" applyFont="1" applyBorder="1"/>
    <xf numFmtId="0" fontId="5" fillId="0" borderId="0" xfId="5" applyFont="1" applyBorder="1"/>
    <xf numFmtId="181" fontId="5" fillId="0" borderId="0" xfId="5" applyNumberFormat="1" applyFont="1" applyBorder="1"/>
    <xf numFmtId="180" fontId="0" fillId="0" borderId="0" xfId="0" applyNumberFormat="1" applyBorder="1"/>
    <xf numFmtId="167" fontId="5" fillId="0" borderId="35" xfId="5" applyNumberFormat="1" applyFont="1" applyFill="1" applyBorder="1"/>
    <xf numFmtId="167" fontId="5" fillId="0" borderId="35" xfId="61" applyNumberFormat="1" applyFont="1" applyFill="1" applyBorder="1"/>
    <xf numFmtId="181" fontId="5" fillId="0" borderId="35" xfId="61" applyNumberFormat="1" applyFont="1" applyFill="1" applyBorder="1"/>
    <xf numFmtId="4" fontId="4" fillId="0" borderId="35" xfId="5" applyNumberFormat="1" applyFont="1" applyFill="1" applyBorder="1"/>
    <xf numFmtId="167" fontId="132" fillId="0" borderId="0" xfId="5" applyNumberFormat="1" applyFont="1" applyFill="1"/>
    <xf numFmtId="7" fontId="41" fillId="0" borderId="35" xfId="5" applyNumberFormat="1" applyFont="1" applyFill="1" applyBorder="1"/>
    <xf numFmtId="7" fontId="0" fillId="0" borderId="35" xfId="5" applyNumberFormat="1" applyFont="1" applyFill="1" applyBorder="1"/>
    <xf numFmtId="180" fontId="0" fillId="0" borderId="35" xfId="61" applyNumberFormat="1" applyFont="1" applyFill="1" applyBorder="1"/>
    <xf numFmtId="39" fontId="0" fillId="0" borderId="35" xfId="5" applyNumberFormat="1" applyFont="1" applyFill="1" applyBorder="1"/>
    <xf numFmtId="6" fontId="132" fillId="0" borderId="0" xfId="70" applyNumberFormat="1" applyFont="1" applyFill="1" applyBorder="1"/>
    <xf numFmtId="5" fontId="132" fillId="0" borderId="0" xfId="0" applyNumberFormat="1" applyFont="1" applyFill="1" applyBorder="1"/>
    <xf numFmtId="180" fontId="132" fillId="0" borderId="0" xfId="64" applyNumberFormat="1" applyFont="1"/>
    <xf numFmtId="167" fontId="137" fillId="26" borderId="35" xfId="5" applyNumberFormat="1" applyFont="1" applyFill="1" applyBorder="1"/>
    <xf numFmtId="167" fontId="137" fillId="26" borderId="0" xfId="5" applyNumberFormat="1" applyFont="1" applyFill="1" applyBorder="1"/>
    <xf numFmtId="167" fontId="137" fillId="26" borderId="36" xfId="5" applyNumberFormat="1" applyFont="1" applyFill="1" applyBorder="1"/>
    <xf numFmtId="9" fontId="0" fillId="26" borderId="35" xfId="108" applyFont="1" applyFill="1" applyBorder="1"/>
    <xf numFmtId="9" fontId="0" fillId="26" borderId="0" xfId="108" applyFont="1" applyFill="1" applyBorder="1"/>
    <xf numFmtId="9" fontId="0" fillId="26" borderId="36" xfId="108" applyFont="1" applyFill="1" applyBorder="1"/>
    <xf numFmtId="9" fontId="22" fillId="26" borderId="35" xfId="108" applyFont="1" applyFill="1" applyBorder="1"/>
    <xf numFmtId="9" fontId="22" fillId="26" borderId="0" xfId="108" applyFont="1" applyFill="1" applyBorder="1"/>
    <xf numFmtId="9" fontId="22" fillId="26" borderId="36" xfId="108" applyFont="1" applyFill="1" applyBorder="1"/>
    <xf numFmtId="2" fontId="132" fillId="0" borderId="0" xfId="93" applyNumberFormat="1" applyFont="1"/>
    <xf numFmtId="0" fontId="1" fillId="0" borderId="0" xfId="122"/>
    <xf numFmtId="0" fontId="1" fillId="34" borderId="0" xfId="121" applyFont="1" applyFill="1" applyAlignment="1">
      <alignment vertical="top"/>
    </xf>
    <xf numFmtId="0" fontId="1" fillId="34" borderId="0" xfId="122" applyFill="1" applyAlignment="1">
      <alignment vertical="top"/>
    </xf>
    <xf numFmtId="0" fontId="1" fillId="34" borderId="0" xfId="122" applyFill="1"/>
    <xf numFmtId="0" fontId="86" fillId="34" borderId="0" xfId="121" applyFont="1" applyFill="1" applyAlignment="1">
      <alignment horizontal="left" vertical="top"/>
    </xf>
    <xf numFmtId="0" fontId="1" fillId="34" borderId="0" xfId="122" applyFont="1" applyFill="1" applyAlignment="1">
      <alignment vertical="top"/>
    </xf>
    <xf numFmtId="0" fontId="23" fillId="34" borderId="0" xfId="121" applyFont="1" applyFill="1" applyAlignment="1">
      <alignment vertical="top"/>
    </xf>
    <xf numFmtId="0" fontId="0" fillId="34" borderId="0" xfId="0" applyFill="1" applyAlignment="1">
      <alignment vertical="top"/>
    </xf>
    <xf numFmtId="0" fontId="139" fillId="34" borderId="0" xfId="0" applyFont="1" applyFill="1" applyAlignment="1">
      <alignment vertical="top"/>
    </xf>
    <xf numFmtId="0" fontId="140" fillId="34" borderId="0" xfId="0" applyFont="1" applyFill="1" applyAlignment="1">
      <alignment vertical="top"/>
    </xf>
    <xf numFmtId="0" fontId="140" fillId="34" borderId="0" xfId="0" applyFont="1" applyFill="1" applyAlignment="1">
      <alignment vertical="top"/>
    </xf>
    <xf numFmtId="0" fontId="139" fillId="34" borderId="0" xfId="0" applyFont="1" applyFill="1" applyAlignment="1">
      <alignment vertical="top"/>
    </xf>
    <xf numFmtId="0" fontId="0" fillId="34" borderId="0" xfId="0" applyFill="1" applyAlignment="1">
      <alignment vertical="top"/>
    </xf>
    <xf numFmtId="0" fontId="0" fillId="34" borderId="76" xfId="0" applyFill="1" applyBorder="1" applyAlignment="1">
      <alignment vertical="top"/>
    </xf>
    <xf numFmtId="0" fontId="139" fillId="34" borderId="72" xfId="0" applyFont="1" applyFill="1" applyBorder="1" applyAlignment="1">
      <alignment vertical="top"/>
    </xf>
    <xf numFmtId="0" fontId="139" fillId="34" borderId="73" xfId="0" applyFont="1" applyFill="1" applyBorder="1" applyAlignment="1">
      <alignment vertical="top"/>
    </xf>
    <xf numFmtId="0" fontId="139" fillId="34" borderId="74" xfId="0" applyFont="1" applyFill="1" applyBorder="1" applyAlignment="1">
      <alignment vertical="top"/>
    </xf>
    <xf numFmtId="0" fontId="139" fillId="34" borderId="75" xfId="0" applyFont="1" applyFill="1" applyBorder="1" applyAlignment="1">
      <alignment vertical="top"/>
    </xf>
    <xf numFmtId="9" fontId="139" fillId="34" borderId="72" xfId="0" applyNumberFormat="1" applyFont="1" applyFill="1" applyBorder="1" applyAlignment="1">
      <alignment vertical="top"/>
    </xf>
    <xf numFmtId="3" fontId="139" fillId="34" borderId="72" xfId="0" applyNumberFormat="1" applyFont="1" applyFill="1" applyBorder="1" applyAlignment="1">
      <alignment vertical="top"/>
    </xf>
    <xf numFmtId="0" fontId="0" fillId="34" borderId="77" xfId="0" applyFill="1" applyBorder="1" applyAlignment="1">
      <alignment vertical="top"/>
    </xf>
    <xf numFmtId="2" fontId="1" fillId="0" borderId="0" xfId="122" applyNumberFormat="1" applyAlignment="1">
      <alignment horizontal="left"/>
    </xf>
    <xf numFmtId="0" fontId="1" fillId="0" borderId="0" xfId="122" applyNumberFormat="1" applyAlignment="1">
      <alignment horizontal="left"/>
    </xf>
    <xf numFmtId="1" fontId="1" fillId="0" borderId="0" xfId="122" applyNumberFormat="1" applyAlignment="1">
      <alignment horizontal="left"/>
    </xf>
    <xf numFmtId="0" fontId="1" fillId="0" borderId="0" xfId="122" applyFont="1"/>
    <xf numFmtId="202" fontId="1" fillId="0" borderId="0" xfId="122" applyNumberFormat="1" applyAlignment="1">
      <alignment horizontal="left"/>
    </xf>
    <xf numFmtId="49" fontId="1" fillId="0" borderId="0" xfId="122" applyNumberFormat="1"/>
  </cellXfs>
  <cellStyles count="123">
    <cellStyle name=" 1" xfId="1"/>
    <cellStyle name=" 1 2" xfId="2"/>
    <cellStyle name=" 2" xfId="3"/>
    <cellStyle name=" 2 2" xfId="4"/>
    <cellStyle name="******************************************" xfId="5"/>
    <cellStyle name="****************************************** 2" xfId="6"/>
    <cellStyle name="****************************************** 2 2" xfId="7"/>
    <cellStyle name="****************************************** 3" xfId="8"/>
    <cellStyle name="****************************************** 4" xfId="9"/>
    <cellStyle name="_SUMMARY " xfId="10"/>
    <cellStyle name="_SUMMARY  2" xfId="11"/>
    <cellStyle name="_SUMMARY  2_PEG" xfId="12"/>
    <cellStyle name="_SUMMARY  2_Power" xfId="13"/>
    <cellStyle name="_SUMMARY  2_Valuation" xfId="14"/>
    <cellStyle name="_SUMMARY  3" xfId="15"/>
    <cellStyle name="_SUMMARY _PEG" xfId="16"/>
    <cellStyle name="_SUMMARY _Power" xfId="17"/>
    <cellStyle name="_SUMMARY _Valuation" xfId="18"/>
    <cellStyle name="0_Capex &amp; Depreciation " xfId="19"/>
    <cellStyle name="0_P&amp;L-adj " xfId="20"/>
    <cellStyle name="0_Quarterly " xfId="21"/>
    <cellStyle name="0_Quarterly  2" xfId="22"/>
    <cellStyle name="0_Quarterly _PEG" xfId="23"/>
    <cellStyle name="0_Quarterly _Power" xfId="24"/>
    <cellStyle name="0_Quarterly _Valuation" xfId="25"/>
    <cellStyle name="0_Valuing BP " xfId="26"/>
    <cellStyle name="20% - Accent1" xfId="27" builtinId="30" customBuiltin="1"/>
    <cellStyle name="20% - Accent2" xfId="28" builtinId="34" customBuiltin="1"/>
    <cellStyle name="20% - Accent3" xfId="29" builtinId="38" customBuiltin="1"/>
    <cellStyle name="20% - Accent4" xfId="30" builtinId="42" customBuiltin="1"/>
    <cellStyle name="20% - Accent5" xfId="31" builtinId="46" customBuiltin="1"/>
    <cellStyle name="20% - Accent6" xfId="32" builtinId="50" customBuiltin="1"/>
    <cellStyle name="40% - Accent1" xfId="33" builtinId="31" customBuiltin="1"/>
    <cellStyle name="40% - Accent2" xfId="34" builtinId="35" customBuiltin="1"/>
    <cellStyle name="40% - Accent3" xfId="35" builtinId="39" customBuiltin="1"/>
    <cellStyle name="40% - Accent4" xfId="36" builtinId="43" customBuiltin="1"/>
    <cellStyle name="40% - Accent5" xfId="37" builtinId="47" customBuiltin="1"/>
    <cellStyle name="40% - Accent6" xfId="38" builtinId="51" customBuiltin="1"/>
    <cellStyle name="60% - Accent1" xfId="39" builtinId="32" customBuiltin="1"/>
    <cellStyle name="60% - Accent2" xfId="40" builtinId="36" customBuiltin="1"/>
    <cellStyle name="60% - Accent3" xfId="41" builtinId="40" customBuiltin="1"/>
    <cellStyle name="60% - Accent4" xfId="42" builtinId="44" customBuiltin="1"/>
    <cellStyle name="60% - Accent5" xfId="43" builtinId="48" customBuiltin="1"/>
    <cellStyle name="60% - Accent6" xfId="44" builtinId="52" customBuiltin="1"/>
    <cellStyle name="Accent1" xfId="45" builtinId="29" customBuiltin="1"/>
    <cellStyle name="Accent2" xfId="46" builtinId="33" customBuiltin="1"/>
    <cellStyle name="Accent3" xfId="47" builtinId="37" customBuiltin="1"/>
    <cellStyle name="Accent4" xfId="48" builtinId="41" customBuiltin="1"/>
    <cellStyle name="Accent5" xfId="49" builtinId="45" customBuiltin="1"/>
    <cellStyle name="Accent6" xfId="50" builtinId="49" customBuiltin="1"/>
    <cellStyle name="ÅëÈ­ [0]_cover " xfId="51"/>
    <cellStyle name="ÅëÈ­_cover " xfId="52"/>
    <cellStyle name="ÄÞ¸¶ [0]_cover " xfId="53"/>
    <cellStyle name="ÄÞ¸¶_cover " xfId="54"/>
    <cellStyle name="Bad" xfId="55" builtinId="27" customBuiltin="1"/>
    <cellStyle name="c_HardInc " xfId="56"/>
    <cellStyle name="C￥AØ_¿μ¾÷CoE² " xfId="57"/>
    <cellStyle name="Ç¥ÁØ_cover " xfId="58"/>
    <cellStyle name="Calculation" xfId="59" builtinId="22" customBuiltin="1"/>
    <cellStyle name="Check Cell" xfId="60" builtinId="23" customBuiltin="1"/>
    <cellStyle name="Comma" xfId="61" builtinId="3"/>
    <cellStyle name="Comma [0] 2" xfId="62"/>
    <cellStyle name="Comma [0]_FORECAST" xfId="63"/>
    <cellStyle name="Comma 2" xfId="64"/>
    <cellStyle name="Comma 3" xfId="65"/>
    <cellStyle name="Comma 3 2" xfId="66"/>
    <cellStyle name="Comma 4" xfId="67"/>
    <cellStyle name="Comma 5" xfId="68"/>
    <cellStyle name="Comma 6" xfId="69"/>
    <cellStyle name="Currency" xfId="70" builtinId="4"/>
    <cellStyle name="Currency [0]_FORECAST" xfId="71"/>
    <cellStyle name="Currency 2" xfId="72"/>
    <cellStyle name="Currency 3" xfId="73"/>
    <cellStyle name="Currency 4" xfId="74"/>
    <cellStyle name="Currency 5" xfId="75"/>
    <cellStyle name="Currency 6" xfId="76"/>
    <cellStyle name="Explanatory Text" xfId="77" builtinId="53" customBuiltin="1"/>
    <cellStyle name="Fail" xfId="78"/>
    <cellStyle name="FiscalPeriod" xfId="79"/>
    <cellStyle name="Good" xfId="80" builtinId="26" customBuiltin="1"/>
    <cellStyle name="Heading 1" xfId="81" builtinId="16" customBuiltin="1"/>
    <cellStyle name="Heading 2" xfId="82" builtinId="17" customBuiltin="1"/>
    <cellStyle name="Heading 3" xfId="83" builtinId="18" customBuiltin="1"/>
    <cellStyle name="Heading 4" xfId="84" builtinId="19" customBuiltin="1"/>
    <cellStyle name="Hidden" xfId="85"/>
    <cellStyle name="Hyperlink" xfId="86" builtinId="8"/>
    <cellStyle name="Input" xfId="87" builtinId="20" customBuiltin="1"/>
    <cellStyle name="Linked Cell" xfId="88" builtinId="24" customBuiltin="1"/>
    <cellStyle name="MetricLabel" xfId="89"/>
    <cellStyle name="MetricLabelBlue" xfId="90"/>
    <cellStyle name="MetricValue" xfId="91"/>
    <cellStyle name="Neutral" xfId="92" builtinId="28" customBuiltin="1"/>
    <cellStyle name="Normal" xfId="0" builtinId="0"/>
    <cellStyle name="Normal 2" xfId="93"/>
    <cellStyle name="Normal 3" xfId="94"/>
    <cellStyle name="Normal 3 2" xfId="95"/>
    <cellStyle name="Normal 4" xfId="122"/>
    <cellStyle name="Normal_AEP Model WIP 02.01.13" xfId="96"/>
    <cellStyle name="Normal_DisclaimerSheet Samples" xfId="121"/>
    <cellStyle name="Normal_EXC Model WIP" xfId="97"/>
    <cellStyle name="Normal_MS Price Deck 3.30.12" xfId="98"/>
    <cellStyle name="Normal_NEE Model 1.10.12 2" xfId="99"/>
    <cellStyle name="Normal_NEE Model 1.10.12 4" xfId="100"/>
    <cellStyle name="Normal_NEE Model 1.10.12_FE Model 01.31.13 WIP v2" xfId="101"/>
    <cellStyle name="Normal_NEE Model 1.10.12_FE Model 02.01.13 WIP" xfId="102"/>
    <cellStyle name="Normal_NEE Model 1.10.12_FE Model 02.01.13 WIP 2" xfId="103"/>
    <cellStyle name="Note" xfId="104" builtinId="10" customBuiltin="1"/>
    <cellStyle name="Output" xfId="105" builtinId="21" customBuiltin="1"/>
    <cellStyle name="p " xfId="106"/>
    <cellStyle name="Pass" xfId="107"/>
    <cellStyle name="Percent" xfId="108" builtinId="5"/>
    <cellStyle name="Percent 2" xfId="109"/>
    <cellStyle name="Percent 3" xfId="110"/>
    <cellStyle name="RRSInstruction" xfId="111"/>
    <cellStyle name="s_HardInc " xfId="112"/>
    <cellStyle name="s_Valuation " xfId="113"/>
    <cellStyle name="ssp " xfId="114"/>
    <cellStyle name="Title" xfId="115" builtinId="15" customBuiltin="1"/>
    <cellStyle name="Total" xfId="116" builtinId="25" customBuiltin="1"/>
    <cellStyle name="Warning Text" xfId="117" builtinId="11" customBuiltin="1"/>
    <cellStyle name="콤마 [0]_ 2팀층별 " xfId="118"/>
    <cellStyle name="콤마_ 2팀층별 " xfId="119"/>
    <cellStyle name="표준_0N-HANDLING " xfId="120"/>
  </cellStyles>
  <dxfs count="67"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63"/>
      </font>
    </dxf>
    <dxf>
      <font>
        <condense val="0"/>
        <extend val="0"/>
        <color indexed="12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125A31"/>
      <rgbColor rgb="00E2E7E8"/>
      <rgbColor rgb="009DC9DC"/>
      <rgbColor rgb="00B2122B"/>
      <rgbColor rgb="00FC7114"/>
      <rgbColor rgb="00F8CD14"/>
      <rgbColor rgb="00003366"/>
      <rgbColor rgb="004091BF"/>
      <rgbColor rgb="00FCAE91"/>
      <rgbColor rgb="002270AB"/>
      <rgbColor rgb="00E3EEDE"/>
      <rgbColor rgb="0069ADCA"/>
      <rgbColor rgb="00CED5D7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800080"/>
      <rgbColor rgb="00FFFFCC"/>
      <rgbColor rgb="0097A5BB"/>
      <rgbColor rgb="00F7BEBF"/>
      <rgbColor rgb="00EFC1D2"/>
      <rgbColor rgb="00EFC49F"/>
      <rgbColor rgb="00ECD7B2"/>
      <rgbColor rgb="00A6DAC5"/>
      <rgbColor rgb="00C7E5BE"/>
      <rgbColor rgb="00A1D399"/>
      <rgbColor rgb="0041A95C"/>
      <rgbColor rgb="00E5EEF7"/>
      <rgbColor rgb="00238B45"/>
      <rgbColor rgb="001B4694"/>
      <rgbColor rgb="00C6D9E2"/>
      <rgbColor rgb="00969696"/>
      <rgbColor rgb="00FB9A7A"/>
      <rgbColor rgb="0074BE74"/>
      <rgbColor rgb="00EE7F81"/>
      <rgbColor rgb="00F26163"/>
      <rgbColor rgb="00FF0000"/>
      <rgbColor rgb="00A55628"/>
      <rgbColor rgb="00FDCDB8"/>
      <rgbColor rgb="000000F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worksheets/sheet12.xml" Type="http://schemas.openxmlformats.org/officeDocument/2006/relationships/worksheet"/>
<Relationship Id="rId13" Target="worksheets/sheet13.xml" Type="http://schemas.openxmlformats.org/officeDocument/2006/relationships/worksheet"/>
<Relationship Id="rId14" Target="worksheets/sheet14.xml" Type="http://schemas.openxmlformats.org/officeDocument/2006/relationships/worksheet"/>
<Relationship Id="rId15" Target="externalLinks/externalLink1.xml" Type="http://schemas.openxmlformats.org/officeDocument/2006/relationships/externalLink"/>
<Relationship Id="rId16" Target="externalLinks/externalLink2.xml" Type="http://schemas.openxmlformats.org/officeDocument/2006/relationships/externalLink"/>
<Relationship Id="rId17" Target="externalLinks/externalLink3.xml" Type="http://schemas.openxmlformats.org/officeDocument/2006/relationships/externalLink"/>
<Relationship Id="rId18" Target="externalLinks/externalLink4.xml" Type="http://schemas.openxmlformats.org/officeDocument/2006/relationships/externalLink"/>
<Relationship Id="rId19" Target="externalLinks/externalLink5.xml" Type="http://schemas.openxmlformats.org/officeDocument/2006/relationships/externalLink"/>
<Relationship Id="rId2" Target="worksheets/sheet2.xml" Type="http://schemas.openxmlformats.org/officeDocument/2006/relationships/worksheet"/>
<Relationship Id="rId20" Target="externalLinks/externalLink6.xml" Type="http://schemas.openxmlformats.org/officeDocument/2006/relationships/externalLink"/>
<Relationship Id="rId21" Target="externalLinks/externalLink7.xml" Type="http://schemas.openxmlformats.org/officeDocument/2006/relationships/externalLink"/>
<Relationship Id="rId22" Target="externalLinks/externalLink8.xml" Type="http://schemas.openxmlformats.org/officeDocument/2006/relationships/externalLink"/>
<Relationship Id="rId23" Target="externalLinks/externalLink9.xml" Type="http://schemas.openxmlformats.org/officeDocument/2006/relationships/externalLink"/>
<Relationship Id="rId24" Target="externalLinks/externalLink10.xml" Type="http://schemas.openxmlformats.org/officeDocument/2006/relationships/externalLink"/>
<Relationship Id="rId25" Target="externalLinks/externalLink11.xml" Type="http://schemas.openxmlformats.org/officeDocument/2006/relationships/externalLink"/>
<Relationship Id="rId26" Target="externalLinks/externalLink12.xml" Type="http://schemas.openxmlformats.org/officeDocument/2006/relationships/externalLink"/>
<Relationship Id="rId27" Target="externalLinks/externalLink13.xml" Type="http://schemas.openxmlformats.org/officeDocument/2006/relationships/externalLink"/>
<Relationship Id="rId28" Target="externalLinks/externalLink14.xml" Type="http://schemas.openxmlformats.org/officeDocument/2006/relationships/externalLink"/>
<Relationship Id="rId29" Target="theme/theme1.xml" Type="http://schemas.openxmlformats.org/officeDocument/2006/relationships/theme"/>
<Relationship Id="rId3" Target="worksheets/sheet3.xml" Type="http://schemas.openxmlformats.org/officeDocument/2006/relationships/worksheet"/>
<Relationship Id="rId30" Target="styles.xml" Type="http://schemas.openxmlformats.org/officeDocument/2006/relationships/styles"/>
<Relationship Id="rId31" Target="sharedStrings.xml" Type="http://schemas.openxmlformats.org/officeDocument/2006/relationships/sharedStrings"/>
<Relationship Id="rId32" Target="calcChain.xml" Type="http://schemas.openxmlformats.org/officeDocument/2006/relationships/calcChain"/>
<Relationship Id="rId33" Target="../customXml/item1.xml" Type="http://schemas.openxmlformats.org/officeDocument/2006/relationships/customXml"/>
<Relationship Id="rId34" Target="../customXml/item2.xml" Type="http://schemas.openxmlformats.org/officeDocument/2006/relationships/customXml"/>
<Relationship Id="rId35" Target="vbaProject.bin" Type="http://schemas.microsoft.com/office/2006/relationships/vbaProjec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4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5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6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7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8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9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10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181</xdr:row>
      <xdr:rowOff>0</xdr:rowOff>
    </xdr:from>
    <xdr:to>
      <xdr:col>7</xdr:col>
      <xdr:colOff>390525</xdr:colOff>
      <xdr:row>204</xdr:row>
      <xdr:rowOff>104775</xdr:rowOff>
    </xdr:to>
    <xdr:pic>
      <xdr:nvPicPr>
        <xdr:cNvPr id="5626881" name="Picture 1" descr="C:\Users\elliseth\AppData\Local\Temp\MercuryPriceRatingHistoryChart\PEG.N_2018_04_13_00_10_23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7749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2</xdr:row>
      <xdr:rowOff>133350</xdr:rowOff>
    </xdr:from>
    <xdr:to>
      <xdr:col>11</xdr:col>
      <xdr:colOff>495300</xdr:colOff>
      <xdr:row>4</xdr:row>
      <xdr:rowOff>19050</xdr:rowOff>
    </xdr:to>
    <xdr:pic>
      <xdr:nvPicPr>
        <xdr:cNvPr id="5140017" name="Picture 6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48375" y="657225"/>
          <a:ext cx="30003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71</xdr:col>
      <xdr:colOff>1562100</xdr:colOff>
      <xdr:row>1</xdr:row>
      <xdr:rowOff>85725</xdr:rowOff>
    </xdr:from>
    <xdr:to>
      <xdr:col>75</xdr:col>
      <xdr:colOff>495300</xdr:colOff>
      <xdr:row>2</xdr:row>
      <xdr:rowOff>180975</xdr:rowOff>
    </xdr:to>
    <xdr:pic>
      <xdr:nvPicPr>
        <xdr:cNvPr id="5614757" name="Picture 6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63300" y="276225"/>
          <a:ext cx="30003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88</xdr:col>
      <xdr:colOff>123825</xdr:colOff>
      <xdr:row>1</xdr:row>
      <xdr:rowOff>47625</xdr:rowOff>
    </xdr:from>
    <xdr:to>
      <xdr:col>118</xdr:col>
      <xdr:colOff>238125</xdr:colOff>
      <xdr:row>2</xdr:row>
      <xdr:rowOff>142875</xdr:rowOff>
    </xdr:to>
    <xdr:pic>
      <xdr:nvPicPr>
        <xdr:cNvPr id="5141041" name="Picture 6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92025" y="238125"/>
          <a:ext cx="30003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0</xdr:colOff>
      <xdr:row>1</xdr:row>
      <xdr:rowOff>57150</xdr:rowOff>
    </xdr:from>
    <xdr:to>
      <xdr:col>43</xdr:col>
      <xdr:colOff>590550</xdr:colOff>
      <xdr:row>2</xdr:row>
      <xdr:rowOff>133350</xdr:rowOff>
    </xdr:to>
    <xdr:pic>
      <xdr:nvPicPr>
        <xdr:cNvPr id="5106271" name="Picture 14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05450" y="257175"/>
          <a:ext cx="29908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19050</xdr:colOff>
      <xdr:row>1</xdr:row>
      <xdr:rowOff>57150</xdr:rowOff>
    </xdr:from>
    <xdr:to>
      <xdr:col>53</xdr:col>
      <xdr:colOff>600075</xdr:colOff>
      <xdr:row>2</xdr:row>
      <xdr:rowOff>142875</xdr:rowOff>
    </xdr:to>
    <xdr:pic>
      <xdr:nvPicPr>
        <xdr:cNvPr id="5533995" name="Picture 30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4175" y="247650"/>
          <a:ext cx="298132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19050</xdr:colOff>
      <xdr:row>1</xdr:row>
      <xdr:rowOff>28575</xdr:rowOff>
    </xdr:from>
    <xdr:to>
      <xdr:col>54</xdr:col>
      <xdr:colOff>0</xdr:colOff>
      <xdr:row>2</xdr:row>
      <xdr:rowOff>114300</xdr:rowOff>
    </xdr:to>
    <xdr:pic>
      <xdr:nvPicPr>
        <xdr:cNvPr id="5422644" name="Picture 4209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4175" y="219075"/>
          <a:ext cx="298132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19050</xdr:colOff>
      <xdr:row>1</xdr:row>
      <xdr:rowOff>85725</xdr:rowOff>
    </xdr:from>
    <xdr:to>
      <xdr:col>53</xdr:col>
      <xdr:colOff>600075</xdr:colOff>
      <xdr:row>2</xdr:row>
      <xdr:rowOff>171450</xdr:rowOff>
    </xdr:to>
    <xdr:pic>
      <xdr:nvPicPr>
        <xdr:cNvPr id="5626977" name="Picture 16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4175" y="276225"/>
          <a:ext cx="298132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142875</xdr:colOff>
      <xdr:row>1</xdr:row>
      <xdr:rowOff>85725</xdr:rowOff>
    </xdr:from>
    <xdr:to>
      <xdr:col>9</xdr:col>
      <xdr:colOff>342900</xdr:colOff>
      <xdr:row>2</xdr:row>
      <xdr:rowOff>180975</xdr:rowOff>
    </xdr:to>
    <xdr:pic>
      <xdr:nvPicPr>
        <xdr:cNvPr id="5126724" name="Picture 1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0" y="276225"/>
          <a:ext cx="300990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342900</xdr:colOff>
      <xdr:row>0</xdr:row>
      <xdr:rowOff>133350</xdr:rowOff>
    </xdr:from>
    <xdr:to>
      <xdr:col>24</xdr:col>
      <xdr:colOff>438150</xdr:colOff>
      <xdr:row>1</xdr:row>
      <xdr:rowOff>180975</xdr:rowOff>
    </xdr:to>
    <xdr:pic>
      <xdr:nvPicPr>
        <xdr:cNvPr id="5142065" name="Picture 1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0" y="133350"/>
          <a:ext cx="30003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file://///msad/root/na/ny/users/johndasc/Docs/ID/Charts/Chart_Gallery/From%20Vlad/B11_BarSingle_AverageLine.xls" TargetMode="External" Type="http://schemas.openxmlformats.org/officeDocument/2006/relationships/externalLinkPath"/>
</Relationships>

</file>

<file path=xl/externalLinks/_rels/externalLink2.xml.rels><?xml version="1.0" encoding="UTF-8" standalone="yes"?>
<Relationships xmlns="http://schemas.openxmlformats.org/package/2006/relationships">
<Relationship Id="rId1" Target="file://///msad/root/NA/NY/LIB/ER/UTILITIES/Models/Rebuild/NVE/NVE%2010.4.11.xls" TargetMode="External" Type="http://schemas.openxmlformats.org/officeDocument/2006/relationships/externalLinkPath"/>
</Relationships>

</file>

<file path=xl/externalLinks/_rels/externalLink3.xml.rels><?xml version="1.0" encoding="UTF-8" standalone="yes"?>
<Relationships xmlns="http://schemas.openxmlformats.org/package/2006/relationships">
<Relationship Id="rId1" Target="file://///msad/root/NA/NY/LIB/ER/UTILITIES/Models/Rebuild/NVE/NVE%20Model%2011.14.11.xls" TargetMode="External" Type="http://schemas.openxmlformats.org/officeDocument/2006/relationships/externalLinkPath"/>
</Relationships>

</file>

<file path=xl/externalLinks/_rels/externalLink4.xml.rels><?xml version="1.0" encoding="UTF-8" standalone="yes"?>
<Relationships xmlns="http://schemas.openxmlformats.org/package/2006/relationships">
<Relationship Id="rId1" Target="UTILITIES/Models/CPN/CPN%20Model%2011.6.12%20WIP%20v2.xls" TargetMode="External" Type="http://schemas.microsoft.com/office/2006/relationships/xlExternalLinkPath/xlStartup"/>
</Relationships>

</file>

<file path=xl/externalLinks/_rels/externalLink5.xml.rels><?xml version="1.0" encoding="UTF-8" standalone="yes"?>
<Relationships xmlns="http://schemas.openxmlformats.org/package/2006/relationships">
<Relationship Id="rId1" Target="UTILITIES/Models/Rebuild/EIX/EMG%205.xls" TargetMode="External" Type="http://schemas.microsoft.com/office/2006/relationships/xlExternalLinkPath/xlStartup"/>
</Relationships>

</file>

<file path=xl/externalLinks/_rels/externalLink6.xml.rels><?xml version="1.0" encoding="UTF-8" standalone="yes"?>
<Relationships xmlns="http://schemas.openxmlformats.org/package/2006/relationships">
<Relationship Id="rId1" Target="C/UTILITY/Power/Utilities/WEC/Models/Initiation/Previous%20JPM%20WEC%20Model%2007%20Apr%2004.xls" TargetMode="External" Type="http://schemas.microsoft.com/office/2006/relationships/xlExternalLinkPath/xlStartup"/>
</Relationships>

</file>

<file path=xl/externalLinks/_rels/externalLink7.xml.rels><?xml version="1.0" encoding="UTF-8" standalone="yes"?>
<Relationships xmlns="http://schemas.openxmlformats.org/package/2006/relationships">
<Relationship Id="rId1" Target="C/UTILITY/Power/Models/Working/PNW%20Model%20Jen.xls" TargetMode="External" Type="http://schemas.microsoft.com/office/2006/relationships/xlExternalLinkPath/xlStartup"/>
</Relationships>

</file>

<file path=xl/externalLinks/_rels/externalLink8.xml.rels><?xml version="1.0" encoding="UTF-8" standalone="yes"?>
<Relationships xmlns="http://schemas.openxmlformats.org/package/2006/relationships">
<Relationship Id="rId1" Target="Volumes/NO%20NAME/UTILITY/Power/Utilities/WEC/Models/Initiation/Previous%20JPM%20WEC%20Model%2007%20Apr%2004.xls" TargetMode="External" Type="http://schemas.microsoft.com/office/2006/relationships/xlExternalLinkPath/xlStartup"/>
</Relationships>

</file>

<file path=xl/externalLinks/_rels/externalLink9.xml.rels><?xml version="1.0" encoding="UTF-8" standalone="yes"?>
<Relationships xmlns="http://schemas.openxmlformats.org/package/2006/relationships">
<Relationship Id="rId1" Target="c1" TargetMode="External" Type="http://schemas.microsoft.com/office/2006/relationships/xlExternalLinkPath/xlPathMissing"/>
</Relationships>

</file>

<file path=xl/externalLinks/_rels/externalLink10.xml.rels><?xml version="1.0" encoding="UTF-8" standalone="yes"?>
<Relationships xmlns="http://schemas.openxmlformats.org/package/2006/relationships">
<Relationship Id="rId1" Target="file://///consltdb3/JOBS/F/RefCase%20Spring%202006/Northeast/Report/Tables&amp;Figures/Table%205-4%20Northeast%20Market%20Area%20Summary.xls" TargetMode="External" Type="http://schemas.openxmlformats.org/officeDocument/2006/relationships/externalLinkPath"/>
</Relationships>

</file>

<file path=xl/externalLinks/_rels/externalLink11.xml.rels><?xml version="1.0" encoding="UTF-8" standalone="yes"?>
<Relationships xmlns="http://schemas.openxmlformats.org/package/2006/relationships">
<Relationship Id="rId1" Target="UTILITIES/Price%20Deck/MS%20New%20Price%20Deck%20122811.xls" TargetMode="External" Type="http://schemas.microsoft.com/office/2006/relationships/xlExternalLinkPath/xlStartup"/>
</Relationships>

</file>

<file path=xl/externalLinks/_rels/externalLink12.xml.rels><?xml version="1.0" encoding="UTF-8" standalone="yes"?>
<Relationships xmlns="http://schemas.openxmlformats.org/package/2006/relationships">
<Relationship Id="rId1" Target="Price%20Deck/MS%20New%20Price%20Deck%20100711.xls" TargetMode="External" Type="http://schemas.microsoft.com/office/2006/relationships/xlExternalLinkPath/xlStartup"/>
</Relationships>

</file>

<file path=xl/externalLinks/_rels/externalLink13.xml.rels><?xml version="1.0" encoding="UTF-8" standalone="yes"?>
<Relationships xmlns="http://schemas.openxmlformats.org/package/2006/relationships">
<Relationship Id="rId1" Target="Program%20Files/MSERXlAddins/Model/ERModelPublish.xla" TargetMode="External" Type="http://schemas.microsoft.com/office/2006/relationships/xlExternalLinkPath/xlStartup"/>
</Relationships>

</file>

<file path=xl/externalLinks/_rels/externalLink14.xml.rels><?xml version="1.0" encoding="UTF-8" standalone="yes"?>
<Relationships xmlns="http://schemas.openxmlformats.org/package/2006/relationships">
<Relationship Id="rId1" Target="TEMPLATE/Excel/LINKTAB.XLS" TargetMode="External" Type="http://schemas.microsoft.com/office/2006/relationships/xlExternalLinkPath/xl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Cash Flow"/>
      <sheetName val="upside_downside"/>
      <sheetName val="Income Statement"/>
      <sheetName val="Balance Sheet"/>
      <sheetName val="RI"/>
      <sheetName val="BULLBEAR"/>
      <sheetName val="Sheet2"/>
      <sheetName val="DCF"/>
      <sheetName val="MWA RR"/>
      <sheetName val="NonQtr"/>
      <sheetName val="REVENUE BY GEOGRAPHY"/>
      <sheetName val="Data 20d"/>
      <sheetName val="Data"/>
      <sheetName val="Risk-Reward_View_Chart"/>
      <sheetName val="Valsum"/>
      <sheetName val="Interims"/>
      <sheetName val="Financial Statements"/>
      <sheetName val="Inputs"/>
      <sheetName val="Good 12-00 (2)"/>
      <sheetName val="Good 11-36"/>
      <sheetName val="Good 11-50"/>
      <sheetName val="Sheet3 (5)"/>
      <sheetName val="FX"/>
      <sheetName val="Summary"/>
      <sheetName val="Floater Demand"/>
      <sheetName val="CPB"/>
      <sheetName val="Total_Food_Promo"/>
      <sheetName val="CPB_2yr"/>
      <sheetName val="B11_BarSingle_AverageLine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WP Detail "/>
      <sheetName val="Model"/>
      <sheetName val="Sheet4"/>
      <sheetName val="ForeignStake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rev change analysis"/>
      <sheetName val="rev contribution analysi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  <sheetName val=" Capital"/>
      <sheetName val="New Business"/>
      <sheetName val="Basket_June09_2010"/>
      <sheetName val="C1070"/>
      <sheetName val="Basket_Jan09"/>
      <sheetName val="Basket_2010"/>
      <sheetName val="Inflation v Price 6mth lag"/>
      <sheetName val="Basket_2011"/>
      <sheetName val="Basket_June09"/>
      <sheetName val="Basket_June09_Futures"/>
      <sheetName val="Commodities Exposure"/>
      <sheetName val="Charts"/>
      <sheetName val="Pension"/>
      <sheetName val="Walk"/>
      <sheetName val="Chart 6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Valuation Summary"/>
      <sheetName val="__FDSCACHE__"/>
      <sheetName val="Financial Summary"/>
      <sheetName val="NVE - Consolidated"/>
      <sheetName val="Nevada Power"/>
      <sheetName val="Sierra Power"/>
      <sheetName val="Parent"/>
      <sheetName val="Debt"/>
      <sheetName val="EPS Walk"/>
      <sheetName val="MWA RR"/>
      <sheetName val="Note Tables"/>
      <sheetName val="mwareDates"/>
      <sheetName val="Capex Chart"/>
      <sheetName val="FCF-Div. Working Chart"/>
      <sheetName val="MW FDS"/>
      <sheetName val="mwareSettings"/>
      <sheetName val="MW-Cache"/>
      <sheetName val="Summary"/>
      <sheetName val="misc"/>
      <sheetName val="Margi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">
          <cell r="A1" t="str">
            <v>RRS-5.13</v>
          </cell>
          <cell r="D1" t="str">
            <v>RISK-REWARD SNAPSHOT
(You must upload your model to ModelWare to capture changes to your scenario values and NOT delete this worksheet.)</v>
          </cell>
          <cell r="I1" t="str">
            <v>Select Language</v>
          </cell>
          <cell r="N1" t="str">
            <v>http://ChartGallery</v>
          </cell>
          <cell r="O1" t="str">
            <v>http://ChartGallery</v>
          </cell>
          <cell r="AA1" t="str">
            <v>ElementName</v>
          </cell>
          <cell r="AB1" t="str">
            <v>ScaleOverride</v>
          </cell>
          <cell r="AC1" t="str">
            <v>UnitOverride</v>
          </cell>
          <cell r="AD1" t="str">
            <v>ReverseSign</v>
          </cell>
          <cell r="AE1" t="str">
            <v>IsDrivingAssumption</v>
          </cell>
          <cell r="AF1" t="str">
            <v>SegmentID</v>
          </cell>
        </row>
        <row r="2">
          <cell r="B2" t="str">
            <v>Instructions:</v>
          </cell>
          <cell r="G2" t="str">
            <v>Is refreshing chart data too slow? Read below to improve performance.</v>
          </cell>
          <cell r="AQ2" t="str">
            <v>Refer to cell G2 to learn about improving chart refresh performance</v>
          </cell>
        </row>
        <row r="4">
          <cell r="B4" t="str">
            <v>Ticker:</v>
          </cell>
          <cell r="C4" t="str">
            <v>NVE.N</v>
          </cell>
          <cell r="E4" t="str">
            <v>Company Name:</v>
          </cell>
          <cell r="F4" t="str">
            <v>NV Energy Inc.</v>
          </cell>
          <cell r="I4" t="str">
            <v>Sedol:</v>
          </cell>
          <cell r="J4">
            <v>244379</v>
          </cell>
          <cell r="K4" t="str">
            <v>NA</v>
          </cell>
        </row>
        <row r="5">
          <cell r="B5" t="str">
            <v xml:space="preserve">Chart Data Inputs (decimal formats will reflect on chart): </v>
          </cell>
          <cell r="H5" t="str">
            <v>Risk Reward Chart Gallery 
(Click on the below image for other Risk-Reward Charts)</v>
          </cell>
        </row>
        <row r="6">
          <cell r="B6" t="str">
            <v>Bull Case</v>
          </cell>
          <cell r="C6">
            <v>17.5</v>
          </cell>
          <cell r="AA6" t="str">
            <v>mstag:bullCaseValueEstimatePerShare</v>
          </cell>
          <cell r="AB6">
            <v>0</v>
          </cell>
          <cell r="AC6" t="str">
            <v>ISO4217:USD</v>
          </cell>
          <cell r="AD6" t="b">
            <v>0</v>
          </cell>
        </row>
        <row r="7">
          <cell r="B7" t="str">
            <v>Base Case</v>
          </cell>
          <cell r="C7">
            <v>16.5</v>
          </cell>
          <cell r="AA7" t="str">
            <v>mstag:met_12monthIntrinsicValueEstimate</v>
          </cell>
          <cell r="AB7">
            <v>0</v>
          </cell>
          <cell r="AC7" t="str">
            <v>ISO4217:USD</v>
          </cell>
          <cell r="AD7" t="b">
            <v>0</v>
          </cell>
        </row>
        <row r="8">
          <cell r="B8" t="str">
            <v>Bear Case</v>
          </cell>
          <cell r="C8">
            <v>14</v>
          </cell>
          <cell r="K8" t="str">
            <v>日本語</v>
          </cell>
          <cell r="M8" t="str">
            <v>-</v>
          </cell>
          <cell r="AA8" t="str">
            <v>mstag:bearCaseValueEstimatePerShare</v>
          </cell>
          <cell r="AB8">
            <v>0</v>
          </cell>
          <cell r="AC8" t="str">
            <v>ISO4217:USD</v>
          </cell>
          <cell r="AD8" t="b">
            <v>0</v>
          </cell>
        </row>
        <row r="9">
          <cell r="B9" t="str">
            <v>Extreme Upside</v>
          </cell>
          <cell r="K9" t="str">
            <v>English</v>
          </cell>
          <cell r="L9" t="str">
            <v>年</v>
          </cell>
          <cell r="M9" t="str">
            <v>月</v>
          </cell>
          <cell r="N9" t="str">
            <v>-</v>
          </cell>
          <cell r="AA9" t="str">
            <v>mstag:extremeBullCaseValueEstimatePerShare</v>
          </cell>
          <cell r="AB9">
            <v>0</v>
          </cell>
          <cell r="AC9" t="str">
            <v>ISO4217:USD</v>
          </cell>
          <cell r="AD9" t="b">
            <v>0</v>
          </cell>
          <cell r="AH9" t="str">
            <v>Other Refresh Chart Option</v>
          </cell>
        </row>
        <row r="10">
          <cell r="B10" t="str">
            <v>Extreme Downside</v>
          </cell>
          <cell r="O10" t="b">
            <v>0</v>
          </cell>
          <cell r="AA10" t="str">
            <v>mstag:extremeBearCaseValueEstimatePerShare</v>
          </cell>
          <cell r="AB10">
            <v>0</v>
          </cell>
          <cell r="AC10" t="str">
            <v>ISO4217:USD</v>
          </cell>
          <cell r="AD10" t="b">
            <v>0</v>
          </cell>
        </row>
        <row r="11">
          <cell r="B11" t="str">
            <v>Price Target</v>
          </cell>
          <cell r="O11" t="b">
            <v>1</v>
          </cell>
        </row>
        <row r="12">
          <cell r="B12" t="str">
            <v>Currency</v>
          </cell>
          <cell r="C12" t="str">
            <v>USD American Dollar</v>
          </cell>
          <cell r="F12">
            <v>0</v>
          </cell>
        </row>
        <row r="13">
          <cell r="B13" t="str">
            <v>Currency Symbol</v>
          </cell>
          <cell r="C13" t="str">
            <v>$</v>
          </cell>
          <cell r="F13">
            <v>0</v>
          </cell>
          <cell r="I13" t="str">
            <v xml:space="preserve">WARNINGDONOTEDIT_RRS4RL~NVE.N~ </v>
          </cell>
        </row>
        <row r="14">
          <cell r="B14" t="str">
            <v>"Refresh RR Chart" updates chart dates below, as of today. If your PT time horizon is &gt; 1yr. or price history is &lt; 2yrs., adjust Start/End dates and select "Apply Manually Adjusted Dates" option.</v>
          </cell>
        </row>
        <row r="15">
          <cell r="B15" t="str">
            <v>Start Date (-2 Yrs)</v>
          </cell>
          <cell r="C15">
            <v>40050</v>
          </cell>
          <cell r="E15" t="str">
            <v>NA</v>
          </cell>
          <cell r="F15" t="str">
            <v>USD</v>
          </cell>
        </row>
        <row r="16">
          <cell r="B16" t="str">
            <v>End Date (+1 Yr)</v>
          </cell>
          <cell r="C16">
            <v>41146</v>
          </cell>
          <cell r="E16" t="str">
            <v>NA</v>
          </cell>
          <cell r="F16" t="str">
            <v>USD</v>
          </cell>
        </row>
        <row r="17">
          <cell r="B17">
            <v>14.35</v>
          </cell>
          <cell r="C17" t="str">
            <v>Hand entert Share Price</v>
          </cell>
          <cell r="H17" t="str">
            <v>2007-FY</v>
          </cell>
        </row>
        <row r="18">
          <cell r="B18" t="b">
            <v>0</v>
          </cell>
          <cell r="C18">
            <v>40780</v>
          </cell>
        </row>
        <row r="19">
          <cell r="C19" t="str">
            <v>2009-FY</v>
          </cell>
        </row>
        <row r="34">
          <cell r="A34" t="str">
            <v>BullCase</v>
          </cell>
        </row>
        <row r="52">
          <cell r="A52">
            <v>41146</v>
          </cell>
          <cell r="B52">
            <v>764</v>
          </cell>
          <cell r="N52" t="str">
            <v>Aug-12</v>
          </cell>
          <cell r="R52" t="b">
            <v>1</v>
          </cell>
        </row>
        <row r="53">
          <cell r="A53" t="str">
            <v>Header</v>
          </cell>
          <cell r="B53" t="str">
            <v>Date</v>
          </cell>
          <cell r="C53" t="str">
            <v>Past/Future</v>
          </cell>
          <cell r="D53" t="str">
            <v>Historical Stock Performance</v>
          </cell>
          <cell r="E53" t="str">
            <v>Extreme Upside Cone</v>
          </cell>
          <cell r="F53" t="str">
            <v>Blue Cone</v>
          </cell>
          <cell r="G53" t="str">
            <v>Extreme Downside Cone</v>
          </cell>
          <cell r="H53" t="str">
            <v>White Mask</v>
          </cell>
          <cell r="I53" t="str">
            <v>Current Stock Price</v>
          </cell>
          <cell r="J53" t="str">
            <v>Extreme Upside Price(Aug-12)</v>
          </cell>
          <cell r="K53" t="str">
            <v>Bull Price(Aug-12)</v>
          </cell>
          <cell r="L53" t="str">
            <v>Bear Price(Aug-12)</v>
          </cell>
          <cell r="M53" t="str">
            <v>Extreme Downside Price(Aug-12)</v>
          </cell>
          <cell r="N53" t="str">
            <v>Base Case  (Aug-12)</v>
          </cell>
          <cell r="O53" t="str">
            <v>Gray Line</v>
          </cell>
          <cell r="P53" t="str">
            <v>Prices</v>
          </cell>
          <cell r="Q53" t="str">
            <v>Volume</v>
          </cell>
          <cell r="R53" t="str">
            <v>Base Case(Aug-12)</v>
          </cell>
          <cell r="S53" t="str">
            <v>Header Row</v>
          </cell>
          <cell r="T53">
            <v>53</v>
          </cell>
          <cell r="U53">
            <v>0</v>
          </cell>
          <cell r="AI53" t="str">
            <v xml:space="preserve">Display </v>
          </cell>
          <cell r="AJ53" t="str">
            <v>Symbol</v>
          </cell>
          <cell r="AK53" t="str">
            <v>Unit</v>
          </cell>
          <cell r="AL53" t="str">
            <v>FactsetUnit</v>
          </cell>
          <cell r="AM53" t="str">
            <v>Right alligned</v>
          </cell>
          <cell r="AN53" t="str">
            <v>Display 2 Decimal Places for Currency Amount</v>
          </cell>
        </row>
        <row r="54">
          <cell r="A54">
            <v>40050</v>
          </cell>
          <cell r="B54">
            <v>40050</v>
          </cell>
          <cell r="C54" t="str">
            <v>Past</v>
          </cell>
          <cell r="D54">
            <v>12.21</v>
          </cell>
          <cell r="E54" t="e">
            <v>#N/A</v>
          </cell>
          <cell r="F54" t="e">
            <v>#N/A</v>
          </cell>
          <cell r="G54" t="e">
            <v>#N/A</v>
          </cell>
          <cell r="H54" t="e">
            <v>#N/A</v>
          </cell>
          <cell r="I54" t="e">
            <v>#N/A</v>
          </cell>
          <cell r="J54" t="e">
            <v>#N/A</v>
          </cell>
          <cell r="K54" t="e">
            <v>#N/A</v>
          </cell>
          <cell r="L54" t="e">
            <v>#N/A</v>
          </cell>
          <cell r="M54" t="e">
            <v>#N/A</v>
          </cell>
          <cell r="N54" t="e">
            <v>#N/A</v>
          </cell>
          <cell r="O54" t="e">
            <v>#N/A</v>
          </cell>
          <cell r="P54">
            <v>12.21</v>
          </cell>
          <cell r="Q54">
            <v>1.3155129999999999</v>
          </cell>
          <cell r="R54" t="e">
            <v>#N/A</v>
          </cell>
          <cell r="S54" t="str">
            <v>Count</v>
          </cell>
          <cell r="T54">
            <v>764</v>
          </cell>
          <cell r="U54">
            <v>17.5</v>
          </cell>
          <cell r="AI54" t="str">
            <v>AED UAE Dirham</v>
          </cell>
          <cell r="AJ54" t="str">
            <v>AED</v>
          </cell>
          <cell r="AK54" t="str">
            <v>AED</v>
          </cell>
          <cell r="AL54" t="str">
            <v>AED</v>
          </cell>
          <cell r="AM54">
            <v>0</v>
          </cell>
          <cell r="AN54">
            <v>2</v>
          </cell>
        </row>
        <row r="55">
          <cell r="A55">
            <v>40051</v>
          </cell>
          <cell r="B55">
            <v>40051</v>
          </cell>
          <cell r="C55" t="str">
            <v>Past</v>
          </cell>
          <cell r="D55">
            <v>12.3</v>
          </cell>
          <cell r="E55" t="e">
            <v>#N/A</v>
          </cell>
          <cell r="F55" t="e">
            <v>#N/A</v>
          </cell>
          <cell r="G55" t="e">
            <v>#N/A</v>
          </cell>
          <cell r="H55" t="e">
            <v>#N/A</v>
          </cell>
          <cell r="I55" t="e">
            <v>#N/A</v>
          </cell>
          <cell r="J55" t="e">
            <v>#N/A</v>
          </cell>
          <cell r="K55" t="e">
            <v>#N/A</v>
          </cell>
          <cell r="L55" t="e">
            <v>#N/A</v>
          </cell>
          <cell r="M55" t="e">
            <v>#N/A</v>
          </cell>
          <cell r="N55" t="e">
            <v>#N/A</v>
          </cell>
          <cell r="O55" t="e">
            <v>#N/A</v>
          </cell>
          <cell r="P55">
            <v>12.3</v>
          </cell>
          <cell r="Q55">
            <v>1.131678</v>
          </cell>
          <cell r="R55" t="e">
            <v>#N/A</v>
          </cell>
          <cell r="S55" t="str">
            <v>Curr Price</v>
          </cell>
          <cell r="T55">
            <v>14.35</v>
          </cell>
          <cell r="U55">
            <v>506</v>
          </cell>
          <cell r="V55">
            <v>55.094300000000004</v>
          </cell>
          <cell r="AI55" t="str">
            <v>ARS Argentinian Pesos</v>
          </cell>
          <cell r="AJ55" t="str">
            <v>Ar$</v>
          </cell>
          <cell r="AK55" t="str">
            <v>ARS</v>
          </cell>
          <cell r="AL55" t="str">
            <v>ARS</v>
          </cell>
          <cell r="AM55">
            <v>0</v>
          </cell>
          <cell r="AN55">
            <v>2</v>
          </cell>
        </row>
        <row r="56">
          <cell r="A56">
            <v>40052</v>
          </cell>
          <cell r="B56">
            <v>40052</v>
          </cell>
          <cell r="C56" t="str">
            <v>Past</v>
          </cell>
          <cell r="D56">
            <v>12.22</v>
          </cell>
          <cell r="E56" t="e">
            <v>#N/A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>
            <v>12.22</v>
          </cell>
          <cell r="Q56">
            <v>0.87458399999999992</v>
          </cell>
          <cell r="R56" t="e">
            <v>#N/A</v>
          </cell>
          <cell r="S56" t="str">
            <v>Curr Price Date</v>
          </cell>
          <cell r="T56">
            <v>40780</v>
          </cell>
          <cell r="U56">
            <v>40519.771412037036</v>
          </cell>
          <cell r="AI56" t="str">
            <v>AUD Australian Dollar</v>
          </cell>
          <cell r="AJ56" t="str">
            <v>A$</v>
          </cell>
          <cell r="AK56" t="str">
            <v>AUD</v>
          </cell>
          <cell r="AL56" t="str">
            <v>AUD</v>
          </cell>
          <cell r="AM56">
            <v>0</v>
          </cell>
          <cell r="AN56">
            <v>2</v>
          </cell>
        </row>
        <row r="57">
          <cell r="A57">
            <v>40053</v>
          </cell>
          <cell r="B57">
            <v>40053</v>
          </cell>
          <cell r="C57" t="str">
            <v>Past</v>
          </cell>
          <cell r="D57">
            <v>12.22</v>
          </cell>
          <cell r="E57" t="e">
            <v>#N/A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>
            <v>12.22</v>
          </cell>
          <cell r="Q57">
            <v>1.1191689999999999</v>
          </cell>
          <cell r="R57" t="e">
            <v>#N/A</v>
          </cell>
          <cell r="S57" t="str">
            <v>Bull-Curr</v>
          </cell>
          <cell r="T57">
            <v>3.1500000000000004</v>
          </cell>
          <cell r="U57">
            <v>1.2162162162162163E-2</v>
          </cell>
          <cell r="AI57" t="str">
            <v>BGL Bulgarian levs</v>
          </cell>
          <cell r="AJ57" t="str">
            <v>BGL</v>
          </cell>
          <cell r="AK57" t="str">
            <v>BGL</v>
          </cell>
          <cell r="AL57" t="str">
            <v>BGN</v>
          </cell>
          <cell r="AM57">
            <v>0</v>
          </cell>
          <cell r="AN57">
            <v>2</v>
          </cell>
        </row>
        <row r="58">
          <cell r="A58">
            <v>40056</v>
          </cell>
          <cell r="B58">
            <v>40056</v>
          </cell>
          <cell r="C58" t="str">
            <v>Past</v>
          </cell>
          <cell r="D58">
            <v>12.06</v>
          </cell>
          <cell r="E58" t="e">
            <v>#N/A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>
            <v>12.06</v>
          </cell>
          <cell r="Q58">
            <v>1.369715</v>
          </cell>
          <cell r="R58" t="e">
            <v>#N/A</v>
          </cell>
          <cell r="S58" t="str">
            <v>Upp-Cur</v>
          </cell>
          <cell r="T58">
            <v>-14.35</v>
          </cell>
          <cell r="U58">
            <v>-5.5405405405405402E-2</v>
          </cell>
          <cell r="AI58" t="str">
            <v>BMD Bermudan Dollars</v>
          </cell>
          <cell r="AJ58" t="str">
            <v>BMD</v>
          </cell>
          <cell r="AK58" t="str">
            <v>BMD</v>
          </cell>
          <cell r="AL58" t="str">
            <v>BMD</v>
          </cell>
          <cell r="AM58">
            <v>0</v>
          </cell>
          <cell r="AN58">
            <v>2</v>
          </cell>
        </row>
        <row r="59">
          <cell r="A59">
            <v>40057</v>
          </cell>
          <cell r="B59">
            <v>40057</v>
          </cell>
          <cell r="C59" t="str">
            <v>Past</v>
          </cell>
          <cell r="D59">
            <v>11.93</v>
          </cell>
          <cell r="E59" t="e">
            <v>#N/A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>
            <v>11.93</v>
          </cell>
          <cell r="Q59">
            <v>1.273631</v>
          </cell>
          <cell r="R59" t="e">
            <v>#N/A</v>
          </cell>
          <cell r="S59" t="str">
            <v>Curr-Bear</v>
          </cell>
          <cell r="T59">
            <v>0.34999999999999964</v>
          </cell>
          <cell r="U59">
            <v>1.3513513513513499E-3</v>
          </cell>
          <cell r="AI59" t="str">
            <v>BRL Brazilian Real</v>
          </cell>
          <cell r="AJ59" t="str">
            <v>R$</v>
          </cell>
          <cell r="AK59" t="str">
            <v>BRL</v>
          </cell>
          <cell r="AL59" t="str">
            <v>BRL</v>
          </cell>
          <cell r="AM59">
            <v>0</v>
          </cell>
          <cell r="AN59">
            <v>2</v>
          </cell>
        </row>
        <row r="60">
          <cell r="A60">
            <v>40058</v>
          </cell>
          <cell r="B60">
            <v>40058</v>
          </cell>
          <cell r="C60" t="str">
            <v>Past</v>
          </cell>
          <cell r="D60">
            <v>11.86</v>
          </cell>
          <cell r="E60" t="e">
            <v>#N/A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>
            <v>11.86</v>
          </cell>
          <cell r="Q60">
            <v>0.99380199999999996</v>
          </cell>
          <cell r="R60" t="e">
            <v>#N/A</v>
          </cell>
          <cell r="S60" t="str">
            <v>Curr-Lower</v>
          </cell>
          <cell r="T60">
            <v>14.35</v>
          </cell>
          <cell r="U60">
            <v>5.5405405405405402E-2</v>
          </cell>
          <cell r="AI60" t="str">
            <v>CAD Canadian Dollars</v>
          </cell>
          <cell r="AJ60" t="str">
            <v>C$</v>
          </cell>
          <cell r="AK60" t="str">
            <v>CAD</v>
          </cell>
          <cell r="AL60" t="str">
            <v>CAD</v>
          </cell>
          <cell r="AM60">
            <v>0</v>
          </cell>
          <cell r="AN60">
            <v>2</v>
          </cell>
        </row>
        <row r="61">
          <cell r="A61">
            <v>40059</v>
          </cell>
          <cell r="B61">
            <v>40059</v>
          </cell>
          <cell r="C61" t="str">
            <v>Past</v>
          </cell>
          <cell r="D61">
            <v>11.82</v>
          </cell>
          <cell r="E61" t="e">
            <v>#N/A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>
            <v>11.82</v>
          </cell>
          <cell r="Q61">
            <v>1.1897</v>
          </cell>
          <cell r="R61" t="e">
            <v>#N/A</v>
          </cell>
          <cell r="S61" t="str">
            <v>PriceFoundAt</v>
          </cell>
          <cell r="T61">
            <v>506</v>
          </cell>
          <cell r="AI61" t="str">
            <v>CHF Swiss Francs</v>
          </cell>
          <cell r="AJ61" t="str">
            <v>SFr</v>
          </cell>
          <cell r="AK61" t="str">
            <v>CHF</v>
          </cell>
          <cell r="AL61" t="str">
            <v>CHF</v>
          </cell>
          <cell r="AM61">
            <v>0</v>
          </cell>
          <cell r="AN61">
            <v>2</v>
          </cell>
        </row>
        <row r="62">
          <cell r="A62">
            <v>40060</v>
          </cell>
          <cell r="B62">
            <v>40060</v>
          </cell>
          <cell r="C62" t="str">
            <v>Past</v>
          </cell>
          <cell r="D62">
            <v>11.81</v>
          </cell>
          <cell r="E62" t="e">
            <v>#N/A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>
            <v>11.81</v>
          </cell>
          <cell r="Q62">
            <v>1.1005549999999999</v>
          </cell>
          <cell r="R62" t="e">
            <v>#N/A</v>
          </cell>
          <cell r="S62" t="str">
            <v>Starting Point</v>
          </cell>
          <cell r="T62">
            <v>559</v>
          </cell>
          <cell r="AI62" t="str">
            <v>CLP Chilean Pesos</v>
          </cell>
          <cell r="AJ62" t="str">
            <v>CLP</v>
          </cell>
          <cell r="AK62" t="str">
            <v>CLP</v>
          </cell>
          <cell r="AL62" t="str">
            <v>CLP</v>
          </cell>
          <cell r="AM62">
            <v>0</v>
          </cell>
          <cell r="AN62">
            <v>2</v>
          </cell>
        </row>
        <row r="63">
          <cell r="A63">
            <v>40064</v>
          </cell>
          <cell r="B63">
            <v>40064</v>
          </cell>
          <cell r="C63" t="str">
            <v>Past</v>
          </cell>
          <cell r="D63">
            <v>11.83</v>
          </cell>
          <cell r="E63" t="e">
            <v>#N/A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>
            <v>11.83</v>
          </cell>
          <cell r="Q63">
            <v>1.2291809999999999</v>
          </cell>
          <cell r="R63" t="e">
            <v>#N/A</v>
          </cell>
          <cell r="S63" t="str">
            <v>Saved</v>
          </cell>
          <cell r="T63">
            <v>259</v>
          </cell>
          <cell r="AI63" t="str">
            <v>CNY Chinese Renminbi Yuan</v>
          </cell>
          <cell r="AJ63" t="str">
            <v>Rmb</v>
          </cell>
          <cell r="AK63" t="str">
            <v>CNY</v>
          </cell>
          <cell r="AL63" t="str">
            <v>CNY</v>
          </cell>
          <cell r="AM63">
            <v>0</v>
          </cell>
          <cell r="AN63">
            <v>2</v>
          </cell>
        </row>
        <row r="64">
          <cell r="A64">
            <v>40065</v>
          </cell>
          <cell r="B64">
            <v>40065</v>
          </cell>
          <cell r="C64" t="str">
            <v>Past</v>
          </cell>
          <cell r="D64">
            <v>11.85</v>
          </cell>
          <cell r="E64" t="e">
            <v>#N/A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>
            <v>11.85</v>
          </cell>
          <cell r="Q64">
            <v>1.3311300000000001</v>
          </cell>
          <cell r="R64" t="e">
            <v>#N/A</v>
          </cell>
          <cell r="S64" t="str">
            <v>Right alligned</v>
          </cell>
          <cell r="T64">
            <v>0</v>
          </cell>
          <cell r="AI64" t="str">
            <v>COP Colombian Peso</v>
          </cell>
          <cell r="AJ64" t="str">
            <v>COP</v>
          </cell>
          <cell r="AK64" t="str">
            <v>COP</v>
          </cell>
          <cell r="AL64" t="str">
            <v>COP</v>
          </cell>
          <cell r="AM64">
            <v>0</v>
          </cell>
          <cell r="AN64">
            <v>2</v>
          </cell>
        </row>
        <row r="65">
          <cell r="A65">
            <v>40066</v>
          </cell>
          <cell r="B65">
            <v>40066</v>
          </cell>
          <cell r="C65" t="str">
            <v>Past</v>
          </cell>
          <cell r="D65">
            <v>11.88</v>
          </cell>
          <cell r="E65" t="e">
            <v>#N/A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>
            <v>11.88</v>
          </cell>
          <cell r="Q65">
            <v>2.2897369999999997</v>
          </cell>
          <cell r="R65" t="e">
            <v>#N/A</v>
          </cell>
          <cell r="S65" t="str">
            <v>Decimal</v>
          </cell>
          <cell r="T65">
            <v>2</v>
          </cell>
          <cell r="AI65" t="str">
            <v>CZK Czech Krona</v>
          </cell>
          <cell r="AJ65" t="str">
            <v>Kcs</v>
          </cell>
          <cell r="AK65" t="str">
            <v>CZK</v>
          </cell>
          <cell r="AL65" t="str">
            <v>CZK</v>
          </cell>
          <cell r="AM65">
            <v>0</v>
          </cell>
          <cell r="AN65">
            <v>2</v>
          </cell>
        </row>
        <row r="66">
          <cell r="A66">
            <v>40067</v>
          </cell>
          <cell r="B66">
            <v>40067</v>
          </cell>
          <cell r="C66" t="str">
            <v>Past</v>
          </cell>
          <cell r="D66">
            <v>11.56</v>
          </cell>
          <cell r="E66" t="e">
            <v>#N/A</v>
          </cell>
          <cell r="F66" t="e">
            <v>#N/A</v>
          </cell>
          <cell r="G66" t="e">
            <v>#N/A</v>
          </cell>
          <cell r="H66" t="e">
            <v>#N/A</v>
          </cell>
          <cell r="I66" t="e">
            <v>#N/A</v>
          </cell>
          <cell r="J66" t="e">
            <v>#N/A</v>
          </cell>
          <cell r="K66" t="e">
            <v>#N/A</v>
          </cell>
          <cell r="L66" t="e">
            <v>#N/A</v>
          </cell>
          <cell r="M66" t="e">
            <v>#N/A</v>
          </cell>
          <cell r="N66" t="e">
            <v>#N/A</v>
          </cell>
          <cell r="O66" t="e">
            <v>#N/A</v>
          </cell>
          <cell r="P66">
            <v>11.56</v>
          </cell>
          <cell r="Q66">
            <v>4.1574999999999998</v>
          </cell>
          <cell r="R66" t="e">
            <v>#N/A</v>
          </cell>
          <cell r="S66" t="str">
            <v>default StartDate</v>
          </cell>
          <cell r="T66">
            <v>40050</v>
          </cell>
          <cell r="AI66" t="str">
            <v>DKK Danish Krone</v>
          </cell>
          <cell r="AJ66" t="str">
            <v>DKr</v>
          </cell>
          <cell r="AK66" t="str">
            <v>DKK</v>
          </cell>
          <cell r="AL66" t="str">
            <v>DKK</v>
          </cell>
          <cell r="AM66">
            <v>0</v>
          </cell>
          <cell r="AN66">
            <v>2</v>
          </cell>
        </row>
        <row r="67">
          <cell r="A67">
            <v>40070</v>
          </cell>
          <cell r="B67">
            <v>40070</v>
          </cell>
          <cell r="C67" t="str">
            <v>Past</v>
          </cell>
          <cell r="D67">
            <v>11.76</v>
          </cell>
          <cell r="E67" t="e">
            <v>#N/A</v>
          </cell>
          <cell r="F67" t="e">
            <v>#N/A</v>
          </cell>
          <cell r="G67" t="e">
            <v>#N/A</v>
          </cell>
          <cell r="H67" t="e">
            <v>#N/A</v>
          </cell>
          <cell r="I67" t="e">
            <v>#N/A</v>
          </cell>
          <cell r="J67" t="e">
            <v>#N/A</v>
          </cell>
          <cell r="K67" t="e">
            <v>#N/A</v>
          </cell>
          <cell r="L67" t="e">
            <v>#N/A</v>
          </cell>
          <cell r="M67" t="e">
            <v>#N/A</v>
          </cell>
          <cell r="N67" t="e">
            <v>#N/A</v>
          </cell>
          <cell r="O67" t="e">
            <v>#N/A</v>
          </cell>
          <cell r="P67">
            <v>11.76</v>
          </cell>
          <cell r="Q67">
            <v>3.4181539999999999</v>
          </cell>
          <cell r="R67" t="e">
            <v>#N/A</v>
          </cell>
          <cell r="S67" t="str">
            <v>default EndDate</v>
          </cell>
          <cell r="T67">
            <v>41146</v>
          </cell>
          <cell r="AI67" t="str">
            <v>DZD Algerian Dinar</v>
          </cell>
          <cell r="AJ67" t="str">
            <v>DZD</v>
          </cell>
          <cell r="AK67" t="str">
            <v>DZD</v>
          </cell>
          <cell r="AL67" t="str">
            <v>DZD</v>
          </cell>
          <cell r="AM67">
            <v>0</v>
          </cell>
          <cell r="AN67">
            <v>2</v>
          </cell>
        </row>
        <row r="68">
          <cell r="A68">
            <v>40071</v>
          </cell>
          <cell r="B68">
            <v>40071</v>
          </cell>
          <cell r="C68" t="str">
            <v>Past</v>
          </cell>
          <cell r="D68">
            <v>11.71</v>
          </cell>
          <cell r="E68" t="e">
            <v>#N/A</v>
          </cell>
          <cell r="F68" t="e">
            <v>#N/A</v>
          </cell>
          <cell r="G68" t="e">
            <v>#N/A</v>
          </cell>
          <cell r="H68" t="e">
            <v>#N/A</v>
          </cell>
          <cell r="I68" t="e">
            <v>#N/A</v>
          </cell>
          <cell r="J68" t="e">
            <v>#N/A</v>
          </cell>
          <cell r="K68" t="e">
            <v>#N/A</v>
          </cell>
          <cell r="L68" t="e">
            <v>#N/A</v>
          </cell>
          <cell r="M68" t="e">
            <v>#N/A</v>
          </cell>
          <cell r="N68" t="e">
            <v>#N/A</v>
          </cell>
          <cell r="O68" t="e">
            <v>#N/A</v>
          </cell>
          <cell r="P68">
            <v>11.71</v>
          </cell>
          <cell r="Q68">
            <v>3.6388000000000003</v>
          </cell>
          <cell r="R68" t="e">
            <v>#N/A</v>
          </cell>
          <cell r="S68" t="str">
            <v>Max sharePrice</v>
          </cell>
          <cell r="T68">
            <v>15.89</v>
          </cell>
          <cell r="AI68" t="str">
            <v>EGP Egyptian Pound</v>
          </cell>
          <cell r="AJ68" t="str">
            <v>EGP</v>
          </cell>
          <cell r="AK68" t="str">
            <v>EGP</v>
          </cell>
          <cell r="AL68" t="str">
            <v>EGP</v>
          </cell>
          <cell r="AM68">
            <v>0</v>
          </cell>
          <cell r="AN68">
            <v>2</v>
          </cell>
        </row>
        <row r="69">
          <cell r="A69">
            <v>40072</v>
          </cell>
          <cell r="B69">
            <v>40072</v>
          </cell>
          <cell r="C69" t="str">
            <v>Past</v>
          </cell>
          <cell r="D69">
            <v>11.76</v>
          </cell>
          <cell r="E69" t="e">
            <v>#N/A</v>
          </cell>
          <cell r="F69" t="e">
            <v>#N/A</v>
          </cell>
          <cell r="G69" t="e">
            <v>#N/A</v>
          </cell>
          <cell r="H69" t="e">
            <v>#N/A</v>
          </cell>
          <cell r="I69" t="e">
            <v>#N/A</v>
          </cell>
          <cell r="J69" t="e">
            <v>#N/A</v>
          </cell>
          <cell r="K69" t="e">
            <v>#N/A</v>
          </cell>
          <cell r="L69" t="e">
            <v>#N/A</v>
          </cell>
          <cell r="M69" t="e">
            <v>#N/A</v>
          </cell>
          <cell r="N69" t="e">
            <v>#N/A</v>
          </cell>
          <cell r="O69" t="e">
            <v>#N/A</v>
          </cell>
          <cell r="P69">
            <v>11.76</v>
          </cell>
          <cell r="Q69">
            <v>2.8619700000000003</v>
          </cell>
          <cell r="R69" t="e">
            <v>#N/A</v>
          </cell>
          <cell r="AI69" t="str">
            <v>EUR Euro</v>
          </cell>
          <cell r="AJ69" t="str">
            <v>€</v>
          </cell>
          <cell r="AK69" t="str">
            <v>EUR</v>
          </cell>
          <cell r="AL69" t="str">
            <v>EUR</v>
          </cell>
          <cell r="AM69">
            <v>0</v>
          </cell>
          <cell r="AN69">
            <v>2</v>
          </cell>
        </row>
        <row r="70">
          <cell r="A70">
            <v>40073</v>
          </cell>
          <cell r="B70">
            <v>40073</v>
          </cell>
          <cell r="C70" t="str">
            <v>Past</v>
          </cell>
          <cell r="D70">
            <v>11.85</v>
          </cell>
          <cell r="E70" t="e">
            <v>#N/A</v>
          </cell>
          <cell r="F70" t="e">
            <v>#N/A</v>
          </cell>
          <cell r="G70" t="e">
            <v>#N/A</v>
          </cell>
          <cell r="H70" t="e">
            <v>#N/A</v>
          </cell>
          <cell r="I70" t="e">
            <v>#N/A</v>
          </cell>
          <cell r="J70" t="e">
            <v>#N/A</v>
          </cell>
          <cell r="K70" t="e">
            <v>#N/A</v>
          </cell>
          <cell r="L70" t="e">
            <v>#N/A</v>
          </cell>
          <cell r="M70" t="e">
            <v>#N/A</v>
          </cell>
          <cell r="N70" t="e">
            <v>#N/A</v>
          </cell>
          <cell r="O70" t="e">
            <v>#N/A</v>
          </cell>
          <cell r="P70">
            <v>11.85</v>
          </cell>
          <cell r="Q70">
            <v>2.6357729999999999</v>
          </cell>
          <cell r="R70" t="e">
            <v>#N/A</v>
          </cell>
          <cell r="AI70" t="str">
            <v>GBp British Pence</v>
          </cell>
          <cell r="AJ70" t="str">
            <v>p</v>
          </cell>
          <cell r="AK70" t="str">
            <v>GBp</v>
          </cell>
          <cell r="AL70" t="str">
            <v>GBX</v>
          </cell>
          <cell r="AM70">
            <v>1</v>
          </cell>
          <cell r="AN70">
            <v>0</v>
          </cell>
        </row>
        <row r="71">
          <cell r="A71">
            <v>40074</v>
          </cell>
          <cell r="B71">
            <v>40074</v>
          </cell>
          <cell r="C71" t="str">
            <v>Past</v>
          </cell>
          <cell r="D71">
            <v>11.8</v>
          </cell>
          <cell r="E71" t="e">
            <v>#N/A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>
            <v>11.8</v>
          </cell>
          <cell r="Q71">
            <v>2.2391289999999997</v>
          </cell>
          <cell r="R71" t="e">
            <v>#N/A</v>
          </cell>
          <cell r="AI71" t="str">
            <v>GBP British Pound</v>
          </cell>
          <cell r="AJ71" t="str">
            <v>₤</v>
          </cell>
          <cell r="AK71" t="str">
            <v>GBP</v>
          </cell>
          <cell r="AL71" t="str">
            <v>GBP</v>
          </cell>
          <cell r="AM71">
            <v>0</v>
          </cell>
          <cell r="AN71">
            <v>2</v>
          </cell>
        </row>
        <row r="72">
          <cell r="A72">
            <v>40077</v>
          </cell>
          <cell r="B72">
            <v>40077</v>
          </cell>
          <cell r="C72" t="str">
            <v>Past</v>
          </cell>
          <cell r="D72">
            <v>11.82</v>
          </cell>
          <cell r="E72" t="e">
            <v>#N/A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>
            <v>11.82</v>
          </cell>
          <cell r="Q72">
            <v>2.264758</v>
          </cell>
          <cell r="R72" t="e">
            <v>#N/A</v>
          </cell>
          <cell r="AI72" t="str">
            <v>HKD Hong Kong Dollar</v>
          </cell>
          <cell r="AJ72" t="str">
            <v>HK$</v>
          </cell>
          <cell r="AK72" t="str">
            <v>HKD</v>
          </cell>
          <cell r="AL72" t="str">
            <v>HKD</v>
          </cell>
          <cell r="AM72">
            <v>0</v>
          </cell>
          <cell r="AN72">
            <v>2</v>
          </cell>
        </row>
        <row r="73">
          <cell r="A73">
            <v>40078</v>
          </cell>
          <cell r="B73">
            <v>40078</v>
          </cell>
          <cell r="C73" t="str">
            <v>Past</v>
          </cell>
          <cell r="D73">
            <v>11.72</v>
          </cell>
          <cell r="E73" t="e">
            <v>#N/A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>
            <v>11.72</v>
          </cell>
          <cell r="Q73">
            <v>1.6808400000000001</v>
          </cell>
          <cell r="R73" t="e">
            <v>#N/A</v>
          </cell>
          <cell r="AI73" t="str">
            <v>HUF Hungarian forint</v>
          </cell>
          <cell r="AJ73" t="str">
            <v>Ft</v>
          </cell>
          <cell r="AK73" t="str">
            <v>HUF</v>
          </cell>
          <cell r="AL73" t="str">
            <v>HUF</v>
          </cell>
          <cell r="AM73">
            <v>0</v>
          </cell>
          <cell r="AN73">
            <v>2</v>
          </cell>
        </row>
        <row r="74">
          <cell r="A74">
            <v>40079</v>
          </cell>
          <cell r="B74">
            <v>40079</v>
          </cell>
          <cell r="C74" t="str">
            <v>Past</v>
          </cell>
          <cell r="D74">
            <v>11.64</v>
          </cell>
          <cell r="E74" t="e">
            <v>#N/A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>
            <v>11.64</v>
          </cell>
          <cell r="Q74">
            <v>2.3194809999999997</v>
          </cell>
          <cell r="R74" t="e">
            <v>#N/A</v>
          </cell>
          <cell r="AI74" t="str">
            <v>IDR Indonesian Rupiah</v>
          </cell>
          <cell r="AJ74" t="str">
            <v>Rp</v>
          </cell>
          <cell r="AK74" t="str">
            <v>IDR</v>
          </cell>
          <cell r="AL74" t="str">
            <v>IDR</v>
          </cell>
          <cell r="AM74">
            <v>0</v>
          </cell>
          <cell r="AN74">
            <v>0</v>
          </cell>
        </row>
        <row r="75">
          <cell r="A75">
            <v>40080</v>
          </cell>
          <cell r="B75">
            <v>40080</v>
          </cell>
          <cell r="C75" t="str">
            <v>Past</v>
          </cell>
          <cell r="D75">
            <v>11.54</v>
          </cell>
          <cell r="E75" t="e">
            <v>#N/A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>
            <v>11.54</v>
          </cell>
          <cell r="Q75">
            <v>2.1152579999999999</v>
          </cell>
          <cell r="R75" t="e">
            <v>#N/A</v>
          </cell>
          <cell r="AI75" t="str">
            <v>ILS Israeli shekel</v>
          </cell>
          <cell r="AJ75" t="str">
            <v>ILS</v>
          </cell>
          <cell r="AK75" t="str">
            <v>ILS</v>
          </cell>
          <cell r="AL75" t="str">
            <v>ILS</v>
          </cell>
          <cell r="AM75">
            <v>0</v>
          </cell>
          <cell r="AN75">
            <v>2</v>
          </cell>
        </row>
        <row r="76">
          <cell r="A76">
            <v>40081</v>
          </cell>
          <cell r="B76">
            <v>40081</v>
          </cell>
          <cell r="C76" t="str">
            <v>Past</v>
          </cell>
          <cell r="D76">
            <v>11.49</v>
          </cell>
          <cell r="E76" t="e">
            <v>#N/A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>
            <v>11.49</v>
          </cell>
          <cell r="Q76">
            <v>3.0800739999999998</v>
          </cell>
          <cell r="R76" t="e">
            <v>#N/A</v>
          </cell>
          <cell r="AI76" t="str">
            <v>INR Indian Rupee</v>
          </cell>
          <cell r="AJ76" t="str">
            <v>Rs.</v>
          </cell>
          <cell r="AK76" t="str">
            <v>INR</v>
          </cell>
          <cell r="AL76" t="str">
            <v>INR</v>
          </cell>
          <cell r="AM76">
            <v>0</v>
          </cell>
          <cell r="AN76">
            <v>2</v>
          </cell>
        </row>
        <row r="77">
          <cell r="A77">
            <v>40084</v>
          </cell>
          <cell r="B77">
            <v>40084</v>
          </cell>
          <cell r="C77" t="str">
            <v>Past</v>
          </cell>
          <cell r="D77">
            <v>11.6</v>
          </cell>
          <cell r="E77" t="e">
            <v>#N/A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>
            <v>11.6</v>
          </cell>
          <cell r="Q77">
            <v>1.955897</v>
          </cell>
          <cell r="R77" t="e">
            <v>#N/A</v>
          </cell>
          <cell r="AI77" t="str">
            <v>IQD Iraqi Dinar</v>
          </cell>
          <cell r="AJ77" t="str">
            <v>IQD</v>
          </cell>
          <cell r="AK77" t="str">
            <v>IQD</v>
          </cell>
          <cell r="AL77" t="str">
            <v>IQD</v>
          </cell>
          <cell r="AM77">
            <v>0</v>
          </cell>
          <cell r="AN77">
            <v>2</v>
          </cell>
        </row>
        <row r="78">
          <cell r="A78">
            <v>40085</v>
          </cell>
          <cell r="B78">
            <v>40085</v>
          </cell>
          <cell r="C78" t="str">
            <v>Past</v>
          </cell>
          <cell r="D78">
            <v>11.58</v>
          </cell>
          <cell r="E78" t="e">
            <v>#N/A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>
            <v>11.58</v>
          </cell>
          <cell r="Q78">
            <v>1.5703909999999999</v>
          </cell>
          <cell r="R78" t="e">
            <v>#N/A</v>
          </cell>
          <cell r="AI78" t="str">
            <v>IRR Iranian Rial</v>
          </cell>
          <cell r="AJ78" t="str">
            <v>IRR</v>
          </cell>
          <cell r="AK78" t="str">
            <v>IRR</v>
          </cell>
          <cell r="AL78" t="str">
            <v>IRR</v>
          </cell>
          <cell r="AM78">
            <v>0</v>
          </cell>
          <cell r="AN78">
            <v>2</v>
          </cell>
        </row>
        <row r="79">
          <cell r="A79">
            <v>40086</v>
          </cell>
          <cell r="B79">
            <v>40086</v>
          </cell>
          <cell r="C79" t="str">
            <v>Past</v>
          </cell>
          <cell r="D79">
            <v>11.59</v>
          </cell>
          <cell r="E79" t="e">
            <v>#N/A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>
            <v>11.59</v>
          </cell>
          <cell r="Q79">
            <v>2.2237610000000001</v>
          </cell>
          <cell r="R79" t="e">
            <v>#N/A</v>
          </cell>
          <cell r="AI79" t="str">
            <v>ISK Iceland Krona</v>
          </cell>
          <cell r="AJ79" t="str">
            <v>kr</v>
          </cell>
          <cell r="AK79" t="str">
            <v>ISK</v>
          </cell>
          <cell r="AL79" t="str">
            <v>ISK</v>
          </cell>
          <cell r="AM79">
            <v>0</v>
          </cell>
          <cell r="AN79">
            <v>2</v>
          </cell>
        </row>
        <row r="80">
          <cell r="A80">
            <v>40087</v>
          </cell>
          <cell r="B80">
            <v>40087</v>
          </cell>
          <cell r="C80" t="str">
            <v>Past</v>
          </cell>
          <cell r="D80">
            <v>11.47</v>
          </cell>
          <cell r="E80" t="e">
            <v>#N/A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>
            <v>11.47</v>
          </cell>
          <cell r="Q80">
            <v>3.3032800000000004</v>
          </cell>
          <cell r="R80" t="e">
            <v>#N/A</v>
          </cell>
          <cell r="AI80" t="str">
            <v>JMD Jamaican Dollars</v>
          </cell>
          <cell r="AJ80" t="str">
            <v>JMD</v>
          </cell>
          <cell r="AK80" t="str">
            <v>JMD</v>
          </cell>
          <cell r="AL80" t="str">
            <v>JMD</v>
          </cell>
          <cell r="AM80">
            <v>0</v>
          </cell>
          <cell r="AN80">
            <v>2</v>
          </cell>
        </row>
        <row r="81">
          <cell r="A81">
            <v>40088</v>
          </cell>
          <cell r="B81">
            <v>40088</v>
          </cell>
          <cell r="C81" t="str">
            <v>Past</v>
          </cell>
          <cell r="D81">
            <v>11.26</v>
          </cell>
          <cell r="E81" t="e">
            <v>#N/A</v>
          </cell>
          <cell r="F81" t="e">
            <v>#N/A</v>
          </cell>
          <cell r="G81" t="e">
            <v>#N/A</v>
          </cell>
          <cell r="H81" t="e">
            <v>#N/A</v>
          </cell>
          <cell r="I81" t="e">
            <v>#N/A</v>
          </cell>
          <cell r="J81" t="e">
            <v>#N/A</v>
          </cell>
          <cell r="K81" t="e">
            <v>#N/A</v>
          </cell>
          <cell r="L81" t="e">
            <v>#N/A</v>
          </cell>
          <cell r="M81" t="e">
            <v>#N/A</v>
          </cell>
          <cell r="N81" t="e">
            <v>#N/A</v>
          </cell>
          <cell r="O81" t="e">
            <v>#N/A</v>
          </cell>
          <cell r="P81">
            <v>11.26</v>
          </cell>
          <cell r="Q81">
            <v>3.5768739999999997</v>
          </cell>
          <cell r="R81" t="e">
            <v>#N/A</v>
          </cell>
          <cell r="AI81" t="str">
            <v>JPY Japanese Yen</v>
          </cell>
          <cell r="AJ81" t="str">
            <v>¥</v>
          </cell>
          <cell r="AK81" t="str">
            <v>JPY</v>
          </cell>
          <cell r="AL81" t="str">
            <v>JPY</v>
          </cell>
          <cell r="AM81">
            <v>0</v>
          </cell>
          <cell r="AN81">
            <v>0</v>
          </cell>
        </row>
        <row r="82">
          <cell r="A82">
            <v>40091</v>
          </cell>
          <cell r="B82">
            <v>40091</v>
          </cell>
          <cell r="C82" t="str">
            <v>Past</v>
          </cell>
          <cell r="D82">
            <v>11.39</v>
          </cell>
          <cell r="E82" t="e">
            <v>#N/A</v>
          </cell>
          <cell r="F82" t="e">
            <v>#N/A</v>
          </cell>
          <cell r="G82" t="e">
            <v>#N/A</v>
          </cell>
          <cell r="H82" t="e">
            <v>#N/A</v>
          </cell>
          <cell r="I82" t="e">
            <v>#N/A</v>
          </cell>
          <cell r="J82" t="e">
            <v>#N/A</v>
          </cell>
          <cell r="K82" t="e">
            <v>#N/A</v>
          </cell>
          <cell r="L82" t="e">
            <v>#N/A</v>
          </cell>
          <cell r="M82" t="e">
            <v>#N/A</v>
          </cell>
          <cell r="N82" t="e">
            <v>#N/A</v>
          </cell>
          <cell r="O82" t="e">
            <v>#N/A</v>
          </cell>
          <cell r="P82">
            <v>11.39</v>
          </cell>
          <cell r="Q82">
            <v>3.0325839999999999</v>
          </cell>
          <cell r="R82" t="e">
            <v>#N/A</v>
          </cell>
          <cell r="AI82" t="str">
            <v>KES Kenyan Shilling</v>
          </cell>
          <cell r="AJ82" t="str">
            <v>KES</v>
          </cell>
          <cell r="AK82" t="str">
            <v>KES</v>
          </cell>
          <cell r="AL82" t="str">
            <v>KES</v>
          </cell>
          <cell r="AM82">
            <v>0</v>
          </cell>
          <cell r="AN82">
            <v>0</v>
          </cell>
        </row>
        <row r="83">
          <cell r="A83">
            <v>40092</v>
          </cell>
          <cell r="B83">
            <v>40092</v>
          </cell>
          <cell r="C83" t="str">
            <v>Past</v>
          </cell>
          <cell r="D83">
            <v>11.43</v>
          </cell>
          <cell r="E83" t="e">
            <v>#N/A</v>
          </cell>
          <cell r="F83" t="e">
            <v>#N/A</v>
          </cell>
          <cell r="G83" t="e">
            <v>#N/A</v>
          </cell>
          <cell r="H83" t="e">
            <v>#N/A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M83" t="e">
            <v>#N/A</v>
          </cell>
          <cell r="N83" t="e">
            <v>#N/A</v>
          </cell>
          <cell r="O83" t="e">
            <v>#N/A</v>
          </cell>
          <cell r="P83">
            <v>11.43</v>
          </cell>
          <cell r="Q83">
            <v>2.647376</v>
          </cell>
          <cell r="R83" t="e">
            <v>#N/A</v>
          </cell>
          <cell r="AI83" t="str">
            <v>KRW South Korean Won</v>
          </cell>
          <cell r="AJ83" t="str">
            <v>₩</v>
          </cell>
          <cell r="AK83" t="str">
            <v>KRW</v>
          </cell>
          <cell r="AL83" t="str">
            <v>KRW</v>
          </cell>
          <cell r="AM83">
            <v>0</v>
          </cell>
          <cell r="AN83">
            <v>0</v>
          </cell>
        </row>
        <row r="84">
          <cell r="A84">
            <v>40093</v>
          </cell>
          <cell r="B84">
            <v>40093</v>
          </cell>
          <cell r="C84" t="str">
            <v>Past</v>
          </cell>
          <cell r="D84">
            <v>11.36</v>
          </cell>
          <cell r="E84" t="e">
            <v>#N/A</v>
          </cell>
          <cell r="F84" t="e">
            <v>#N/A</v>
          </cell>
          <cell r="G84" t="e">
            <v>#N/A</v>
          </cell>
          <cell r="H84" t="e">
            <v>#N/A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M84" t="e">
            <v>#N/A</v>
          </cell>
          <cell r="N84" t="e">
            <v>#N/A</v>
          </cell>
          <cell r="O84" t="e">
            <v>#N/A</v>
          </cell>
          <cell r="P84">
            <v>11.36</v>
          </cell>
          <cell r="Q84">
            <v>2.1541139999999999</v>
          </cell>
          <cell r="R84" t="e">
            <v>#N/A</v>
          </cell>
          <cell r="AI84" t="str">
            <v>KWD Kuwaiti Dinar</v>
          </cell>
          <cell r="AJ84" t="str">
            <v>KWD</v>
          </cell>
          <cell r="AK84" t="str">
            <v>KWD</v>
          </cell>
          <cell r="AL84" t="str">
            <v>KWD</v>
          </cell>
          <cell r="AM84">
            <v>0</v>
          </cell>
          <cell r="AN84">
            <v>2</v>
          </cell>
        </row>
        <row r="85">
          <cell r="A85">
            <v>40094</v>
          </cell>
          <cell r="B85">
            <v>40094</v>
          </cell>
          <cell r="C85" t="str">
            <v>Past</v>
          </cell>
          <cell r="D85">
            <v>11.37</v>
          </cell>
          <cell r="E85" t="e">
            <v>#N/A</v>
          </cell>
          <cell r="F85" t="e">
            <v>#N/A</v>
          </cell>
          <cell r="G85" t="e">
            <v>#N/A</v>
          </cell>
          <cell r="H85" t="e">
            <v>#N/A</v>
          </cell>
          <cell r="I85" t="e">
            <v>#N/A</v>
          </cell>
          <cell r="J85" t="e">
            <v>#N/A</v>
          </cell>
          <cell r="K85" t="e">
            <v>#N/A</v>
          </cell>
          <cell r="L85" t="e">
            <v>#N/A</v>
          </cell>
          <cell r="M85" t="e">
            <v>#N/A</v>
          </cell>
          <cell r="N85" t="e">
            <v>#N/A</v>
          </cell>
          <cell r="O85" t="e">
            <v>#N/A</v>
          </cell>
          <cell r="P85">
            <v>11.37</v>
          </cell>
          <cell r="Q85">
            <v>3.583091</v>
          </cell>
          <cell r="R85" t="e">
            <v>#N/A</v>
          </cell>
          <cell r="AI85" t="str">
            <v>KYD Cayman Dollars</v>
          </cell>
          <cell r="AJ85" t="str">
            <v>KYD</v>
          </cell>
          <cell r="AK85" t="str">
            <v>KYD</v>
          </cell>
          <cell r="AL85" t="str">
            <v>KYD</v>
          </cell>
          <cell r="AM85">
            <v>0</v>
          </cell>
          <cell r="AN85">
            <v>2</v>
          </cell>
        </row>
        <row r="86">
          <cell r="A86">
            <v>40095</v>
          </cell>
          <cell r="B86">
            <v>40095</v>
          </cell>
          <cell r="C86" t="str">
            <v>Past</v>
          </cell>
          <cell r="D86">
            <v>11.54</v>
          </cell>
          <cell r="E86" t="e">
            <v>#N/A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>
            <v>11.54</v>
          </cell>
          <cell r="Q86">
            <v>3.244996</v>
          </cell>
          <cell r="R86" t="e">
            <v>#N/A</v>
          </cell>
          <cell r="AI86" t="str">
            <v>LKR Sri Lankan Rupee</v>
          </cell>
          <cell r="AJ86" t="str">
            <v>LKR</v>
          </cell>
          <cell r="AK86" t="str">
            <v>LKR</v>
          </cell>
          <cell r="AL86" t="str">
            <v>LKR</v>
          </cell>
          <cell r="AM86">
            <v>0</v>
          </cell>
          <cell r="AN86">
            <v>2</v>
          </cell>
        </row>
        <row r="87">
          <cell r="A87">
            <v>40098</v>
          </cell>
          <cell r="B87">
            <v>40098</v>
          </cell>
          <cell r="C87" t="str">
            <v>Past</v>
          </cell>
          <cell r="D87">
            <v>11.6</v>
          </cell>
          <cell r="E87" t="e">
            <v>#N/A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>
            <v>11.6</v>
          </cell>
          <cell r="Q87">
            <v>1.45696</v>
          </cell>
          <cell r="R87" t="e">
            <v>#N/A</v>
          </cell>
          <cell r="AI87" t="str">
            <v>MAD Moroccan Dirham</v>
          </cell>
          <cell r="AJ87" t="str">
            <v>MAD</v>
          </cell>
          <cell r="AK87" t="str">
            <v>MAD</v>
          </cell>
          <cell r="AL87" t="str">
            <v>MAD</v>
          </cell>
          <cell r="AM87">
            <v>0</v>
          </cell>
          <cell r="AN87">
            <v>2</v>
          </cell>
        </row>
        <row r="88">
          <cell r="A88">
            <v>40099</v>
          </cell>
          <cell r="B88">
            <v>40099</v>
          </cell>
          <cell r="C88" t="str">
            <v>Past</v>
          </cell>
          <cell r="D88">
            <v>11.46</v>
          </cell>
          <cell r="E88" t="e">
            <v>#N/A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>
            <v>11.46</v>
          </cell>
          <cell r="Q88">
            <v>2.1492249999999999</v>
          </cell>
          <cell r="R88" t="e">
            <v>#N/A</v>
          </cell>
          <cell r="AI88" t="str">
            <v>MXN Mexican Pesos (new)</v>
          </cell>
          <cell r="AJ88" t="str">
            <v>M$</v>
          </cell>
          <cell r="AK88" t="str">
            <v>MXN</v>
          </cell>
          <cell r="AL88" t="str">
            <v>MXN</v>
          </cell>
          <cell r="AM88">
            <v>0</v>
          </cell>
          <cell r="AN88">
            <v>2</v>
          </cell>
        </row>
        <row r="89">
          <cell r="A89">
            <v>40100</v>
          </cell>
          <cell r="B89">
            <v>40100</v>
          </cell>
          <cell r="C89" t="str">
            <v>Past</v>
          </cell>
          <cell r="D89">
            <v>11.58</v>
          </cell>
          <cell r="E89" t="e">
            <v>#N/A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>
            <v>11.58</v>
          </cell>
          <cell r="Q89">
            <v>2.0291129999999997</v>
          </cell>
          <cell r="R89" t="e">
            <v>#N/A</v>
          </cell>
          <cell r="AI89" t="str">
            <v>MYR Malaysian Ringgit</v>
          </cell>
          <cell r="AJ89" t="str">
            <v>RM</v>
          </cell>
          <cell r="AK89" t="str">
            <v>MYR</v>
          </cell>
          <cell r="AL89" t="str">
            <v>MYR</v>
          </cell>
          <cell r="AM89">
            <v>0</v>
          </cell>
          <cell r="AN89">
            <v>2</v>
          </cell>
        </row>
        <row r="90">
          <cell r="A90">
            <v>40101</v>
          </cell>
          <cell r="B90">
            <v>40101</v>
          </cell>
          <cell r="C90" t="str">
            <v>Past</v>
          </cell>
          <cell r="D90">
            <v>11.64</v>
          </cell>
          <cell r="E90" t="e">
            <v>#N/A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>
            <v>11.64</v>
          </cell>
          <cell r="Q90">
            <v>1.4275819999999999</v>
          </cell>
          <cell r="R90" t="e">
            <v>#N/A</v>
          </cell>
          <cell r="AI90" t="str">
            <v>NOK Norwegian Krone</v>
          </cell>
          <cell r="AJ90" t="str">
            <v>NKr</v>
          </cell>
          <cell r="AK90" t="str">
            <v>NOK</v>
          </cell>
          <cell r="AL90" t="str">
            <v>NOK</v>
          </cell>
          <cell r="AM90">
            <v>0</v>
          </cell>
          <cell r="AN90">
            <v>2</v>
          </cell>
        </row>
        <row r="91">
          <cell r="A91">
            <v>40102</v>
          </cell>
          <cell r="B91">
            <v>40102</v>
          </cell>
          <cell r="C91" t="str">
            <v>Past</v>
          </cell>
          <cell r="D91">
            <v>11.56</v>
          </cell>
          <cell r="E91" t="e">
            <v>#N/A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>
            <v>11.56</v>
          </cell>
          <cell r="Q91">
            <v>1.6266229999999999</v>
          </cell>
          <cell r="R91" t="e">
            <v>#N/A</v>
          </cell>
          <cell r="AI91" t="str">
            <v>NZD New Zealand Dollars</v>
          </cell>
          <cell r="AJ91" t="str">
            <v>NZ$</v>
          </cell>
          <cell r="AK91" t="str">
            <v>NZD</v>
          </cell>
          <cell r="AL91" t="str">
            <v>NZD</v>
          </cell>
          <cell r="AM91">
            <v>0</v>
          </cell>
          <cell r="AN91">
            <v>2</v>
          </cell>
        </row>
        <row r="92">
          <cell r="A92">
            <v>40105</v>
          </cell>
          <cell r="B92">
            <v>40105</v>
          </cell>
          <cell r="C92" t="str">
            <v>Past</v>
          </cell>
          <cell r="D92">
            <v>11.61</v>
          </cell>
          <cell r="E92" t="e">
            <v>#N/A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>
            <v>11.61</v>
          </cell>
          <cell r="Q92">
            <v>1.6260700000000001</v>
          </cell>
          <cell r="R92" t="e">
            <v>#N/A</v>
          </cell>
          <cell r="AI92" t="str">
            <v>OMR Rial Omani</v>
          </cell>
          <cell r="AJ92" t="str">
            <v>OMR</v>
          </cell>
          <cell r="AK92" t="str">
            <v>OMR</v>
          </cell>
          <cell r="AL92" t="str">
            <v>OMR</v>
          </cell>
          <cell r="AM92">
            <v>0</v>
          </cell>
          <cell r="AN92">
            <v>2</v>
          </cell>
        </row>
        <row r="93">
          <cell r="A93">
            <v>40106</v>
          </cell>
          <cell r="B93">
            <v>40106</v>
          </cell>
          <cell r="C93" t="str">
            <v>Past</v>
          </cell>
          <cell r="D93">
            <v>11.46</v>
          </cell>
          <cell r="E93" t="e">
            <v>#N/A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>
            <v>11.46</v>
          </cell>
          <cell r="Q93">
            <v>1.2816339999999999</v>
          </cell>
          <cell r="R93" t="e">
            <v>#N/A</v>
          </cell>
          <cell r="AI93" t="str">
            <v>PAB Panamanian Balboa</v>
          </cell>
          <cell r="AJ93" t="str">
            <v>PAB</v>
          </cell>
          <cell r="AK93" t="str">
            <v>PAB</v>
          </cell>
          <cell r="AL93" t="str">
            <v>PAB</v>
          </cell>
          <cell r="AM93">
            <v>0</v>
          </cell>
          <cell r="AN93">
            <v>2</v>
          </cell>
        </row>
        <row r="94">
          <cell r="A94">
            <v>40107</v>
          </cell>
          <cell r="B94">
            <v>40107</v>
          </cell>
          <cell r="C94" t="str">
            <v>Past</v>
          </cell>
          <cell r="D94">
            <v>11.34</v>
          </cell>
          <cell r="E94" t="e">
            <v>#N/A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>
            <v>11.34</v>
          </cell>
          <cell r="Q94">
            <v>1.940421</v>
          </cell>
          <cell r="R94" t="e">
            <v>#N/A</v>
          </cell>
          <cell r="AI94" t="str">
            <v>PEN Peruvian PEN</v>
          </cell>
          <cell r="AJ94" t="str">
            <v>PEN</v>
          </cell>
          <cell r="AK94" t="str">
            <v>PEN</v>
          </cell>
          <cell r="AL94" t="str">
            <v>PEN</v>
          </cell>
          <cell r="AM94">
            <v>0</v>
          </cell>
          <cell r="AN94">
            <v>2</v>
          </cell>
        </row>
        <row r="95">
          <cell r="A95">
            <v>40108</v>
          </cell>
          <cell r="B95">
            <v>40108</v>
          </cell>
          <cell r="C95" t="str">
            <v>Past</v>
          </cell>
          <cell r="D95">
            <v>11.33</v>
          </cell>
          <cell r="E95" t="e">
            <v>#N/A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>
            <v>11.33</v>
          </cell>
          <cell r="Q95">
            <v>2.0317000000000003</v>
          </cell>
          <cell r="R95" t="e">
            <v>#N/A</v>
          </cell>
          <cell r="AI95" t="str">
            <v>PHP Philippino Peso</v>
          </cell>
          <cell r="AJ95" t="str">
            <v>PP</v>
          </cell>
          <cell r="AK95" t="str">
            <v>PHP</v>
          </cell>
          <cell r="AL95" t="str">
            <v>PHP</v>
          </cell>
          <cell r="AM95">
            <v>0</v>
          </cell>
          <cell r="AN95">
            <v>2</v>
          </cell>
        </row>
        <row r="96">
          <cell r="A96">
            <v>40109</v>
          </cell>
          <cell r="B96">
            <v>40109</v>
          </cell>
          <cell r="C96" t="str">
            <v>Past</v>
          </cell>
          <cell r="D96">
            <v>11.28</v>
          </cell>
          <cell r="E96" t="e">
            <v>#N/A</v>
          </cell>
          <cell r="F96" t="e">
            <v>#N/A</v>
          </cell>
          <cell r="G96" t="e">
            <v>#N/A</v>
          </cell>
          <cell r="H96" t="e">
            <v>#N/A</v>
          </cell>
          <cell r="I96" t="e">
            <v>#N/A</v>
          </cell>
          <cell r="J96" t="e">
            <v>#N/A</v>
          </cell>
          <cell r="K96" t="e">
            <v>#N/A</v>
          </cell>
          <cell r="L96" t="e">
            <v>#N/A</v>
          </cell>
          <cell r="M96" t="e">
            <v>#N/A</v>
          </cell>
          <cell r="N96" t="e">
            <v>#N/A</v>
          </cell>
          <cell r="O96" t="e">
            <v>#N/A</v>
          </cell>
          <cell r="P96">
            <v>11.28</v>
          </cell>
          <cell r="Q96">
            <v>2.386104</v>
          </cell>
          <cell r="R96" t="e">
            <v>#N/A</v>
          </cell>
          <cell r="AI96" t="str">
            <v>PKR Pakistani Rupee</v>
          </cell>
          <cell r="AJ96" t="str">
            <v>Rs.</v>
          </cell>
          <cell r="AK96" t="str">
            <v>PKR</v>
          </cell>
          <cell r="AL96" t="str">
            <v>PKR</v>
          </cell>
          <cell r="AM96">
            <v>0</v>
          </cell>
          <cell r="AN96">
            <v>2</v>
          </cell>
        </row>
        <row r="97">
          <cell r="A97">
            <v>40112</v>
          </cell>
          <cell r="B97">
            <v>40112</v>
          </cell>
          <cell r="C97" t="str">
            <v>Past</v>
          </cell>
          <cell r="D97">
            <v>11.37</v>
          </cell>
          <cell r="E97" t="e">
            <v>#N/A</v>
          </cell>
          <cell r="F97" t="e">
            <v>#N/A</v>
          </cell>
          <cell r="G97" t="e">
            <v>#N/A</v>
          </cell>
          <cell r="H97" t="e">
            <v>#N/A</v>
          </cell>
          <cell r="I97" t="e">
            <v>#N/A</v>
          </cell>
          <cell r="J97" t="e">
            <v>#N/A</v>
          </cell>
          <cell r="K97" t="e">
            <v>#N/A</v>
          </cell>
          <cell r="L97" t="e">
            <v>#N/A</v>
          </cell>
          <cell r="M97" t="e">
            <v>#N/A</v>
          </cell>
          <cell r="N97" t="e">
            <v>#N/A</v>
          </cell>
          <cell r="O97" t="e">
            <v>#N/A</v>
          </cell>
          <cell r="P97">
            <v>11.37</v>
          </cell>
          <cell r="Q97">
            <v>3.054189</v>
          </cell>
          <cell r="R97" t="e">
            <v>#N/A</v>
          </cell>
          <cell r="AI97" t="str">
            <v>PLN Polish Zloty</v>
          </cell>
          <cell r="AJ97" t="str">
            <v>zł</v>
          </cell>
          <cell r="AK97" t="str">
            <v>PLN</v>
          </cell>
          <cell r="AL97" t="str">
            <v>PLN</v>
          </cell>
          <cell r="AM97">
            <v>0</v>
          </cell>
          <cell r="AN97">
            <v>2</v>
          </cell>
        </row>
        <row r="98">
          <cell r="A98">
            <v>40113</v>
          </cell>
          <cell r="B98">
            <v>40113</v>
          </cell>
          <cell r="C98" t="str">
            <v>Past</v>
          </cell>
          <cell r="D98">
            <v>11.44</v>
          </cell>
          <cell r="E98" t="e">
            <v>#N/A</v>
          </cell>
          <cell r="F98" t="e">
            <v>#N/A</v>
          </cell>
          <cell r="G98" t="e">
            <v>#N/A</v>
          </cell>
          <cell r="H98" t="e">
            <v>#N/A</v>
          </cell>
          <cell r="I98" t="e">
            <v>#N/A</v>
          </cell>
          <cell r="J98" t="e">
            <v>#N/A</v>
          </cell>
          <cell r="K98" t="e">
            <v>#N/A</v>
          </cell>
          <cell r="L98" t="e">
            <v>#N/A</v>
          </cell>
          <cell r="M98" t="e">
            <v>#N/A</v>
          </cell>
          <cell r="N98" t="e">
            <v>#N/A</v>
          </cell>
          <cell r="O98" t="e">
            <v>#N/A</v>
          </cell>
          <cell r="P98">
            <v>11.44</v>
          </cell>
          <cell r="Q98">
            <v>2.2041369999999998</v>
          </cell>
          <cell r="R98" t="e">
            <v>#N/A</v>
          </cell>
          <cell r="AI98" t="str">
            <v>QAR Qatari Riyal</v>
          </cell>
          <cell r="AJ98" t="str">
            <v>QAR</v>
          </cell>
          <cell r="AK98" t="str">
            <v>QAR</v>
          </cell>
          <cell r="AL98" t="str">
            <v>QAR</v>
          </cell>
          <cell r="AM98">
            <v>0</v>
          </cell>
          <cell r="AN98">
            <v>2</v>
          </cell>
        </row>
        <row r="99">
          <cell r="A99">
            <v>40114</v>
          </cell>
          <cell r="B99">
            <v>40114</v>
          </cell>
          <cell r="C99" t="str">
            <v>Past</v>
          </cell>
          <cell r="D99">
            <v>11.46</v>
          </cell>
          <cell r="E99" t="e">
            <v>#N/A</v>
          </cell>
          <cell r="F99" t="e">
            <v>#N/A</v>
          </cell>
          <cell r="G99" t="e">
            <v>#N/A</v>
          </cell>
          <cell r="H99" t="e">
            <v>#N/A</v>
          </cell>
          <cell r="I99" t="e">
            <v>#N/A</v>
          </cell>
          <cell r="J99" t="e">
            <v>#N/A</v>
          </cell>
          <cell r="K99" t="e">
            <v>#N/A</v>
          </cell>
          <cell r="L99" t="e">
            <v>#N/A</v>
          </cell>
          <cell r="M99" t="e">
            <v>#N/A</v>
          </cell>
          <cell r="N99" t="e">
            <v>#N/A</v>
          </cell>
          <cell r="O99" t="e">
            <v>#N/A</v>
          </cell>
          <cell r="P99">
            <v>11.46</v>
          </cell>
          <cell r="Q99">
            <v>3.8279000000000001</v>
          </cell>
          <cell r="R99" t="e">
            <v>#N/A</v>
          </cell>
          <cell r="AI99" t="str">
            <v>RUB Russian Rouble</v>
          </cell>
          <cell r="AJ99" t="str">
            <v>RUB</v>
          </cell>
          <cell r="AK99" t="str">
            <v>RUB</v>
          </cell>
          <cell r="AL99" t="str">
            <v>RUB</v>
          </cell>
          <cell r="AM99">
            <v>0</v>
          </cell>
          <cell r="AN99">
            <v>2</v>
          </cell>
        </row>
        <row r="100">
          <cell r="A100">
            <v>40115</v>
          </cell>
          <cell r="B100">
            <v>40115</v>
          </cell>
          <cell r="C100" t="str">
            <v>Past</v>
          </cell>
          <cell r="D100">
            <v>11.71</v>
          </cell>
          <cell r="E100" t="e">
            <v>#N/A</v>
          </cell>
          <cell r="F100" t="e">
            <v>#N/A</v>
          </cell>
          <cell r="G100" t="e">
            <v>#N/A</v>
          </cell>
          <cell r="H100" t="e">
            <v>#N/A</v>
          </cell>
          <cell r="I100" t="e">
            <v>#N/A</v>
          </cell>
          <cell r="J100" t="e">
            <v>#N/A</v>
          </cell>
          <cell r="K100" t="e">
            <v>#N/A</v>
          </cell>
          <cell r="L100" t="e">
            <v>#N/A</v>
          </cell>
          <cell r="M100" t="e">
            <v>#N/A</v>
          </cell>
          <cell r="N100" t="e">
            <v>#N/A</v>
          </cell>
          <cell r="O100" t="e">
            <v>#N/A</v>
          </cell>
          <cell r="P100">
            <v>11.71</v>
          </cell>
          <cell r="Q100">
            <v>2.7270479999999999</v>
          </cell>
          <cell r="R100" t="e">
            <v>#N/A</v>
          </cell>
          <cell r="AI100" t="str">
            <v>SAR Saudi Riyal</v>
          </cell>
          <cell r="AJ100" t="str">
            <v>SAR</v>
          </cell>
          <cell r="AK100" t="str">
            <v>SAR</v>
          </cell>
          <cell r="AL100" t="str">
            <v>SAR</v>
          </cell>
          <cell r="AM100">
            <v>0</v>
          </cell>
          <cell r="AN100">
            <v>2</v>
          </cell>
        </row>
        <row r="101">
          <cell r="A101">
            <v>40116</v>
          </cell>
          <cell r="B101">
            <v>40116</v>
          </cell>
          <cell r="C101" t="str">
            <v>Past</v>
          </cell>
          <cell r="D101">
            <v>11.46</v>
          </cell>
          <cell r="E101" t="e">
            <v>#N/A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>
            <v>11.46</v>
          </cell>
          <cell r="Q101">
            <v>3.0121819999999997</v>
          </cell>
          <cell r="R101" t="e">
            <v>#N/A</v>
          </cell>
          <cell r="AI101" t="str">
            <v>SEK Swedish Krona</v>
          </cell>
          <cell r="AJ101" t="str">
            <v>SKr</v>
          </cell>
          <cell r="AK101" t="str">
            <v>SEK</v>
          </cell>
          <cell r="AL101" t="str">
            <v>SEK</v>
          </cell>
          <cell r="AM101">
            <v>0</v>
          </cell>
          <cell r="AN101">
            <v>2</v>
          </cell>
        </row>
        <row r="102">
          <cell r="A102">
            <v>40119</v>
          </cell>
          <cell r="B102">
            <v>40119</v>
          </cell>
          <cell r="C102" t="str">
            <v>Past</v>
          </cell>
          <cell r="D102">
            <v>11.34</v>
          </cell>
          <cell r="E102" t="e">
            <v>#N/A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>
            <v>11.34</v>
          </cell>
          <cell r="Q102">
            <v>3.8830300000000002</v>
          </cell>
          <cell r="R102" t="e">
            <v>#N/A</v>
          </cell>
          <cell r="AI102" t="str">
            <v>SGD Singapore Dollar</v>
          </cell>
          <cell r="AJ102" t="str">
            <v>S$</v>
          </cell>
          <cell r="AK102" t="str">
            <v>SGD</v>
          </cell>
          <cell r="AL102" t="str">
            <v>SGD</v>
          </cell>
          <cell r="AM102">
            <v>0</v>
          </cell>
          <cell r="AN102">
            <v>2</v>
          </cell>
        </row>
        <row r="103">
          <cell r="A103">
            <v>40120</v>
          </cell>
          <cell r="B103">
            <v>40120</v>
          </cell>
          <cell r="C103" t="str">
            <v>Past</v>
          </cell>
          <cell r="D103">
            <v>11.46</v>
          </cell>
          <cell r="E103" t="e">
            <v>#N/A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>
            <v>11.46</v>
          </cell>
          <cell r="Q103">
            <v>2.5635779999999997</v>
          </cell>
          <cell r="R103" t="e">
            <v>#N/A</v>
          </cell>
          <cell r="AI103" t="str">
            <v>THB Thailand Baht</v>
          </cell>
          <cell r="AJ103" t="str">
            <v>Bt</v>
          </cell>
          <cell r="AK103" t="str">
            <v>THB</v>
          </cell>
          <cell r="AL103" t="str">
            <v>THB</v>
          </cell>
          <cell r="AM103">
            <v>0</v>
          </cell>
          <cell r="AN103">
            <v>2</v>
          </cell>
        </row>
        <row r="104">
          <cell r="A104">
            <v>40121</v>
          </cell>
          <cell r="B104">
            <v>40121</v>
          </cell>
          <cell r="C104" t="str">
            <v>Past</v>
          </cell>
          <cell r="D104">
            <v>11.5</v>
          </cell>
          <cell r="E104" t="e">
            <v>#N/A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>
            <v>11.5</v>
          </cell>
          <cell r="Q104">
            <v>2.1466309999999997</v>
          </cell>
          <cell r="R104" t="e">
            <v>#N/A</v>
          </cell>
          <cell r="AI104" t="str">
            <v>TND Tunisian Dinar</v>
          </cell>
          <cell r="AJ104" t="str">
            <v>TND</v>
          </cell>
          <cell r="AK104" t="str">
            <v>TND</v>
          </cell>
          <cell r="AL104" t="str">
            <v>TND</v>
          </cell>
          <cell r="AM104">
            <v>0</v>
          </cell>
          <cell r="AN104">
            <v>2</v>
          </cell>
        </row>
        <row r="105">
          <cell r="A105">
            <v>40122</v>
          </cell>
          <cell r="B105">
            <v>40122</v>
          </cell>
          <cell r="C105" t="str">
            <v>Past</v>
          </cell>
          <cell r="D105">
            <v>11.73</v>
          </cell>
          <cell r="E105" t="e">
            <v>#N/A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>
            <v>11.73</v>
          </cell>
          <cell r="Q105">
            <v>1.6737000000000002</v>
          </cell>
          <cell r="R105" t="e">
            <v>#N/A</v>
          </cell>
          <cell r="AI105" t="str">
            <v>TRY Turkish Lira</v>
          </cell>
          <cell r="AJ105" t="str">
            <v>TL</v>
          </cell>
          <cell r="AK105" t="str">
            <v>TRY</v>
          </cell>
          <cell r="AL105" t="str">
            <v>TRY</v>
          </cell>
          <cell r="AM105">
            <v>0</v>
          </cell>
          <cell r="AN105">
            <v>2</v>
          </cell>
        </row>
        <row r="106">
          <cell r="A106">
            <v>40123</v>
          </cell>
          <cell r="B106">
            <v>40123</v>
          </cell>
          <cell r="C106" t="str">
            <v>Past</v>
          </cell>
          <cell r="D106">
            <v>11.76</v>
          </cell>
          <cell r="E106" t="e">
            <v>#N/A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>
            <v>11.76</v>
          </cell>
          <cell r="Q106">
            <v>1.227522</v>
          </cell>
          <cell r="R106" t="e">
            <v>#N/A</v>
          </cell>
          <cell r="AI106" t="str">
            <v>TWD New Taiwan Dollar</v>
          </cell>
          <cell r="AJ106" t="str">
            <v>NT$</v>
          </cell>
          <cell r="AK106" t="str">
            <v>TWD</v>
          </cell>
          <cell r="AL106" t="str">
            <v>TWD</v>
          </cell>
          <cell r="AM106">
            <v>0</v>
          </cell>
          <cell r="AN106">
            <v>2</v>
          </cell>
        </row>
        <row r="107">
          <cell r="A107">
            <v>40126</v>
          </cell>
          <cell r="B107">
            <v>40126</v>
          </cell>
          <cell r="C107" t="str">
            <v>Past</v>
          </cell>
          <cell r="D107">
            <v>11.76</v>
          </cell>
          <cell r="E107" t="e">
            <v>#N/A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>
            <v>11.76</v>
          </cell>
          <cell r="Q107">
            <v>2.7558609999999999</v>
          </cell>
          <cell r="R107" t="e">
            <v>#N/A</v>
          </cell>
          <cell r="AI107" t="str">
            <v>UAH Ukrainian Hryvnia</v>
          </cell>
          <cell r="AJ107" t="str">
            <v>UAH</v>
          </cell>
          <cell r="AK107" t="str">
            <v>UAH</v>
          </cell>
          <cell r="AL107" t="str">
            <v>UAH</v>
          </cell>
          <cell r="AM107">
            <v>0</v>
          </cell>
          <cell r="AN107">
            <v>2</v>
          </cell>
        </row>
        <row r="108">
          <cell r="A108">
            <v>40127</v>
          </cell>
          <cell r="B108">
            <v>40127</v>
          </cell>
          <cell r="C108" t="str">
            <v>Past</v>
          </cell>
          <cell r="D108">
            <v>12.04</v>
          </cell>
          <cell r="E108" t="e">
            <v>#N/A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>
            <v>12.04</v>
          </cell>
          <cell r="Q108">
            <v>5.5502000000000002</v>
          </cell>
          <cell r="R108" t="e">
            <v>#N/A</v>
          </cell>
          <cell r="AI108" t="str">
            <v>USD American Dollar</v>
          </cell>
          <cell r="AJ108" t="str">
            <v>$</v>
          </cell>
          <cell r="AK108" t="str">
            <v>USD</v>
          </cell>
          <cell r="AL108" t="str">
            <v>USD</v>
          </cell>
          <cell r="AM108">
            <v>0</v>
          </cell>
          <cell r="AN108">
            <v>2</v>
          </cell>
        </row>
        <row r="109">
          <cell r="A109">
            <v>40128</v>
          </cell>
          <cell r="B109">
            <v>40128</v>
          </cell>
          <cell r="C109" t="str">
            <v>Past</v>
          </cell>
          <cell r="D109">
            <v>11.87</v>
          </cell>
          <cell r="E109" t="e">
            <v>#N/A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>
            <v>11.87</v>
          </cell>
          <cell r="Q109">
            <v>1.5279600000000002</v>
          </cell>
          <cell r="R109" t="e">
            <v>#N/A</v>
          </cell>
          <cell r="AI109" t="str">
            <v>VEB Venezuelan Bolivar</v>
          </cell>
          <cell r="AJ109" t="str">
            <v>VEB</v>
          </cell>
          <cell r="AK109" t="str">
            <v>VEB</v>
          </cell>
          <cell r="AL109" t="str">
            <v>VEB</v>
          </cell>
          <cell r="AM109">
            <v>0</v>
          </cell>
          <cell r="AN109">
            <v>2</v>
          </cell>
        </row>
        <row r="110">
          <cell r="A110">
            <v>40129</v>
          </cell>
          <cell r="B110">
            <v>40129</v>
          </cell>
          <cell r="C110" t="str">
            <v>Past</v>
          </cell>
          <cell r="D110">
            <v>11.68</v>
          </cell>
          <cell r="E110" t="e">
            <v>#N/A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>
            <v>11.68</v>
          </cell>
          <cell r="Q110">
            <v>1.0482609999999999</v>
          </cell>
          <cell r="R110" t="e">
            <v>#N/A</v>
          </cell>
          <cell r="AI110" t="str">
            <v>ZAc South African Cent</v>
          </cell>
          <cell r="AJ110" t="str">
            <v>ZAc</v>
          </cell>
          <cell r="AK110" t="str">
            <v>ZAc</v>
          </cell>
          <cell r="AL110" t="str">
            <v>ZAc</v>
          </cell>
          <cell r="AM110">
            <v>0</v>
          </cell>
          <cell r="AN110">
            <v>0</v>
          </cell>
        </row>
        <row r="111">
          <cell r="A111">
            <v>40130</v>
          </cell>
          <cell r="B111">
            <v>40130</v>
          </cell>
          <cell r="C111" t="str">
            <v>Past</v>
          </cell>
          <cell r="D111">
            <v>11.79</v>
          </cell>
          <cell r="E111" t="e">
            <v>#N/A</v>
          </cell>
          <cell r="F111" t="e">
            <v>#N/A</v>
          </cell>
          <cell r="G111" t="e">
            <v>#N/A</v>
          </cell>
          <cell r="H111" t="e">
            <v>#N/A</v>
          </cell>
          <cell r="I111" t="e">
            <v>#N/A</v>
          </cell>
          <cell r="J111" t="e">
            <v>#N/A</v>
          </cell>
          <cell r="K111" t="e">
            <v>#N/A</v>
          </cell>
          <cell r="L111" t="e">
            <v>#N/A</v>
          </cell>
          <cell r="M111" t="e">
            <v>#N/A</v>
          </cell>
          <cell r="N111" t="e">
            <v>#N/A</v>
          </cell>
          <cell r="O111" t="e">
            <v>#N/A</v>
          </cell>
          <cell r="P111">
            <v>11.79</v>
          </cell>
          <cell r="Q111">
            <v>1.274297</v>
          </cell>
          <cell r="R111" t="e">
            <v>#N/A</v>
          </cell>
          <cell r="AI111" t="str">
            <v>ZAR South African rand</v>
          </cell>
          <cell r="AJ111" t="str">
            <v>ZAR</v>
          </cell>
          <cell r="AK111" t="str">
            <v>ZAR</v>
          </cell>
          <cell r="AL111" t="str">
            <v>ZAR</v>
          </cell>
          <cell r="AM111">
            <v>0</v>
          </cell>
          <cell r="AN111">
            <v>2</v>
          </cell>
        </row>
        <row r="112">
          <cell r="A112">
            <v>40133</v>
          </cell>
          <cell r="B112">
            <v>40133</v>
          </cell>
          <cell r="C112" t="str">
            <v>Past</v>
          </cell>
          <cell r="D112">
            <v>11.94</v>
          </cell>
          <cell r="E112" t="e">
            <v>#N/A</v>
          </cell>
          <cell r="F112" t="e">
            <v>#N/A</v>
          </cell>
          <cell r="G112" t="e">
            <v>#N/A</v>
          </cell>
          <cell r="H112" t="e">
            <v>#N/A</v>
          </cell>
          <cell r="I112" t="e">
            <v>#N/A</v>
          </cell>
          <cell r="J112" t="e">
            <v>#N/A</v>
          </cell>
          <cell r="K112" t="e">
            <v>#N/A</v>
          </cell>
          <cell r="L112" t="e">
            <v>#N/A</v>
          </cell>
          <cell r="M112" t="e">
            <v>#N/A</v>
          </cell>
          <cell r="N112" t="e">
            <v>#N/A</v>
          </cell>
          <cell r="O112" t="e">
            <v>#N/A</v>
          </cell>
          <cell r="P112">
            <v>11.94</v>
          </cell>
          <cell r="Q112">
            <v>0.62196399999999996</v>
          </cell>
          <cell r="R112" t="e">
            <v>#N/A</v>
          </cell>
          <cell r="AI112" t="str">
            <v xml:space="preserve">ZMK Zambian Kwacha </v>
          </cell>
          <cell r="AJ112" t="str">
            <v>ZMK</v>
          </cell>
          <cell r="AK112" t="str">
            <v>ZMK</v>
          </cell>
          <cell r="AL112" t="str">
            <v>ZMK</v>
          </cell>
          <cell r="AM112">
            <v>0</v>
          </cell>
          <cell r="AN112">
            <v>2</v>
          </cell>
        </row>
        <row r="113">
          <cell r="A113">
            <v>40134</v>
          </cell>
          <cell r="B113">
            <v>40134</v>
          </cell>
          <cell r="C113" t="str">
            <v>Past</v>
          </cell>
          <cell r="D113">
            <v>11.9</v>
          </cell>
          <cell r="E113" t="e">
            <v>#N/A</v>
          </cell>
          <cell r="F113" t="e">
            <v>#N/A</v>
          </cell>
          <cell r="G113" t="e">
            <v>#N/A</v>
          </cell>
          <cell r="H113" t="e">
            <v>#N/A</v>
          </cell>
          <cell r="I113" t="e">
            <v>#N/A</v>
          </cell>
          <cell r="J113" t="e">
            <v>#N/A</v>
          </cell>
          <cell r="K113" t="e">
            <v>#N/A</v>
          </cell>
          <cell r="L113" t="e">
            <v>#N/A</v>
          </cell>
          <cell r="M113" t="e">
            <v>#N/A</v>
          </cell>
          <cell r="N113" t="e">
            <v>#N/A</v>
          </cell>
          <cell r="O113" t="e">
            <v>#N/A</v>
          </cell>
          <cell r="P113">
            <v>11.9</v>
          </cell>
          <cell r="Q113">
            <v>0.67125299999999999</v>
          </cell>
          <cell r="R113" t="e">
            <v>#N/A</v>
          </cell>
        </row>
        <row r="114">
          <cell r="A114">
            <v>40135</v>
          </cell>
          <cell r="B114">
            <v>40135</v>
          </cell>
          <cell r="C114" t="str">
            <v>Past</v>
          </cell>
          <cell r="D114">
            <v>11.76</v>
          </cell>
          <cell r="E114" t="e">
            <v>#N/A</v>
          </cell>
          <cell r="F114" t="e">
            <v>#N/A</v>
          </cell>
          <cell r="G114" t="e">
            <v>#N/A</v>
          </cell>
          <cell r="H114" t="e">
            <v>#N/A</v>
          </cell>
          <cell r="I114" t="e">
            <v>#N/A</v>
          </cell>
          <cell r="J114" t="e">
            <v>#N/A</v>
          </cell>
          <cell r="K114" t="e">
            <v>#N/A</v>
          </cell>
          <cell r="L114" t="e">
            <v>#N/A</v>
          </cell>
          <cell r="M114" t="e">
            <v>#N/A</v>
          </cell>
          <cell r="N114" t="e">
            <v>#N/A</v>
          </cell>
          <cell r="O114" t="e">
            <v>#N/A</v>
          </cell>
          <cell r="P114">
            <v>11.76</v>
          </cell>
          <cell r="Q114">
            <v>0.64498599999999995</v>
          </cell>
          <cell r="R114" t="e">
            <v>#N/A</v>
          </cell>
        </row>
        <row r="115">
          <cell r="A115">
            <v>40136</v>
          </cell>
          <cell r="B115">
            <v>40136</v>
          </cell>
          <cell r="C115" t="str">
            <v>Past</v>
          </cell>
          <cell r="D115">
            <v>11.56</v>
          </cell>
          <cell r="E115" t="e">
            <v>#N/A</v>
          </cell>
          <cell r="F115" t="e">
            <v>#N/A</v>
          </cell>
          <cell r="G115" t="e">
            <v>#N/A</v>
          </cell>
          <cell r="H115" t="e">
            <v>#N/A</v>
          </cell>
          <cell r="I115" t="e">
            <v>#N/A</v>
          </cell>
          <cell r="J115" t="e">
            <v>#N/A</v>
          </cell>
          <cell r="K115" t="e">
            <v>#N/A</v>
          </cell>
          <cell r="L115" t="e">
            <v>#N/A</v>
          </cell>
          <cell r="M115" t="e">
            <v>#N/A</v>
          </cell>
          <cell r="N115" t="e">
            <v>#N/A</v>
          </cell>
          <cell r="O115" t="e">
            <v>#N/A</v>
          </cell>
          <cell r="P115">
            <v>11.56</v>
          </cell>
          <cell r="Q115">
            <v>1.2904279999999999</v>
          </cell>
          <cell r="R115" t="e">
            <v>#N/A</v>
          </cell>
        </row>
        <row r="116">
          <cell r="A116">
            <v>40137</v>
          </cell>
          <cell r="B116">
            <v>40137</v>
          </cell>
          <cell r="C116" t="str">
            <v>Past</v>
          </cell>
          <cell r="D116">
            <v>11.49</v>
          </cell>
          <cell r="E116" t="e">
            <v>#N/A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>
            <v>11.49</v>
          </cell>
          <cell r="Q116">
            <v>0.70999499999999993</v>
          </cell>
          <cell r="R116" t="e">
            <v>#N/A</v>
          </cell>
        </row>
        <row r="117">
          <cell r="A117">
            <v>40140</v>
          </cell>
          <cell r="B117">
            <v>40140</v>
          </cell>
          <cell r="C117" t="str">
            <v>Past</v>
          </cell>
          <cell r="D117">
            <v>11.67</v>
          </cell>
          <cell r="E117" t="e">
            <v>#N/A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>
            <v>11.67</v>
          </cell>
          <cell r="Q117">
            <v>1.04413</v>
          </cell>
          <cell r="R117" t="e">
            <v>#N/A</v>
          </cell>
        </row>
        <row r="118">
          <cell r="A118">
            <v>40141</v>
          </cell>
          <cell r="B118">
            <v>40141</v>
          </cell>
          <cell r="C118" t="str">
            <v>Past</v>
          </cell>
          <cell r="D118">
            <v>11.61</v>
          </cell>
          <cell r="E118" t="e">
            <v>#N/A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>
            <v>11.61</v>
          </cell>
          <cell r="Q118">
            <v>1.9307329999999998</v>
          </cell>
          <cell r="R118" t="e">
            <v>#N/A</v>
          </cell>
        </row>
        <row r="119">
          <cell r="A119">
            <v>40142</v>
          </cell>
          <cell r="B119">
            <v>40142</v>
          </cell>
          <cell r="C119" t="str">
            <v>Past</v>
          </cell>
          <cell r="D119">
            <v>11.65</v>
          </cell>
          <cell r="E119" t="e">
            <v>#N/A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>
            <v>11.65</v>
          </cell>
          <cell r="Q119">
            <v>0.93092900000000001</v>
          </cell>
          <cell r="R119" t="e">
            <v>#N/A</v>
          </cell>
        </row>
        <row r="120">
          <cell r="A120">
            <v>40144</v>
          </cell>
          <cell r="B120">
            <v>40144</v>
          </cell>
          <cell r="C120" t="str">
            <v>Past</v>
          </cell>
          <cell r="D120">
            <v>11.44</v>
          </cell>
          <cell r="E120" t="e">
            <v>#N/A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>
            <v>11.44</v>
          </cell>
          <cell r="Q120">
            <v>0.54460500000000001</v>
          </cell>
          <cell r="R120" t="e">
            <v>#N/A</v>
          </cell>
        </row>
        <row r="121">
          <cell r="A121">
            <v>40147</v>
          </cell>
          <cell r="B121">
            <v>40147</v>
          </cell>
          <cell r="C121" t="str">
            <v>Past</v>
          </cell>
          <cell r="D121">
            <v>11.64</v>
          </cell>
          <cell r="E121" t="e">
            <v>#N/A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>
            <v>11.64</v>
          </cell>
          <cell r="Q121">
            <v>3.259204</v>
          </cell>
          <cell r="R121" t="e">
            <v>#N/A</v>
          </cell>
        </row>
        <row r="122">
          <cell r="A122">
            <v>40148</v>
          </cell>
          <cell r="B122">
            <v>40148</v>
          </cell>
          <cell r="C122" t="str">
            <v>Past</v>
          </cell>
          <cell r="D122">
            <v>11.92</v>
          </cell>
          <cell r="E122" t="e">
            <v>#N/A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>
            <v>11.92</v>
          </cell>
          <cell r="Q122">
            <v>4.5483539999999998</v>
          </cell>
          <cell r="R122" t="e">
            <v>#N/A</v>
          </cell>
        </row>
        <row r="123">
          <cell r="A123">
            <v>40149</v>
          </cell>
          <cell r="B123">
            <v>40149</v>
          </cell>
          <cell r="C123" t="str">
            <v>Past</v>
          </cell>
          <cell r="D123">
            <v>12.08</v>
          </cell>
          <cell r="E123" t="e">
            <v>#N/A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>
            <v>12.08</v>
          </cell>
          <cell r="Q123">
            <v>1.643826</v>
          </cell>
          <cell r="R123" t="e">
            <v>#N/A</v>
          </cell>
        </row>
        <row r="124">
          <cell r="A124">
            <v>40150</v>
          </cell>
          <cell r="B124">
            <v>40150</v>
          </cell>
          <cell r="C124" t="str">
            <v>Past</v>
          </cell>
          <cell r="D124">
            <v>12.01</v>
          </cell>
          <cell r="E124" t="e">
            <v>#N/A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>
            <v>12.01</v>
          </cell>
          <cell r="Q124">
            <v>2.0495200000000002</v>
          </cell>
          <cell r="R124" t="e">
            <v>#N/A</v>
          </cell>
        </row>
        <row r="125">
          <cell r="A125">
            <v>40151</v>
          </cell>
          <cell r="B125">
            <v>40151</v>
          </cell>
          <cell r="C125" t="str">
            <v>Past</v>
          </cell>
          <cell r="D125">
            <v>12</v>
          </cell>
          <cell r="E125" t="e">
            <v>#N/A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>
            <v>12</v>
          </cell>
          <cell r="Q125">
            <v>1.6330449999999999</v>
          </cell>
          <cell r="R125" t="e">
            <v>#N/A</v>
          </cell>
        </row>
        <row r="126">
          <cell r="A126">
            <v>40154</v>
          </cell>
          <cell r="B126">
            <v>40154</v>
          </cell>
          <cell r="C126" t="str">
            <v>Past</v>
          </cell>
          <cell r="D126">
            <v>11.98</v>
          </cell>
          <cell r="E126" t="e">
            <v>#N/A</v>
          </cell>
          <cell r="F126" t="e">
            <v>#N/A</v>
          </cell>
          <cell r="G126" t="e">
            <v>#N/A</v>
          </cell>
          <cell r="H126" t="e">
            <v>#N/A</v>
          </cell>
          <cell r="I126" t="e">
            <v>#N/A</v>
          </cell>
          <cell r="J126" t="e">
            <v>#N/A</v>
          </cell>
          <cell r="K126" t="e">
            <v>#N/A</v>
          </cell>
          <cell r="L126" t="e">
            <v>#N/A</v>
          </cell>
          <cell r="M126" t="e">
            <v>#N/A</v>
          </cell>
          <cell r="N126" t="e">
            <v>#N/A</v>
          </cell>
          <cell r="O126" t="e">
            <v>#N/A</v>
          </cell>
          <cell r="P126">
            <v>11.98</v>
          </cell>
          <cell r="Q126">
            <v>1.9720549999999999</v>
          </cell>
          <cell r="R126" t="e">
            <v>#N/A</v>
          </cell>
        </row>
        <row r="127">
          <cell r="A127">
            <v>40155</v>
          </cell>
          <cell r="B127">
            <v>40155</v>
          </cell>
          <cell r="C127" t="str">
            <v>Past</v>
          </cell>
          <cell r="D127">
            <v>11.96</v>
          </cell>
          <cell r="E127" t="e">
            <v>#N/A</v>
          </cell>
          <cell r="F127" t="e">
            <v>#N/A</v>
          </cell>
          <cell r="G127" t="e">
            <v>#N/A</v>
          </cell>
          <cell r="H127" t="e">
            <v>#N/A</v>
          </cell>
          <cell r="I127" t="e">
            <v>#N/A</v>
          </cell>
          <cell r="J127" t="e">
            <v>#N/A</v>
          </cell>
          <cell r="K127" t="e">
            <v>#N/A</v>
          </cell>
          <cell r="L127" t="e">
            <v>#N/A</v>
          </cell>
          <cell r="M127" t="e">
            <v>#N/A</v>
          </cell>
          <cell r="N127" t="e">
            <v>#N/A</v>
          </cell>
          <cell r="O127" t="e">
            <v>#N/A</v>
          </cell>
          <cell r="P127">
            <v>11.96</v>
          </cell>
          <cell r="Q127">
            <v>1.403686</v>
          </cell>
          <cell r="R127" t="e">
            <v>#N/A</v>
          </cell>
        </row>
        <row r="128">
          <cell r="A128">
            <v>40156</v>
          </cell>
          <cell r="B128">
            <v>40156</v>
          </cell>
          <cell r="C128" t="str">
            <v>Past</v>
          </cell>
          <cell r="D128">
            <v>11.9</v>
          </cell>
          <cell r="E128" t="e">
            <v>#N/A</v>
          </cell>
          <cell r="F128" t="e">
            <v>#N/A</v>
          </cell>
          <cell r="G128" t="e">
            <v>#N/A</v>
          </cell>
          <cell r="H128" t="e">
            <v>#N/A</v>
          </cell>
          <cell r="I128" t="e">
            <v>#N/A</v>
          </cell>
          <cell r="J128" t="e">
            <v>#N/A</v>
          </cell>
          <cell r="K128" t="e">
            <v>#N/A</v>
          </cell>
          <cell r="L128" t="e">
            <v>#N/A</v>
          </cell>
          <cell r="M128" t="e">
            <v>#N/A</v>
          </cell>
          <cell r="N128" t="e">
            <v>#N/A</v>
          </cell>
          <cell r="O128" t="e">
            <v>#N/A</v>
          </cell>
          <cell r="P128">
            <v>11.9</v>
          </cell>
          <cell r="Q128">
            <v>1.402925</v>
          </cell>
          <cell r="R128" t="e">
            <v>#N/A</v>
          </cell>
        </row>
        <row r="129">
          <cell r="A129">
            <v>40157</v>
          </cell>
          <cell r="B129">
            <v>40157</v>
          </cell>
          <cell r="C129" t="str">
            <v>Past</v>
          </cell>
          <cell r="D129">
            <v>11.92</v>
          </cell>
          <cell r="E129" t="e">
            <v>#N/A</v>
          </cell>
          <cell r="F129" t="e">
            <v>#N/A</v>
          </cell>
          <cell r="G129" t="e">
            <v>#N/A</v>
          </cell>
          <cell r="H129" t="e">
            <v>#N/A</v>
          </cell>
          <cell r="I129" t="e">
            <v>#N/A</v>
          </cell>
          <cell r="J129" t="e">
            <v>#N/A</v>
          </cell>
          <cell r="K129" t="e">
            <v>#N/A</v>
          </cell>
          <cell r="L129" t="e">
            <v>#N/A</v>
          </cell>
          <cell r="M129" t="e">
            <v>#N/A</v>
          </cell>
          <cell r="N129" t="e">
            <v>#N/A</v>
          </cell>
          <cell r="O129" t="e">
            <v>#N/A</v>
          </cell>
          <cell r="P129">
            <v>11.92</v>
          </cell>
          <cell r="Q129">
            <v>1.6281049999999999</v>
          </cell>
          <cell r="R129" t="e">
            <v>#N/A</v>
          </cell>
        </row>
        <row r="130">
          <cell r="A130">
            <v>40158</v>
          </cell>
          <cell r="B130">
            <v>40158</v>
          </cell>
          <cell r="C130" t="str">
            <v>Past</v>
          </cell>
          <cell r="D130">
            <v>12.26</v>
          </cell>
          <cell r="E130" t="e">
            <v>#N/A</v>
          </cell>
          <cell r="F130" t="e">
            <v>#N/A</v>
          </cell>
          <cell r="G130" t="e">
            <v>#N/A</v>
          </cell>
          <cell r="H130" t="e">
            <v>#N/A</v>
          </cell>
          <cell r="I130" t="e">
            <v>#N/A</v>
          </cell>
          <cell r="J130" t="e">
            <v>#N/A</v>
          </cell>
          <cell r="K130" t="e">
            <v>#N/A</v>
          </cell>
          <cell r="L130" t="e">
            <v>#N/A</v>
          </cell>
          <cell r="M130" t="e">
            <v>#N/A</v>
          </cell>
          <cell r="N130" t="e">
            <v>#N/A</v>
          </cell>
          <cell r="O130" t="e">
            <v>#N/A</v>
          </cell>
          <cell r="P130">
            <v>12.26</v>
          </cell>
          <cell r="Q130">
            <v>2.5341459999999998</v>
          </cell>
          <cell r="R130" t="e">
            <v>#N/A</v>
          </cell>
        </row>
        <row r="131">
          <cell r="A131">
            <v>40161</v>
          </cell>
          <cell r="B131">
            <v>40161</v>
          </cell>
          <cell r="C131" t="str">
            <v>Past</v>
          </cell>
          <cell r="D131">
            <v>12.39</v>
          </cell>
          <cell r="E131" t="e">
            <v>#N/A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>
            <v>12.39</v>
          </cell>
          <cell r="Q131">
            <v>1.5428109999999999</v>
          </cell>
          <cell r="R131" t="e">
            <v>#N/A</v>
          </cell>
        </row>
        <row r="132">
          <cell r="A132">
            <v>40162</v>
          </cell>
          <cell r="B132">
            <v>40162</v>
          </cell>
          <cell r="C132" t="str">
            <v>Past</v>
          </cell>
          <cell r="D132">
            <v>12.49</v>
          </cell>
          <cell r="E132" t="e">
            <v>#N/A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>
            <v>12.49</v>
          </cell>
          <cell r="Q132">
            <v>1.816954</v>
          </cell>
          <cell r="R132" t="e">
            <v>#N/A</v>
          </cell>
        </row>
        <row r="133">
          <cell r="A133">
            <v>40163</v>
          </cell>
          <cell r="B133">
            <v>40163</v>
          </cell>
          <cell r="C133" t="str">
            <v>Past</v>
          </cell>
          <cell r="D133">
            <v>12.67</v>
          </cell>
          <cell r="E133" t="e">
            <v>#N/A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>
            <v>12.67</v>
          </cell>
          <cell r="Q133">
            <v>3.4078200000000001</v>
          </cell>
          <cell r="R133" t="e">
            <v>#N/A</v>
          </cell>
        </row>
        <row r="134">
          <cell r="A134">
            <v>40164</v>
          </cell>
          <cell r="B134">
            <v>40164</v>
          </cell>
          <cell r="C134" t="str">
            <v>Past</v>
          </cell>
          <cell r="D134">
            <v>12.37</v>
          </cell>
          <cell r="E134" t="e">
            <v>#N/A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>
            <v>12.37</v>
          </cell>
          <cell r="Q134">
            <v>2.987034</v>
          </cell>
          <cell r="R134" t="e">
            <v>#N/A</v>
          </cell>
        </row>
        <row r="135">
          <cell r="A135">
            <v>40165</v>
          </cell>
          <cell r="B135">
            <v>40165</v>
          </cell>
          <cell r="C135" t="str">
            <v>Past</v>
          </cell>
          <cell r="D135">
            <v>12.39</v>
          </cell>
          <cell r="E135" t="e">
            <v>#N/A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>
            <v>12.39</v>
          </cell>
          <cell r="Q135">
            <v>2.0287000000000002</v>
          </cell>
          <cell r="R135" t="e">
            <v>#N/A</v>
          </cell>
        </row>
        <row r="136">
          <cell r="A136">
            <v>40168</v>
          </cell>
          <cell r="B136">
            <v>40168</v>
          </cell>
          <cell r="C136" t="str">
            <v>Past</v>
          </cell>
          <cell r="D136">
            <v>12.55</v>
          </cell>
          <cell r="E136" t="e">
            <v>#N/A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>
            <v>12.55</v>
          </cell>
          <cell r="Q136">
            <v>1.2931679999999999</v>
          </cell>
          <cell r="R136" t="e">
            <v>#N/A</v>
          </cell>
        </row>
        <row r="137">
          <cell r="A137">
            <v>40169</v>
          </cell>
          <cell r="B137">
            <v>40169</v>
          </cell>
          <cell r="C137" t="str">
            <v>Past</v>
          </cell>
          <cell r="D137">
            <v>12.51</v>
          </cell>
          <cell r="E137" t="e">
            <v>#N/A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>
            <v>12.51</v>
          </cell>
          <cell r="Q137">
            <v>0.98313899999999999</v>
          </cell>
          <cell r="R137" t="e">
            <v>#N/A</v>
          </cell>
        </row>
        <row r="138">
          <cell r="A138">
            <v>40170</v>
          </cell>
          <cell r="B138">
            <v>40170</v>
          </cell>
          <cell r="C138" t="str">
            <v>Past</v>
          </cell>
          <cell r="D138">
            <v>12.53</v>
          </cell>
          <cell r="E138" t="e">
            <v>#N/A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>
            <v>12.53</v>
          </cell>
          <cell r="Q138">
            <v>1.043939</v>
          </cell>
          <cell r="R138" t="e">
            <v>#N/A</v>
          </cell>
        </row>
        <row r="139">
          <cell r="A139">
            <v>40171</v>
          </cell>
          <cell r="B139">
            <v>40171</v>
          </cell>
          <cell r="C139" t="str">
            <v>Past</v>
          </cell>
          <cell r="D139">
            <v>12.54</v>
          </cell>
          <cell r="E139" t="e">
            <v>#N/A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>
            <v>12.54</v>
          </cell>
          <cell r="Q139">
            <v>0.188083</v>
          </cell>
          <cell r="R139" t="e">
            <v>#N/A</v>
          </cell>
        </row>
        <row r="140">
          <cell r="A140">
            <v>40175</v>
          </cell>
          <cell r="B140">
            <v>40175</v>
          </cell>
          <cell r="C140" t="str">
            <v>Past</v>
          </cell>
          <cell r="D140">
            <v>12.52</v>
          </cell>
          <cell r="E140" t="e">
            <v>#N/A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>
            <v>12.52</v>
          </cell>
          <cell r="Q140">
            <v>1.007449</v>
          </cell>
          <cell r="R140" t="e">
            <v>#N/A</v>
          </cell>
        </row>
        <row r="141">
          <cell r="A141">
            <v>40176</v>
          </cell>
          <cell r="B141">
            <v>40176</v>
          </cell>
          <cell r="C141" t="str">
            <v>Past</v>
          </cell>
          <cell r="D141">
            <v>12.53</v>
          </cell>
          <cell r="E141" t="e">
            <v>#N/A</v>
          </cell>
          <cell r="F141" t="e">
            <v>#N/A</v>
          </cell>
          <cell r="G141" t="e">
            <v>#N/A</v>
          </cell>
          <cell r="H141" t="e">
            <v>#N/A</v>
          </cell>
          <cell r="I141" t="e">
            <v>#N/A</v>
          </cell>
          <cell r="J141" t="e">
            <v>#N/A</v>
          </cell>
          <cell r="K141" t="e">
            <v>#N/A</v>
          </cell>
          <cell r="L141" t="e">
            <v>#N/A</v>
          </cell>
          <cell r="M141" t="e">
            <v>#N/A</v>
          </cell>
          <cell r="N141" t="e">
            <v>#N/A</v>
          </cell>
          <cell r="O141" t="e">
            <v>#N/A</v>
          </cell>
          <cell r="P141">
            <v>12.53</v>
          </cell>
          <cell r="Q141">
            <v>1.2915209999999999</v>
          </cell>
          <cell r="R141" t="e">
            <v>#N/A</v>
          </cell>
        </row>
        <row r="142">
          <cell r="A142">
            <v>40177</v>
          </cell>
          <cell r="B142">
            <v>40177</v>
          </cell>
          <cell r="C142" t="str">
            <v>Past</v>
          </cell>
          <cell r="D142">
            <v>12.57</v>
          </cell>
          <cell r="E142" t="e">
            <v>#N/A</v>
          </cell>
          <cell r="F142" t="e">
            <v>#N/A</v>
          </cell>
          <cell r="G142" t="e">
            <v>#N/A</v>
          </cell>
          <cell r="H142" t="e">
            <v>#N/A</v>
          </cell>
          <cell r="I142" t="e">
            <v>#N/A</v>
          </cell>
          <cell r="J142" t="e">
            <v>#N/A</v>
          </cell>
          <cell r="K142" t="e">
            <v>#N/A</v>
          </cell>
          <cell r="L142" t="e">
            <v>#N/A</v>
          </cell>
          <cell r="M142" t="e">
            <v>#N/A</v>
          </cell>
          <cell r="N142" t="e">
            <v>#N/A</v>
          </cell>
          <cell r="O142" t="e">
            <v>#N/A</v>
          </cell>
          <cell r="P142">
            <v>12.57</v>
          </cell>
          <cell r="Q142">
            <v>0.81364099999999995</v>
          </cell>
          <cell r="R142" t="e">
            <v>#N/A</v>
          </cell>
        </row>
        <row r="143">
          <cell r="A143">
            <v>40178</v>
          </cell>
          <cell r="B143">
            <v>40178</v>
          </cell>
          <cell r="C143" t="str">
            <v>Past</v>
          </cell>
          <cell r="D143">
            <v>12.38</v>
          </cell>
          <cell r="E143" t="e">
            <v>#N/A</v>
          </cell>
          <cell r="F143" t="e">
            <v>#N/A</v>
          </cell>
          <cell r="G143" t="e">
            <v>#N/A</v>
          </cell>
          <cell r="H143" t="e">
            <v>#N/A</v>
          </cell>
          <cell r="I143" t="e">
            <v>#N/A</v>
          </cell>
          <cell r="J143" t="e">
            <v>#N/A</v>
          </cell>
          <cell r="K143" t="e">
            <v>#N/A</v>
          </cell>
          <cell r="L143" t="e">
            <v>#N/A</v>
          </cell>
          <cell r="M143" t="e">
            <v>#N/A</v>
          </cell>
          <cell r="N143" t="e">
            <v>#N/A</v>
          </cell>
          <cell r="O143" t="e">
            <v>#N/A</v>
          </cell>
          <cell r="P143">
            <v>12.38</v>
          </cell>
          <cell r="Q143">
            <v>0.75707799999999992</v>
          </cell>
          <cell r="R143" t="e">
            <v>#N/A</v>
          </cell>
        </row>
        <row r="144">
          <cell r="A144">
            <v>40182</v>
          </cell>
          <cell r="B144">
            <v>40182</v>
          </cell>
          <cell r="C144" t="str">
            <v>Past</v>
          </cell>
          <cell r="D144">
            <v>12.49</v>
          </cell>
          <cell r="E144" t="e">
            <v>#N/A</v>
          </cell>
          <cell r="F144" t="e">
            <v>#N/A</v>
          </cell>
          <cell r="G144" t="e">
            <v>#N/A</v>
          </cell>
          <cell r="H144" t="e">
            <v>#N/A</v>
          </cell>
          <cell r="I144" t="e">
            <v>#N/A</v>
          </cell>
          <cell r="J144" t="e">
            <v>#N/A</v>
          </cell>
          <cell r="K144" t="e">
            <v>#N/A</v>
          </cell>
          <cell r="L144" t="e">
            <v>#N/A</v>
          </cell>
          <cell r="M144" t="e">
            <v>#N/A</v>
          </cell>
          <cell r="N144" t="e">
            <v>#N/A</v>
          </cell>
          <cell r="O144" t="e">
            <v>#N/A</v>
          </cell>
          <cell r="P144">
            <v>12.49</v>
          </cell>
          <cell r="Q144">
            <v>1.3208600000000001</v>
          </cell>
          <cell r="R144" t="e">
            <v>#N/A</v>
          </cell>
        </row>
        <row r="145">
          <cell r="A145">
            <v>40183</v>
          </cell>
          <cell r="B145">
            <v>40183</v>
          </cell>
          <cell r="C145" t="str">
            <v>Past</v>
          </cell>
          <cell r="D145">
            <v>12.22</v>
          </cell>
          <cell r="E145" t="e">
            <v>#N/A</v>
          </cell>
          <cell r="F145" t="e">
            <v>#N/A</v>
          </cell>
          <cell r="G145" t="e">
            <v>#N/A</v>
          </cell>
          <cell r="H145" t="e">
            <v>#N/A</v>
          </cell>
          <cell r="I145" t="e">
            <v>#N/A</v>
          </cell>
          <cell r="J145" t="e">
            <v>#N/A</v>
          </cell>
          <cell r="K145" t="e">
            <v>#N/A</v>
          </cell>
          <cell r="L145" t="e">
            <v>#N/A</v>
          </cell>
          <cell r="M145" t="e">
            <v>#N/A</v>
          </cell>
          <cell r="N145" t="e">
            <v>#N/A</v>
          </cell>
          <cell r="O145" t="e">
            <v>#N/A</v>
          </cell>
          <cell r="P145">
            <v>12.22</v>
          </cell>
          <cell r="Q145">
            <v>2.594293</v>
          </cell>
          <cell r="R145" t="e">
            <v>#N/A</v>
          </cell>
        </row>
        <row r="146">
          <cell r="A146">
            <v>40184</v>
          </cell>
          <cell r="B146">
            <v>40184</v>
          </cell>
          <cell r="C146" t="str">
            <v>Past</v>
          </cell>
          <cell r="D146">
            <v>12.18</v>
          </cell>
          <cell r="E146" t="e">
            <v>#N/A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>
            <v>12.18</v>
          </cell>
          <cell r="Q146">
            <v>2.7537319999999998</v>
          </cell>
          <cell r="R146" t="e">
            <v>#N/A</v>
          </cell>
        </row>
        <row r="147">
          <cell r="A147">
            <v>40185</v>
          </cell>
          <cell r="B147">
            <v>40185</v>
          </cell>
          <cell r="C147" t="str">
            <v>Past</v>
          </cell>
          <cell r="D147">
            <v>11.95</v>
          </cell>
          <cell r="E147" t="e">
            <v>#N/A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>
            <v>11.95</v>
          </cell>
          <cell r="Q147">
            <v>2.590455</v>
          </cell>
          <cell r="R147" t="e">
            <v>#N/A</v>
          </cell>
        </row>
        <row r="148">
          <cell r="A148">
            <v>40186</v>
          </cell>
          <cell r="B148">
            <v>40186</v>
          </cell>
          <cell r="C148" t="str">
            <v>Past</v>
          </cell>
          <cell r="D148">
            <v>11.88</v>
          </cell>
          <cell r="E148" t="e">
            <v>#N/A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>
            <v>11.88</v>
          </cell>
          <cell r="Q148">
            <v>2.3484229999999999</v>
          </cell>
          <cell r="R148" t="e">
            <v>#N/A</v>
          </cell>
        </row>
        <row r="149">
          <cell r="A149">
            <v>40189</v>
          </cell>
          <cell r="B149">
            <v>40189</v>
          </cell>
          <cell r="C149" t="str">
            <v>Past</v>
          </cell>
          <cell r="D149">
            <v>11.93</v>
          </cell>
          <cell r="E149" t="e">
            <v>#N/A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>
            <v>11.93</v>
          </cell>
          <cell r="Q149">
            <v>5.0173579999999998</v>
          </cell>
          <cell r="R149" t="e">
            <v>#N/A</v>
          </cell>
        </row>
        <row r="150">
          <cell r="A150">
            <v>40190</v>
          </cell>
          <cell r="B150">
            <v>40190</v>
          </cell>
          <cell r="C150" t="str">
            <v>Past</v>
          </cell>
          <cell r="D150">
            <v>12.17</v>
          </cell>
          <cell r="E150" t="e">
            <v>#N/A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>
            <v>12.17</v>
          </cell>
          <cell r="Q150">
            <v>6.0215049999999994</v>
          </cell>
          <cell r="R150" t="e">
            <v>#N/A</v>
          </cell>
        </row>
        <row r="151">
          <cell r="A151">
            <v>40191</v>
          </cell>
          <cell r="B151">
            <v>40191</v>
          </cell>
          <cell r="C151" t="str">
            <v>Past</v>
          </cell>
          <cell r="D151">
            <v>12.36</v>
          </cell>
          <cell r="E151" t="e">
            <v>#N/A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>
            <v>12.36</v>
          </cell>
          <cell r="Q151">
            <v>2.7192000000000003</v>
          </cell>
          <cell r="R151" t="e">
            <v>#N/A</v>
          </cell>
        </row>
        <row r="152">
          <cell r="A152">
            <v>40192</v>
          </cell>
          <cell r="B152">
            <v>40192</v>
          </cell>
          <cell r="C152" t="str">
            <v>Past</v>
          </cell>
          <cell r="D152">
            <v>12.37</v>
          </cell>
          <cell r="E152" t="e">
            <v>#N/A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>
            <v>12.37</v>
          </cell>
          <cell r="Q152">
            <v>1.4913419999999999</v>
          </cell>
          <cell r="R152" t="e">
            <v>#N/A</v>
          </cell>
        </row>
        <row r="153">
          <cell r="A153">
            <v>40193</v>
          </cell>
          <cell r="B153">
            <v>40193</v>
          </cell>
          <cell r="C153" t="str">
            <v>Past</v>
          </cell>
          <cell r="D153">
            <v>12.31</v>
          </cell>
          <cell r="E153" t="e">
            <v>#N/A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>
            <v>12.31</v>
          </cell>
          <cell r="Q153">
            <v>2.846365</v>
          </cell>
          <cell r="R153" t="e">
            <v>#N/A</v>
          </cell>
        </row>
        <row r="154">
          <cell r="A154">
            <v>40197</v>
          </cell>
          <cell r="B154">
            <v>40197</v>
          </cell>
          <cell r="C154" t="str">
            <v>Past</v>
          </cell>
          <cell r="D154">
            <v>12.5</v>
          </cell>
          <cell r="E154" t="e">
            <v>#N/A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>
            <v>12.5</v>
          </cell>
          <cell r="Q154">
            <v>2.921125</v>
          </cell>
          <cell r="R154" t="e">
            <v>#N/A</v>
          </cell>
        </row>
        <row r="155">
          <cell r="A155">
            <v>40198</v>
          </cell>
          <cell r="B155">
            <v>40198</v>
          </cell>
          <cell r="C155" t="str">
            <v>Past</v>
          </cell>
          <cell r="D155">
            <v>12.54</v>
          </cell>
          <cell r="E155" t="e">
            <v>#N/A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>
            <v>12.54</v>
          </cell>
          <cell r="Q155">
            <v>5.5452529999999998</v>
          </cell>
          <cell r="R155" t="e">
            <v>#N/A</v>
          </cell>
        </row>
        <row r="156">
          <cell r="A156">
            <v>40199</v>
          </cell>
          <cell r="B156">
            <v>40199</v>
          </cell>
          <cell r="C156" t="str">
            <v>Past</v>
          </cell>
          <cell r="D156">
            <v>12.28</v>
          </cell>
          <cell r="E156" t="e">
            <v>#N/A</v>
          </cell>
          <cell r="F156" t="e">
            <v>#N/A</v>
          </cell>
          <cell r="G156" t="e">
            <v>#N/A</v>
          </cell>
          <cell r="H156" t="e">
            <v>#N/A</v>
          </cell>
          <cell r="I156" t="e">
            <v>#N/A</v>
          </cell>
          <cell r="J156" t="e">
            <v>#N/A</v>
          </cell>
          <cell r="K156" t="e">
            <v>#N/A</v>
          </cell>
          <cell r="L156" t="e">
            <v>#N/A</v>
          </cell>
          <cell r="M156" t="e">
            <v>#N/A</v>
          </cell>
          <cell r="N156" t="e">
            <v>#N/A</v>
          </cell>
          <cell r="O156" t="e">
            <v>#N/A</v>
          </cell>
          <cell r="P156">
            <v>12.28</v>
          </cell>
          <cell r="Q156">
            <v>3.254715</v>
          </cell>
          <cell r="R156" t="e">
            <v>#N/A</v>
          </cell>
        </row>
        <row r="157">
          <cell r="A157">
            <v>40200</v>
          </cell>
          <cell r="B157">
            <v>40200</v>
          </cell>
          <cell r="C157" t="str">
            <v>Past</v>
          </cell>
          <cell r="D157">
            <v>11.99</v>
          </cell>
          <cell r="E157" t="e">
            <v>#N/A</v>
          </cell>
          <cell r="F157" t="e">
            <v>#N/A</v>
          </cell>
          <cell r="G157" t="e">
            <v>#N/A</v>
          </cell>
          <cell r="H157" t="e">
            <v>#N/A</v>
          </cell>
          <cell r="I157" t="e">
            <v>#N/A</v>
          </cell>
          <cell r="J157" t="e">
            <v>#N/A</v>
          </cell>
          <cell r="K157" t="e">
            <v>#N/A</v>
          </cell>
          <cell r="L157" t="e">
            <v>#N/A</v>
          </cell>
          <cell r="M157" t="e">
            <v>#N/A</v>
          </cell>
          <cell r="N157" t="e">
            <v>#N/A</v>
          </cell>
          <cell r="O157" t="e">
            <v>#N/A</v>
          </cell>
          <cell r="P157">
            <v>11.99</v>
          </cell>
          <cell r="Q157">
            <v>2.027603</v>
          </cell>
          <cell r="R157" t="e">
            <v>#N/A</v>
          </cell>
        </row>
        <row r="158">
          <cell r="A158">
            <v>40203</v>
          </cell>
          <cell r="B158">
            <v>40203</v>
          </cell>
          <cell r="C158" t="str">
            <v>Past</v>
          </cell>
          <cell r="D158">
            <v>12.01</v>
          </cell>
          <cell r="E158" t="e">
            <v>#N/A</v>
          </cell>
          <cell r="F158" t="e">
            <v>#N/A</v>
          </cell>
          <cell r="G158" t="e">
            <v>#N/A</v>
          </cell>
          <cell r="H158" t="e">
            <v>#N/A</v>
          </cell>
          <cell r="I158" t="e">
            <v>#N/A</v>
          </cell>
          <cell r="J158" t="e">
            <v>#N/A</v>
          </cell>
          <cell r="K158" t="e">
            <v>#N/A</v>
          </cell>
          <cell r="L158" t="e">
            <v>#N/A</v>
          </cell>
          <cell r="M158" t="e">
            <v>#N/A</v>
          </cell>
          <cell r="N158" t="e">
            <v>#N/A</v>
          </cell>
          <cell r="O158" t="e">
            <v>#N/A</v>
          </cell>
          <cell r="P158">
            <v>12.01</v>
          </cell>
          <cell r="Q158">
            <v>2.0521279999999997</v>
          </cell>
          <cell r="R158" t="e">
            <v>#N/A</v>
          </cell>
        </row>
        <row r="159">
          <cell r="A159">
            <v>40204</v>
          </cell>
          <cell r="B159">
            <v>40204</v>
          </cell>
          <cell r="C159" t="str">
            <v>Past</v>
          </cell>
          <cell r="D159">
            <v>11.98</v>
          </cell>
          <cell r="E159" t="e">
            <v>#N/A</v>
          </cell>
          <cell r="F159" t="e">
            <v>#N/A</v>
          </cell>
          <cell r="G159" t="e">
            <v>#N/A</v>
          </cell>
          <cell r="H159" t="e">
            <v>#N/A</v>
          </cell>
          <cell r="I159" t="e">
            <v>#N/A</v>
          </cell>
          <cell r="J159" t="e">
            <v>#N/A</v>
          </cell>
          <cell r="K159" t="e">
            <v>#N/A</v>
          </cell>
          <cell r="L159" t="e">
            <v>#N/A</v>
          </cell>
          <cell r="M159" t="e">
            <v>#N/A</v>
          </cell>
          <cell r="N159" t="e">
            <v>#N/A</v>
          </cell>
          <cell r="O159" t="e">
            <v>#N/A</v>
          </cell>
          <cell r="P159">
            <v>11.98</v>
          </cell>
          <cell r="Q159">
            <v>1.741779</v>
          </cell>
          <cell r="R159" t="e">
            <v>#N/A</v>
          </cell>
        </row>
        <row r="160">
          <cell r="A160">
            <v>40205</v>
          </cell>
          <cell r="B160">
            <v>40205</v>
          </cell>
          <cell r="C160" t="str">
            <v>Past</v>
          </cell>
          <cell r="D160">
            <v>11.85</v>
          </cell>
          <cell r="E160" t="e">
            <v>#N/A</v>
          </cell>
          <cell r="F160" t="e">
            <v>#N/A</v>
          </cell>
          <cell r="G160" t="e">
            <v>#N/A</v>
          </cell>
          <cell r="H160" t="e">
            <v>#N/A</v>
          </cell>
          <cell r="I160" t="e">
            <v>#N/A</v>
          </cell>
          <cell r="J160" t="e">
            <v>#N/A</v>
          </cell>
          <cell r="K160" t="e">
            <v>#N/A</v>
          </cell>
          <cell r="L160" t="e">
            <v>#N/A</v>
          </cell>
          <cell r="M160" t="e">
            <v>#N/A</v>
          </cell>
          <cell r="N160" t="e">
            <v>#N/A</v>
          </cell>
          <cell r="O160" t="e">
            <v>#N/A</v>
          </cell>
          <cell r="P160">
            <v>11.85</v>
          </cell>
          <cell r="Q160">
            <v>2.2158500000000001</v>
          </cell>
          <cell r="R160" t="e">
            <v>#N/A</v>
          </cell>
        </row>
        <row r="161">
          <cell r="A161">
            <v>40206</v>
          </cell>
          <cell r="B161">
            <v>40206</v>
          </cell>
          <cell r="C161" t="str">
            <v>Past</v>
          </cell>
          <cell r="D161">
            <v>11.74</v>
          </cell>
          <cell r="E161" t="e">
            <v>#N/A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>
            <v>11.74</v>
          </cell>
          <cell r="Q161">
            <v>2.1453059999999997</v>
          </cell>
          <cell r="R161" t="e">
            <v>#N/A</v>
          </cell>
        </row>
        <row r="162">
          <cell r="A162">
            <v>40207</v>
          </cell>
          <cell r="B162">
            <v>40207</v>
          </cell>
          <cell r="C162" t="str">
            <v>Past</v>
          </cell>
          <cell r="D162">
            <v>11.52</v>
          </cell>
          <cell r="E162" t="e">
            <v>#N/A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>
            <v>11.52</v>
          </cell>
          <cell r="Q162">
            <v>2.407451</v>
          </cell>
          <cell r="R162" t="e">
            <v>#N/A</v>
          </cell>
        </row>
        <row r="163">
          <cell r="A163">
            <v>40210</v>
          </cell>
          <cell r="B163">
            <v>40210</v>
          </cell>
          <cell r="C163" t="str">
            <v>Past</v>
          </cell>
          <cell r="D163">
            <v>11.58</v>
          </cell>
          <cell r="E163" t="e">
            <v>#N/A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>
            <v>11.58</v>
          </cell>
          <cell r="Q163">
            <v>1.7375529999999999</v>
          </cell>
          <cell r="R163" t="e">
            <v>#N/A</v>
          </cell>
        </row>
        <row r="164">
          <cell r="A164">
            <v>40211</v>
          </cell>
          <cell r="B164">
            <v>40211</v>
          </cell>
          <cell r="C164" t="str">
            <v>Past</v>
          </cell>
          <cell r="D164">
            <v>11.71</v>
          </cell>
          <cell r="E164" t="e">
            <v>#N/A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>
            <v>11.71</v>
          </cell>
          <cell r="Q164">
            <v>2.8388329999999997</v>
          </cell>
          <cell r="R164" t="e">
            <v>#N/A</v>
          </cell>
        </row>
        <row r="165">
          <cell r="A165">
            <v>40212</v>
          </cell>
          <cell r="B165">
            <v>40212</v>
          </cell>
          <cell r="C165" t="str">
            <v>Past</v>
          </cell>
          <cell r="D165">
            <v>11.47</v>
          </cell>
          <cell r="E165" t="e">
            <v>#N/A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>
            <v>11.47</v>
          </cell>
          <cell r="Q165">
            <v>8.2753759999999996</v>
          </cell>
          <cell r="R165" t="e">
            <v>#N/A</v>
          </cell>
        </row>
        <row r="166">
          <cell r="A166">
            <v>40213</v>
          </cell>
          <cell r="B166">
            <v>40213</v>
          </cell>
          <cell r="C166" t="str">
            <v>Past</v>
          </cell>
          <cell r="D166">
            <v>11.44</v>
          </cell>
          <cell r="E166" t="e">
            <v>#N/A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>
            <v>11.44</v>
          </cell>
          <cell r="Q166">
            <v>5.2136639999999996</v>
          </cell>
          <cell r="R166" t="e">
            <v>#N/A</v>
          </cell>
        </row>
        <row r="167">
          <cell r="A167">
            <v>40214</v>
          </cell>
          <cell r="B167">
            <v>40214</v>
          </cell>
          <cell r="C167" t="str">
            <v>Past</v>
          </cell>
          <cell r="D167">
            <v>11.36</v>
          </cell>
          <cell r="E167" t="e">
            <v>#N/A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>
            <v>11.36</v>
          </cell>
          <cell r="Q167">
            <v>3.9470300000000003</v>
          </cell>
          <cell r="R167" t="e">
            <v>#N/A</v>
          </cell>
        </row>
        <row r="168">
          <cell r="A168">
            <v>40217</v>
          </cell>
          <cell r="B168">
            <v>40217</v>
          </cell>
          <cell r="C168" t="str">
            <v>Past</v>
          </cell>
          <cell r="D168">
            <v>11.17</v>
          </cell>
          <cell r="E168" t="e">
            <v>#N/A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>
            <v>11.17</v>
          </cell>
          <cell r="Q168">
            <v>2.7023820000000001</v>
          </cell>
          <cell r="R168" t="e">
            <v>#N/A</v>
          </cell>
        </row>
        <row r="169">
          <cell r="A169">
            <v>40218</v>
          </cell>
          <cell r="B169">
            <v>40218</v>
          </cell>
          <cell r="C169" t="str">
            <v>Past</v>
          </cell>
          <cell r="D169">
            <v>11.17</v>
          </cell>
          <cell r="E169" t="e">
            <v>#N/A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>
            <v>11.17</v>
          </cell>
          <cell r="Q169">
            <v>2.2356449999999999</v>
          </cell>
          <cell r="R169" t="e">
            <v>#N/A</v>
          </cell>
        </row>
        <row r="170">
          <cell r="A170">
            <v>40219</v>
          </cell>
          <cell r="B170">
            <v>40219</v>
          </cell>
          <cell r="C170" t="str">
            <v>Past</v>
          </cell>
          <cell r="D170">
            <v>11.08</v>
          </cell>
          <cell r="E170" t="e">
            <v>#N/A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>
            <v>11.08</v>
          </cell>
          <cell r="Q170">
            <v>1.5576589999999999</v>
          </cell>
          <cell r="R170" t="e">
            <v>#N/A</v>
          </cell>
        </row>
        <row r="171">
          <cell r="A171">
            <v>40220</v>
          </cell>
          <cell r="B171">
            <v>40220</v>
          </cell>
          <cell r="C171" t="str">
            <v>Past</v>
          </cell>
          <cell r="D171">
            <v>11.1</v>
          </cell>
          <cell r="E171" t="e">
            <v>#N/A</v>
          </cell>
          <cell r="F171" t="e">
            <v>#N/A</v>
          </cell>
          <cell r="G171" t="e">
            <v>#N/A</v>
          </cell>
          <cell r="H171" t="e">
            <v>#N/A</v>
          </cell>
          <cell r="I171" t="e">
            <v>#N/A</v>
          </cell>
          <cell r="J171" t="e">
            <v>#N/A</v>
          </cell>
          <cell r="K171" t="e">
            <v>#N/A</v>
          </cell>
          <cell r="L171" t="e">
            <v>#N/A</v>
          </cell>
          <cell r="M171" t="e">
            <v>#N/A</v>
          </cell>
          <cell r="N171" t="e">
            <v>#N/A</v>
          </cell>
          <cell r="O171" t="e">
            <v>#N/A</v>
          </cell>
          <cell r="P171">
            <v>11.1</v>
          </cell>
          <cell r="Q171">
            <v>3.0232400000000004</v>
          </cell>
          <cell r="R171" t="e">
            <v>#N/A</v>
          </cell>
        </row>
        <row r="172">
          <cell r="A172">
            <v>40221</v>
          </cell>
          <cell r="B172">
            <v>40221</v>
          </cell>
          <cell r="C172" t="str">
            <v>Past</v>
          </cell>
          <cell r="D172">
            <v>11.09</v>
          </cell>
          <cell r="E172" t="e">
            <v>#N/A</v>
          </cell>
          <cell r="F172" t="e">
            <v>#N/A</v>
          </cell>
          <cell r="G172" t="e">
            <v>#N/A</v>
          </cell>
          <cell r="H172" t="e">
            <v>#N/A</v>
          </cell>
          <cell r="I172" t="e">
            <v>#N/A</v>
          </cell>
          <cell r="J172" t="e">
            <v>#N/A</v>
          </cell>
          <cell r="K172" t="e">
            <v>#N/A</v>
          </cell>
          <cell r="L172" t="e">
            <v>#N/A</v>
          </cell>
          <cell r="M172" t="e">
            <v>#N/A</v>
          </cell>
          <cell r="N172" t="e">
            <v>#N/A</v>
          </cell>
          <cell r="O172" t="e">
            <v>#N/A</v>
          </cell>
          <cell r="P172">
            <v>11.09</v>
          </cell>
          <cell r="Q172">
            <v>2.0410629999999998</v>
          </cell>
          <cell r="R172" t="e">
            <v>#N/A</v>
          </cell>
        </row>
        <row r="173">
          <cell r="A173">
            <v>40225</v>
          </cell>
          <cell r="B173">
            <v>40225</v>
          </cell>
          <cell r="C173" t="str">
            <v>Past</v>
          </cell>
          <cell r="D173">
            <v>11.34</v>
          </cell>
          <cell r="E173" t="e">
            <v>#N/A</v>
          </cell>
          <cell r="F173" t="e">
            <v>#N/A</v>
          </cell>
          <cell r="G173" t="e">
            <v>#N/A</v>
          </cell>
          <cell r="H173" t="e">
            <v>#N/A</v>
          </cell>
          <cell r="I173" t="e">
            <v>#N/A</v>
          </cell>
          <cell r="J173" t="e">
            <v>#N/A</v>
          </cell>
          <cell r="K173" t="e">
            <v>#N/A</v>
          </cell>
          <cell r="L173" t="e">
            <v>#N/A</v>
          </cell>
          <cell r="M173" t="e">
            <v>#N/A</v>
          </cell>
          <cell r="N173" t="e">
            <v>#N/A</v>
          </cell>
          <cell r="O173" t="e">
            <v>#N/A</v>
          </cell>
          <cell r="P173">
            <v>11.34</v>
          </cell>
          <cell r="Q173">
            <v>1.205857</v>
          </cell>
          <cell r="R173" t="e">
            <v>#N/A</v>
          </cell>
        </row>
        <row r="174">
          <cell r="A174">
            <v>40226</v>
          </cell>
          <cell r="B174">
            <v>40226</v>
          </cell>
          <cell r="C174" t="str">
            <v>Past</v>
          </cell>
          <cell r="D174">
            <v>11.39</v>
          </cell>
          <cell r="E174" t="e">
            <v>#N/A</v>
          </cell>
          <cell r="F174" t="e">
            <v>#N/A</v>
          </cell>
          <cell r="G174" t="e">
            <v>#N/A</v>
          </cell>
          <cell r="H174" t="e">
            <v>#N/A</v>
          </cell>
          <cell r="I174" t="e">
            <v>#N/A</v>
          </cell>
          <cell r="J174" t="e">
            <v>#N/A</v>
          </cell>
          <cell r="K174" t="e">
            <v>#N/A</v>
          </cell>
          <cell r="L174" t="e">
            <v>#N/A</v>
          </cell>
          <cell r="M174" t="e">
            <v>#N/A</v>
          </cell>
          <cell r="N174" t="e">
            <v>#N/A</v>
          </cell>
          <cell r="O174" t="e">
            <v>#N/A</v>
          </cell>
          <cell r="P174">
            <v>11.39</v>
          </cell>
          <cell r="Q174">
            <v>1.968005</v>
          </cell>
          <cell r="R174" t="e">
            <v>#N/A</v>
          </cell>
        </row>
        <row r="175">
          <cell r="A175">
            <v>40227</v>
          </cell>
          <cell r="B175">
            <v>40227</v>
          </cell>
          <cell r="C175" t="str">
            <v>Past</v>
          </cell>
          <cell r="D175">
            <v>11.4</v>
          </cell>
          <cell r="E175" t="e">
            <v>#N/A</v>
          </cell>
          <cell r="F175" t="e">
            <v>#N/A</v>
          </cell>
          <cell r="G175" t="e">
            <v>#N/A</v>
          </cell>
          <cell r="H175" t="e">
            <v>#N/A</v>
          </cell>
          <cell r="I175" t="e">
            <v>#N/A</v>
          </cell>
          <cell r="J175" t="e">
            <v>#N/A</v>
          </cell>
          <cell r="K175" t="e">
            <v>#N/A</v>
          </cell>
          <cell r="L175" t="e">
            <v>#N/A</v>
          </cell>
          <cell r="M175" t="e">
            <v>#N/A</v>
          </cell>
          <cell r="N175" t="e">
            <v>#N/A</v>
          </cell>
          <cell r="O175" t="e">
            <v>#N/A</v>
          </cell>
          <cell r="P175">
            <v>11.4</v>
          </cell>
          <cell r="Q175">
            <v>1.733876</v>
          </cell>
          <cell r="R175" t="e">
            <v>#N/A</v>
          </cell>
        </row>
        <row r="176">
          <cell r="A176">
            <v>40228</v>
          </cell>
          <cell r="B176">
            <v>40228</v>
          </cell>
          <cell r="C176" t="str">
            <v>Past</v>
          </cell>
          <cell r="D176">
            <v>11.56</v>
          </cell>
          <cell r="E176" t="e">
            <v>#N/A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>
            <v>11.56</v>
          </cell>
          <cell r="Q176">
            <v>1.7208400000000001</v>
          </cell>
          <cell r="R176" t="e">
            <v>#N/A</v>
          </cell>
        </row>
        <row r="177">
          <cell r="A177">
            <v>40231</v>
          </cell>
          <cell r="B177">
            <v>40231</v>
          </cell>
          <cell r="C177" t="str">
            <v>Past</v>
          </cell>
          <cell r="D177">
            <v>11.49</v>
          </cell>
          <cell r="E177" t="e">
            <v>#N/A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>
            <v>11.49</v>
          </cell>
          <cell r="Q177">
            <v>0.80953000000000008</v>
          </cell>
          <cell r="R177" t="e">
            <v>#N/A</v>
          </cell>
        </row>
        <row r="178">
          <cell r="A178">
            <v>40232</v>
          </cell>
          <cell r="B178">
            <v>40232</v>
          </cell>
          <cell r="C178" t="str">
            <v>Past</v>
          </cell>
          <cell r="D178">
            <v>11.31</v>
          </cell>
          <cell r="E178" t="e">
            <v>#N/A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>
            <v>11.31</v>
          </cell>
          <cell r="Q178">
            <v>2.328532</v>
          </cell>
          <cell r="R178" t="e">
            <v>#N/A</v>
          </cell>
        </row>
        <row r="179">
          <cell r="A179">
            <v>40233</v>
          </cell>
          <cell r="B179">
            <v>40233</v>
          </cell>
          <cell r="C179" t="str">
            <v>Past</v>
          </cell>
          <cell r="D179">
            <v>11.28</v>
          </cell>
          <cell r="E179" t="e">
            <v>#N/A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>
            <v>11.28</v>
          </cell>
          <cell r="Q179">
            <v>2.9020509999999997</v>
          </cell>
          <cell r="R179" t="e">
            <v>#N/A</v>
          </cell>
        </row>
        <row r="180">
          <cell r="A180">
            <v>40234</v>
          </cell>
          <cell r="B180">
            <v>40234</v>
          </cell>
          <cell r="C180" t="str">
            <v>Past</v>
          </cell>
          <cell r="D180">
            <v>11.23</v>
          </cell>
          <cell r="E180" t="e">
            <v>#N/A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>
            <v>11.23</v>
          </cell>
          <cell r="Q180">
            <v>2.0132189999999999</v>
          </cell>
          <cell r="R180" t="e">
            <v>#N/A</v>
          </cell>
        </row>
        <row r="181">
          <cell r="A181">
            <v>40235</v>
          </cell>
          <cell r="B181">
            <v>40235</v>
          </cell>
          <cell r="C181" t="str">
            <v>Past</v>
          </cell>
          <cell r="D181">
            <v>11.11</v>
          </cell>
          <cell r="E181" t="e">
            <v>#N/A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>
            <v>11.11</v>
          </cell>
          <cell r="Q181">
            <v>2.0343549999999997</v>
          </cell>
          <cell r="R181" t="e">
            <v>#N/A</v>
          </cell>
        </row>
        <row r="182">
          <cell r="A182">
            <v>40238</v>
          </cell>
          <cell r="B182">
            <v>40238</v>
          </cell>
          <cell r="C182" t="str">
            <v>Past</v>
          </cell>
          <cell r="D182">
            <v>11.55</v>
          </cell>
          <cell r="E182" t="e">
            <v>#N/A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>
            <v>11.55</v>
          </cell>
          <cell r="Q182">
            <v>3.2926409999999997</v>
          </cell>
          <cell r="R182" t="e">
            <v>#N/A</v>
          </cell>
        </row>
        <row r="183">
          <cell r="A183">
            <v>40239</v>
          </cell>
          <cell r="B183">
            <v>40239</v>
          </cell>
          <cell r="C183" t="str">
            <v>Past</v>
          </cell>
          <cell r="D183">
            <v>11.68</v>
          </cell>
          <cell r="E183" t="e">
            <v>#N/A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>
            <v>11.68</v>
          </cell>
          <cell r="Q183">
            <v>1.8359489999999998</v>
          </cell>
          <cell r="R183" t="e">
            <v>#N/A</v>
          </cell>
        </row>
        <row r="184">
          <cell r="A184">
            <v>40240</v>
          </cell>
          <cell r="B184">
            <v>40240</v>
          </cell>
          <cell r="C184" t="str">
            <v>Past</v>
          </cell>
          <cell r="D184">
            <v>11.62</v>
          </cell>
          <cell r="E184" t="e">
            <v>#N/A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>
            <v>11.62</v>
          </cell>
          <cell r="Q184">
            <v>1.013161</v>
          </cell>
          <cell r="R184" t="e">
            <v>#N/A</v>
          </cell>
        </row>
        <row r="185">
          <cell r="A185">
            <v>40241</v>
          </cell>
          <cell r="B185">
            <v>40241</v>
          </cell>
          <cell r="C185" t="str">
            <v>Past</v>
          </cell>
          <cell r="D185">
            <v>11.6</v>
          </cell>
          <cell r="E185" t="e">
            <v>#N/A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>
            <v>11.6</v>
          </cell>
          <cell r="Q185">
            <v>0.86625799999999997</v>
          </cell>
          <cell r="R185" t="e">
            <v>#N/A</v>
          </cell>
        </row>
        <row r="186">
          <cell r="A186">
            <v>40242</v>
          </cell>
          <cell r="B186">
            <v>40242</v>
          </cell>
          <cell r="C186" t="str">
            <v>Past</v>
          </cell>
          <cell r="D186">
            <v>11.7</v>
          </cell>
          <cell r="E186" t="e">
            <v>#N/A</v>
          </cell>
          <cell r="F186" t="e">
            <v>#N/A</v>
          </cell>
          <cell r="G186" t="e">
            <v>#N/A</v>
          </cell>
          <cell r="H186" t="e">
            <v>#N/A</v>
          </cell>
          <cell r="I186" t="e">
            <v>#N/A</v>
          </cell>
          <cell r="J186" t="e">
            <v>#N/A</v>
          </cell>
          <cell r="K186" t="e">
            <v>#N/A</v>
          </cell>
          <cell r="L186" t="e">
            <v>#N/A</v>
          </cell>
          <cell r="M186" t="e">
            <v>#N/A</v>
          </cell>
          <cell r="N186" t="e">
            <v>#N/A</v>
          </cell>
          <cell r="O186" t="e">
            <v>#N/A</v>
          </cell>
          <cell r="P186">
            <v>11.7</v>
          </cell>
          <cell r="Q186">
            <v>0.73514099999999993</v>
          </cell>
          <cell r="R186" t="e">
            <v>#N/A</v>
          </cell>
        </row>
        <row r="187">
          <cell r="A187">
            <v>40245</v>
          </cell>
          <cell r="B187">
            <v>40245</v>
          </cell>
          <cell r="C187" t="str">
            <v>Past</v>
          </cell>
          <cell r="D187">
            <v>11.65</v>
          </cell>
          <cell r="E187" t="e">
            <v>#N/A</v>
          </cell>
          <cell r="F187" t="e">
            <v>#N/A</v>
          </cell>
          <cell r="G187" t="e">
            <v>#N/A</v>
          </cell>
          <cell r="H187" t="e">
            <v>#N/A</v>
          </cell>
          <cell r="I187" t="e">
            <v>#N/A</v>
          </cell>
          <cell r="J187" t="e">
            <v>#N/A</v>
          </cell>
          <cell r="K187" t="e">
            <v>#N/A</v>
          </cell>
          <cell r="L187" t="e">
            <v>#N/A</v>
          </cell>
          <cell r="M187" t="e">
            <v>#N/A</v>
          </cell>
          <cell r="N187" t="e">
            <v>#N/A</v>
          </cell>
          <cell r="O187" t="e">
            <v>#N/A</v>
          </cell>
          <cell r="P187">
            <v>11.65</v>
          </cell>
          <cell r="Q187">
            <v>0.86661699999999997</v>
          </cell>
          <cell r="R187" t="e">
            <v>#N/A</v>
          </cell>
        </row>
        <row r="188">
          <cell r="A188">
            <v>40246</v>
          </cell>
          <cell r="B188">
            <v>40246</v>
          </cell>
          <cell r="C188" t="str">
            <v>Past</v>
          </cell>
          <cell r="D188">
            <v>11.72</v>
          </cell>
          <cell r="E188" t="e">
            <v>#N/A</v>
          </cell>
          <cell r="F188" t="e">
            <v>#N/A</v>
          </cell>
          <cell r="G188" t="e">
            <v>#N/A</v>
          </cell>
          <cell r="H188" t="e">
            <v>#N/A</v>
          </cell>
          <cell r="I188" t="e">
            <v>#N/A</v>
          </cell>
          <cell r="J188" t="e">
            <v>#N/A</v>
          </cell>
          <cell r="K188" t="e">
            <v>#N/A</v>
          </cell>
          <cell r="L188" t="e">
            <v>#N/A</v>
          </cell>
          <cell r="M188" t="e">
            <v>#N/A</v>
          </cell>
          <cell r="N188" t="e">
            <v>#N/A</v>
          </cell>
          <cell r="O188" t="e">
            <v>#N/A</v>
          </cell>
          <cell r="P188">
            <v>11.72</v>
          </cell>
          <cell r="Q188">
            <v>1.2221309999999999</v>
          </cell>
          <cell r="R188" t="e">
            <v>#N/A</v>
          </cell>
        </row>
        <row r="189">
          <cell r="A189">
            <v>40247</v>
          </cell>
          <cell r="B189">
            <v>40247</v>
          </cell>
          <cell r="C189" t="str">
            <v>Past</v>
          </cell>
          <cell r="D189">
            <v>11.6</v>
          </cell>
          <cell r="E189" t="e">
            <v>#N/A</v>
          </cell>
          <cell r="F189" t="e">
            <v>#N/A</v>
          </cell>
          <cell r="G189" t="e">
            <v>#N/A</v>
          </cell>
          <cell r="H189" t="e">
            <v>#N/A</v>
          </cell>
          <cell r="I189" t="e">
            <v>#N/A</v>
          </cell>
          <cell r="J189" t="e">
            <v>#N/A</v>
          </cell>
          <cell r="K189" t="e">
            <v>#N/A</v>
          </cell>
          <cell r="L189" t="e">
            <v>#N/A</v>
          </cell>
          <cell r="M189" t="e">
            <v>#N/A</v>
          </cell>
          <cell r="N189" t="e">
            <v>#N/A</v>
          </cell>
          <cell r="O189" t="e">
            <v>#N/A</v>
          </cell>
          <cell r="P189">
            <v>11.6</v>
          </cell>
          <cell r="Q189">
            <v>2.0219130000000001</v>
          </cell>
          <cell r="R189" t="e">
            <v>#N/A</v>
          </cell>
        </row>
        <row r="190">
          <cell r="A190">
            <v>40248</v>
          </cell>
          <cell r="B190">
            <v>40248</v>
          </cell>
          <cell r="C190" t="str">
            <v>Past</v>
          </cell>
          <cell r="D190">
            <v>11.72</v>
          </cell>
          <cell r="E190" t="e">
            <v>#N/A</v>
          </cell>
          <cell r="F190" t="e">
            <v>#N/A</v>
          </cell>
          <cell r="G190" t="e">
            <v>#N/A</v>
          </cell>
          <cell r="H190" t="e">
            <v>#N/A</v>
          </cell>
          <cell r="I190" t="e">
            <v>#N/A</v>
          </cell>
          <cell r="J190" t="e">
            <v>#N/A</v>
          </cell>
          <cell r="K190" t="e">
            <v>#N/A</v>
          </cell>
          <cell r="L190" t="e">
            <v>#N/A</v>
          </cell>
          <cell r="M190" t="e">
            <v>#N/A</v>
          </cell>
          <cell r="N190" t="e">
            <v>#N/A</v>
          </cell>
          <cell r="O190" t="e">
            <v>#N/A</v>
          </cell>
          <cell r="P190">
            <v>11.72</v>
          </cell>
          <cell r="Q190">
            <v>1.8552769999999998</v>
          </cell>
          <cell r="R190" t="e">
            <v>#N/A</v>
          </cell>
        </row>
        <row r="191">
          <cell r="A191">
            <v>40249</v>
          </cell>
          <cell r="B191">
            <v>40249</v>
          </cell>
          <cell r="C191" t="str">
            <v>Past</v>
          </cell>
          <cell r="D191">
            <v>11.69</v>
          </cell>
          <cell r="E191" t="e">
            <v>#N/A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>
            <v>11.69</v>
          </cell>
          <cell r="Q191">
            <v>1.565866</v>
          </cell>
          <cell r="R191" t="e">
            <v>#N/A</v>
          </cell>
        </row>
        <row r="192">
          <cell r="A192">
            <v>40252</v>
          </cell>
          <cell r="B192">
            <v>40252</v>
          </cell>
          <cell r="C192" t="str">
            <v>Past</v>
          </cell>
          <cell r="D192">
            <v>11.76</v>
          </cell>
          <cell r="E192" t="e">
            <v>#N/A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>
            <v>11.76</v>
          </cell>
          <cell r="Q192">
            <v>1.1150229999999999</v>
          </cell>
          <cell r="R192" t="e">
            <v>#N/A</v>
          </cell>
        </row>
        <row r="193">
          <cell r="A193">
            <v>40253</v>
          </cell>
          <cell r="B193">
            <v>40253</v>
          </cell>
          <cell r="C193" t="str">
            <v>Past</v>
          </cell>
          <cell r="D193">
            <v>11.93</v>
          </cell>
          <cell r="E193" t="e">
            <v>#N/A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>
            <v>11.93</v>
          </cell>
          <cell r="Q193">
            <v>1.731938</v>
          </cell>
          <cell r="R193" t="e">
            <v>#N/A</v>
          </cell>
        </row>
        <row r="194">
          <cell r="A194">
            <v>40254</v>
          </cell>
          <cell r="B194">
            <v>40254</v>
          </cell>
          <cell r="C194" t="str">
            <v>Past</v>
          </cell>
          <cell r="D194">
            <v>12.02</v>
          </cell>
          <cell r="E194" t="e">
            <v>#N/A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>
            <v>12.02</v>
          </cell>
          <cell r="Q194">
            <v>1.4566429999999999</v>
          </cell>
          <cell r="R194" t="e">
            <v>#N/A</v>
          </cell>
        </row>
        <row r="195">
          <cell r="A195">
            <v>40255</v>
          </cell>
          <cell r="B195">
            <v>40255</v>
          </cell>
          <cell r="C195" t="str">
            <v>Past</v>
          </cell>
          <cell r="D195">
            <v>12.03</v>
          </cell>
          <cell r="E195" t="e">
            <v>#N/A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>
            <v>12.03</v>
          </cell>
          <cell r="Q195">
            <v>0.810307</v>
          </cell>
          <cell r="R195" t="e">
            <v>#N/A</v>
          </cell>
        </row>
        <row r="196">
          <cell r="A196">
            <v>40256</v>
          </cell>
          <cell r="B196">
            <v>40256</v>
          </cell>
          <cell r="C196" t="str">
            <v>Past</v>
          </cell>
          <cell r="D196">
            <v>12</v>
          </cell>
          <cell r="E196" t="e">
            <v>#N/A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>
            <v>12</v>
          </cell>
          <cell r="Q196">
            <v>1.940742</v>
          </cell>
          <cell r="R196" t="e">
            <v>#N/A</v>
          </cell>
        </row>
        <row r="197">
          <cell r="A197">
            <v>40259</v>
          </cell>
          <cell r="B197">
            <v>40259</v>
          </cell>
          <cell r="C197" t="str">
            <v>Past</v>
          </cell>
          <cell r="D197">
            <v>12.07</v>
          </cell>
          <cell r="E197" t="e">
            <v>#N/A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>
            <v>12.07</v>
          </cell>
          <cell r="Q197">
            <v>2.8972189999999998</v>
          </cell>
          <cell r="R197" t="e">
            <v>#N/A</v>
          </cell>
        </row>
        <row r="198">
          <cell r="A198">
            <v>40260</v>
          </cell>
          <cell r="B198">
            <v>40260</v>
          </cell>
          <cell r="C198" t="str">
            <v>Past</v>
          </cell>
          <cell r="D198">
            <v>12.1</v>
          </cell>
          <cell r="E198" t="e">
            <v>#N/A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>
            <v>12.1</v>
          </cell>
          <cell r="Q198">
            <v>1.913257</v>
          </cell>
          <cell r="R198" t="e">
            <v>#N/A</v>
          </cell>
        </row>
        <row r="199">
          <cell r="A199">
            <v>40261</v>
          </cell>
          <cell r="B199">
            <v>40261</v>
          </cell>
          <cell r="C199" t="str">
            <v>Past</v>
          </cell>
          <cell r="D199">
            <v>11.93</v>
          </cell>
          <cell r="E199" t="e">
            <v>#N/A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>
            <v>11.93</v>
          </cell>
          <cell r="Q199">
            <v>1.8157200000000002</v>
          </cell>
          <cell r="R199" t="e">
            <v>#N/A</v>
          </cell>
        </row>
        <row r="200">
          <cell r="A200">
            <v>40262</v>
          </cell>
          <cell r="B200">
            <v>40262</v>
          </cell>
          <cell r="C200" t="str">
            <v>Past</v>
          </cell>
          <cell r="D200">
            <v>11.8</v>
          </cell>
          <cell r="E200" t="e">
            <v>#N/A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>
            <v>11.8</v>
          </cell>
          <cell r="Q200">
            <v>1.4980149999999999</v>
          </cell>
          <cell r="R200" t="e">
            <v>#N/A</v>
          </cell>
        </row>
        <row r="201">
          <cell r="A201">
            <v>40263</v>
          </cell>
          <cell r="B201">
            <v>40263</v>
          </cell>
          <cell r="C201" t="str">
            <v>Past</v>
          </cell>
          <cell r="D201">
            <v>12.2</v>
          </cell>
          <cell r="E201" t="e">
            <v>#N/A</v>
          </cell>
          <cell r="F201" t="e">
            <v>#N/A</v>
          </cell>
          <cell r="G201" t="e">
            <v>#N/A</v>
          </cell>
          <cell r="H201" t="e">
            <v>#N/A</v>
          </cell>
          <cell r="I201" t="e">
            <v>#N/A</v>
          </cell>
          <cell r="J201" t="e">
            <v>#N/A</v>
          </cell>
          <cell r="K201" t="e">
            <v>#N/A</v>
          </cell>
          <cell r="L201" t="e">
            <v>#N/A</v>
          </cell>
          <cell r="M201" t="e">
            <v>#N/A</v>
          </cell>
          <cell r="N201" t="e">
            <v>#N/A</v>
          </cell>
          <cell r="O201" t="e">
            <v>#N/A</v>
          </cell>
          <cell r="P201">
            <v>12.2</v>
          </cell>
          <cell r="Q201">
            <v>3.5113669999999999</v>
          </cell>
          <cell r="R201" t="e">
            <v>#N/A</v>
          </cell>
        </row>
        <row r="202">
          <cell r="A202">
            <v>40266</v>
          </cell>
          <cell r="B202">
            <v>40266</v>
          </cell>
          <cell r="C202" t="str">
            <v>Past</v>
          </cell>
          <cell r="D202">
            <v>12.33</v>
          </cell>
          <cell r="E202" t="e">
            <v>#N/A</v>
          </cell>
          <cell r="F202" t="e">
            <v>#N/A</v>
          </cell>
          <cell r="G202" t="e">
            <v>#N/A</v>
          </cell>
          <cell r="H202" t="e">
            <v>#N/A</v>
          </cell>
          <cell r="I202" t="e">
            <v>#N/A</v>
          </cell>
          <cell r="J202" t="e">
            <v>#N/A</v>
          </cell>
          <cell r="K202" t="e">
            <v>#N/A</v>
          </cell>
          <cell r="L202" t="e">
            <v>#N/A</v>
          </cell>
          <cell r="M202" t="e">
            <v>#N/A</v>
          </cell>
          <cell r="N202" t="e">
            <v>#N/A</v>
          </cell>
          <cell r="O202" t="e">
            <v>#N/A</v>
          </cell>
          <cell r="P202">
            <v>12.33</v>
          </cell>
          <cell r="Q202">
            <v>0.98394199999999998</v>
          </cell>
          <cell r="R202" t="e">
            <v>#N/A</v>
          </cell>
        </row>
        <row r="203">
          <cell r="A203">
            <v>40267</v>
          </cell>
          <cell r="B203">
            <v>40267</v>
          </cell>
          <cell r="C203" t="str">
            <v>Past</v>
          </cell>
          <cell r="D203">
            <v>12.39</v>
          </cell>
          <cell r="E203" t="e">
            <v>#N/A</v>
          </cell>
          <cell r="F203" t="e">
            <v>#N/A</v>
          </cell>
          <cell r="G203" t="e">
            <v>#N/A</v>
          </cell>
          <cell r="H203" t="e">
            <v>#N/A</v>
          </cell>
          <cell r="I203" t="e">
            <v>#N/A</v>
          </cell>
          <cell r="J203" t="e">
            <v>#N/A</v>
          </cell>
          <cell r="K203" t="e">
            <v>#N/A</v>
          </cell>
          <cell r="L203" t="e">
            <v>#N/A</v>
          </cell>
          <cell r="M203" t="e">
            <v>#N/A</v>
          </cell>
          <cell r="N203" t="e">
            <v>#N/A</v>
          </cell>
          <cell r="O203" t="e">
            <v>#N/A</v>
          </cell>
          <cell r="P203">
            <v>12.39</v>
          </cell>
          <cell r="Q203">
            <v>1.0866149999999999</v>
          </cell>
          <cell r="R203" t="e">
            <v>#N/A</v>
          </cell>
        </row>
        <row r="204">
          <cell r="A204">
            <v>40268</v>
          </cell>
          <cell r="B204">
            <v>40268</v>
          </cell>
          <cell r="C204" t="str">
            <v>Past</v>
          </cell>
          <cell r="D204">
            <v>12.33</v>
          </cell>
          <cell r="E204" t="e">
            <v>#N/A</v>
          </cell>
          <cell r="F204" t="e">
            <v>#N/A</v>
          </cell>
          <cell r="G204" t="e">
            <v>#N/A</v>
          </cell>
          <cell r="H204" t="e">
            <v>#N/A</v>
          </cell>
          <cell r="I204" t="e">
            <v>#N/A</v>
          </cell>
          <cell r="J204" t="e">
            <v>#N/A</v>
          </cell>
          <cell r="K204" t="e">
            <v>#N/A</v>
          </cell>
          <cell r="L204" t="e">
            <v>#N/A</v>
          </cell>
          <cell r="M204" t="e">
            <v>#N/A</v>
          </cell>
          <cell r="N204" t="e">
            <v>#N/A</v>
          </cell>
          <cell r="O204" t="e">
            <v>#N/A</v>
          </cell>
          <cell r="P204">
            <v>12.33</v>
          </cell>
          <cell r="Q204">
            <v>1.941349</v>
          </cell>
          <cell r="R204" t="e">
            <v>#N/A</v>
          </cell>
        </row>
        <row r="205">
          <cell r="A205">
            <v>40269</v>
          </cell>
          <cell r="B205">
            <v>40269</v>
          </cell>
          <cell r="C205" t="str">
            <v>Past</v>
          </cell>
          <cell r="D205">
            <v>12.37</v>
          </cell>
          <cell r="E205" t="e">
            <v>#N/A</v>
          </cell>
          <cell r="F205" t="e">
            <v>#N/A</v>
          </cell>
          <cell r="G205" t="e">
            <v>#N/A</v>
          </cell>
          <cell r="H205" t="e">
            <v>#N/A</v>
          </cell>
          <cell r="I205" t="e">
            <v>#N/A</v>
          </cell>
          <cell r="J205" t="e">
            <v>#N/A</v>
          </cell>
          <cell r="K205" t="e">
            <v>#N/A</v>
          </cell>
          <cell r="L205" t="e">
            <v>#N/A</v>
          </cell>
          <cell r="M205" t="e">
            <v>#N/A</v>
          </cell>
          <cell r="N205" t="e">
            <v>#N/A</v>
          </cell>
          <cell r="O205" t="e">
            <v>#N/A</v>
          </cell>
          <cell r="P205">
            <v>12.37</v>
          </cell>
          <cell r="Q205">
            <v>1.3437249999999998</v>
          </cell>
          <cell r="R205" t="e">
            <v>#N/A</v>
          </cell>
        </row>
        <row r="206">
          <cell r="A206">
            <v>40273</v>
          </cell>
          <cell r="B206">
            <v>40273</v>
          </cell>
          <cell r="C206" t="str">
            <v>Past</v>
          </cell>
          <cell r="D206">
            <v>12.49</v>
          </cell>
          <cell r="E206" t="e">
            <v>#N/A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>
            <v>12.49</v>
          </cell>
          <cell r="Q206">
            <v>0.89013000000000009</v>
          </cell>
          <cell r="R206" t="e">
            <v>#N/A</v>
          </cell>
        </row>
        <row r="207">
          <cell r="A207">
            <v>40274</v>
          </cell>
          <cell r="B207">
            <v>40274</v>
          </cell>
          <cell r="C207" t="str">
            <v>Past</v>
          </cell>
          <cell r="D207">
            <v>12.58</v>
          </cell>
          <cell r="E207" t="e">
            <v>#N/A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>
            <v>12.58</v>
          </cell>
          <cell r="Q207">
            <v>1.018416</v>
          </cell>
          <cell r="R207" t="e">
            <v>#N/A</v>
          </cell>
        </row>
        <row r="208">
          <cell r="A208">
            <v>40275</v>
          </cell>
          <cell r="B208">
            <v>40275</v>
          </cell>
          <cell r="C208" t="str">
            <v>Past</v>
          </cell>
          <cell r="D208">
            <v>12.44</v>
          </cell>
          <cell r="E208" t="e">
            <v>#N/A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>
            <v>12.44</v>
          </cell>
          <cell r="Q208">
            <v>0.93972099999999992</v>
          </cell>
          <cell r="R208" t="e">
            <v>#N/A</v>
          </cell>
        </row>
        <row r="209">
          <cell r="A209">
            <v>40276</v>
          </cell>
          <cell r="B209">
            <v>40276</v>
          </cell>
          <cell r="C209" t="str">
            <v>Past</v>
          </cell>
          <cell r="D209">
            <v>12.3</v>
          </cell>
          <cell r="E209" t="e">
            <v>#N/A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>
            <v>12.3</v>
          </cell>
          <cell r="Q209">
            <v>0.7571500000000001</v>
          </cell>
          <cell r="R209" t="e">
            <v>#N/A</v>
          </cell>
        </row>
        <row r="210">
          <cell r="A210">
            <v>40277</v>
          </cell>
          <cell r="B210">
            <v>40277</v>
          </cell>
          <cell r="C210" t="str">
            <v>Past</v>
          </cell>
          <cell r="D210">
            <v>12.29</v>
          </cell>
          <cell r="E210" t="e">
            <v>#N/A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>
            <v>12.29</v>
          </cell>
          <cell r="Q210">
            <v>1.188437</v>
          </cell>
          <cell r="R210" t="e">
            <v>#N/A</v>
          </cell>
        </row>
        <row r="211">
          <cell r="A211">
            <v>40280</v>
          </cell>
          <cell r="B211">
            <v>40280</v>
          </cell>
          <cell r="C211" t="str">
            <v>Past</v>
          </cell>
          <cell r="D211">
            <v>12.45</v>
          </cell>
          <cell r="E211" t="e">
            <v>#N/A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>
            <v>12.45</v>
          </cell>
          <cell r="Q211">
            <v>1.376951</v>
          </cell>
          <cell r="R211" t="e">
            <v>#N/A</v>
          </cell>
        </row>
        <row r="212">
          <cell r="A212">
            <v>40281</v>
          </cell>
          <cell r="B212">
            <v>40281</v>
          </cell>
          <cell r="C212" t="str">
            <v>Past</v>
          </cell>
          <cell r="D212">
            <v>12.35</v>
          </cell>
          <cell r="E212" t="e">
            <v>#N/A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>
            <v>12.35</v>
          </cell>
          <cell r="Q212">
            <v>1.2989089999999999</v>
          </cell>
          <cell r="R212" t="e">
            <v>#N/A</v>
          </cell>
        </row>
        <row r="213">
          <cell r="A213">
            <v>40282</v>
          </cell>
          <cell r="B213">
            <v>40282</v>
          </cell>
          <cell r="C213" t="str">
            <v>Past</v>
          </cell>
          <cell r="D213">
            <v>12.52</v>
          </cell>
          <cell r="E213" t="e">
            <v>#N/A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>
            <v>12.52</v>
          </cell>
          <cell r="Q213">
            <v>2.1197759999999999</v>
          </cell>
          <cell r="R213" t="e">
            <v>#N/A</v>
          </cell>
        </row>
        <row r="214">
          <cell r="A214">
            <v>40283</v>
          </cell>
          <cell r="B214">
            <v>40283</v>
          </cell>
          <cell r="C214" t="str">
            <v>Past</v>
          </cell>
          <cell r="D214">
            <v>12.46</v>
          </cell>
          <cell r="E214" t="e">
            <v>#N/A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>
            <v>12.46</v>
          </cell>
          <cell r="Q214">
            <v>1.5679889999999999</v>
          </cell>
          <cell r="R214" t="e">
            <v>#N/A</v>
          </cell>
        </row>
        <row r="215">
          <cell r="A215">
            <v>40284</v>
          </cell>
          <cell r="B215">
            <v>40284</v>
          </cell>
          <cell r="C215" t="str">
            <v>Past</v>
          </cell>
          <cell r="D215">
            <v>12.26</v>
          </cell>
          <cell r="E215" t="e">
            <v>#N/A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>
            <v>12.26</v>
          </cell>
          <cell r="Q215">
            <v>1.6249600000000002</v>
          </cell>
          <cell r="R215" t="e">
            <v>#N/A</v>
          </cell>
        </row>
        <row r="216">
          <cell r="A216">
            <v>40287</v>
          </cell>
          <cell r="B216">
            <v>40287</v>
          </cell>
          <cell r="C216" t="str">
            <v>Past</v>
          </cell>
          <cell r="D216">
            <v>12.32</v>
          </cell>
          <cell r="E216" t="e">
            <v>#N/A</v>
          </cell>
          <cell r="F216" t="e">
            <v>#N/A</v>
          </cell>
          <cell r="G216" t="e">
            <v>#N/A</v>
          </cell>
          <cell r="H216" t="e">
            <v>#N/A</v>
          </cell>
          <cell r="I216" t="e">
            <v>#N/A</v>
          </cell>
          <cell r="J216" t="e">
            <v>#N/A</v>
          </cell>
          <cell r="K216" t="e">
            <v>#N/A</v>
          </cell>
          <cell r="L216" t="e">
            <v>#N/A</v>
          </cell>
          <cell r="M216" t="e">
            <v>#N/A</v>
          </cell>
          <cell r="N216" t="e">
            <v>#N/A</v>
          </cell>
          <cell r="O216" t="e">
            <v>#N/A</v>
          </cell>
          <cell r="P216">
            <v>12.32</v>
          </cell>
          <cell r="Q216">
            <v>2.0003889999999998</v>
          </cell>
          <cell r="R216" t="e">
            <v>#N/A</v>
          </cell>
        </row>
        <row r="217">
          <cell r="A217">
            <v>40288</v>
          </cell>
          <cell r="B217">
            <v>40288</v>
          </cell>
          <cell r="C217" t="str">
            <v>Past</v>
          </cell>
          <cell r="D217">
            <v>12.52</v>
          </cell>
          <cell r="E217" t="e">
            <v>#N/A</v>
          </cell>
          <cell r="F217" t="e">
            <v>#N/A</v>
          </cell>
          <cell r="G217" t="e">
            <v>#N/A</v>
          </cell>
          <cell r="H217" t="e">
            <v>#N/A</v>
          </cell>
          <cell r="I217" t="e">
            <v>#N/A</v>
          </cell>
          <cell r="J217" t="e">
            <v>#N/A</v>
          </cell>
          <cell r="K217" t="e">
            <v>#N/A</v>
          </cell>
          <cell r="L217" t="e">
            <v>#N/A</v>
          </cell>
          <cell r="M217" t="e">
            <v>#N/A</v>
          </cell>
          <cell r="N217" t="e">
            <v>#N/A</v>
          </cell>
          <cell r="O217" t="e">
            <v>#N/A</v>
          </cell>
          <cell r="P217">
            <v>12.52</v>
          </cell>
          <cell r="Q217">
            <v>1.9799049999999998</v>
          </cell>
          <cell r="R217" t="e">
            <v>#N/A</v>
          </cell>
        </row>
        <row r="218">
          <cell r="A218">
            <v>40289</v>
          </cell>
          <cell r="B218">
            <v>40289</v>
          </cell>
          <cell r="C218" t="str">
            <v>Past</v>
          </cell>
          <cell r="D218">
            <v>12.68</v>
          </cell>
          <cell r="E218" t="e">
            <v>#N/A</v>
          </cell>
          <cell r="F218" t="e">
            <v>#N/A</v>
          </cell>
          <cell r="G218" t="e">
            <v>#N/A</v>
          </cell>
          <cell r="H218" t="e">
            <v>#N/A</v>
          </cell>
          <cell r="I218" t="e">
            <v>#N/A</v>
          </cell>
          <cell r="J218" t="e">
            <v>#N/A</v>
          </cell>
          <cell r="K218" t="e">
            <v>#N/A</v>
          </cell>
          <cell r="L218" t="e">
            <v>#N/A</v>
          </cell>
          <cell r="M218" t="e">
            <v>#N/A</v>
          </cell>
          <cell r="N218" t="e">
            <v>#N/A</v>
          </cell>
          <cell r="O218" t="e">
            <v>#N/A</v>
          </cell>
          <cell r="P218">
            <v>12.68</v>
          </cell>
          <cell r="Q218">
            <v>1.3910549999999999</v>
          </cell>
          <cell r="R218" t="e">
            <v>#N/A</v>
          </cell>
        </row>
        <row r="219">
          <cell r="A219">
            <v>40290</v>
          </cell>
          <cell r="B219">
            <v>40290</v>
          </cell>
          <cell r="C219" t="str">
            <v>Past</v>
          </cell>
          <cell r="D219">
            <v>12.67</v>
          </cell>
          <cell r="E219" t="e">
            <v>#N/A</v>
          </cell>
          <cell r="F219" t="e">
            <v>#N/A</v>
          </cell>
          <cell r="G219" t="e">
            <v>#N/A</v>
          </cell>
          <cell r="H219" t="e">
            <v>#N/A</v>
          </cell>
          <cell r="I219" t="e">
            <v>#N/A</v>
          </cell>
          <cell r="J219" t="e">
            <v>#N/A</v>
          </cell>
          <cell r="K219" t="e">
            <v>#N/A</v>
          </cell>
          <cell r="L219" t="e">
            <v>#N/A</v>
          </cell>
          <cell r="M219" t="e">
            <v>#N/A</v>
          </cell>
          <cell r="N219" t="e">
            <v>#N/A</v>
          </cell>
          <cell r="O219" t="e">
            <v>#N/A</v>
          </cell>
          <cell r="P219">
            <v>12.67</v>
          </cell>
          <cell r="Q219">
            <v>1.328667</v>
          </cell>
          <cell r="R219" t="e">
            <v>#N/A</v>
          </cell>
        </row>
        <row r="220">
          <cell r="A220">
            <v>40291</v>
          </cell>
          <cell r="B220">
            <v>40291</v>
          </cell>
          <cell r="C220" t="str">
            <v>Past</v>
          </cell>
          <cell r="D220">
            <v>12.8</v>
          </cell>
          <cell r="E220" t="e">
            <v>#N/A</v>
          </cell>
          <cell r="F220" t="e">
            <v>#N/A</v>
          </cell>
          <cell r="G220" t="e">
            <v>#N/A</v>
          </cell>
          <cell r="H220" t="e">
            <v>#N/A</v>
          </cell>
          <cell r="I220" t="e">
            <v>#N/A</v>
          </cell>
          <cell r="J220" t="e">
            <v>#N/A</v>
          </cell>
          <cell r="K220" t="e">
            <v>#N/A</v>
          </cell>
          <cell r="L220" t="e">
            <v>#N/A</v>
          </cell>
          <cell r="M220" t="e">
            <v>#N/A</v>
          </cell>
          <cell r="N220" t="e">
            <v>#N/A</v>
          </cell>
          <cell r="O220" t="e">
            <v>#N/A</v>
          </cell>
          <cell r="P220">
            <v>12.8</v>
          </cell>
          <cell r="Q220">
            <v>1.840479</v>
          </cell>
          <cell r="R220" t="e">
            <v>#N/A</v>
          </cell>
        </row>
        <row r="221">
          <cell r="A221">
            <v>40294</v>
          </cell>
          <cell r="B221">
            <v>40294</v>
          </cell>
          <cell r="C221" t="str">
            <v>Past</v>
          </cell>
          <cell r="D221">
            <v>12.83</v>
          </cell>
          <cell r="E221" t="e">
            <v>#N/A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>
            <v>12.83</v>
          </cell>
          <cell r="Q221">
            <v>1.8009769999999998</v>
          </cell>
          <cell r="R221" t="e">
            <v>#N/A</v>
          </cell>
        </row>
        <row r="222">
          <cell r="A222">
            <v>40295</v>
          </cell>
          <cell r="B222">
            <v>40295</v>
          </cell>
          <cell r="C222" t="str">
            <v>Past</v>
          </cell>
          <cell r="D222">
            <v>12.5</v>
          </cell>
          <cell r="E222" t="e">
            <v>#N/A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>
            <v>12.5</v>
          </cell>
          <cell r="Q222">
            <v>2.283982</v>
          </cell>
          <cell r="R222" t="e">
            <v>#N/A</v>
          </cell>
        </row>
        <row r="223">
          <cell r="A223">
            <v>40296</v>
          </cell>
          <cell r="B223">
            <v>40296</v>
          </cell>
          <cell r="C223" t="str">
            <v>Past</v>
          </cell>
          <cell r="D223">
            <v>12.57</v>
          </cell>
          <cell r="E223" t="e">
            <v>#N/A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>
            <v>12.57</v>
          </cell>
          <cell r="Q223">
            <v>1.881316</v>
          </cell>
          <cell r="R223" t="e">
            <v>#N/A</v>
          </cell>
        </row>
        <row r="224">
          <cell r="A224">
            <v>40297</v>
          </cell>
          <cell r="B224">
            <v>40297</v>
          </cell>
          <cell r="C224" t="str">
            <v>Past</v>
          </cell>
          <cell r="D224">
            <v>12.61</v>
          </cell>
          <cell r="E224" t="e">
            <v>#N/A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>
            <v>12.61</v>
          </cell>
          <cell r="Q224">
            <v>1.0299</v>
          </cell>
          <cell r="R224" t="e">
            <v>#N/A</v>
          </cell>
        </row>
        <row r="225">
          <cell r="A225">
            <v>40298</v>
          </cell>
          <cell r="B225">
            <v>40298</v>
          </cell>
          <cell r="C225" t="str">
            <v>Past</v>
          </cell>
          <cell r="D225">
            <v>12.49</v>
          </cell>
          <cell r="E225" t="e">
            <v>#N/A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>
            <v>12.49</v>
          </cell>
          <cell r="Q225">
            <v>1.550983</v>
          </cell>
          <cell r="R225" t="e">
            <v>#N/A</v>
          </cell>
        </row>
        <row r="226">
          <cell r="A226">
            <v>40301</v>
          </cell>
          <cell r="B226">
            <v>40301</v>
          </cell>
          <cell r="C226" t="str">
            <v>Past</v>
          </cell>
          <cell r="D226">
            <v>12.74</v>
          </cell>
          <cell r="E226" t="e">
            <v>#N/A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>
            <v>12.74</v>
          </cell>
          <cell r="Q226">
            <v>0.98091000000000006</v>
          </cell>
          <cell r="R226" t="e">
            <v>#N/A</v>
          </cell>
        </row>
        <row r="227">
          <cell r="A227">
            <v>40302</v>
          </cell>
          <cell r="B227">
            <v>40302</v>
          </cell>
          <cell r="C227" t="str">
            <v>Past</v>
          </cell>
          <cell r="D227">
            <v>12.55</v>
          </cell>
          <cell r="E227" t="e">
            <v>#N/A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>
            <v>12.55</v>
          </cell>
          <cell r="Q227">
            <v>2.0831219999999999</v>
          </cell>
          <cell r="R227" t="e">
            <v>#N/A</v>
          </cell>
        </row>
        <row r="228">
          <cell r="A228">
            <v>40303</v>
          </cell>
          <cell r="B228">
            <v>40303</v>
          </cell>
          <cell r="C228" t="str">
            <v>Past</v>
          </cell>
          <cell r="D228">
            <v>12.32</v>
          </cell>
          <cell r="E228" t="e">
            <v>#N/A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>
            <v>12.32</v>
          </cell>
          <cell r="Q228">
            <v>1.9299929999999998</v>
          </cell>
          <cell r="R228" t="e">
            <v>#N/A</v>
          </cell>
        </row>
        <row r="229">
          <cell r="A229">
            <v>40304</v>
          </cell>
          <cell r="B229">
            <v>40304</v>
          </cell>
          <cell r="C229" t="str">
            <v>Past</v>
          </cell>
          <cell r="D229">
            <v>11.84</v>
          </cell>
          <cell r="E229" t="e">
            <v>#N/A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>
            <v>11.84</v>
          </cell>
          <cell r="Q229">
            <v>3.275773</v>
          </cell>
          <cell r="R229" t="e">
            <v>#N/A</v>
          </cell>
        </row>
        <row r="230">
          <cell r="A230">
            <v>40305</v>
          </cell>
          <cell r="B230">
            <v>40305</v>
          </cell>
          <cell r="C230" t="str">
            <v>Past</v>
          </cell>
          <cell r="D230">
            <v>11.95</v>
          </cell>
          <cell r="E230" t="e">
            <v>#N/A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>
            <v>11.95</v>
          </cell>
          <cell r="Q230">
            <v>3.9817559999999999</v>
          </cell>
          <cell r="R230" t="e">
            <v>#N/A</v>
          </cell>
        </row>
        <row r="231">
          <cell r="A231">
            <v>40308</v>
          </cell>
          <cell r="B231">
            <v>40308</v>
          </cell>
          <cell r="C231" t="str">
            <v>Past</v>
          </cell>
          <cell r="D231">
            <v>12.42</v>
          </cell>
          <cell r="E231" t="e">
            <v>#N/A</v>
          </cell>
          <cell r="F231" t="e">
            <v>#N/A</v>
          </cell>
          <cell r="G231" t="e">
            <v>#N/A</v>
          </cell>
          <cell r="H231" t="e">
            <v>#N/A</v>
          </cell>
          <cell r="I231" t="e">
            <v>#N/A</v>
          </cell>
          <cell r="J231" t="e">
            <v>#N/A</v>
          </cell>
          <cell r="K231" t="e">
            <v>#N/A</v>
          </cell>
          <cell r="L231" t="e">
            <v>#N/A</v>
          </cell>
          <cell r="M231" t="e">
            <v>#N/A</v>
          </cell>
          <cell r="N231" t="e">
            <v>#N/A</v>
          </cell>
          <cell r="O231" t="e">
            <v>#N/A</v>
          </cell>
          <cell r="P231">
            <v>12.42</v>
          </cell>
          <cell r="Q231">
            <v>1.6023179999999999</v>
          </cell>
          <cell r="R231" t="e">
            <v>#N/A</v>
          </cell>
        </row>
        <row r="232">
          <cell r="A232">
            <v>40309</v>
          </cell>
          <cell r="B232">
            <v>40309</v>
          </cell>
          <cell r="C232" t="str">
            <v>Past</v>
          </cell>
          <cell r="D232">
            <v>12.46</v>
          </cell>
          <cell r="E232" t="e">
            <v>#N/A</v>
          </cell>
          <cell r="F232" t="e">
            <v>#N/A</v>
          </cell>
          <cell r="G232" t="e">
            <v>#N/A</v>
          </cell>
          <cell r="H232" t="e">
            <v>#N/A</v>
          </cell>
          <cell r="I232" t="e">
            <v>#N/A</v>
          </cell>
          <cell r="J232" t="e">
            <v>#N/A</v>
          </cell>
          <cell r="K232" t="e">
            <v>#N/A</v>
          </cell>
          <cell r="L232" t="e">
            <v>#N/A</v>
          </cell>
          <cell r="M232" t="e">
            <v>#N/A</v>
          </cell>
          <cell r="N232" t="e">
            <v>#N/A</v>
          </cell>
          <cell r="O232" t="e">
            <v>#N/A</v>
          </cell>
          <cell r="P232">
            <v>12.46</v>
          </cell>
          <cell r="Q232">
            <v>1.645672</v>
          </cell>
          <cell r="R232" t="e">
            <v>#N/A</v>
          </cell>
        </row>
        <row r="233">
          <cell r="A233">
            <v>40310</v>
          </cell>
          <cell r="B233">
            <v>40310</v>
          </cell>
          <cell r="C233" t="str">
            <v>Past</v>
          </cell>
          <cell r="D233">
            <v>12.74</v>
          </cell>
          <cell r="E233" t="e">
            <v>#N/A</v>
          </cell>
          <cell r="F233" t="e">
            <v>#N/A</v>
          </cell>
          <cell r="G233" t="e">
            <v>#N/A</v>
          </cell>
          <cell r="H233" t="e">
            <v>#N/A</v>
          </cell>
          <cell r="I233" t="e">
            <v>#N/A</v>
          </cell>
          <cell r="J233" t="e">
            <v>#N/A</v>
          </cell>
          <cell r="K233" t="e">
            <v>#N/A</v>
          </cell>
          <cell r="L233" t="e">
            <v>#N/A</v>
          </cell>
          <cell r="M233" t="e">
            <v>#N/A</v>
          </cell>
          <cell r="N233" t="e">
            <v>#N/A</v>
          </cell>
          <cell r="O233" t="e">
            <v>#N/A</v>
          </cell>
          <cell r="P233">
            <v>12.74</v>
          </cell>
          <cell r="Q233">
            <v>1.823553</v>
          </cell>
          <cell r="R233" t="e">
            <v>#N/A</v>
          </cell>
        </row>
        <row r="234">
          <cell r="A234">
            <v>40311</v>
          </cell>
          <cell r="B234">
            <v>40311</v>
          </cell>
          <cell r="C234" t="str">
            <v>Past</v>
          </cell>
          <cell r="D234">
            <v>12.56</v>
          </cell>
          <cell r="E234" t="e">
            <v>#N/A</v>
          </cell>
          <cell r="F234" t="e">
            <v>#N/A</v>
          </cell>
          <cell r="G234" t="e">
            <v>#N/A</v>
          </cell>
          <cell r="H234" t="e">
            <v>#N/A</v>
          </cell>
          <cell r="I234" t="e">
            <v>#N/A</v>
          </cell>
          <cell r="J234" t="e">
            <v>#N/A</v>
          </cell>
          <cell r="K234" t="e">
            <v>#N/A</v>
          </cell>
          <cell r="L234" t="e">
            <v>#N/A</v>
          </cell>
          <cell r="M234" t="e">
            <v>#N/A</v>
          </cell>
          <cell r="N234" t="e">
            <v>#N/A</v>
          </cell>
          <cell r="O234" t="e">
            <v>#N/A</v>
          </cell>
          <cell r="P234">
            <v>12.56</v>
          </cell>
          <cell r="Q234">
            <v>1.317496</v>
          </cell>
          <cell r="R234" t="e">
            <v>#N/A</v>
          </cell>
        </row>
        <row r="235">
          <cell r="A235">
            <v>40312</v>
          </cell>
          <cell r="B235">
            <v>40312</v>
          </cell>
          <cell r="C235" t="str">
            <v>Past</v>
          </cell>
          <cell r="D235">
            <v>12.41</v>
          </cell>
          <cell r="E235" t="e">
            <v>#N/A</v>
          </cell>
          <cell r="F235" t="e">
            <v>#N/A</v>
          </cell>
          <cell r="G235" t="e">
            <v>#N/A</v>
          </cell>
          <cell r="H235" t="e">
            <v>#N/A</v>
          </cell>
          <cell r="I235" t="e">
            <v>#N/A</v>
          </cell>
          <cell r="J235" t="e">
            <v>#N/A</v>
          </cell>
          <cell r="K235" t="e">
            <v>#N/A</v>
          </cell>
          <cell r="L235" t="e">
            <v>#N/A</v>
          </cell>
          <cell r="M235" t="e">
            <v>#N/A</v>
          </cell>
          <cell r="N235" t="e">
            <v>#N/A</v>
          </cell>
          <cell r="O235" t="e">
            <v>#N/A</v>
          </cell>
          <cell r="P235">
            <v>12.41</v>
          </cell>
          <cell r="Q235">
            <v>1.7794029999999998</v>
          </cell>
          <cell r="R235" t="e">
            <v>#N/A</v>
          </cell>
        </row>
        <row r="236">
          <cell r="A236">
            <v>40315</v>
          </cell>
          <cell r="B236">
            <v>40315</v>
          </cell>
          <cell r="C236" t="str">
            <v>Past</v>
          </cell>
          <cell r="D236">
            <v>12.35</v>
          </cell>
          <cell r="E236" t="e">
            <v>#N/A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>
            <v>12.35</v>
          </cell>
          <cell r="Q236">
            <v>1.611421</v>
          </cell>
          <cell r="R236" t="e">
            <v>#N/A</v>
          </cell>
        </row>
        <row r="237">
          <cell r="A237">
            <v>40316</v>
          </cell>
          <cell r="B237">
            <v>40316</v>
          </cell>
          <cell r="C237" t="str">
            <v>Past</v>
          </cell>
          <cell r="D237">
            <v>12.25</v>
          </cell>
          <cell r="E237" t="e">
            <v>#N/A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>
            <v>12.25</v>
          </cell>
          <cell r="Q237">
            <v>1.4101409999999999</v>
          </cell>
          <cell r="R237" t="e">
            <v>#N/A</v>
          </cell>
        </row>
        <row r="238">
          <cell r="A238">
            <v>40317</v>
          </cell>
          <cell r="B238">
            <v>40317</v>
          </cell>
          <cell r="C238" t="str">
            <v>Past</v>
          </cell>
          <cell r="D238">
            <v>12.12</v>
          </cell>
          <cell r="E238" t="e">
            <v>#N/A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>
            <v>12.12</v>
          </cell>
          <cell r="Q238">
            <v>2.0616829999999999</v>
          </cell>
          <cell r="R238" t="e">
            <v>#N/A</v>
          </cell>
        </row>
        <row r="239">
          <cell r="A239">
            <v>40318</v>
          </cell>
          <cell r="B239">
            <v>40318</v>
          </cell>
          <cell r="C239" t="str">
            <v>Past</v>
          </cell>
          <cell r="D239">
            <v>11.77</v>
          </cell>
          <cell r="E239" t="e">
            <v>#N/A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>
            <v>11.77</v>
          </cell>
          <cell r="Q239">
            <v>2.752262</v>
          </cell>
          <cell r="R239" t="e">
            <v>#N/A</v>
          </cell>
        </row>
        <row r="240">
          <cell r="A240">
            <v>40319</v>
          </cell>
          <cell r="B240">
            <v>40319</v>
          </cell>
          <cell r="C240" t="str">
            <v>Past</v>
          </cell>
          <cell r="D240">
            <v>11.89</v>
          </cell>
          <cell r="E240" t="e">
            <v>#N/A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>
            <v>11.89</v>
          </cell>
          <cell r="Q240">
            <v>2.8777209999999998</v>
          </cell>
          <cell r="R240" t="e">
            <v>#N/A</v>
          </cell>
        </row>
        <row r="241">
          <cell r="A241">
            <v>40322</v>
          </cell>
          <cell r="B241">
            <v>40322</v>
          </cell>
          <cell r="C241" t="str">
            <v>Past</v>
          </cell>
          <cell r="D241">
            <v>11.81</v>
          </cell>
          <cell r="E241" t="e">
            <v>#N/A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>
            <v>11.81</v>
          </cell>
          <cell r="Q241">
            <v>2.0820590000000001</v>
          </cell>
          <cell r="R241" t="e">
            <v>#N/A</v>
          </cell>
        </row>
        <row r="242">
          <cell r="A242">
            <v>40323</v>
          </cell>
          <cell r="B242">
            <v>40323</v>
          </cell>
          <cell r="C242" t="str">
            <v>Past</v>
          </cell>
          <cell r="D242">
            <v>11.69</v>
          </cell>
          <cell r="E242" t="e">
            <v>#N/A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>
            <v>11.69</v>
          </cell>
          <cell r="Q242">
            <v>4.9853079999999999</v>
          </cell>
          <cell r="R242" t="e">
            <v>#N/A</v>
          </cell>
        </row>
        <row r="243">
          <cell r="A243">
            <v>40324</v>
          </cell>
          <cell r="B243">
            <v>40324</v>
          </cell>
          <cell r="C243" t="str">
            <v>Past</v>
          </cell>
          <cell r="D243">
            <v>11.78</v>
          </cell>
          <cell r="E243" t="e">
            <v>#N/A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>
            <v>11.78</v>
          </cell>
          <cell r="Q243">
            <v>3.5629729999999999</v>
          </cell>
          <cell r="R243" t="e">
            <v>#N/A</v>
          </cell>
        </row>
        <row r="244">
          <cell r="A244">
            <v>40325</v>
          </cell>
          <cell r="B244">
            <v>40325</v>
          </cell>
          <cell r="C244" t="str">
            <v>Past</v>
          </cell>
          <cell r="D244">
            <v>11.69</v>
          </cell>
          <cell r="E244" t="e">
            <v>#N/A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>
            <v>11.69</v>
          </cell>
          <cell r="Q244">
            <v>1.725136</v>
          </cell>
          <cell r="R244" t="e">
            <v>#N/A</v>
          </cell>
        </row>
        <row r="245">
          <cell r="A245">
            <v>40326</v>
          </cell>
          <cell r="B245">
            <v>40326</v>
          </cell>
          <cell r="C245" t="str">
            <v>Past</v>
          </cell>
          <cell r="D245">
            <v>11.79</v>
          </cell>
          <cell r="E245" t="e">
            <v>#N/A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>
            <v>11.79</v>
          </cell>
          <cell r="Q245">
            <v>2.8304469999999999</v>
          </cell>
          <cell r="R245" t="e">
            <v>#N/A</v>
          </cell>
        </row>
        <row r="246">
          <cell r="A246">
            <v>40330</v>
          </cell>
          <cell r="B246">
            <v>40330</v>
          </cell>
          <cell r="C246" t="str">
            <v>Past</v>
          </cell>
          <cell r="D246">
            <v>11.6</v>
          </cell>
          <cell r="E246" t="e">
            <v>#N/A</v>
          </cell>
          <cell r="F246" t="e">
            <v>#N/A</v>
          </cell>
          <cell r="G246" t="e">
            <v>#N/A</v>
          </cell>
          <cell r="H246" t="e">
            <v>#N/A</v>
          </cell>
          <cell r="I246" t="e">
            <v>#N/A</v>
          </cell>
          <cell r="J246" t="e">
            <v>#N/A</v>
          </cell>
          <cell r="K246" t="e">
            <v>#N/A</v>
          </cell>
          <cell r="L246" t="e">
            <v>#N/A</v>
          </cell>
          <cell r="M246" t="e">
            <v>#N/A</v>
          </cell>
          <cell r="N246" t="e">
            <v>#N/A</v>
          </cell>
          <cell r="O246" t="e">
            <v>#N/A</v>
          </cell>
          <cell r="P246">
            <v>11.6</v>
          </cell>
          <cell r="Q246">
            <v>1.8102</v>
          </cell>
          <cell r="R246" t="e">
            <v>#N/A</v>
          </cell>
        </row>
        <row r="247">
          <cell r="A247">
            <v>40331</v>
          </cell>
          <cell r="B247">
            <v>40331</v>
          </cell>
          <cell r="C247" t="str">
            <v>Past</v>
          </cell>
          <cell r="D247">
            <v>11.87</v>
          </cell>
          <cell r="E247" t="e">
            <v>#N/A</v>
          </cell>
          <cell r="F247" t="e">
            <v>#N/A</v>
          </cell>
          <cell r="G247" t="e">
            <v>#N/A</v>
          </cell>
          <cell r="H247" t="e">
            <v>#N/A</v>
          </cell>
          <cell r="I247" t="e">
            <v>#N/A</v>
          </cell>
          <cell r="J247" t="e">
            <v>#N/A</v>
          </cell>
          <cell r="K247" t="e">
            <v>#N/A</v>
          </cell>
          <cell r="L247" t="e">
            <v>#N/A</v>
          </cell>
          <cell r="M247" t="e">
            <v>#N/A</v>
          </cell>
          <cell r="N247" t="e">
            <v>#N/A</v>
          </cell>
          <cell r="O247" t="e">
            <v>#N/A</v>
          </cell>
          <cell r="P247">
            <v>11.87</v>
          </cell>
          <cell r="Q247">
            <v>1.2998000000000001</v>
          </cell>
          <cell r="R247" t="e">
            <v>#N/A</v>
          </cell>
        </row>
        <row r="248">
          <cell r="A248">
            <v>40332</v>
          </cell>
          <cell r="B248">
            <v>40332</v>
          </cell>
          <cell r="C248" t="str">
            <v>Past</v>
          </cell>
          <cell r="D248">
            <v>12.14</v>
          </cell>
          <cell r="E248" t="e">
            <v>#N/A</v>
          </cell>
          <cell r="F248" t="e">
            <v>#N/A</v>
          </cell>
          <cell r="G248" t="e">
            <v>#N/A</v>
          </cell>
          <cell r="H248" t="e">
            <v>#N/A</v>
          </cell>
          <cell r="I248" t="e">
            <v>#N/A</v>
          </cell>
          <cell r="J248" t="e">
            <v>#N/A</v>
          </cell>
          <cell r="K248" t="e">
            <v>#N/A</v>
          </cell>
          <cell r="L248" t="e">
            <v>#N/A</v>
          </cell>
          <cell r="M248" t="e">
            <v>#N/A</v>
          </cell>
          <cell r="N248" t="e">
            <v>#N/A</v>
          </cell>
          <cell r="O248" t="e">
            <v>#N/A</v>
          </cell>
          <cell r="P248">
            <v>12.14</v>
          </cell>
          <cell r="Q248">
            <v>1.155041</v>
          </cell>
          <cell r="R248" t="e">
            <v>#N/A</v>
          </cell>
        </row>
        <row r="249">
          <cell r="A249">
            <v>40333</v>
          </cell>
          <cell r="B249">
            <v>40333</v>
          </cell>
          <cell r="C249" t="str">
            <v>Past</v>
          </cell>
          <cell r="D249">
            <v>11.7</v>
          </cell>
          <cell r="E249" t="e">
            <v>#N/A</v>
          </cell>
          <cell r="F249" t="e">
            <v>#N/A</v>
          </cell>
          <cell r="G249" t="e">
            <v>#N/A</v>
          </cell>
          <cell r="H249" t="e">
            <v>#N/A</v>
          </cell>
          <cell r="I249" t="e">
            <v>#N/A</v>
          </cell>
          <cell r="J249" t="e">
            <v>#N/A</v>
          </cell>
          <cell r="K249" t="e">
            <v>#N/A</v>
          </cell>
          <cell r="L249" t="e">
            <v>#N/A</v>
          </cell>
          <cell r="M249" t="e">
            <v>#N/A</v>
          </cell>
          <cell r="N249" t="e">
            <v>#N/A</v>
          </cell>
          <cell r="O249" t="e">
            <v>#N/A</v>
          </cell>
          <cell r="P249">
            <v>11.7</v>
          </cell>
          <cell r="Q249">
            <v>2.746337</v>
          </cell>
          <cell r="R249" t="e">
            <v>#N/A</v>
          </cell>
        </row>
        <row r="250">
          <cell r="A250">
            <v>40336</v>
          </cell>
          <cell r="B250">
            <v>40336</v>
          </cell>
          <cell r="C250" t="str">
            <v>Past</v>
          </cell>
          <cell r="D250">
            <v>11.88</v>
          </cell>
          <cell r="E250" t="e">
            <v>#N/A</v>
          </cell>
          <cell r="F250" t="e">
            <v>#N/A</v>
          </cell>
          <cell r="G250" t="e">
            <v>#N/A</v>
          </cell>
          <cell r="H250" t="e">
            <v>#N/A</v>
          </cell>
          <cell r="I250" t="e">
            <v>#N/A</v>
          </cell>
          <cell r="J250" t="e">
            <v>#N/A</v>
          </cell>
          <cell r="K250" t="e">
            <v>#N/A</v>
          </cell>
          <cell r="L250" t="e">
            <v>#N/A</v>
          </cell>
          <cell r="M250" t="e">
            <v>#N/A</v>
          </cell>
          <cell r="N250" t="e">
            <v>#N/A</v>
          </cell>
          <cell r="O250" t="e">
            <v>#N/A</v>
          </cell>
          <cell r="P250">
            <v>11.88</v>
          </cell>
          <cell r="Q250">
            <v>2.357313</v>
          </cell>
          <cell r="R250" t="e">
            <v>#N/A</v>
          </cell>
        </row>
        <row r="251">
          <cell r="A251">
            <v>40337</v>
          </cell>
          <cell r="B251">
            <v>40337</v>
          </cell>
          <cell r="C251" t="str">
            <v>Past</v>
          </cell>
          <cell r="D251">
            <v>11.96</v>
          </cell>
          <cell r="E251" t="e">
            <v>#N/A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>
            <v>11.96</v>
          </cell>
          <cell r="Q251">
            <v>2.3212519999999999</v>
          </cell>
          <cell r="R251" t="e">
            <v>#N/A</v>
          </cell>
        </row>
        <row r="252">
          <cell r="A252">
            <v>40338</v>
          </cell>
          <cell r="B252">
            <v>40338</v>
          </cell>
          <cell r="C252" t="str">
            <v>Past</v>
          </cell>
          <cell r="D252">
            <v>11.75</v>
          </cell>
          <cell r="E252" t="e">
            <v>#N/A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>
            <v>11.75</v>
          </cell>
          <cell r="Q252">
            <v>1.6222349999999999</v>
          </cell>
          <cell r="R252" t="e">
            <v>#N/A</v>
          </cell>
        </row>
        <row r="253">
          <cell r="A253">
            <v>40339</v>
          </cell>
          <cell r="B253">
            <v>40339</v>
          </cell>
          <cell r="C253" t="str">
            <v>Past</v>
          </cell>
          <cell r="D253">
            <v>12.06</v>
          </cell>
          <cell r="E253" t="e">
            <v>#N/A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>
            <v>12.06</v>
          </cell>
          <cell r="Q253">
            <v>1.7997719999999999</v>
          </cell>
          <cell r="R253" t="e">
            <v>#N/A</v>
          </cell>
        </row>
        <row r="254">
          <cell r="A254">
            <v>40340</v>
          </cell>
          <cell r="B254">
            <v>40340</v>
          </cell>
          <cell r="C254" t="str">
            <v>Past</v>
          </cell>
          <cell r="D254">
            <v>12.06</v>
          </cell>
          <cell r="E254" t="e">
            <v>#N/A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>
            <v>12.06</v>
          </cell>
          <cell r="Q254">
            <v>1.7262029999999999</v>
          </cell>
          <cell r="R254" t="e">
            <v>#N/A</v>
          </cell>
        </row>
        <row r="255">
          <cell r="A255">
            <v>40343</v>
          </cell>
          <cell r="B255">
            <v>40343</v>
          </cell>
          <cell r="C255" t="str">
            <v>Past</v>
          </cell>
          <cell r="D255">
            <v>12.21</v>
          </cell>
          <cell r="E255" t="e">
            <v>#N/A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>
            <v>12.21</v>
          </cell>
          <cell r="Q255">
            <v>2.7275359999999997</v>
          </cell>
          <cell r="R255" t="e">
            <v>#N/A</v>
          </cell>
        </row>
        <row r="256">
          <cell r="A256">
            <v>40344</v>
          </cell>
          <cell r="B256">
            <v>40344</v>
          </cell>
          <cell r="C256" t="str">
            <v>Past</v>
          </cell>
          <cell r="D256">
            <v>12.52</v>
          </cell>
          <cell r="E256" t="e">
            <v>#N/A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>
            <v>12.52</v>
          </cell>
          <cell r="Q256">
            <v>3.219265</v>
          </cell>
          <cell r="R256" t="e">
            <v>#N/A</v>
          </cell>
        </row>
        <row r="257">
          <cell r="A257">
            <v>40345</v>
          </cell>
          <cell r="B257">
            <v>40345</v>
          </cell>
          <cell r="C257" t="str">
            <v>Past</v>
          </cell>
          <cell r="D257">
            <v>12.6</v>
          </cell>
          <cell r="E257" t="e">
            <v>#N/A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>
            <v>12.6</v>
          </cell>
          <cell r="Q257">
            <v>2.083361</v>
          </cell>
          <cell r="R257" t="e">
            <v>#N/A</v>
          </cell>
        </row>
        <row r="258">
          <cell r="A258">
            <v>40346</v>
          </cell>
          <cell r="B258">
            <v>40346</v>
          </cell>
          <cell r="C258" t="str">
            <v>Past</v>
          </cell>
          <cell r="D258">
            <v>12.72</v>
          </cell>
          <cell r="E258" t="e">
            <v>#N/A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>
            <v>12.72</v>
          </cell>
          <cell r="Q258">
            <v>2.4469629999999998</v>
          </cell>
          <cell r="R258" t="e">
            <v>#N/A</v>
          </cell>
        </row>
        <row r="259">
          <cell r="A259">
            <v>40347</v>
          </cell>
          <cell r="B259">
            <v>40347</v>
          </cell>
          <cell r="C259" t="str">
            <v>Past</v>
          </cell>
          <cell r="D259">
            <v>12.59</v>
          </cell>
          <cell r="E259" t="e">
            <v>#N/A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>
            <v>12.59</v>
          </cell>
          <cell r="Q259">
            <v>1.9597</v>
          </cell>
          <cell r="R259" t="e">
            <v>#N/A</v>
          </cell>
        </row>
        <row r="260">
          <cell r="A260">
            <v>40350</v>
          </cell>
          <cell r="B260">
            <v>40350</v>
          </cell>
          <cell r="C260" t="str">
            <v>Past</v>
          </cell>
          <cell r="D260">
            <v>12.49</v>
          </cell>
          <cell r="E260" t="e">
            <v>#N/A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>
            <v>12.49</v>
          </cell>
          <cell r="Q260">
            <v>3.2103129999999998</v>
          </cell>
          <cell r="R260" t="e">
            <v>#N/A</v>
          </cell>
        </row>
        <row r="261">
          <cell r="A261">
            <v>40351</v>
          </cell>
          <cell r="B261">
            <v>40351</v>
          </cell>
          <cell r="C261" t="str">
            <v>Past</v>
          </cell>
          <cell r="D261">
            <v>12.19</v>
          </cell>
          <cell r="E261" t="e">
            <v>#N/A</v>
          </cell>
          <cell r="F261" t="e">
            <v>#N/A</v>
          </cell>
          <cell r="G261" t="e">
            <v>#N/A</v>
          </cell>
          <cell r="H261" t="e">
            <v>#N/A</v>
          </cell>
          <cell r="I261" t="e">
            <v>#N/A</v>
          </cell>
          <cell r="J261" t="e">
            <v>#N/A</v>
          </cell>
          <cell r="K261" t="e">
            <v>#N/A</v>
          </cell>
          <cell r="L261" t="e">
            <v>#N/A</v>
          </cell>
          <cell r="M261" t="e">
            <v>#N/A</v>
          </cell>
          <cell r="N261" t="e">
            <v>#N/A</v>
          </cell>
          <cell r="O261" t="e">
            <v>#N/A</v>
          </cell>
          <cell r="P261">
            <v>12.19</v>
          </cell>
          <cell r="Q261">
            <v>1.522295</v>
          </cell>
          <cell r="R261" t="e">
            <v>#N/A</v>
          </cell>
        </row>
        <row r="262">
          <cell r="A262">
            <v>40352</v>
          </cell>
          <cell r="B262">
            <v>40352</v>
          </cell>
          <cell r="C262" t="str">
            <v>Past</v>
          </cell>
          <cell r="D262">
            <v>12.02</v>
          </cell>
          <cell r="E262" t="e">
            <v>#N/A</v>
          </cell>
          <cell r="F262" t="e">
            <v>#N/A</v>
          </cell>
          <cell r="G262" t="e">
            <v>#N/A</v>
          </cell>
          <cell r="H262" t="e">
            <v>#N/A</v>
          </cell>
          <cell r="I262" t="e">
            <v>#N/A</v>
          </cell>
          <cell r="J262" t="e">
            <v>#N/A</v>
          </cell>
          <cell r="K262" t="e">
            <v>#N/A</v>
          </cell>
          <cell r="L262" t="e">
            <v>#N/A</v>
          </cell>
          <cell r="M262" t="e">
            <v>#N/A</v>
          </cell>
          <cell r="N262" t="e">
            <v>#N/A</v>
          </cell>
          <cell r="O262" t="e">
            <v>#N/A</v>
          </cell>
          <cell r="P262">
            <v>12.02</v>
          </cell>
          <cell r="Q262">
            <v>0.87350099999999997</v>
          </cell>
          <cell r="R262" t="e">
            <v>#N/A</v>
          </cell>
        </row>
        <row r="263">
          <cell r="A263">
            <v>40353</v>
          </cell>
          <cell r="B263">
            <v>40353</v>
          </cell>
          <cell r="C263" t="str">
            <v>Past</v>
          </cell>
          <cell r="D263">
            <v>11.96</v>
          </cell>
          <cell r="E263" t="e">
            <v>#N/A</v>
          </cell>
          <cell r="F263" t="e">
            <v>#N/A</v>
          </cell>
          <cell r="G263" t="e">
            <v>#N/A</v>
          </cell>
          <cell r="H263" t="e">
            <v>#N/A</v>
          </cell>
          <cell r="I263" t="e">
            <v>#N/A</v>
          </cell>
          <cell r="J263" t="e">
            <v>#N/A</v>
          </cell>
          <cell r="K263" t="e">
            <v>#N/A</v>
          </cell>
          <cell r="L263" t="e">
            <v>#N/A</v>
          </cell>
          <cell r="M263" t="e">
            <v>#N/A</v>
          </cell>
          <cell r="N263" t="e">
            <v>#N/A</v>
          </cell>
          <cell r="O263" t="e">
            <v>#N/A</v>
          </cell>
          <cell r="P263">
            <v>11.96</v>
          </cell>
          <cell r="Q263">
            <v>2.462377</v>
          </cell>
          <cell r="R263" t="e">
            <v>#N/A</v>
          </cell>
        </row>
        <row r="264">
          <cell r="A264">
            <v>40354</v>
          </cell>
          <cell r="B264">
            <v>40354</v>
          </cell>
          <cell r="C264" t="str">
            <v>Past</v>
          </cell>
          <cell r="D264">
            <v>12.07</v>
          </cell>
          <cell r="E264" t="e">
            <v>#N/A</v>
          </cell>
          <cell r="F264" t="e">
            <v>#N/A</v>
          </cell>
          <cell r="G264" t="e">
            <v>#N/A</v>
          </cell>
          <cell r="H264" t="e">
            <v>#N/A</v>
          </cell>
          <cell r="I264" t="e">
            <v>#N/A</v>
          </cell>
          <cell r="J264" t="e">
            <v>#N/A</v>
          </cell>
          <cell r="K264" t="e">
            <v>#N/A</v>
          </cell>
          <cell r="L264" t="e">
            <v>#N/A</v>
          </cell>
          <cell r="M264" t="e">
            <v>#N/A</v>
          </cell>
          <cell r="N264" t="e">
            <v>#N/A</v>
          </cell>
          <cell r="O264" t="e">
            <v>#N/A</v>
          </cell>
          <cell r="P264">
            <v>12.07</v>
          </cell>
          <cell r="Q264">
            <v>3.9080569999999999</v>
          </cell>
          <cell r="R264" t="e">
            <v>#N/A</v>
          </cell>
        </row>
        <row r="265">
          <cell r="A265">
            <v>40357</v>
          </cell>
          <cell r="B265">
            <v>40357</v>
          </cell>
          <cell r="C265" t="str">
            <v>Past</v>
          </cell>
          <cell r="D265">
            <v>12.13</v>
          </cell>
          <cell r="E265" t="e">
            <v>#N/A</v>
          </cell>
          <cell r="F265" t="e">
            <v>#N/A</v>
          </cell>
          <cell r="G265" t="e">
            <v>#N/A</v>
          </cell>
          <cell r="H265" t="e">
            <v>#N/A</v>
          </cell>
          <cell r="I265" t="e">
            <v>#N/A</v>
          </cell>
          <cell r="J265" t="e">
            <v>#N/A</v>
          </cell>
          <cell r="K265" t="e">
            <v>#N/A</v>
          </cell>
          <cell r="L265" t="e">
            <v>#N/A</v>
          </cell>
          <cell r="M265" t="e">
            <v>#N/A</v>
          </cell>
          <cell r="N265" t="e">
            <v>#N/A</v>
          </cell>
          <cell r="O265" t="e">
            <v>#N/A</v>
          </cell>
          <cell r="P265">
            <v>12.13</v>
          </cell>
          <cell r="Q265">
            <v>1.9079279999999998</v>
          </cell>
          <cell r="R265" t="e">
            <v>#N/A</v>
          </cell>
        </row>
        <row r="266">
          <cell r="A266">
            <v>40358</v>
          </cell>
          <cell r="B266">
            <v>40358</v>
          </cell>
          <cell r="C266" t="str">
            <v>Past</v>
          </cell>
          <cell r="D266">
            <v>11.93</v>
          </cell>
          <cell r="E266" t="e">
            <v>#N/A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>
            <v>11.93</v>
          </cell>
          <cell r="Q266">
            <v>2.6454580000000001</v>
          </cell>
          <cell r="R266" t="e">
            <v>#N/A</v>
          </cell>
        </row>
        <row r="267">
          <cell r="A267">
            <v>40359</v>
          </cell>
          <cell r="B267">
            <v>40359</v>
          </cell>
          <cell r="C267" t="str">
            <v>Past</v>
          </cell>
          <cell r="D267">
            <v>11.81</v>
          </cell>
          <cell r="E267" t="e">
            <v>#N/A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>
            <v>11.81</v>
          </cell>
          <cell r="Q267">
            <v>3.2041879999999998</v>
          </cell>
          <cell r="R267" t="e">
            <v>#N/A</v>
          </cell>
        </row>
        <row r="268">
          <cell r="A268">
            <v>40360</v>
          </cell>
          <cell r="B268">
            <v>40360</v>
          </cell>
          <cell r="C268" t="str">
            <v>Past</v>
          </cell>
          <cell r="D268">
            <v>11.75</v>
          </cell>
          <cell r="E268" t="e">
            <v>#N/A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>
            <v>11.75</v>
          </cell>
          <cell r="Q268">
            <v>2.2558889999999998</v>
          </cell>
          <cell r="R268" t="e">
            <v>#N/A</v>
          </cell>
        </row>
        <row r="269">
          <cell r="A269">
            <v>40361</v>
          </cell>
          <cell r="B269">
            <v>40361</v>
          </cell>
          <cell r="C269" t="str">
            <v>Past</v>
          </cell>
          <cell r="D269">
            <v>11.79</v>
          </cell>
          <cell r="E269" t="e">
            <v>#N/A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>
            <v>11.79</v>
          </cell>
          <cell r="Q269">
            <v>1.5568379999999999</v>
          </cell>
          <cell r="R269" t="e">
            <v>#N/A</v>
          </cell>
        </row>
        <row r="270">
          <cell r="A270">
            <v>40365</v>
          </cell>
          <cell r="B270">
            <v>40365</v>
          </cell>
          <cell r="C270" t="str">
            <v>Past</v>
          </cell>
          <cell r="D270">
            <v>11.95</v>
          </cell>
          <cell r="E270" t="e">
            <v>#N/A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>
            <v>11.95</v>
          </cell>
          <cell r="Q270">
            <v>2.0747359999999997</v>
          </cell>
          <cell r="R270" t="e">
            <v>#N/A</v>
          </cell>
        </row>
        <row r="271">
          <cell r="A271">
            <v>40366</v>
          </cell>
          <cell r="B271">
            <v>40366</v>
          </cell>
          <cell r="C271" t="str">
            <v>Past</v>
          </cell>
          <cell r="D271">
            <v>12.3</v>
          </cell>
          <cell r="E271" t="e">
            <v>#N/A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>
            <v>12.3</v>
          </cell>
          <cell r="Q271">
            <v>1.5029669999999999</v>
          </cell>
          <cell r="R271" t="e">
            <v>#N/A</v>
          </cell>
        </row>
        <row r="272">
          <cell r="A272">
            <v>40367</v>
          </cell>
          <cell r="B272">
            <v>40367</v>
          </cell>
          <cell r="C272" t="str">
            <v>Past</v>
          </cell>
          <cell r="D272">
            <v>12.26</v>
          </cell>
          <cell r="E272" t="e">
            <v>#N/A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>
            <v>12.26</v>
          </cell>
          <cell r="Q272">
            <v>1.6987000000000001</v>
          </cell>
          <cell r="R272" t="e">
            <v>#N/A</v>
          </cell>
        </row>
        <row r="273">
          <cell r="A273">
            <v>40368</v>
          </cell>
          <cell r="B273">
            <v>40368</v>
          </cell>
          <cell r="C273" t="str">
            <v>Past</v>
          </cell>
          <cell r="D273">
            <v>12.6</v>
          </cell>
          <cell r="E273" t="e">
            <v>#N/A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>
            <v>12.6</v>
          </cell>
          <cell r="Q273">
            <v>2.9425400000000002</v>
          </cell>
          <cell r="R273" t="e">
            <v>#N/A</v>
          </cell>
        </row>
        <row r="274">
          <cell r="A274">
            <v>40371</v>
          </cell>
          <cell r="B274">
            <v>40371</v>
          </cell>
          <cell r="C274" t="str">
            <v>Past</v>
          </cell>
          <cell r="D274">
            <v>12.68</v>
          </cell>
          <cell r="E274" t="e">
            <v>#N/A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>
            <v>12.68</v>
          </cell>
          <cell r="Q274">
            <v>1.863105</v>
          </cell>
          <cell r="R274" t="e">
            <v>#N/A</v>
          </cell>
        </row>
        <row r="275">
          <cell r="A275">
            <v>40372</v>
          </cell>
          <cell r="B275">
            <v>40372</v>
          </cell>
          <cell r="C275" t="str">
            <v>Past</v>
          </cell>
          <cell r="D275">
            <v>12.68</v>
          </cell>
          <cell r="E275" t="e">
            <v>#N/A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>
            <v>12.68</v>
          </cell>
          <cell r="Q275">
            <v>1.8854229999999998</v>
          </cell>
          <cell r="R275" t="e">
            <v>#N/A</v>
          </cell>
        </row>
        <row r="276">
          <cell r="A276">
            <v>40373</v>
          </cell>
          <cell r="B276">
            <v>40373</v>
          </cell>
          <cell r="C276" t="str">
            <v>Past</v>
          </cell>
          <cell r="D276">
            <v>12.76</v>
          </cell>
          <cell r="E276" t="e">
            <v>#N/A</v>
          </cell>
          <cell r="F276" t="e">
            <v>#N/A</v>
          </cell>
          <cell r="G276" t="e">
            <v>#N/A</v>
          </cell>
          <cell r="H276" t="e">
            <v>#N/A</v>
          </cell>
          <cell r="I276" t="e">
            <v>#N/A</v>
          </cell>
          <cell r="J276" t="e">
            <v>#N/A</v>
          </cell>
          <cell r="K276" t="e">
            <v>#N/A</v>
          </cell>
          <cell r="L276" t="e">
            <v>#N/A</v>
          </cell>
          <cell r="M276" t="e">
            <v>#N/A</v>
          </cell>
          <cell r="N276" t="e">
            <v>#N/A</v>
          </cell>
          <cell r="O276" t="e">
            <v>#N/A</v>
          </cell>
          <cell r="P276">
            <v>12.76</v>
          </cell>
          <cell r="Q276">
            <v>3.8541569999999998</v>
          </cell>
          <cell r="R276" t="e">
            <v>#N/A</v>
          </cell>
        </row>
        <row r="277">
          <cell r="A277">
            <v>40374</v>
          </cell>
          <cell r="B277">
            <v>40374</v>
          </cell>
          <cell r="C277" t="str">
            <v>Past</v>
          </cell>
          <cell r="D277">
            <v>12.77</v>
          </cell>
          <cell r="E277" t="e">
            <v>#N/A</v>
          </cell>
          <cell r="F277" t="e">
            <v>#N/A</v>
          </cell>
          <cell r="G277" t="e">
            <v>#N/A</v>
          </cell>
          <cell r="H277" t="e">
            <v>#N/A</v>
          </cell>
          <cell r="I277" t="e">
            <v>#N/A</v>
          </cell>
          <cell r="J277" t="e">
            <v>#N/A</v>
          </cell>
          <cell r="K277" t="e">
            <v>#N/A</v>
          </cell>
          <cell r="L277" t="e">
            <v>#N/A</v>
          </cell>
          <cell r="M277" t="e">
            <v>#N/A</v>
          </cell>
          <cell r="N277" t="e">
            <v>#N/A</v>
          </cell>
          <cell r="O277" t="e">
            <v>#N/A</v>
          </cell>
          <cell r="P277">
            <v>12.77</v>
          </cell>
          <cell r="Q277">
            <v>1.5362</v>
          </cell>
          <cell r="R277" t="e">
            <v>#N/A</v>
          </cell>
        </row>
        <row r="278">
          <cell r="A278">
            <v>40375</v>
          </cell>
          <cell r="B278">
            <v>40375</v>
          </cell>
          <cell r="C278" t="str">
            <v>Past</v>
          </cell>
          <cell r="D278">
            <v>12.39</v>
          </cell>
          <cell r="E278" t="e">
            <v>#N/A</v>
          </cell>
          <cell r="F278" t="e">
            <v>#N/A</v>
          </cell>
          <cell r="G278" t="e">
            <v>#N/A</v>
          </cell>
          <cell r="H278" t="e">
            <v>#N/A</v>
          </cell>
          <cell r="I278" t="e">
            <v>#N/A</v>
          </cell>
          <cell r="J278" t="e">
            <v>#N/A</v>
          </cell>
          <cell r="K278" t="e">
            <v>#N/A</v>
          </cell>
          <cell r="L278" t="e">
            <v>#N/A</v>
          </cell>
          <cell r="M278" t="e">
            <v>#N/A</v>
          </cell>
          <cell r="N278" t="e">
            <v>#N/A</v>
          </cell>
          <cell r="O278" t="e">
            <v>#N/A</v>
          </cell>
          <cell r="P278">
            <v>12.39</v>
          </cell>
          <cell r="Q278">
            <v>2.187497</v>
          </cell>
          <cell r="R278" t="e">
            <v>#N/A</v>
          </cell>
        </row>
        <row r="279">
          <cell r="A279">
            <v>40378</v>
          </cell>
          <cell r="B279">
            <v>40378</v>
          </cell>
          <cell r="C279" t="str">
            <v>Past</v>
          </cell>
          <cell r="D279">
            <v>12.57</v>
          </cell>
          <cell r="E279" t="e">
            <v>#N/A</v>
          </cell>
          <cell r="F279" t="e">
            <v>#N/A</v>
          </cell>
          <cell r="G279" t="e">
            <v>#N/A</v>
          </cell>
          <cell r="H279" t="e">
            <v>#N/A</v>
          </cell>
          <cell r="I279" t="e">
            <v>#N/A</v>
          </cell>
          <cell r="J279" t="e">
            <v>#N/A</v>
          </cell>
          <cell r="K279" t="e">
            <v>#N/A</v>
          </cell>
          <cell r="L279" t="e">
            <v>#N/A</v>
          </cell>
          <cell r="M279" t="e">
            <v>#N/A</v>
          </cell>
          <cell r="N279" t="e">
            <v>#N/A</v>
          </cell>
          <cell r="O279" t="e">
            <v>#N/A</v>
          </cell>
          <cell r="P279">
            <v>12.57</v>
          </cell>
          <cell r="Q279">
            <v>1.995854</v>
          </cell>
          <cell r="R279" t="e">
            <v>#N/A</v>
          </cell>
        </row>
        <row r="280">
          <cell r="A280">
            <v>40379</v>
          </cell>
          <cell r="B280">
            <v>40379</v>
          </cell>
          <cell r="C280" t="str">
            <v>Past</v>
          </cell>
          <cell r="D280">
            <v>12.63</v>
          </cell>
          <cell r="E280" t="e">
            <v>#N/A</v>
          </cell>
          <cell r="F280" t="e">
            <v>#N/A</v>
          </cell>
          <cell r="G280" t="e">
            <v>#N/A</v>
          </cell>
          <cell r="H280" t="e">
            <v>#N/A</v>
          </cell>
          <cell r="I280" t="e">
            <v>#N/A</v>
          </cell>
          <cell r="J280" t="e">
            <v>#N/A</v>
          </cell>
          <cell r="K280" t="e">
            <v>#N/A</v>
          </cell>
          <cell r="L280" t="e">
            <v>#N/A</v>
          </cell>
          <cell r="M280" t="e">
            <v>#N/A</v>
          </cell>
          <cell r="N280" t="e">
            <v>#N/A</v>
          </cell>
          <cell r="O280" t="e">
            <v>#N/A</v>
          </cell>
          <cell r="P280">
            <v>12.63</v>
          </cell>
          <cell r="Q280">
            <v>2.4046590000000001</v>
          </cell>
          <cell r="R280" t="e">
            <v>#N/A</v>
          </cell>
        </row>
        <row r="281">
          <cell r="A281">
            <v>40380</v>
          </cell>
          <cell r="B281">
            <v>40380</v>
          </cell>
          <cell r="C281" t="str">
            <v>Past</v>
          </cell>
          <cell r="D281">
            <v>12.55</v>
          </cell>
          <cell r="E281" t="e">
            <v>#N/A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>
            <v>12.55</v>
          </cell>
          <cell r="Q281">
            <v>3.4714669999999996</v>
          </cell>
          <cell r="R281" t="e">
            <v>#N/A</v>
          </cell>
        </row>
        <row r="282">
          <cell r="A282">
            <v>40381</v>
          </cell>
          <cell r="B282">
            <v>40381</v>
          </cell>
          <cell r="C282" t="str">
            <v>Past</v>
          </cell>
          <cell r="D282">
            <v>12.78</v>
          </cell>
          <cell r="E282" t="e">
            <v>#N/A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>
            <v>12.78</v>
          </cell>
          <cell r="Q282">
            <v>1.318586</v>
          </cell>
          <cell r="R282" t="e">
            <v>#N/A</v>
          </cell>
        </row>
        <row r="283">
          <cell r="A283">
            <v>40382</v>
          </cell>
          <cell r="B283">
            <v>40382</v>
          </cell>
          <cell r="C283" t="str">
            <v>Past</v>
          </cell>
          <cell r="D283">
            <v>12.82</v>
          </cell>
          <cell r="E283" t="e">
            <v>#N/A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>
            <v>12.82</v>
          </cell>
          <cell r="Q283">
            <v>1.328279</v>
          </cell>
          <cell r="R283" t="e">
            <v>#N/A</v>
          </cell>
        </row>
        <row r="284">
          <cell r="A284">
            <v>40385</v>
          </cell>
          <cell r="B284">
            <v>40385</v>
          </cell>
          <cell r="C284" t="str">
            <v>Past</v>
          </cell>
          <cell r="D284">
            <v>12.88</v>
          </cell>
          <cell r="E284" t="e">
            <v>#N/A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>
            <v>12.88</v>
          </cell>
          <cell r="Q284">
            <v>1.9803439999999999</v>
          </cell>
          <cell r="R284" t="e">
            <v>#N/A</v>
          </cell>
        </row>
        <row r="285">
          <cell r="A285">
            <v>40386</v>
          </cell>
          <cell r="B285">
            <v>40386</v>
          </cell>
          <cell r="C285" t="str">
            <v>Past</v>
          </cell>
          <cell r="D285">
            <v>13.12</v>
          </cell>
          <cell r="E285" t="e">
            <v>#N/A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>
            <v>13.12</v>
          </cell>
          <cell r="Q285">
            <v>2.9478309999999999</v>
          </cell>
          <cell r="R285" t="e">
            <v>#N/A</v>
          </cell>
        </row>
        <row r="286">
          <cell r="A286">
            <v>40387</v>
          </cell>
          <cell r="B286">
            <v>40387</v>
          </cell>
          <cell r="C286" t="str">
            <v>Past</v>
          </cell>
          <cell r="D286">
            <v>12.93</v>
          </cell>
          <cell r="E286" t="e">
            <v>#N/A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>
            <v>12.93</v>
          </cell>
          <cell r="Q286">
            <v>1.091621</v>
          </cell>
          <cell r="R286" t="e">
            <v>#N/A</v>
          </cell>
        </row>
        <row r="287">
          <cell r="A287">
            <v>40388</v>
          </cell>
          <cell r="B287">
            <v>40388</v>
          </cell>
          <cell r="C287" t="str">
            <v>Past</v>
          </cell>
          <cell r="D287">
            <v>12.73</v>
          </cell>
          <cell r="E287" t="e">
            <v>#N/A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>
            <v>12.73</v>
          </cell>
          <cell r="Q287">
            <v>1.718626</v>
          </cell>
          <cell r="R287" t="e">
            <v>#N/A</v>
          </cell>
        </row>
        <row r="288">
          <cell r="A288">
            <v>40389</v>
          </cell>
          <cell r="B288">
            <v>40389</v>
          </cell>
          <cell r="C288" t="str">
            <v>Past</v>
          </cell>
          <cell r="D288">
            <v>12.7</v>
          </cell>
          <cell r="E288" t="e">
            <v>#N/A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>
            <v>12.7</v>
          </cell>
          <cell r="Q288">
            <v>1.846115</v>
          </cell>
          <cell r="R288" t="e">
            <v>#N/A</v>
          </cell>
        </row>
        <row r="289">
          <cell r="A289">
            <v>40392</v>
          </cell>
          <cell r="B289">
            <v>40392</v>
          </cell>
          <cell r="C289" t="str">
            <v>Past</v>
          </cell>
          <cell r="D289">
            <v>12.82</v>
          </cell>
          <cell r="E289" t="e">
            <v>#N/A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>
            <v>12.82</v>
          </cell>
          <cell r="Q289">
            <v>1.8807369999999999</v>
          </cell>
          <cell r="R289" t="e">
            <v>#N/A</v>
          </cell>
        </row>
        <row r="290">
          <cell r="A290">
            <v>40393</v>
          </cell>
          <cell r="B290">
            <v>40393</v>
          </cell>
          <cell r="C290" t="str">
            <v>Past</v>
          </cell>
          <cell r="D290">
            <v>12.77</v>
          </cell>
          <cell r="E290" t="e">
            <v>#N/A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>
            <v>12.77</v>
          </cell>
          <cell r="Q290">
            <v>1.263906</v>
          </cell>
          <cell r="R290" t="e">
            <v>#N/A</v>
          </cell>
        </row>
        <row r="291">
          <cell r="A291">
            <v>40394</v>
          </cell>
          <cell r="B291">
            <v>40394</v>
          </cell>
          <cell r="C291" t="str">
            <v>Past</v>
          </cell>
          <cell r="D291">
            <v>12.78</v>
          </cell>
          <cell r="E291" t="e">
            <v>#N/A</v>
          </cell>
          <cell r="F291" t="e">
            <v>#N/A</v>
          </cell>
          <cell r="G291" t="e">
            <v>#N/A</v>
          </cell>
          <cell r="H291" t="e">
            <v>#N/A</v>
          </cell>
          <cell r="I291" t="e">
            <v>#N/A</v>
          </cell>
          <cell r="J291" t="e">
            <v>#N/A</v>
          </cell>
          <cell r="K291" t="e">
            <v>#N/A</v>
          </cell>
          <cell r="L291" t="e">
            <v>#N/A</v>
          </cell>
          <cell r="M291" t="e">
            <v>#N/A</v>
          </cell>
          <cell r="N291" t="e">
            <v>#N/A</v>
          </cell>
          <cell r="O291" t="e">
            <v>#N/A</v>
          </cell>
          <cell r="P291">
            <v>12.78</v>
          </cell>
          <cell r="Q291">
            <v>1.3239029999999998</v>
          </cell>
          <cell r="R291" t="e">
            <v>#N/A</v>
          </cell>
        </row>
        <row r="292">
          <cell r="A292">
            <v>40395</v>
          </cell>
          <cell r="B292">
            <v>40395</v>
          </cell>
          <cell r="C292" t="str">
            <v>Past</v>
          </cell>
          <cell r="D292">
            <v>12.9</v>
          </cell>
          <cell r="E292" t="e">
            <v>#N/A</v>
          </cell>
          <cell r="F292" t="e">
            <v>#N/A</v>
          </cell>
          <cell r="G292" t="e">
            <v>#N/A</v>
          </cell>
          <cell r="H292" t="e">
            <v>#N/A</v>
          </cell>
          <cell r="I292" t="e">
            <v>#N/A</v>
          </cell>
          <cell r="J292" t="e">
            <v>#N/A</v>
          </cell>
          <cell r="K292" t="e">
            <v>#N/A</v>
          </cell>
          <cell r="L292" t="e">
            <v>#N/A</v>
          </cell>
          <cell r="M292" t="e">
            <v>#N/A</v>
          </cell>
          <cell r="N292" t="e">
            <v>#N/A</v>
          </cell>
          <cell r="O292" t="e">
            <v>#N/A</v>
          </cell>
          <cell r="P292">
            <v>12.9</v>
          </cell>
          <cell r="Q292">
            <v>0.96239399999999997</v>
          </cell>
          <cell r="R292" t="e">
            <v>#N/A</v>
          </cell>
        </row>
        <row r="293">
          <cell r="A293">
            <v>40396</v>
          </cell>
          <cell r="B293">
            <v>40396</v>
          </cell>
          <cell r="C293" t="str">
            <v>Past</v>
          </cell>
          <cell r="D293">
            <v>12.86</v>
          </cell>
          <cell r="E293" t="e">
            <v>#N/A</v>
          </cell>
          <cell r="F293" t="e">
            <v>#N/A</v>
          </cell>
          <cell r="G293" t="e">
            <v>#N/A</v>
          </cell>
          <cell r="H293" t="e">
            <v>#N/A</v>
          </cell>
          <cell r="I293" t="e">
            <v>#N/A</v>
          </cell>
          <cell r="J293" t="e">
            <v>#N/A</v>
          </cell>
          <cell r="K293" t="e">
            <v>#N/A</v>
          </cell>
          <cell r="L293" t="e">
            <v>#N/A</v>
          </cell>
          <cell r="M293" t="e">
            <v>#N/A</v>
          </cell>
          <cell r="N293" t="e">
            <v>#N/A</v>
          </cell>
          <cell r="O293" t="e">
            <v>#N/A</v>
          </cell>
          <cell r="P293">
            <v>12.86</v>
          </cell>
          <cell r="Q293">
            <v>1.220923</v>
          </cell>
          <cell r="R293" t="e">
            <v>#N/A</v>
          </cell>
        </row>
        <row r="294">
          <cell r="A294">
            <v>40399</v>
          </cell>
          <cell r="B294">
            <v>40399</v>
          </cell>
          <cell r="C294" t="str">
            <v>Past</v>
          </cell>
          <cell r="D294">
            <v>12.99</v>
          </cell>
          <cell r="E294" t="e">
            <v>#N/A</v>
          </cell>
          <cell r="F294" t="e">
            <v>#N/A</v>
          </cell>
          <cell r="G294" t="e">
            <v>#N/A</v>
          </cell>
          <cell r="H294" t="e">
            <v>#N/A</v>
          </cell>
          <cell r="I294" t="e">
            <v>#N/A</v>
          </cell>
          <cell r="J294" t="e">
            <v>#N/A</v>
          </cell>
          <cell r="K294" t="e">
            <v>#N/A</v>
          </cell>
          <cell r="L294" t="e">
            <v>#N/A</v>
          </cell>
          <cell r="M294" t="e">
            <v>#N/A</v>
          </cell>
          <cell r="N294" t="e">
            <v>#N/A</v>
          </cell>
          <cell r="O294" t="e">
            <v>#N/A</v>
          </cell>
          <cell r="P294">
            <v>12.99</v>
          </cell>
          <cell r="Q294">
            <v>1.9647569999999999</v>
          </cell>
          <cell r="R294" t="e">
            <v>#N/A</v>
          </cell>
        </row>
        <row r="295">
          <cell r="A295">
            <v>40400</v>
          </cell>
          <cell r="B295">
            <v>40400</v>
          </cell>
          <cell r="C295" t="str">
            <v>Past</v>
          </cell>
          <cell r="D295">
            <v>12.96</v>
          </cell>
          <cell r="E295" t="e">
            <v>#N/A</v>
          </cell>
          <cell r="F295" t="e">
            <v>#N/A</v>
          </cell>
          <cell r="G295" t="e">
            <v>#N/A</v>
          </cell>
          <cell r="H295" t="e">
            <v>#N/A</v>
          </cell>
          <cell r="I295" t="e">
            <v>#N/A</v>
          </cell>
          <cell r="J295" t="e">
            <v>#N/A</v>
          </cell>
          <cell r="K295" t="e">
            <v>#N/A</v>
          </cell>
          <cell r="L295" t="e">
            <v>#N/A</v>
          </cell>
          <cell r="M295" t="e">
            <v>#N/A</v>
          </cell>
          <cell r="N295" t="e">
            <v>#N/A</v>
          </cell>
          <cell r="O295" t="e">
            <v>#N/A</v>
          </cell>
          <cell r="P295">
            <v>12.96</v>
          </cell>
          <cell r="Q295">
            <v>1.34331</v>
          </cell>
          <cell r="R295" t="e">
            <v>#N/A</v>
          </cell>
        </row>
        <row r="296">
          <cell r="A296">
            <v>40401</v>
          </cell>
          <cell r="B296">
            <v>40401</v>
          </cell>
          <cell r="C296" t="str">
            <v>Past</v>
          </cell>
          <cell r="D296">
            <v>12.69</v>
          </cell>
          <cell r="E296" t="e">
            <v>#N/A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>
            <v>12.69</v>
          </cell>
          <cell r="Q296">
            <v>1.5584</v>
          </cell>
          <cell r="R296" t="e">
            <v>#N/A</v>
          </cell>
        </row>
        <row r="297">
          <cell r="A297">
            <v>40402</v>
          </cell>
          <cell r="B297">
            <v>40402</v>
          </cell>
          <cell r="C297" t="str">
            <v>Past</v>
          </cell>
          <cell r="D297">
            <v>12.75</v>
          </cell>
          <cell r="E297" t="e">
            <v>#N/A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>
            <v>12.75</v>
          </cell>
          <cell r="Q297">
            <v>2.0656810000000001</v>
          </cell>
          <cell r="R297" t="e">
            <v>#N/A</v>
          </cell>
        </row>
        <row r="298">
          <cell r="A298">
            <v>40403</v>
          </cell>
          <cell r="B298">
            <v>40403</v>
          </cell>
          <cell r="C298" t="str">
            <v>Past</v>
          </cell>
          <cell r="D298">
            <v>12.82</v>
          </cell>
          <cell r="E298" t="e">
            <v>#N/A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>
            <v>12.82</v>
          </cell>
          <cell r="Q298">
            <v>0.93745000000000012</v>
          </cell>
          <cell r="R298" t="e">
            <v>#N/A</v>
          </cell>
        </row>
        <row r="299">
          <cell r="A299">
            <v>40406</v>
          </cell>
          <cell r="B299">
            <v>40406</v>
          </cell>
          <cell r="C299" t="str">
            <v>Past</v>
          </cell>
          <cell r="D299">
            <v>12.82</v>
          </cell>
          <cell r="E299" t="e">
            <v>#N/A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>
            <v>12.82</v>
          </cell>
          <cell r="Q299">
            <v>0.783667</v>
          </cell>
          <cell r="R299" t="e">
            <v>#N/A</v>
          </cell>
        </row>
        <row r="300">
          <cell r="A300">
            <v>40407</v>
          </cell>
          <cell r="B300">
            <v>40407</v>
          </cell>
          <cell r="C300" t="str">
            <v>Past</v>
          </cell>
          <cell r="D300">
            <v>12.95</v>
          </cell>
          <cell r="E300" t="e">
            <v>#N/A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>
            <v>12.95</v>
          </cell>
          <cell r="Q300">
            <v>0.81975599999999993</v>
          </cell>
          <cell r="R300" t="e">
            <v>#N/A</v>
          </cell>
        </row>
        <row r="301">
          <cell r="A301">
            <v>40408</v>
          </cell>
          <cell r="B301">
            <v>40408</v>
          </cell>
          <cell r="C301" t="str">
            <v>Past</v>
          </cell>
          <cell r="D301">
            <v>12.84</v>
          </cell>
          <cell r="E301" t="e">
            <v>#N/A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>
            <v>12.84</v>
          </cell>
          <cell r="Q301">
            <v>1.089143</v>
          </cell>
          <cell r="R301" t="e">
            <v>#N/A</v>
          </cell>
        </row>
        <row r="302">
          <cell r="A302">
            <v>40409</v>
          </cell>
          <cell r="B302">
            <v>40409</v>
          </cell>
          <cell r="C302" t="str">
            <v>Past</v>
          </cell>
          <cell r="D302">
            <v>12.6</v>
          </cell>
          <cell r="E302" t="e">
            <v>#N/A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>
            <v>12.6</v>
          </cell>
          <cell r="Q302">
            <v>0.71370099999999992</v>
          </cell>
          <cell r="R302" t="e">
            <v>#N/A</v>
          </cell>
        </row>
        <row r="303">
          <cell r="A303">
            <v>40410</v>
          </cell>
          <cell r="B303">
            <v>40410</v>
          </cell>
          <cell r="C303" t="str">
            <v>Past</v>
          </cell>
          <cell r="D303">
            <v>12.57</v>
          </cell>
          <cell r="E303" t="e">
            <v>#N/A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>
            <v>12.57</v>
          </cell>
          <cell r="Q303">
            <v>1.371812</v>
          </cell>
          <cell r="R303" t="e">
            <v>#N/A</v>
          </cell>
        </row>
        <row r="304">
          <cell r="A304">
            <v>40413</v>
          </cell>
          <cell r="B304">
            <v>40413</v>
          </cell>
          <cell r="C304" t="str">
            <v>Past</v>
          </cell>
          <cell r="D304">
            <v>12.56</v>
          </cell>
          <cell r="E304" t="e">
            <v>#N/A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>
            <v>12.56</v>
          </cell>
          <cell r="Q304">
            <v>1.7882069999999999</v>
          </cell>
          <cell r="R304" t="e">
            <v>#N/A</v>
          </cell>
        </row>
        <row r="305">
          <cell r="A305">
            <v>40414</v>
          </cell>
          <cell r="B305">
            <v>40414</v>
          </cell>
          <cell r="C305" t="str">
            <v>Past</v>
          </cell>
          <cell r="D305">
            <v>12.51</v>
          </cell>
          <cell r="E305" t="e">
            <v>#N/A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>
            <v>12.51</v>
          </cell>
          <cell r="Q305">
            <v>1.018284</v>
          </cell>
          <cell r="R305" t="e">
            <v>#N/A</v>
          </cell>
        </row>
        <row r="306">
          <cell r="A306">
            <v>40415</v>
          </cell>
          <cell r="B306">
            <v>40415</v>
          </cell>
          <cell r="C306" t="str">
            <v>Past</v>
          </cell>
          <cell r="D306">
            <v>12.51</v>
          </cell>
          <cell r="E306" t="e">
            <v>#N/A</v>
          </cell>
          <cell r="F306" t="e">
            <v>#N/A</v>
          </cell>
          <cell r="G306" t="e">
            <v>#N/A</v>
          </cell>
          <cell r="H306" t="e">
            <v>#N/A</v>
          </cell>
          <cell r="I306" t="e">
            <v>#N/A</v>
          </cell>
          <cell r="J306" t="e">
            <v>#N/A</v>
          </cell>
          <cell r="K306" t="e">
            <v>#N/A</v>
          </cell>
          <cell r="L306" t="e">
            <v>#N/A</v>
          </cell>
          <cell r="M306" t="e">
            <v>#N/A</v>
          </cell>
          <cell r="N306" t="e">
            <v>#N/A</v>
          </cell>
          <cell r="O306" t="e">
            <v>#N/A</v>
          </cell>
          <cell r="P306">
            <v>12.51</v>
          </cell>
          <cell r="Q306">
            <v>1.948426</v>
          </cell>
          <cell r="R306" t="e">
            <v>#N/A</v>
          </cell>
        </row>
        <row r="307">
          <cell r="A307">
            <v>40416</v>
          </cell>
          <cell r="B307">
            <v>40416</v>
          </cell>
          <cell r="C307" t="str">
            <v>Past</v>
          </cell>
          <cell r="D307">
            <v>12.51</v>
          </cell>
          <cell r="E307" t="e">
            <v>#N/A</v>
          </cell>
          <cell r="F307" t="e">
            <v>#N/A</v>
          </cell>
          <cell r="G307" t="e">
            <v>#N/A</v>
          </cell>
          <cell r="H307" t="e">
            <v>#N/A</v>
          </cell>
          <cell r="I307" t="e">
            <v>#N/A</v>
          </cell>
          <cell r="J307" t="e">
            <v>#N/A</v>
          </cell>
          <cell r="K307" t="e">
            <v>#N/A</v>
          </cell>
          <cell r="L307" t="e">
            <v>#N/A</v>
          </cell>
          <cell r="M307" t="e">
            <v>#N/A</v>
          </cell>
          <cell r="N307" t="e">
            <v>#N/A</v>
          </cell>
          <cell r="O307" t="e">
            <v>#N/A</v>
          </cell>
          <cell r="P307">
            <v>12.51</v>
          </cell>
          <cell r="Q307">
            <v>1.2078149999999999</v>
          </cell>
          <cell r="R307" t="e">
            <v>#N/A</v>
          </cell>
        </row>
        <row r="308">
          <cell r="A308">
            <v>40417</v>
          </cell>
          <cell r="B308">
            <v>40417</v>
          </cell>
          <cell r="C308" t="str">
            <v>Past</v>
          </cell>
          <cell r="D308">
            <v>12.8</v>
          </cell>
          <cell r="E308" t="e">
            <v>#N/A</v>
          </cell>
          <cell r="F308" t="e">
            <v>#N/A</v>
          </cell>
          <cell r="G308" t="e">
            <v>#N/A</v>
          </cell>
          <cell r="H308" t="e">
            <v>#N/A</v>
          </cell>
          <cell r="I308" t="e">
            <v>#N/A</v>
          </cell>
          <cell r="J308" t="e">
            <v>#N/A</v>
          </cell>
          <cell r="K308" t="e">
            <v>#N/A</v>
          </cell>
          <cell r="L308" t="e">
            <v>#N/A</v>
          </cell>
          <cell r="M308" t="e">
            <v>#N/A</v>
          </cell>
          <cell r="N308" t="e">
            <v>#N/A</v>
          </cell>
          <cell r="O308" t="e">
            <v>#N/A</v>
          </cell>
          <cell r="P308">
            <v>12.8</v>
          </cell>
          <cell r="Q308">
            <v>2.2369500000000002</v>
          </cell>
          <cell r="R308" t="e">
            <v>#N/A</v>
          </cell>
        </row>
        <row r="309">
          <cell r="A309">
            <v>40420</v>
          </cell>
          <cell r="B309">
            <v>40420</v>
          </cell>
          <cell r="C309" t="str">
            <v>Past</v>
          </cell>
          <cell r="D309">
            <v>12.64</v>
          </cell>
          <cell r="E309" t="e">
            <v>#N/A</v>
          </cell>
          <cell r="F309" t="e">
            <v>#N/A</v>
          </cell>
          <cell r="G309" t="e">
            <v>#N/A</v>
          </cell>
          <cell r="H309" t="e">
            <v>#N/A</v>
          </cell>
          <cell r="I309" t="e">
            <v>#N/A</v>
          </cell>
          <cell r="J309" t="e">
            <v>#N/A</v>
          </cell>
          <cell r="K309" t="e">
            <v>#N/A</v>
          </cell>
          <cell r="L309" t="e">
            <v>#N/A</v>
          </cell>
          <cell r="M309" t="e">
            <v>#N/A</v>
          </cell>
          <cell r="N309" t="e">
            <v>#N/A</v>
          </cell>
          <cell r="O309" t="e">
            <v>#N/A</v>
          </cell>
          <cell r="P309">
            <v>12.64</v>
          </cell>
          <cell r="Q309">
            <v>1.491317</v>
          </cell>
          <cell r="R309" t="e">
            <v>#N/A</v>
          </cell>
        </row>
        <row r="310">
          <cell r="A310">
            <v>40421</v>
          </cell>
          <cell r="B310">
            <v>40421</v>
          </cell>
          <cell r="C310" t="str">
            <v>Past</v>
          </cell>
          <cell r="D310">
            <v>12.8</v>
          </cell>
          <cell r="E310" t="e">
            <v>#N/A</v>
          </cell>
          <cell r="F310" t="e">
            <v>#N/A</v>
          </cell>
          <cell r="G310" t="e">
            <v>#N/A</v>
          </cell>
          <cell r="H310" t="e">
            <v>#N/A</v>
          </cell>
          <cell r="I310" t="e">
            <v>#N/A</v>
          </cell>
          <cell r="J310" t="e">
            <v>#N/A</v>
          </cell>
          <cell r="K310" t="e">
            <v>#N/A</v>
          </cell>
          <cell r="L310" t="e">
            <v>#N/A</v>
          </cell>
          <cell r="M310" t="e">
            <v>#N/A</v>
          </cell>
          <cell r="N310" t="e">
            <v>#N/A</v>
          </cell>
          <cell r="O310" t="e">
            <v>#N/A</v>
          </cell>
          <cell r="P310">
            <v>12.8</v>
          </cell>
          <cell r="Q310">
            <v>1.946672</v>
          </cell>
          <cell r="R310" t="e">
            <v>#N/A</v>
          </cell>
        </row>
        <row r="311">
          <cell r="A311">
            <v>40422</v>
          </cell>
          <cell r="B311">
            <v>40422</v>
          </cell>
          <cell r="C311" t="str">
            <v>Past</v>
          </cell>
          <cell r="D311">
            <v>13.13</v>
          </cell>
          <cell r="E311" t="e">
            <v>#N/A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>
            <v>13.13</v>
          </cell>
          <cell r="Q311">
            <v>2.65388</v>
          </cell>
          <cell r="R311" t="e">
            <v>#N/A</v>
          </cell>
        </row>
        <row r="312">
          <cell r="A312">
            <v>40423</v>
          </cell>
          <cell r="B312">
            <v>40423</v>
          </cell>
          <cell r="C312" t="str">
            <v>Past</v>
          </cell>
          <cell r="D312">
            <v>13.07</v>
          </cell>
          <cell r="E312" t="e">
            <v>#N/A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>
            <v>13.07</v>
          </cell>
          <cell r="Q312">
            <v>3.9073409999999997</v>
          </cell>
          <cell r="R312" t="e">
            <v>#N/A</v>
          </cell>
        </row>
        <row r="313">
          <cell r="A313">
            <v>40424</v>
          </cell>
          <cell r="B313">
            <v>40424</v>
          </cell>
          <cell r="C313" t="str">
            <v>Past</v>
          </cell>
          <cell r="D313">
            <v>13.21</v>
          </cell>
          <cell r="E313" t="e">
            <v>#N/A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>
            <v>13.21</v>
          </cell>
          <cell r="Q313">
            <v>1.7133909999999999</v>
          </cell>
          <cell r="R313" t="e">
            <v>#N/A</v>
          </cell>
        </row>
        <row r="314">
          <cell r="A314">
            <v>40428</v>
          </cell>
          <cell r="B314">
            <v>40428</v>
          </cell>
          <cell r="C314" t="str">
            <v>Past</v>
          </cell>
          <cell r="D314">
            <v>13.13</v>
          </cell>
          <cell r="E314" t="e">
            <v>#N/A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>
            <v>13.13</v>
          </cell>
          <cell r="Q314">
            <v>1.388282</v>
          </cell>
          <cell r="R314" t="e">
            <v>#N/A</v>
          </cell>
        </row>
        <row r="315">
          <cell r="A315">
            <v>40429</v>
          </cell>
          <cell r="B315">
            <v>40429</v>
          </cell>
          <cell r="C315" t="str">
            <v>Past</v>
          </cell>
          <cell r="D315">
            <v>12.95</v>
          </cell>
          <cell r="E315" t="e">
            <v>#N/A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>
            <v>12.95</v>
          </cell>
          <cell r="Q315">
            <v>1.844096</v>
          </cell>
          <cell r="R315" t="e">
            <v>#N/A</v>
          </cell>
        </row>
        <row r="316">
          <cell r="A316">
            <v>40430</v>
          </cell>
          <cell r="B316">
            <v>40430</v>
          </cell>
          <cell r="C316" t="str">
            <v>Past</v>
          </cell>
          <cell r="D316">
            <v>13</v>
          </cell>
          <cell r="E316" t="e">
            <v>#N/A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>
            <v>13</v>
          </cell>
          <cell r="Q316">
            <v>2.1684220000000001</v>
          </cell>
          <cell r="R316" t="e">
            <v>#N/A</v>
          </cell>
        </row>
        <row r="317">
          <cell r="A317">
            <v>40431</v>
          </cell>
          <cell r="B317">
            <v>40431</v>
          </cell>
          <cell r="C317" t="str">
            <v>Past</v>
          </cell>
          <cell r="D317">
            <v>12.95</v>
          </cell>
          <cell r="E317" t="e">
            <v>#N/A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>
            <v>12.95</v>
          </cell>
          <cell r="Q317">
            <v>3.4128089999999998</v>
          </cell>
          <cell r="R317" t="e">
            <v>#N/A</v>
          </cell>
        </row>
        <row r="318">
          <cell r="A318">
            <v>40434</v>
          </cell>
          <cell r="B318">
            <v>40434</v>
          </cell>
          <cell r="C318" t="str">
            <v>Past</v>
          </cell>
          <cell r="D318">
            <v>13.13</v>
          </cell>
          <cell r="E318" t="e">
            <v>#N/A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>
            <v>13.13</v>
          </cell>
          <cell r="Q318">
            <v>1.9109800000000001</v>
          </cell>
          <cell r="R318" t="e">
            <v>#N/A</v>
          </cell>
        </row>
        <row r="319">
          <cell r="A319">
            <v>40435</v>
          </cell>
          <cell r="B319">
            <v>40435</v>
          </cell>
          <cell r="C319" t="str">
            <v>Past</v>
          </cell>
          <cell r="D319">
            <v>13.1</v>
          </cell>
          <cell r="E319" t="e">
            <v>#N/A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>
            <v>13.1</v>
          </cell>
          <cell r="Q319">
            <v>1.5091000000000001</v>
          </cell>
          <cell r="R319" t="e">
            <v>#N/A</v>
          </cell>
        </row>
        <row r="320">
          <cell r="A320">
            <v>40436</v>
          </cell>
          <cell r="B320">
            <v>40436</v>
          </cell>
          <cell r="C320" t="str">
            <v>Past</v>
          </cell>
          <cell r="D320">
            <v>12.92</v>
          </cell>
          <cell r="E320" t="e">
            <v>#N/A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>
            <v>12.92</v>
          </cell>
          <cell r="Q320">
            <v>2.0562860000000001</v>
          </cell>
          <cell r="R320" t="e">
            <v>#N/A</v>
          </cell>
        </row>
        <row r="321">
          <cell r="A321">
            <v>40437</v>
          </cell>
          <cell r="B321">
            <v>40437</v>
          </cell>
          <cell r="C321" t="str">
            <v>Past</v>
          </cell>
          <cell r="D321">
            <v>12.71</v>
          </cell>
          <cell r="E321" t="e">
            <v>#N/A</v>
          </cell>
          <cell r="F321" t="e">
            <v>#N/A</v>
          </cell>
          <cell r="G321" t="e">
            <v>#N/A</v>
          </cell>
          <cell r="H321" t="e">
            <v>#N/A</v>
          </cell>
          <cell r="I321" t="e">
            <v>#N/A</v>
          </cell>
          <cell r="J321" t="e">
            <v>#N/A</v>
          </cell>
          <cell r="K321" t="e">
            <v>#N/A</v>
          </cell>
          <cell r="L321" t="e">
            <v>#N/A</v>
          </cell>
          <cell r="M321" t="e">
            <v>#N/A</v>
          </cell>
          <cell r="N321" t="e">
            <v>#N/A</v>
          </cell>
          <cell r="O321" t="e">
            <v>#N/A</v>
          </cell>
          <cell r="P321">
            <v>12.71</v>
          </cell>
          <cell r="Q321">
            <v>1.4083539999999999</v>
          </cell>
          <cell r="R321" t="e">
            <v>#N/A</v>
          </cell>
        </row>
        <row r="322">
          <cell r="A322">
            <v>40438</v>
          </cell>
          <cell r="B322">
            <v>40438</v>
          </cell>
          <cell r="C322" t="str">
            <v>Past</v>
          </cell>
          <cell r="D322">
            <v>12.68</v>
          </cell>
          <cell r="E322" t="e">
            <v>#N/A</v>
          </cell>
          <cell r="F322" t="e">
            <v>#N/A</v>
          </cell>
          <cell r="G322" t="e">
            <v>#N/A</v>
          </cell>
          <cell r="H322" t="e">
            <v>#N/A</v>
          </cell>
          <cell r="I322" t="e">
            <v>#N/A</v>
          </cell>
          <cell r="J322" t="e">
            <v>#N/A</v>
          </cell>
          <cell r="K322" t="e">
            <v>#N/A</v>
          </cell>
          <cell r="L322" t="e">
            <v>#N/A</v>
          </cell>
          <cell r="M322" t="e">
            <v>#N/A</v>
          </cell>
          <cell r="N322" t="e">
            <v>#N/A</v>
          </cell>
          <cell r="O322" t="e">
            <v>#N/A</v>
          </cell>
          <cell r="P322">
            <v>12.68</v>
          </cell>
          <cell r="Q322">
            <v>1.7802609999999999</v>
          </cell>
          <cell r="R322" t="e">
            <v>#N/A</v>
          </cell>
        </row>
        <row r="323">
          <cell r="A323">
            <v>40441</v>
          </cell>
          <cell r="B323">
            <v>40441</v>
          </cell>
          <cell r="C323" t="str">
            <v>Past</v>
          </cell>
          <cell r="D323">
            <v>12.91</v>
          </cell>
          <cell r="E323" t="e">
            <v>#N/A</v>
          </cell>
          <cell r="F323" t="e">
            <v>#N/A</v>
          </cell>
          <cell r="G323" t="e">
            <v>#N/A</v>
          </cell>
          <cell r="H323" t="e">
            <v>#N/A</v>
          </cell>
          <cell r="I323" t="e">
            <v>#N/A</v>
          </cell>
          <cell r="J323" t="e">
            <v>#N/A</v>
          </cell>
          <cell r="K323" t="e">
            <v>#N/A</v>
          </cell>
          <cell r="L323" t="e">
            <v>#N/A</v>
          </cell>
          <cell r="M323" t="e">
            <v>#N/A</v>
          </cell>
          <cell r="N323" t="e">
            <v>#N/A</v>
          </cell>
          <cell r="O323" t="e">
            <v>#N/A</v>
          </cell>
          <cell r="P323">
            <v>12.91</v>
          </cell>
          <cell r="Q323">
            <v>1.297507</v>
          </cell>
          <cell r="R323" t="e">
            <v>#N/A</v>
          </cell>
        </row>
        <row r="324">
          <cell r="A324">
            <v>40442</v>
          </cell>
          <cell r="B324">
            <v>40442</v>
          </cell>
          <cell r="C324" t="str">
            <v>Past</v>
          </cell>
          <cell r="D324">
            <v>12.81</v>
          </cell>
          <cell r="E324" t="e">
            <v>#N/A</v>
          </cell>
          <cell r="F324" t="e">
            <v>#N/A</v>
          </cell>
          <cell r="G324" t="e">
            <v>#N/A</v>
          </cell>
          <cell r="H324" t="e">
            <v>#N/A</v>
          </cell>
          <cell r="I324" t="e">
            <v>#N/A</v>
          </cell>
          <cell r="J324" t="e">
            <v>#N/A</v>
          </cell>
          <cell r="K324" t="e">
            <v>#N/A</v>
          </cell>
          <cell r="L324" t="e">
            <v>#N/A</v>
          </cell>
          <cell r="M324" t="e">
            <v>#N/A</v>
          </cell>
          <cell r="N324" t="e">
            <v>#N/A</v>
          </cell>
          <cell r="O324" t="e">
            <v>#N/A</v>
          </cell>
          <cell r="P324">
            <v>12.81</v>
          </cell>
          <cell r="Q324">
            <v>1.4411429999999998</v>
          </cell>
          <cell r="R324" t="e">
            <v>#N/A</v>
          </cell>
        </row>
        <row r="325">
          <cell r="A325">
            <v>40443</v>
          </cell>
          <cell r="B325">
            <v>40443</v>
          </cell>
          <cell r="C325" t="str">
            <v>Past</v>
          </cell>
          <cell r="D325">
            <v>12.88</v>
          </cell>
          <cell r="E325" t="e">
            <v>#N/A</v>
          </cell>
          <cell r="F325" t="e">
            <v>#N/A</v>
          </cell>
          <cell r="G325" t="e">
            <v>#N/A</v>
          </cell>
          <cell r="H325" t="e">
            <v>#N/A</v>
          </cell>
          <cell r="I325" t="e">
            <v>#N/A</v>
          </cell>
          <cell r="J325" t="e">
            <v>#N/A</v>
          </cell>
          <cell r="K325" t="e">
            <v>#N/A</v>
          </cell>
          <cell r="L325" t="e">
            <v>#N/A</v>
          </cell>
          <cell r="M325" t="e">
            <v>#N/A</v>
          </cell>
          <cell r="N325" t="e">
            <v>#N/A</v>
          </cell>
          <cell r="O325" t="e">
            <v>#N/A</v>
          </cell>
          <cell r="P325">
            <v>12.88</v>
          </cell>
          <cell r="Q325">
            <v>0.79303000000000001</v>
          </cell>
          <cell r="R325" t="e">
            <v>#N/A</v>
          </cell>
        </row>
        <row r="326">
          <cell r="A326">
            <v>40444</v>
          </cell>
          <cell r="B326">
            <v>40444</v>
          </cell>
          <cell r="C326" t="str">
            <v>Past</v>
          </cell>
          <cell r="D326">
            <v>12.95</v>
          </cell>
          <cell r="E326" t="e">
            <v>#N/A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>
            <v>12.95</v>
          </cell>
          <cell r="Q326">
            <v>1.457676</v>
          </cell>
          <cell r="R326" t="e">
            <v>#N/A</v>
          </cell>
        </row>
        <row r="327">
          <cell r="A327">
            <v>40445</v>
          </cell>
          <cell r="B327">
            <v>40445</v>
          </cell>
          <cell r="C327" t="str">
            <v>Past</v>
          </cell>
          <cell r="D327">
            <v>13.16</v>
          </cell>
          <cell r="E327" t="e">
            <v>#N/A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>
            <v>13.16</v>
          </cell>
          <cell r="Q327">
            <v>0.86191600000000002</v>
          </cell>
          <cell r="R327" t="e">
            <v>#N/A</v>
          </cell>
        </row>
        <row r="328">
          <cell r="A328">
            <v>40448</v>
          </cell>
          <cell r="B328">
            <v>40448</v>
          </cell>
          <cell r="C328" t="str">
            <v>Past</v>
          </cell>
          <cell r="D328">
            <v>13.18</v>
          </cell>
          <cell r="E328" t="e">
            <v>#N/A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>
            <v>13.18</v>
          </cell>
          <cell r="Q328">
            <v>1.1820059999999999</v>
          </cell>
          <cell r="R328" t="e">
            <v>#N/A</v>
          </cell>
        </row>
        <row r="329">
          <cell r="A329">
            <v>40449</v>
          </cell>
          <cell r="B329">
            <v>40449</v>
          </cell>
          <cell r="C329" t="str">
            <v>Past</v>
          </cell>
          <cell r="D329">
            <v>13.02</v>
          </cell>
          <cell r="E329" t="e">
            <v>#N/A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>
            <v>13.02</v>
          </cell>
          <cell r="Q329">
            <v>2.1931620000000001</v>
          </cell>
          <cell r="R329" t="e">
            <v>#N/A</v>
          </cell>
        </row>
        <row r="330">
          <cell r="A330">
            <v>40450</v>
          </cell>
          <cell r="B330">
            <v>40450</v>
          </cell>
          <cell r="C330" t="str">
            <v>Past</v>
          </cell>
          <cell r="D330">
            <v>12.99</v>
          </cell>
          <cell r="E330" t="e">
            <v>#N/A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>
            <v>12.99</v>
          </cell>
          <cell r="Q330">
            <v>1.350544</v>
          </cell>
          <cell r="R330" t="e">
            <v>#N/A</v>
          </cell>
        </row>
        <row r="331">
          <cell r="A331">
            <v>40451</v>
          </cell>
          <cell r="B331">
            <v>40451</v>
          </cell>
          <cell r="C331" t="str">
            <v>Past</v>
          </cell>
          <cell r="D331">
            <v>13.15</v>
          </cell>
          <cell r="E331" t="e">
            <v>#N/A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>
            <v>13.15</v>
          </cell>
          <cell r="Q331">
            <v>1.4850939999999999</v>
          </cell>
          <cell r="R331" t="e">
            <v>#N/A</v>
          </cell>
        </row>
        <row r="332">
          <cell r="A332">
            <v>40452</v>
          </cell>
          <cell r="B332">
            <v>40452</v>
          </cell>
          <cell r="C332" t="str">
            <v>Past</v>
          </cell>
          <cell r="D332">
            <v>13.13</v>
          </cell>
          <cell r="E332" t="e">
            <v>#N/A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>
            <v>13.13</v>
          </cell>
          <cell r="Q332">
            <v>1.921621</v>
          </cell>
          <cell r="R332" t="e">
            <v>#N/A</v>
          </cell>
        </row>
        <row r="333">
          <cell r="A333">
            <v>40455</v>
          </cell>
          <cell r="B333">
            <v>40455</v>
          </cell>
          <cell r="C333" t="str">
            <v>Past</v>
          </cell>
          <cell r="D333">
            <v>12.94</v>
          </cell>
          <cell r="E333" t="e">
            <v>#N/A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>
            <v>12.94</v>
          </cell>
          <cell r="Q333">
            <v>1.977595</v>
          </cell>
          <cell r="R333" t="e">
            <v>#N/A</v>
          </cell>
        </row>
        <row r="334">
          <cell r="A334">
            <v>40456</v>
          </cell>
          <cell r="B334">
            <v>40456</v>
          </cell>
          <cell r="C334" t="str">
            <v>Past</v>
          </cell>
          <cell r="D334">
            <v>12.94</v>
          </cell>
          <cell r="E334" t="e">
            <v>#N/A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>
            <v>12.94</v>
          </cell>
          <cell r="Q334">
            <v>2.0961650000000001</v>
          </cell>
          <cell r="R334" t="e">
            <v>#N/A</v>
          </cell>
        </row>
        <row r="335">
          <cell r="A335">
            <v>40457</v>
          </cell>
          <cell r="B335">
            <v>40457</v>
          </cell>
          <cell r="C335" t="str">
            <v>Past</v>
          </cell>
          <cell r="D335">
            <v>12.87</v>
          </cell>
          <cell r="E335" t="e">
            <v>#N/A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>
            <v>12.87</v>
          </cell>
          <cell r="Q335">
            <v>1.6934449999999999</v>
          </cell>
          <cell r="R335" t="e">
            <v>#N/A</v>
          </cell>
        </row>
        <row r="336">
          <cell r="A336">
            <v>40458</v>
          </cell>
          <cell r="B336">
            <v>40458</v>
          </cell>
          <cell r="C336" t="str">
            <v>Past</v>
          </cell>
          <cell r="D336">
            <v>12.95</v>
          </cell>
          <cell r="E336" t="e">
            <v>#N/A</v>
          </cell>
          <cell r="F336" t="e">
            <v>#N/A</v>
          </cell>
          <cell r="G336" t="e">
            <v>#N/A</v>
          </cell>
          <cell r="H336" t="e">
            <v>#N/A</v>
          </cell>
          <cell r="I336" t="e">
            <v>#N/A</v>
          </cell>
          <cell r="J336" t="e">
            <v>#N/A</v>
          </cell>
          <cell r="K336" t="e">
            <v>#N/A</v>
          </cell>
          <cell r="L336" t="e">
            <v>#N/A</v>
          </cell>
          <cell r="M336" t="e">
            <v>#N/A</v>
          </cell>
          <cell r="N336" t="e">
            <v>#N/A</v>
          </cell>
          <cell r="O336" t="e">
            <v>#N/A</v>
          </cell>
          <cell r="P336">
            <v>12.95</v>
          </cell>
          <cell r="Q336">
            <v>1.0372839999999999</v>
          </cell>
          <cell r="R336" t="e">
            <v>#N/A</v>
          </cell>
        </row>
        <row r="337">
          <cell r="A337">
            <v>40459</v>
          </cell>
          <cell r="B337">
            <v>40459</v>
          </cell>
          <cell r="C337" t="str">
            <v>Past</v>
          </cell>
          <cell r="D337">
            <v>13.07</v>
          </cell>
          <cell r="E337" t="e">
            <v>#N/A</v>
          </cell>
          <cell r="F337" t="e">
            <v>#N/A</v>
          </cell>
          <cell r="G337" t="e">
            <v>#N/A</v>
          </cell>
          <cell r="H337" t="e">
            <v>#N/A</v>
          </cell>
          <cell r="I337" t="e">
            <v>#N/A</v>
          </cell>
          <cell r="J337" t="e">
            <v>#N/A</v>
          </cell>
          <cell r="K337" t="e">
            <v>#N/A</v>
          </cell>
          <cell r="L337" t="e">
            <v>#N/A</v>
          </cell>
          <cell r="M337" t="e">
            <v>#N/A</v>
          </cell>
          <cell r="N337" t="e">
            <v>#N/A</v>
          </cell>
          <cell r="O337" t="e">
            <v>#N/A</v>
          </cell>
          <cell r="P337">
            <v>13.07</v>
          </cell>
          <cell r="Q337">
            <v>1.3130230000000001</v>
          </cell>
          <cell r="R337" t="e">
            <v>#N/A</v>
          </cell>
        </row>
        <row r="338">
          <cell r="A338">
            <v>40462</v>
          </cell>
          <cell r="B338">
            <v>40462</v>
          </cell>
          <cell r="C338" t="str">
            <v>Past</v>
          </cell>
          <cell r="D338">
            <v>12.99</v>
          </cell>
          <cell r="E338" t="e">
            <v>#N/A</v>
          </cell>
          <cell r="F338" t="e">
            <v>#N/A</v>
          </cell>
          <cell r="G338" t="e">
            <v>#N/A</v>
          </cell>
          <cell r="H338" t="e">
            <v>#N/A</v>
          </cell>
          <cell r="I338" t="e">
            <v>#N/A</v>
          </cell>
          <cell r="J338" t="e">
            <v>#N/A</v>
          </cell>
          <cell r="K338" t="e">
            <v>#N/A</v>
          </cell>
          <cell r="L338" t="e">
            <v>#N/A</v>
          </cell>
          <cell r="M338" t="e">
            <v>#N/A</v>
          </cell>
          <cell r="N338" t="e">
            <v>#N/A</v>
          </cell>
          <cell r="O338" t="e">
            <v>#N/A</v>
          </cell>
          <cell r="P338">
            <v>12.99</v>
          </cell>
          <cell r="Q338">
            <v>2.0637059999999998</v>
          </cell>
          <cell r="R338" t="e">
            <v>#N/A</v>
          </cell>
        </row>
        <row r="339">
          <cell r="A339">
            <v>40463</v>
          </cell>
          <cell r="B339">
            <v>40463</v>
          </cell>
          <cell r="C339" t="str">
            <v>Past</v>
          </cell>
          <cell r="D339">
            <v>13.06</v>
          </cell>
          <cell r="E339" t="e">
            <v>#N/A</v>
          </cell>
          <cell r="F339" t="e">
            <v>#N/A</v>
          </cell>
          <cell r="G339" t="e">
            <v>#N/A</v>
          </cell>
          <cell r="H339" t="e">
            <v>#N/A</v>
          </cell>
          <cell r="I339" t="e">
            <v>#N/A</v>
          </cell>
          <cell r="J339" t="e">
            <v>#N/A</v>
          </cell>
          <cell r="K339" t="e">
            <v>#N/A</v>
          </cell>
          <cell r="L339" t="e">
            <v>#N/A</v>
          </cell>
          <cell r="M339" t="e">
            <v>#N/A</v>
          </cell>
          <cell r="N339" t="e">
            <v>#N/A</v>
          </cell>
          <cell r="O339" t="e">
            <v>#N/A</v>
          </cell>
          <cell r="P339">
            <v>13.06</v>
          </cell>
          <cell r="Q339">
            <v>1.4325909999999999</v>
          </cell>
          <cell r="R339" t="e">
            <v>#N/A</v>
          </cell>
        </row>
        <row r="340">
          <cell r="A340">
            <v>40464</v>
          </cell>
          <cell r="B340">
            <v>40464</v>
          </cell>
          <cell r="C340" t="str">
            <v>Past</v>
          </cell>
          <cell r="D340">
            <v>13.01</v>
          </cell>
          <cell r="E340" t="e">
            <v>#N/A</v>
          </cell>
          <cell r="F340" t="e">
            <v>#N/A</v>
          </cell>
          <cell r="G340" t="e">
            <v>#N/A</v>
          </cell>
          <cell r="H340" t="e">
            <v>#N/A</v>
          </cell>
          <cell r="I340" t="e">
            <v>#N/A</v>
          </cell>
          <cell r="J340" t="e">
            <v>#N/A</v>
          </cell>
          <cell r="K340" t="e">
            <v>#N/A</v>
          </cell>
          <cell r="L340" t="e">
            <v>#N/A</v>
          </cell>
          <cell r="M340" t="e">
            <v>#N/A</v>
          </cell>
          <cell r="N340" t="e">
            <v>#N/A</v>
          </cell>
          <cell r="O340" t="e">
            <v>#N/A</v>
          </cell>
          <cell r="P340">
            <v>13.01</v>
          </cell>
          <cell r="Q340">
            <v>1.2016229999999999</v>
          </cell>
          <cell r="R340" t="e">
            <v>#N/A</v>
          </cell>
        </row>
        <row r="341">
          <cell r="A341">
            <v>40465</v>
          </cell>
          <cell r="B341">
            <v>40465</v>
          </cell>
          <cell r="C341" t="str">
            <v>Past</v>
          </cell>
          <cell r="D341">
            <v>13.09</v>
          </cell>
          <cell r="E341" t="e">
            <v>#N/A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>
            <v>13.09</v>
          </cell>
          <cell r="Q341">
            <v>0.89577699999999993</v>
          </cell>
          <cell r="R341" t="e">
            <v>#N/A</v>
          </cell>
        </row>
        <row r="342">
          <cell r="A342">
            <v>40466</v>
          </cell>
          <cell r="B342">
            <v>40466</v>
          </cell>
          <cell r="C342" t="str">
            <v>Past</v>
          </cell>
          <cell r="D342">
            <v>13.16</v>
          </cell>
          <cell r="E342" t="e">
            <v>#N/A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>
            <v>13.16</v>
          </cell>
          <cell r="Q342">
            <v>1.373721</v>
          </cell>
          <cell r="R342" t="e">
            <v>#N/A</v>
          </cell>
        </row>
        <row r="343">
          <cell r="A343">
            <v>40469</v>
          </cell>
          <cell r="B343">
            <v>40469</v>
          </cell>
          <cell r="C343" t="str">
            <v>Past</v>
          </cell>
          <cell r="D343">
            <v>13.25</v>
          </cell>
          <cell r="E343" t="e">
            <v>#N/A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>
            <v>13.25</v>
          </cell>
          <cell r="Q343">
            <v>0.72126899999999994</v>
          </cell>
          <cell r="R343" t="e">
            <v>#N/A</v>
          </cell>
        </row>
        <row r="344">
          <cell r="A344">
            <v>40470</v>
          </cell>
          <cell r="B344">
            <v>40470</v>
          </cell>
          <cell r="C344" t="str">
            <v>Past</v>
          </cell>
          <cell r="D344">
            <v>13.14</v>
          </cell>
          <cell r="E344" t="e">
            <v>#N/A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>
            <v>13.14</v>
          </cell>
          <cell r="Q344">
            <v>3.069394</v>
          </cell>
          <cell r="R344" t="e">
            <v>#N/A</v>
          </cell>
        </row>
        <row r="345">
          <cell r="A345">
            <v>40471</v>
          </cell>
          <cell r="B345">
            <v>40471</v>
          </cell>
          <cell r="C345" t="str">
            <v>Past</v>
          </cell>
          <cell r="D345">
            <v>13.19</v>
          </cell>
          <cell r="E345" t="e">
            <v>#N/A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>
            <v>13.19</v>
          </cell>
          <cell r="Q345">
            <v>1.592768</v>
          </cell>
          <cell r="R345" t="e">
            <v>#N/A</v>
          </cell>
        </row>
        <row r="346">
          <cell r="A346">
            <v>40472</v>
          </cell>
          <cell r="B346">
            <v>40472</v>
          </cell>
          <cell r="C346" t="str">
            <v>Past</v>
          </cell>
          <cell r="D346">
            <v>13.17</v>
          </cell>
          <cell r="E346" t="e">
            <v>#N/A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>
            <v>13.17</v>
          </cell>
          <cell r="Q346">
            <v>2.0111460000000001</v>
          </cell>
          <cell r="R346" t="e">
            <v>#N/A</v>
          </cell>
        </row>
        <row r="347">
          <cell r="A347">
            <v>40473</v>
          </cell>
          <cell r="B347">
            <v>40473</v>
          </cell>
          <cell r="C347" t="str">
            <v>Past</v>
          </cell>
          <cell r="D347">
            <v>13.08</v>
          </cell>
          <cell r="E347" t="e">
            <v>#N/A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>
            <v>13.08</v>
          </cell>
          <cell r="Q347">
            <v>3.1426209999999997</v>
          </cell>
          <cell r="R347" t="e">
            <v>#N/A</v>
          </cell>
        </row>
        <row r="348">
          <cell r="A348">
            <v>40476</v>
          </cell>
          <cell r="B348">
            <v>40476</v>
          </cell>
          <cell r="C348" t="str">
            <v>Past</v>
          </cell>
          <cell r="D348">
            <v>12.99</v>
          </cell>
          <cell r="E348" t="e">
            <v>#N/A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>
            <v>12.99</v>
          </cell>
          <cell r="Q348">
            <v>2.530951</v>
          </cell>
          <cell r="R348" t="e">
            <v>#N/A</v>
          </cell>
        </row>
        <row r="349">
          <cell r="A349">
            <v>40477</v>
          </cell>
          <cell r="B349">
            <v>40477</v>
          </cell>
          <cell r="C349" t="str">
            <v>Past</v>
          </cell>
          <cell r="D349">
            <v>13.5</v>
          </cell>
          <cell r="E349" t="e">
            <v>#N/A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>
            <v>13.5</v>
          </cell>
          <cell r="Q349">
            <v>5.4561000000000002</v>
          </cell>
          <cell r="R349" t="e">
            <v>#N/A</v>
          </cell>
        </row>
        <row r="350">
          <cell r="A350">
            <v>40478</v>
          </cell>
          <cell r="B350">
            <v>40478</v>
          </cell>
          <cell r="C350" t="str">
            <v>Past</v>
          </cell>
          <cell r="D350">
            <v>13.56</v>
          </cell>
          <cell r="E350" t="e">
            <v>#N/A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>
            <v>13.56</v>
          </cell>
          <cell r="Q350">
            <v>2.7789239999999999</v>
          </cell>
          <cell r="R350" t="e">
            <v>#N/A</v>
          </cell>
        </row>
        <row r="351">
          <cell r="A351">
            <v>40479</v>
          </cell>
          <cell r="B351">
            <v>40479</v>
          </cell>
          <cell r="C351" t="str">
            <v>Past</v>
          </cell>
          <cell r="D351">
            <v>13.61</v>
          </cell>
          <cell r="E351" t="e">
            <v>#N/A</v>
          </cell>
          <cell r="F351" t="e">
            <v>#N/A</v>
          </cell>
          <cell r="G351" t="e">
            <v>#N/A</v>
          </cell>
          <cell r="H351" t="e">
            <v>#N/A</v>
          </cell>
          <cell r="I351" t="e">
            <v>#N/A</v>
          </cell>
          <cell r="J351" t="e">
            <v>#N/A</v>
          </cell>
          <cell r="K351" t="e">
            <v>#N/A</v>
          </cell>
          <cell r="L351" t="e">
            <v>#N/A</v>
          </cell>
          <cell r="M351" t="e">
            <v>#N/A</v>
          </cell>
          <cell r="N351" t="e">
            <v>#N/A</v>
          </cell>
          <cell r="O351" t="e">
            <v>#N/A</v>
          </cell>
          <cell r="P351">
            <v>13.61</v>
          </cell>
          <cell r="Q351">
            <v>2.4458409999999997</v>
          </cell>
          <cell r="R351" t="e">
            <v>#N/A</v>
          </cell>
        </row>
        <row r="352">
          <cell r="A352">
            <v>40480</v>
          </cell>
          <cell r="B352">
            <v>40480</v>
          </cell>
          <cell r="C352" t="str">
            <v>Past</v>
          </cell>
          <cell r="D352">
            <v>13.67</v>
          </cell>
          <cell r="E352" t="e">
            <v>#N/A</v>
          </cell>
          <cell r="F352" t="e">
            <v>#N/A</v>
          </cell>
          <cell r="G352" t="e">
            <v>#N/A</v>
          </cell>
          <cell r="H352" t="e">
            <v>#N/A</v>
          </cell>
          <cell r="I352" t="e">
            <v>#N/A</v>
          </cell>
          <cell r="J352" t="e">
            <v>#N/A</v>
          </cell>
          <cell r="K352" t="e">
            <v>#N/A</v>
          </cell>
          <cell r="L352" t="e">
            <v>#N/A</v>
          </cell>
          <cell r="M352" t="e">
            <v>#N/A</v>
          </cell>
          <cell r="N352" t="e">
            <v>#N/A</v>
          </cell>
          <cell r="O352" t="e">
            <v>#N/A</v>
          </cell>
          <cell r="P352">
            <v>13.67</v>
          </cell>
          <cell r="Q352">
            <v>1.4752000000000001</v>
          </cell>
          <cell r="R352" t="e">
            <v>#N/A</v>
          </cell>
        </row>
        <row r="353">
          <cell r="A353">
            <v>40483</v>
          </cell>
          <cell r="B353">
            <v>40483</v>
          </cell>
          <cell r="C353" t="str">
            <v>Past</v>
          </cell>
          <cell r="D353">
            <v>13.68</v>
          </cell>
          <cell r="E353" t="e">
            <v>#N/A</v>
          </cell>
          <cell r="F353" t="e">
            <v>#N/A</v>
          </cell>
          <cell r="G353" t="e">
            <v>#N/A</v>
          </cell>
          <cell r="H353" t="e">
            <v>#N/A</v>
          </cell>
          <cell r="I353" t="e">
            <v>#N/A</v>
          </cell>
          <cell r="J353" t="e">
            <v>#N/A</v>
          </cell>
          <cell r="K353" t="e">
            <v>#N/A</v>
          </cell>
          <cell r="L353" t="e">
            <v>#N/A</v>
          </cell>
          <cell r="M353" t="e">
            <v>#N/A</v>
          </cell>
          <cell r="N353" t="e">
            <v>#N/A</v>
          </cell>
          <cell r="O353" t="e">
            <v>#N/A</v>
          </cell>
          <cell r="P353">
            <v>13.68</v>
          </cell>
          <cell r="Q353">
            <v>1.9509209999999999</v>
          </cell>
          <cell r="R353" t="e">
            <v>#N/A</v>
          </cell>
        </row>
        <row r="354">
          <cell r="A354">
            <v>40484</v>
          </cell>
          <cell r="B354">
            <v>40484</v>
          </cell>
          <cell r="C354" t="str">
            <v>Past</v>
          </cell>
          <cell r="D354">
            <v>13.83</v>
          </cell>
          <cell r="E354" t="e">
            <v>#N/A</v>
          </cell>
          <cell r="F354" t="e">
            <v>#N/A</v>
          </cell>
          <cell r="G354" t="e">
            <v>#N/A</v>
          </cell>
          <cell r="H354" t="e">
            <v>#N/A</v>
          </cell>
          <cell r="I354" t="e">
            <v>#N/A</v>
          </cell>
          <cell r="J354" t="e">
            <v>#N/A</v>
          </cell>
          <cell r="K354" t="e">
            <v>#N/A</v>
          </cell>
          <cell r="L354" t="e">
            <v>#N/A</v>
          </cell>
          <cell r="M354" t="e">
            <v>#N/A</v>
          </cell>
          <cell r="N354" t="e">
            <v>#N/A</v>
          </cell>
          <cell r="O354" t="e">
            <v>#N/A</v>
          </cell>
          <cell r="P354">
            <v>13.83</v>
          </cell>
          <cell r="Q354">
            <v>1.22519</v>
          </cell>
          <cell r="R354" t="e">
            <v>#N/A</v>
          </cell>
        </row>
        <row r="355">
          <cell r="A355">
            <v>40485</v>
          </cell>
          <cell r="B355">
            <v>40485</v>
          </cell>
          <cell r="C355" t="str">
            <v>Past</v>
          </cell>
          <cell r="D355">
            <v>13.83</v>
          </cell>
          <cell r="E355" t="e">
            <v>#N/A</v>
          </cell>
          <cell r="F355" t="e">
            <v>#N/A</v>
          </cell>
          <cell r="G355" t="e">
            <v>#N/A</v>
          </cell>
          <cell r="H355" t="e">
            <v>#N/A</v>
          </cell>
          <cell r="I355" t="e">
            <v>#N/A</v>
          </cell>
          <cell r="J355" t="e">
            <v>#N/A</v>
          </cell>
          <cell r="K355" t="e">
            <v>#N/A</v>
          </cell>
          <cell r="L355" t="e">
            <v>#N/A</v>
          </cell>
          <cell r="M355" t="e">
            <v>#N/A</v>
          </cell>
          <cell r="N355" t="e">
            <v>#N/A</v>
          </cell>
          <cell r="O355" t="e">
            <v>#N/A</v>
          </cell>
          <cell r="P355">
            <v>13.83</v>
          </cell>
          <cell r="Q355">
            <v>1.352117</v>
          </cell>
          <cell r="R355" t="e">
            <v>#N/A</v>
          </cell>
        </row>
        <row r="356">
          <cell r="A356">
            <v>40486</v>
          </cell>
          <cell r="B356">
            <v>40486</v>
          </cell>
          <cell r="C356" t="str">
            <v>Past</v>
          </cell>
          <cell r="D356">
            <v>14.01</v>
          </cell>
          <cell r="E356" t="e">
            <v>#N/A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>
            <v>14.01</v>
          </cell>
          <cell r="Q356">
            <v>1.294834</v>
          </cell>
          <cell r="R356" t="e">
            <v>#N/A</v>
          </cell>
        </row>
        <row r="357">
          <cell r="A357">
            <v>40487</v>
          </cell>
          <cell r="B357">
            <v>40487</v>
          </cell>
          <cell r="C357" t="str">
            <v>Past</v>
          </cell>
          <cell r="D357">
            <v>14.08</v>
          </cell>
          <cell r="E357" t="e">
            <v>#N/A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>
            <v>14.08</v>
          </cell>
          <cell r="Q357">
            <v>1.4330669999999999</v>
          </cell>
          <cell r="R357" t="e">
            <v>#N/A</v>
          </cell>
        </row>
        <row r="358">
          <cell r="A358">
            <v>40490</v>
          </cell>
          <cell r="B358">
            <v>40490</v>
          </cell>
          <cell r="C358" t="str">
            <v>Past</v>
          </cell>
          <cell r="D358">
            <v>14.04</v>
          </cell>
          <cell r="E358" t="e">
            <v>#N/A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>
            <v>14.04</v>
          </cell>
          <cell r="Q358">
            <v>1.399796</v>
          </cell>
          <cell r="R358" t="e">
            <v>#N/A</v>
          </cell>
        </row>
        <row r="359">
          <cell r="A359">
            <v>40491</v>
          </cell>
          <cell r="B359">
            <v>40491</v>
          </cell>
          <cell r="C359" t="str">
            <v>Past</v>
          </cell>
          <cell r="D359">
            <v>13.95</v>
          </cell>
          <cell r="E359" t="e">
            <v>#N/A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>
            <v>13.95</v>
          </cell>
          <cell r="Q359">
            <v>1.2766789999999999</v>
          </cell>
          <cell r="R359" t="e">
            <v>#N/A</v>
          </cell>
        </row>
        <row r="360">
          <cell r="A360">
            <v>40492</v>
          </cell>
          <cell r="B360">
            <v>40492</v>
          </cell>
          <cell r="C360" t="str">
            <v>Past</v>
          </cell>
          <cell r="D360">
            <v>13.85</v>
          </cell>
          <cell r="E360" t="e">
            <v>#N/A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>
            <v>13.85</v>
          </cell>
          <cell r="Q360">
            <v>1.4169559999999999</v>
          </cell>
          <cell r="R360" t="e">
            <v>#N/A</v>
          </cell>
        </row>
        <row r="361">
          <cell r="A361">
            <v>40493</v>
          </cell>
          <cell r="B361">
            <v>40493</v>
          </cell>
          <cell r="C361" t="str">
            <v>Past</v>
          </cell>
          <cell r="D361">
            <v>13.81</v>
          </cell>
          <cell r="E361" t="e">
            <v>#N/A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>
            <v>13.81</v>
          </cell>
          <cell r="Q361">
            <v>1.0204959999999998</v>
          </cell>
          <cell r="R361" t="e">
            <v>#N/A</v>
          </cell>
        </row>
        <row r="362">
          <cell r="A362">
            <v>40494</v>
          </cell>
          <cell r="B362">
            <v>40494</v>
          </cell>
          <cell r="C362" t="str">
            <v>Past</v>
          </cell>
          <cell r="D362">
            <v>13.78</v>
          </cell>
          <cell r="E362" t="e">
            <v>#N/A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>
            <v>13.78</v>
          </cell>
          <cell r="Q362">
            <v>2.466567</v>
          </cell>
          <cell r="R362" t="e">
            <v>#N/A</v>
          </cell>
        </row>
        <row r="363">
          <cell r="A363">
            <v>40497</v>
          </cell>
          <cell r="B363">
            <v>40497</v>
          </cell>
          <cell r="C363" t="str">
            <v>Past</v>
          </cell>
          <cell r="D363">
            <v>13.86</v>
          </cell>
          <cell r="E363" t="e">
            <v>#N/A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>
            <v>13.86</v>
          </cell>
          <cell r="Q363">
            <v>1.445506</v>
          </cell>
          <cell r="R363" t="e">
            <v>#N/A</v>
          </cell>
        </row>
        <row r="364">
          <cell r="A364">
            <v>40498</v>
          </cell>
          <cell r="B364">
            <v>40498</v>
          </cell>
          <cell r="C364" t="str">
            <v>Past</v>
          </cell>
          <cell r="D364">
            <v>13.58</v>
          </cell>
          <cell r="E364" t="e">
            <v>#N/A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>
            <v>13.58</v>
          </cell>
          <cell r="Q364">
            <v>2.116126</v>
          </cell>
          <cell r="R364" t="e">
            <v>#N/A</v>
          </cell>
        </row>
        <row r="365">
          <cell r="A365">
            <v>40499</v>
          </cell>
          <cell r="B365">
            <v>40499</v>
          </cell>
          <cell r="C365" t="str">
            <v>Past</v>
          </cell>
          <cell r="D365">
            <v>13.57</v>
          </cell>
          <cell r="E365" t="e">
            <v>#N/A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>
            <v>13.57</v>
          </cell>
          <cell r="Q365">
            <v>1.1772229999999999</v>
          </cell>
          <cell r="R365" t="e">
            <v>#N/A</v>
          </cell>
        </row>
        <row r="366">
          <cell r="A366">
            <v>40500</v>
          </cell>
          <cell r="B366">
            <v>40500</v>
          </cell>
          <cell r="C366" t="str">
            <v>Past</v>
          </cell>
          <cell r="D366">
            <v>13.69</v>
          </cell>
          <cell r="E366" t="e">
            <v>#N/A</v>
          </cell>
          <cell r="F366" t="e">
            <v>#N/A</v>
          </cell>
          <cell r="G366" t="e">
            <v>#N/A</v>
          </cell>
          <cell r="H366" t="e">
            <v>#N/A</v>
          </cell>
          <cell r="I366" t="e">
            <v>#N/A</v>
          </cell>
          <cell r="J366" t="e">
            <v>#N/A</v>
          </cell>
          <cell r="K366" t="e">
            <v>#N/A</v>
          </cell>
          <cell r="L366" t="e">
            <v>#N/A</v>
          </cell>
          <cell r="M366" t="e">
            <v>#N/A</v>
          </cell>
          <cell r="N366" t="e">
            <v>#N/A</v>
          </cell>
          <cell r="O366" t="e">
            <v>#N/A</v>
          </cell>
          <cell r="P366">
            <v>13.69</v>
          </cell>
          <cell r="Q366">
            <v>0.73825699999999994</v>
          </cell>
          <cell r="R366" t="e">
            <v>#N/A</v>
          </cell>
        </row>
        <row r="367">
          <cell r="A367">
            <v>40501</v>
          </cell>
          <cell r="B367">
            <v>40501</v>
          </cell>
          <cell r="C367" t="str">
            <v>Past</v>
          </cell>
          <cell r="D367">
            <v>13.71</v>
          </cell>
          <cell r="E367" t="e">
            <v>#N/A</v>
          </cell>
          <cell r="F367" t="e">
            <v>#N/A</v>
          </cell>
          <cell r="G367" t="e">
            <v>#N/A</v>
          </cell>
          <cell r="H367" t="e">
            <v>#N/A</v>
          </cell>
          <cell r="I367" t="e">
            <v>#N/A</v>
          </cell>
          <cell r="J367" t="e">
            <v>#N/A</v>
          </cell>
          <cell r="K367" t="e">
            <v>#N/A</v>
          </cell>
          <cell r="L367" t="e">
            <v>#N/A</v>
          </cell>
          <cell r="M367" t="e">
            <v>#N/A</v>
          </cell>
          <cell r="N367" t="e">
            <v>#N/A</v>
          </cell>
          <cell r="O367" t="e">
            <v>#N/A</v>
          </cell>
          <cell r="P367">
            <v>13.71</v>
          </cell>
          <cell r="Q367">
            <v>0.69165399999999999</v>
          </cell>
          <cell r="R367" t="e">
            <v>#N/A</v>
          </cell>
        </row>
        <row r="368">
          <cell r="A368">
            <v>40504</v>
          </cell>
          <cell r="B368">
            <v>40504</v>
          </cell>
          <cell r="C368" t="str">
            <v>Past</v>
          </cell>
          <cell r="D368">
            <v>13.9</v>
          </cell>
          <cell r="E368" t="e">
            <v>#N/A</v>
          </cell>
          <cell r="F368" t="e">
            <v>#N/A</v>
          </cell>
          <cell r="G368" t="e">
            <v>#N/A</v>
          </cell>
          <cell r="H368" t="e">
            <v>#N/A</v>
          </cell>
          <cell r="I368" t="e">
            <v>#N/A</v>
          </cell>
          <cell r="J368" t="e">
            <v>#N/A</v>
          </cell>
          <cell r="K368" t="e">
            <v>#N/A</v>
          </cell>
          <cell r="L368" t="e">
            <v>#N/A</v>
          </cell>
          <cell r="M368" t="e">
            <v>#N/A</v>
          </cell>
          <cell r="N368" t="e">
            <v>#N/A</v>
          </cell>
          <cell r="O368" t="e">
            <v>#N/A</v>
          </cell>
          <cell r="P368">
            <v>13.9</v>
          </cell>
          <cell r="Q368">
            <v>1.7465309999999998</v>
          </cell>
          <cell r="R368" t="e">
            <v>#N/A</v>
          </cell>
        </row>
        <row r="369">
          <cell r="A369">
            <v>40505</v>
          </cell>
          <cell r="B369">
            <v>40505</v>
          </cell>
          <cell r="C369" t="str">
            <v>Past</v>
          </cell>
          <cell r="D369">
            <v>13.77</v>
          </cell>
          <cell r="E369" t="e">
            <v>#N/A</v>
          </cell>
          <cell r="F369" t="e">
            <v>#N/A</v>
          </cell>
          <cell r="G369" t="e">
            <v>#N/A</v>
          </cell>
          <cell r="H369" t="e">
            <v>#N/A</v>
          </cell>
          <cell r="I369" t="e">
            <v>#N/A</v>
          </cell>
          <cell r="J369" t="e">
            <v>#N/A</v>
          </cell>
          <cell r="K369" t="e">
            <v>#N/A</v>
          </cell>
          <cell r="L369" t="e">
            <v>#N/A</v>
          </cell>
          <cell r="M369" t="e">
            <v>#N/A</v>
          </cell>
          <cell r="N369" t="e">
            <v>#N/A</v>
          </cell>
          <cell r="O369" t="e">
            <v>#N/A</v>
          </cell>
          <cell r="P369">
            <v>13.77</v>
          </cell>
          <cell r="Q369">
            <v>1.594803</v>
          </cell>
          <cell r="R369" t="e">
            <v>#N/A</v>
          </cell>
        </row>
        <row r="370">
          <cell r="A370">
            <v>40506</v>
          </cell>
          <cell r="B370">
            <v>40506</v>
          </cell>
          <cell r="C370" t="str">
            <v>Past</v>
          </cell>
          <cell r="D370">
            <v>13.92</v>
          </cell>
          <cell r="E370" t="e">
            <v>#N/A</v>
          </cell>
          <cell r="F370" t="e">
            <v>#N/A</v>
          </cell>
          <cell r="G370" t="e">
            <v>#N/A</v>
          </cell>
          <cell r="H370" t="e">
            <v>#N/A</v>
          </cell>
          <cell r="I370" t="e">
            <v>#N/A</v>
          </cell>
          <cell r="J370" t="e">
            <v>#N/A</v>
          </cell>
          <cell r="K370" t="e">
            <v>#N/A</v>
          </cell>
          <cell r="L370" t="e">
            <v>#N/A</v>
          </cell>
          <cell r="M370" t="e">
            <v>#N/A</v>
          </cell>
          <cell r="N370" t="e">
            <v>#N/A</v>
          </cell>
          <cell r="O370" t="e">
            <v>#N/A</v>
          </cell>
          <cell r="P370">
            <v>13.92</v>
          </cell>
          <cell r="Q370">
            <v>1.474548</v>
          </cell>
          <cell r="R370" t="e">
            <v>#N/A</v>
          </cell>
        </row>
        <row r="371">
          <cell r="A371">
            <v>40508</v>
          </cell>
          <cell r="B371">
            <v>40508</v>
          </cell>
          <cell r="C371" t="str">
            <v>Past</v>
          </cell>
          <cell r="D371">
            <v>13.83</v>
          </cell>
          <cell r="E371" t="e">
            <v>#N/A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>
            <v>13.83</v>
          </cell>
          <cell r="Q371">
            <v>0.74225599999999992</v>
          </cell>
          <cell r="R371" t="e">
            <v>#N/A</v>
          </cell>
        </row>
        <row r="372">
          <cell r="A372">
            <v>40511</v>
          </cell>
          <cell r="B372">
            <v>40511</v>
          </cell>
          <cell r="C372" t="str">
            <v>Past</v>
          </cell>
          <cell r="D372">
            <v>13.7</v>
          </cell>
          <cell r="E372" t="e">
            <v>#N/A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>
            <v>13.7</v>
          </cell>
          <cell r="Q372">
            <v>1.363807</v>
          </cell>
          <cell r="R372" t="e">
            <v>#N/A</v>
          </cell>
        </row>
        <row r="373">
          <cell r="A373">
            <v>40512</v>
          </cell>
          <cell r="B373">
            <v>40512</v>
          </cell>
          <cell r="C373" t="str">
            <v>Past</v>
          </cell>
          <cell r="D373">
            <v>13.69</v>
          </cell>
          <cell r="E373" t="e">
            <v>#N/A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>
            <v>13.69</v>
          </cell>
          <cell r="Q373">
            <v>1.213838</v>
          </cell>
          <cell r="R373" t="e">
            <v>#N/A</v>
          </cell>
        </row>
        <row r="374">
          <cell r="A374">
            <v>40513</v>
          </cell>
          <cell r="B374">
            <v>40513</v>
          </cell>
          <cell r="C374" t="str">
            <v>Past</v>
          </cell>
          <cell r="D374">
            <v>13.89</v>
          </cell>
          <cell r="E374" t="e">
            <v>#N/A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>
            <v>13.89</v>
          </cell>
          <cell r="Q374">
            <v>1.3721729999999999</v>
          </cell>
          <cell r="R374" t="e">
            <v>#N/A</v>
          </cell>
        </row>
        <row r="375">
          <cell r="A375">
            <v>40514</v>
          </cell>
          <cell r="B375">
            <v>40514</v>
          </cell>
          <cell r="C375" t="str">
            <v>Past</v>
          </cell>
          <cell r="D375">
            <v>13.94</v>
          </cell>
          <cell r="E375" t="e">
            <v>#N/A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>
            <v>13.94</v>
          </cell>
          <cell r="Q375">
            <v>1.5730659999999999</v>
          </cell>
          <cell r="R375" t="e">
            <v>#N/A</v>
          </cell>
        </row>
        <row r="376">
          <cell r="A376">
            <v>40515</v>
          </cell>
          <cell r="B376">
            <v>40515</v>
          </cell>
          <cell r="C376" t="str">
            <v>Past</v>
          </cell>
          <cell r="D376">
            <v>13.92</v>
          </cell>
          <cell r="E376" t="e">
            <v>#N/A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>
            <v>13.92</v>
          </cell>
          <cell r="Q376">
            <v>1.3870339999999999</v>
          </cell>
          <cell r="R376" t="e">
            <v>#N/A</v>
          </cell>
        </row>
        <row r="377">
          <cell r="A377">
            <v>40518</v>
          </cell>
          <cell r="B377">
            <v>40518</v>
          </cell>
          <cell r="C377" t="str">
            <v>Past</v>
          </cell>
          <cell r="D377">
            <v>13.9</v>
          </cell>
          <cell r="E377" t="e">
            <v>#N/A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>
            <v>13.9</v>
          </cell>
          <cell r="Q377">
            <v>0.99063099999999993</v>
          </cell>
          <cell r="R377" t="e">
            <v>#N/A</v>
          </cell>
        </row>
        <row r="378">
          <cell r="A378">
            <v>40519</v>
          </cell>
          <cell r="B378">
            <v>40519</v>
          </cell>
          <cell r="C378" t="str">
            <v>Past</v>
          </cell>
          <cell r="D378">
            <v>13.85</v>
          </cell>
          <cell r="E378" t="e">
            <v>#N/A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>
            <v>13.85</v>
          </cell>
          <cell r="Q378">
            <v>1.4670259999999999</v>
          </cell>
          <cell r="R378" t="e">
            <v>#N/A</v>
          </cell>
        </row>
        <row r="379">
          <cell r="A379">
            <v>40520</v>
          </cell>
          <cell r="B379">
            <v>40520</v>
          </cell>
          <cell r="C379" t="str">
            <v>Past</v>
          </cell>
          <cell r="D379">
            <v>13.68</v>
          </cell>
          <cell r="E379" t="e">
            <v>#N/A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>
            <v>13.68</v>
          </cell>
          <cell r="Q379">
            <v>1.306387</v>
          </cell>
          <cell r="R379" t="e">
            <v>#N/A</v>
          </cell>
        </row>
        <row r="380">
          <cell r="A380">
            <v>40521</v>
          </cell>
          <cell r="B380">
            <v>40521</v>
          </cell>
          <cell r="C380" t="str">
            <v>Past</v>
          </cell>
          <cell r="D380">
            <v>13.76</v>
          </cell>
          <cell r="E380" t="e">
            <v>#N/A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>
            <v>13.76</v>
          </cell>
          <cell r="Q380">
            <v>1.0436049999999999</v>
          </cell>
          <cell r="R380" t="e">
            <v>#N/A</v>
          </cell>
        </row>
        <row r="381">
          <cell r="A381">
            <v>40522</v>
          </cell>
          <cell r="B381">
            <v>40522</v>
          </cell>
          <cell r="C381" t="str">
            <v>Past</v>
          </cell>
          <cell r="D381">
            <v>13.85</v>
          </cell>
          <cell r="E381" t="e">
            <v>#N/A</v>
          </cell>
          <cell r="F381" t="e">
            <v>#N/A</v>
          </cell>
          <cell r="G381" t="e">
            <v>#N/A</v>
          </cell>
          <cell r="H381" t="e">
            <v>#N/A</v>
          </cell>
          <cell r="I381" t="e">
            <v>#N/A</v>
          </cell>
          <cell r="J381" t="e">
            <v>#N/A</v>
          </cell>
          <cell r="K381" t="e">
            <v>#N/A</v>
          </cell>
          <cell r="L381" t="e">
            <v>#N/A</v>
          </cell>
          <cell r="M381" t="e">
            <v>#N/A</v>
          </cell>
          <cell r="N381" t="e">
            <v>#N/A</v>
          </cell>
          <cell r="O381" t="e">
            <v>#N/A</v>
          </cell>
          <cell r="P381">
            <v>13.85</v>
          </cell>
          <cell r="Q381">
            <v>0.75632599999999994</v>
          </cell>
          <cell r="R381" t="e">
            <v>#N/A</v>
          </cell>
        </row>
        <row r="382">
          <cell r="A382">
            <v>40525</v>
          </cell>
          <cell r="B382">
            <v>40525</v>
          </cell>
          <cell r="C382" t="str">
            <v>Past</v>
          </cell>
          <cell r="D382">
            <v>13.92</v>
          </cell>
          <cell r="E382" t="e">
            <v>#N/A</v>
          </cell>
          <cell r="F382" t="e">
            <v>#N/A</v>
          </cell>
          <cell r="G382" t="e">
            <v>#N/A</v>
          </cell>
          <cell r="H382" t="e">
            <v>#N/A</v>
          </cell>
          <cell r="I382" t="e">
            <v>#N/A</v>
          </cell>
          <cell r="J382" t="e">
            <v>#N/A</v>
          </cell>
          <cell r="K382" t="e">
            <v>#N/A</v>
          </cell>
          <cell r="L382" t="e">
            <v>#N/A</v>
          </cell>
          <cell r="M382" t="e">
            <v>#N/A</v>
          </cell>
          <cell r="N382" t="e">
            <v>#N/A</v>
          </cell>
          <cell r="O382" t="e">
            <v>#N/A</v>
          </cell>
          <cell r="P382">
            <v>13.92</v>
          </cell>
          <cell r="Q382">
            <v>1.0436159999999999</v>
          </cell>
          <cell r="R382" t="e">
            <v>#N/A</v>
          </cell>
        </row>
        <row r="383">
          <cell r="A383">
            <v>40526</v>
          </cell>
          <cell r="B383">
            <v>40526</v>
          </cell>
          <cell r="C383" t="str">
            <v>Past</v>
          </cell>
          <cell r="D383">
            <v>13.99</v>
          </cell>
          <cell r="E383" t="e">
            <v>#N/A</v>
          </cell>
          <cell r="F383" t="e">
            <v>#N/A</v>
          </cell>
          <cell r="G383" t="e">
            <v>#N/A</v>
          </cell>
          <cell r="H383" t="e">
            <v>#N/A</v>
          </cell>
          <cell r="I383" t="e">
            <v>#N/A</v>
          </cell>
          <cell r="J383" t="e">
            <v>#N/A</v>
          </cell>
          <cell r="K383" t="e">
            <v>#N/A</v>
          </cell>
          <cell r="L383" t="e">
            <v>#N/A</v>
          </cell>
          <cell r="M383" t="e">
            <v>#N/A</v>
          </cell>
          <cell r="N383" t="e">
            <v>#N/A</v>
          </cell>
          <cell r="O383" t="e">
            <v>#N/A</v>
          </cell>
          <cell r="P383">
            <v>13.99</v>
          </cell>
          <cell r="Q383">
            <v>1.1892600000000002</v>
          </cell>
          <cell r="R383" t="e">
            <v>#N/A</v>
          </cell>
        </row>
        <row r="384">
          <cell r="A384">
            <v>40527</v>
          </cell>
          <cell r="B384">
            <v>40527</v>
          </cell>
          <cell r="C384" t="str">
            <v>Past</v>
          </cell>
          <cell r="D384">
            <v>13.75</v>
          </cell>
          <cell r="E384" t="e">
            <v>#N/A</v>
          </cell>
          <cell r="F384" t="e">
            <v>#N/A</v>
          </cell>
          <cell r="G384" t="e">
            <v>#N/A</v>
          </cell>
          <cell r="H384" t="e">
            <v>#N/A</v>
          </cell>
          <cell r="I384" t="e">
            <v>#N/A</v>
          </cell>
          <cell r="J384" t="e">
            <v>#N/A</v>
          </cell>
          <cell r="K384" t="e">
            <v>#N/A</v>
          </cell>
          <cell r="L384" t="e">
            <v>#N/A</v>
          </cell>
          <cell r="M384" t="e">
            <v>#N/A</v>
          </cell>
          <cell r="N384" t="e">
            <v>#N/A</v>
          </cell>
          <cell r="O384" t="e">
            <v>#N/A</v>
          </cell>
          <cell r="P384">
            <v>13.75</v>
          </cell>
          <cell r="Q384">
            <v>1.3205</v>
          </cell>
          <cell r="R384" t="e">
            <v>#N/A</v>
          </cell>
        </row>
        <row r="385">
          <cell r="A385">
            <v>40528</v>
          </cell>
          <cell r="B385">
            <v>40528</v>
          </cell>
          <cell r="C385" t="str">
            <v>Past</v>
          </cell>
          <cell r="D385">
            <v>14.08</v>
          </cell>
          <cell r="E385" t="e">
            <v>#N/A</v>
          </cell>
          <cell r="F385" t="e">
            <v>#N/A</v>
          </cell>
          <cell r="G385" t="e">
            <v>#N/A</v>
          </cell>
          <cell r="H385" t="e">
            <v>#N/A</v>
          </cell>
          <cell r="I385" t="e">
            <v>#N/A</v>
          </cell>
          <cell r="J385" t="e">
            <v>#N/A</v>
          </cell>
          <cell r="K385" t="e">
            <v>#N/A</v>
          </cell>
          <cell r="L385" t="e">
            <v>#N/A</v>
          </cell>
          <cell r="M385" t="e">
            <v>#N/A</v>
          </cell>
          <cell r="N385" t="e">
            <v>#N/A</v>
          </cell>
          <cell r="O385" t="e">
            <v>#N/A</v>
          </cell>
          <cell r="P385">
            <v>14.08</v>
          </cell>
          <cell r="Q385">
            <v>1.730621</v>
          </cell>
          <cell r="R385" t="e">
            <v>#N/A</v>
          </cell>
        </row>
        <row r="386">
          <cell r="A386">
            <v>40529</v>
          </cell>
          <cell r="B386">
            <v>40529</v>
          </cell>
          <cell r="C386" t="str">
            <v>Past</v>
          </cell>
          <cell r="D386">
            <v>14.28</v>
          </cell>
          <cell r="E386" t="e">
            <v>#N/A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>
            <v>14.28</v>
          </cell>
          <cell r="Q386">
            <v>2.4079000000000002</v>
          </cell>
          <cell r="R386" t="e">
            <v>#N/A</v>
          </cell>
        </row>
        <row r="387">
          <cell r="A387">
            <v>40532</v>
          </cell>
          <cell r="B387">
            <v>40532</v>
          </cell>
          <cell r="C387" t="str">
            <v>Past</v>
          </cell>
          <cell r="D387">
            <v>14.29</v>
          </cell>
          <cell r="E387" t="e">
            <v>#N/A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>
            <v>14.29</v>
          </cell>
          <cell r="Q387">
            <v>1.9979749999999998</v>
          </cell>
          <cell r="R387" t="e">
            <v>#N/A</v>
          </cell>
        </row>
        <row r="388">
          <cell r="A388">
            <v>40533</v>
          </cell>
          <cell r="B388">
            <v>40533</v>
          </cell>
          <cell r="C388" t="str">
            <v>Past</v>
          </cell>
          <cell r="D388">
            <v>14.25</v>
          </cell>
          <cell r="E388" t="e">
            <v>#N/A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>
            <v>14.25</v>
          </cell>
          <cell r="Q388">
            <v>1.2516749999999999</v>
          </cell>
          <cell r="R388" t="e">
            <v>#N/A</v>
          </cell>
        </row>
        <row r="389">
          <cell r="A389">
            <v>40534</v>
          </cell>
          <cell r="B389">
            <v>40534</v>
          </cell>
          <cell r="C389" t="str">
            <v>Past</v>
          </cell>
          <cell r="D389">
            <v>14.28</v>
          </cell>
          <cell r="E389" t="e">
            <v>#N/A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>
            <v>14.28</v>
          </cell>
          <cell r="Q389">
            <v>0.79402699999999993</v>
          </cell>
          <cell r="R389" t="e">
            <v>#N/A</v>
          </cell>
        </row>
        <row r="390">
          <cell r="A390">
            <v>40535</v>
          </cell>
          <cell r="B390">
            <v>40535</v>
          </cell>
          <cell r="C390" t="str">
            <v>Past</v>
          </cell>
          <cell r="D390">
            <v>14.18</v>
          </cell>
          <cell r="E390" t="e">
            <v>#N/A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>
            <v>14.18</v>
          </cell>
          <cell r="Q390">
            <v>0.76441799999999993</v>
          </cell>
          <cell r="R390" t="e">
            <v>#N/A</v>
          </cell>
        </row>
        <row r="391">
          <cell r="A391">
            <v>40539</v>
          </cell>
          <cell r="B391">
            <v>40539</v>
          </cell>
          <cell r="C391" t="str">
            <v>Past</v>
          </cell>
          <cell r="D391">
            <v>14.08</v>
          </cell>
          <cell r="E391" t="e">
            <v>#N/A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>
            <v>14.08</v>
          </cell>
          <cell r="Q391">
            <v>0.87445699999999993</v>
          </cell>
          <cell r="R391" t="e">
            <v>#N/A</v>
          </cell>
        </row>
        <row r="392">
          <cell r="A392">
            <v>40540</v>
          </cell>
          <cell r="B392">
            <v>40540</v>
          </cell>
          <cell r="C392" t="str">
            <v>Past</v>
          </cell>
          <cell r="D392">
            <v>14.11</v>
          </cell>
          <cell r="E392" t="e">
            <v>#N/A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>
            <v>14.11</v>
          </cell>
          <cell r="Q392">
            <v>0.879606</v>
          </cell>
          <cell r="R392" t="e">
            <v>#N/A</v>
          </cell>
        </row>
        <row r="393">
          <cell r="A393">
            <v>40541</v>
          </cell>
          <cell r="B393">
            <v>40541</v>
          </cell>
          <cell r="C393" t="str">
            <v>Past</v>
          </cell>
          <cell r="D393">
            <v>14.03</v>
          </cell>
          <cell r="E393" t="e">
            <v>#N/A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>
            <v>14.03</v>
          </cell>
          <cell r="Q393">
            <v>0.75955799999999996</v>
          </cell>
          <cell r="R393" t="e">
            <v>#N/A</v>
          </cell>
        </row>
        <row r="394">
          <cell r="A394">
            <v>40542</v>
          </cell>
          <cell r="B394">
            <v>40542</v>
          </cell>
          <cell r="C394" t="str">
            <v>Past</v>
          </cell>
          <cell r="D394">
            <v>14.07</v>
          </cell>
          <cell r="E394" t="e">
            <v>#N/A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>
            <v>14.07</v>
          </cell>
          <cell r="Q394">
            <v>0.94450699999999999</v>
          </cell>
          <cell r="R394" t="e">
            <v>#N/A</v>
          </cell>
        </row>
        <row r="395">
          <cell r="A395">
            <v>40543</v>
          </cell>
          <cell r="B395">
            <v>40543</v>
          </cell>
          <cell r="C395" t="str">
            <v>Past</v>
          </cell>
          <cell r="D395">
            <v>14.05</v>
          </cell>
          <cell r="E395" t="e">
            <v>#N/A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>
            <v>14.05</v>
          </cell>
          <cell r="Q395">
            <v>1.224086</v>
          </cell>
          <cell r="R395" t="e">
            <v>#N/A</v>
          </cell>
        </row>
        <row r="396">
          <cell r="A396">
            <v>40546</v>
          </cell>
          <cell r="B396">
            <v>40546</v>
          </cell>
          <cell r="C396" t="str">
            <v>Past</v>
          </cell>
          <cell r="D396">
            <v>14.06</v>
          </cell>
          <cell r="E396" t="e">
            <v>#N/A</v>
          </cell>
          <cell r="F396" t="e">
            <v>#N/A</v>
          </cell>
          <cell r="G396" t="e">
            <v>#N/A</v>
          </cell>
          <cell r="H396" t="e">
            <v>#N/A</v>
          </cell>
          <cell r="I396" t="e">
            <v>#N/A</v>
          </cell>
          <cell r="J396" t="e">
            <v>#N/A</v>
          </cell>
          <cell r="K396" t="e">
            <v>#N/A</v>
          </cell>
          <cell r="L396" t="e">
            <v>#N/A</v>
          </cell>
          <cell r="M396" t="e">
            <v>#N/A</v>
          </cell>
          <cell r="N396" t="e">
            <v>#N/A</v>
          </cell>
          <cell r="O396" t="e">
            <v>#N/A</v>
          </cell>
          <cell r="P396">
            <v>14.06</v>
          </cell>
          <cell r="Q396">
            <v>1.7396849999999999</v>
          </cell>
          <cell r="R396" t="e">
            <v>#N/A</v>
          </cell>
        </row>
        <row r="397">
          <cell r="A397">
            <v>40547</v>
          </cell>
          <cell r="B397">
            <v>40547</v>
          </cell>
          <cell r="C397" t="str">
            <v>Past</v>
          </cell>
          <cell r="D397">
            <v>14.08</v>
          </cell>
          <cell r="E397" t="e">
            <v>#N/A</v>
          </cell>
          <cell r="F397" t="e">
            <v>#N/A</v>
          </cell>
          <cell r="G397" t="e">
            <v>#N/A</v>
          </cell>
          <cell r="H397" t="e">
            <v>#N/A</v>
          </cell>
          <cell r="I397" t="e">
            <v>#N/A</v>
          </cell>
          <cell r="J397" t="e">
            <v>#N/A</v>
          </cell>
          <cell r="K397" t="e">
            <v>#N/A</v>
          </cell>
          <cell r="L397" t="e">
            <v>#N/A</v>
          </cell>
          <cell r="M397" t="e">
            <v>#N/A</v>
          </cell>
          <cell r="N397" t="e">
            <v>#N/A</v>
          </cell>
          <cell r="O397" t="e">
            <v>#N/A</v>
          </cell>
          <cell r="P397">
            <v>14.08</v>
          </cell>
          <cell r="Q397">
            <v>2.190725</v>
          </cell>
          <cell r="R397" t="e">
            <v>#N/A</v>
          </cell>
        </row>
        <row r="398">
          <cell r="A398">
            <v>40548</v>
          </cell>
          <cell r="B398">
            <v>40548</v>
          </cell>
          <cell r="C398" t="str">
            <v>Past</v>
          </cell>
          <cell r="D398">
            <v>13.93</v>
          </cell>
          <cell r="E398" t="e">
            <v>#N/A</v>
          </cell>
          <cell r="F398" t="e">
            <v>#N/A</v>
          </cell>
          <cell r="G398" t="e">
            <v>#N/A</v>
          </cell>
          <cell r="H398" t="e">
            <v>#N/A</v>
          </cell>
          <cell r="I398" t="e">
            <v>#N/A</v>
          </cell>
          <cell r="J398" t="e">
            <v>#N/A</v>
          </cell>
          <cell r="K398" t="e">
            <v>#N/A</v>
          </cell>
          <cell r="L398" t="e">
            <v>#N/A</v>
          </cell>
          <cell r="M398" t="e">
            <v>#N/A</v>
          </cell>
          <cell r="N398" t="e">
            <v>#N/A</v>
          </cell>
          <cell r="O398" t="e">
            <v>#N/A</v>
          </cell>
          <cell r="P398">
            <v>13.93</v>
          </cell>
          <cell r="Q398">
            <v>1.9877959999999999</v>
          </cell>
          <cell r="R398" t="e">
            <v>#N/A</v>
          </cell>
        </row>
        <row r="399">
          <cell r="A399">
            <v>40549</v>
          </cell>
          <cell r="B399">
            <v>40549</v>
          </cell>
          <cell r="C399" t="str">
            <v>Past</v>
          </cell>
          <cell r="D399">
            <v>14.11</v>
          </cell>
          <cell r="E399" t="e">
            <v>#N/A</v>
          </cell>
          <cell r="F399" t="e">
            <v>#N/A</v>
          </cell>
          <cell r="G399" t="e">
            <v>#N/A</v>
          </cell>
          <cell r="H399" t="e">
            <v>#N/A</v>
          </cell>
          <cell r="I399" t="e">
            <v>#N/A</v>
          </cell>
          <cell r="J399" t="e">
            <v>#N/A</v>
          </cell>
          <cell r="K399" t="e">
            <v>#N/A</v>
          </cell>
          <cell r="L399" t="e">
            <v>#N/A</v>
          </cell>
          <cell r="M399" t="e">
            <v>#N/A</v>
          </cell>
          <cell r="N399" t="e">
            <v>#N/A</v>
          </cell>
          <cell r="O399" t="e">
            <v>#N/A</v>
          </cell>
          <cell r="P399">
            <v>14.11</v>
          </cell>
          <cell r="Q399">
            <v>1.7270289999999999</v>
          </cell>
          <cell r="R399" t="e">
            <v>#N/A</v>
          </cell>
        </row>
        <row r="400">
          <cell r="A400">
            <v>40550</v>
          </cell>
          <cell r="B400">
            <v>40550</v>
          </cell>
          <cell r="C400" t="str">
            <v>Past</v>
          </cell>
          <cell r="D400">
            <v>14.37</v>
          </cell>
          <cell r="E400" t="e">
            <v>#N/A</v>
          </cell>
          <cell r="F400" t="e">
            <v>#N/A</v>
          </cell>
          <cell r="G400" t="e">
            <v>#N/A</v>
          </cell>
          <cell r="H400" t="e">
            <v>#N/A</v>
          </cell>
          <cell r="I400" t="e">
            <v>#N/A</v>
          </cell>
          <cell r="J400" t="e">
            <v>#N/A</v>
          </cell>
          <cell r="K400" t="e">
            <v>#N/A</v>
          </cell>
          <cell r="L400" t="e">
            <v>#N/A</v>
          </cell>
          <cell r="M400" t="e">
            <v>#N/A</v>
          </cell>
          <cell r="N400" t="e">
            <v>#N/A</v>
          </cell>
          <cell r="O400" t="e">
            <v>#N/A</v>
          </cell>
          <cell r="P400">
            <v>14.37</v>
          </cell>
          <cell r="Q400">
            <v>3.0117249999999998</v>
          </cell>
          <cell r="R400" t="e">
            <v>#N/A</v>
          </cell>
        </row>
        <row r="401">
          <cell r="A401">
            <v>40553</v>
          </cell>
          <cell r="B401">
            <v>40553</v>
          </cell>
          <cell r="C401" t="str">
            <v>Past</v>
          </cell>
          <cell r="D401">
            <v>14.61</v>
          </cell>
          <cell r="E401" t="e">
            <v>#N/A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>
            <v>14.61</v>
          </cell>
          <cell r="Q401">
            <v>4.0006430000000002</v>
          </cell>
          <cell r="R401" t="e">
            <v>#N/A</v>
          </cell>
        </row>
        <row r="402">
          <cell r="A402">
            <v>40554</v>
          </cell>
          <cell r="B402">
            <v>40554</v>
          </cell>
          <cell r="C402" t="str">
            <v>Past</v>
          </cell>
          <cell r="D402">
            <v>14.51</v>
          </cell>
          <cell r="E402" t="e">
            <v>#N/A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>
            <v>14.51</v>
          </cell>
          <cell r="Q402">
            <v>4.0806439999999995</v>
          </cell>
          <cell r="R402" t="e">
            <v>#N/A</v>
          </cell>
        </row>
        <row r="403">
          <cell r="A403">
            <v>40555</v>
          </cell>
          <cell r="B403">
            <v>40555</v>
          </cell>
          <cell r="C403" t="str">
            <v>Past</v>
          </cell>
          <cell r="D403">
            <v>14.43</v>
          </cell>
          <cell r="E403" t="e">
            <v>#N/A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>
            <v>14.43</v>
          </cell>
          <cell r="Q403">
            <v>2.0791939999999998</v>
          </cell>
          <cell r="R403" t="e">
            <v>#N/A</v>
          </cell>
        </row>
        <row r="404">
          <cell r="A404">
            <v>40556</v>
          </cell>
          <cell r="B404">
            <v>40556</v>
          </cell>
          <cell r="C404" t="str">
            <v>Past</v>
          </cell>
          <cell r="D404">
            <v>14.36</v>
          </cell>
          <cell r="E404" t="e">
            <v>#N/A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>
            <v>14.36</v>
          </cell>
          <cell r="Q404">
            <v>1.522567</v>
          </cell>
          <cell r="R404" t="e">
            <v>#N/A</v>
          </cell>
        </row>
        <row r="405">
          <cell r="A405">
            <v>40557</v>
          </cell>
          <cell r="B405">
            <v>40557</v>
          </cell>
          <cell r="C405" t="str">
            <v>Past</v>
          </cell>
          <cell r="D405">
            <v>14.27</v>
          </cell>
          <cell r="E405" t="e">
            <v>#N/A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>
            <v>14.27</v>
          </cell>
          <cell r="Q405">
            <v>2.7702709999999997</v>
          </cell>
          <cell r="R405" t="e">
            <v>#N/A</v>
          </cell>
        </row>
        <row r="406">
          <cell r="A406">
            <v>40561</v>
          </cell>
          <cell r="B406">
            <v>40561</v>
          </cell>
          <cell r="C406" t="str">
            <v>Past</v>
          </cell>
          <cell r="D406">
            <v>14.38</v>
          </cell>
          <cell r="E406" t="e">
            <v>#N/A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>
            <v>14.38</v>
          </cell>
          <cell r="Q406">
            <v>2.0298439999999998</v>
          </cell>
          <cell r="R406" t="e">
            <v>#N/A</v>
          </cell>
        </row>
        <row r="407">
          <cell r="A407">
            <v>40562</v>
          </cell>
          <cell r="B407">
            <v>40562</v>
          </cell>
          <cell r="C407" t="str">
            <v>Past</v>
          </cell>
          <cell r="D407">
            <v>14.21</v>
          </cell>
          <cell r="E407" t="e">
            <v>#N/A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>
            <v>14.21</v>
          </cell>
          <cell r="Q407">
            <v>3.6351309999999999</v>
          </cell>
          <cell r="R407" t="e">
            <v>#N/A</v>
          </cell>
        </row>
        <row r="408">
          <cell r="A408">
            <v>40563</v>
          </cell>
          <cell r="B408">
            <v>40563</v>
          </cell>
          <cell r="C408" t="str">
            <v>Past</v>
          </cell>
          <cell r="D408">
            <v>14.19</v>
          </cell>
          <cell r="E408" t="e">
            <v>#N/A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>
            <v>14.19</v>
          </cell>
          <cell r="Q408">
            <v>3.5365069999999998</v>
          </cell>
          <cell r="R408" t="e">
            <v>#N/A</v>
          </cell>
        </row>
        <row r="409">
          <cell r="A409">
            <v>40564</v>
          </cell>
          <cell r="B409">
            <v>40564</v>
          </cell>
          <cell r="C409" t="str">
            <v>Past</v>
          </cell>
          <cell r="D409">
            <v>14.25</v>
          </cell>
          <cell r="E409" t="e">
            <v>#N/A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>
            <v>14.25</v>
          </cell>
          <cell r="Q409">
            <v>2.2865470000000001</v>
          </cell>
          <cell r="R409" t="e">
            <v>#N/A</v>
          </cell>
        </row>
        <row r="410">
          <cell r="A410">
            <v>40567</v>
          </cell>
          <cell r="B410">
            <v>40567</v>
          </cell>
          <cell r="C410" t="str">
            <v>Past</v>
          </cell>
          <cell r="D410">
            <v>14.49</v>
          </cell>
          <cell r="E410" t="e">
            <v>#N/A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>
            <v>14.49</v>
          </cell>
          <cell r="Q410">
            <v>2.6884429999999999</v>
          </cell>
          <cell r="R410" t="e">
            <v>#N/A</v>
          </cell>
        </row>
        <row r="411">
          <cell r="A411">
            <v>40568</v>
          </cell>
          <cell r="B411">
            <v>40568</v>
          </cell>
          <cell r="C411" t="str">
            <v>Past</v>
          </cell>
          <cell r="D411">
            <v>14.43</v>
          </cell>
          <cell r="E411" t="e">
            <v>#N/A</v>
          </cell>
          <cell r="F411" t="e">
            <v>#N/A</v>
          </cell>
          <cell r="G411" t="e">
            <v>#N/A</v>
          </cell>
          <cell r="H411" t="e">
            <v>#N/A</v>
          </cell>
          <cell r="I411" t="e">
            <v>#N/A</v>
          </cell>
          <cell r="J411" t="e">
            <v>#N/A</v>
          </cell>
          <cell r="K411" t="e">
            <v>#N/A</v>
          </cell>
          <cell r="L411" t="e">
            <v>#N/A</v>
          </cell>
          <cell r="M411" t="e">
            <v>#N/A</v>
          </cell>
          <cell r="N411" t="e">
            <v>#N/A</v>
          </cell>
          <cell r="O411" t="e">
            <v>#N/A</v>
          </cell>
          <cell r="P411">
            <v>14.43</v>
          </cell>
          <cell r="Q411">
            <v>2.0426500000000001</v>
          </cell>
          <cell r="R411" t="e">
            <v>#N/A</v>
          </cell>
        </row>
        <row r="412">
          <cell r="A412">
            <v>40569</v>
          </cell>
          <cell r="B412">
            <v>40569</v>
          </cell>
          <cell r="C412" t="str">
            <v>Past</v>
          </cell>
          <cell r="D412">
            <v>14.39</v>
          </cell>
          <cell r="E412" t="e">
            <v>#N/A</v>
          </cell>
          <cell r="F412" t="e">
            <v>#N/A</v>
          </cell>
          <cell r="G412" t="e">
            <v>#N/A</v>
          </cell>
          <cell r="H412" t="e">
            <v>#N/A</v>
          </cell>
          <cell r="I412" t="e">
            <v>#N/A</v>
          </cell>
          <cell r="J412" t="e">
            <v>#N/A</v>
          </cell>
          <cell r="K412" t="e">
            <v>#N/A</v>
          </cell>
          <cell r="L412" t="e">
            <v>#N/A</v>
          </cell>
          <cell r="M412" t="e">
            <v>#N/A</v>
          </cell>
          <cell r="N412" t="e">
            <v>#N/A</v>
          </cell>
          <cell r="O412" t="e">
            <v>#N/A</v>
          </cell>
          <cell r="P412">
            <v>14.39</v>
          </cell>
          <cell r="Q412">
            <v>1.254094</v>
          </cell>
          <cell r="R412" t="e">
            <v>#N/A</v>
          </cell>
        </row>
        <row r="413">
          <cell r="A413">
            <v>40570</v>
          </cell>
          <cell r="B413">
            <v>40570</v>
          </cell>
          <cell r="C413" t="str">
            <v>Past</v>
          </cell>
          <cell r="D413">
            <v>14.54</v>
          </cell>
          <cell r="E413" t="e">
            <v>#N/A</v>
          </cell>
          <cell r="F413" t="e">
            <v>#N/A</v>
          </cell>
          <cell r="G413" t="e">
            <v>#N/A</v>
          </cell>
          <cell r="H413" t="e">
            <v>#N/A</v>
          </cell>
          <cell r="I413" t="e">
            <v>#N/A</v>
          </cell>
          <cell r="J413" t="e">
            <v>#N/A</v>
          </cell>
          <cell r="K413" t="e">
            <v>#N/A</v>
          </cell>
          <cell r="L413" t="e">
            <v>#N/A</v>
          </cell>
          <cell r="M413" t="e">
            <v>#N/A</v>
          </cell>
          <cell r="N413" t="e">
            <v>#N/A</v>
          </cell>
          <cell r="O413" t="e">
            <v>#N/A</v>
          </cell>
          <cell r="P413">
            <v>14.54</v>
          </cell>
          <cell r="Q413">
            <v>2.1760169999999999</v>
          </cell>
          <cell r="R413" t="e">
            <v>#N/A</v>
          </cell>
        </row>
        <row r="414">
          <cell r="A414">
            <v>40571</v>
          </cell>
          <cell r="B414">
            <v>40571</v>
          </cell>
          <cell r="C414" t="str">
            <v>Past</v>
          </cell>
          <cell r="D414">
            <v>14.37</v>
          </cell>
          <cell r="E414" t="e">
            <v>#N/A</v>
          </cell>
          <cell r="F414" t="e">
            <v>#N/A</v>
          </cell>
          <cell r="G414" t="e">
            <v>#N/A</v>
          </cell>
          <cell r="H414" t="e">
            <v>#N/A</v>
          </cell>
          <cell r="I414" t="e">
            <v>#N/A</v>
          </cell>
          <cell r="J414" t="e">
            <v>#N/A</v>
          </cell>
          <cell r="K414" t="e">
            <v>#N/A</v>
          </cell>
          <cell r="L414" t="e">
            <v>#N/A</v>
          </cell>
          <cell r="M414" t="e">
            <v>#N/A</v>
          </cell>
          <cell r="N414" t="e">
            <v>#N/A</v>
          </cell>
          <cell r="O414" t="e">
            <v>#N/A</v>
          </cell>
          <cell r="P414">
            <v>14.37</v>
          </cell>
          <cell r="Q414">
            <v>1.1273309999999999</v>
          </cell>
          <cell r="R414" t="e">
            <v>#N/A</v>
          </cell>
        </row>
        <row r="415">
          <cell r="A415">
            <v>40574</v>
          </cell>
          <cell r="B415">
            <v>40574</v>
          </cell>
          <cell r="C415" t="str">
            <v>Past</v>
          </cell>
          <cell r="D415">
            <v>14.37</v>
          </cell>
          <cell r="E415" t="e">
            <v>#N/A</v>
          </cell>
          <cell r="F415" t="e">
            <v>#N/A</v>
          </cell>
          <cell r="G415" t="e">
            <v>#N/A</v>
          </cell>
          <cell r="H415" t="e">
            <v>#N/A</v>
          </cell>
          <cell r="I415" t="e">
            <v>#N/A</v>
          </cell>
          <cell r="J415" t="e">
            <v>#N/A</v>
          </cell>
          <cell r="K415" t="e">
            <v>#N/A</v>
          </cell>
          <cell r="L415" t="e">
            <v>#N/A</v>
          </cell>
          <cell r="M415" t="e">
            <v>#N/A</v>
          </cell>
          <cell r="N415" t="e">
            <v>#N/A</v>
          </cell>
          <cell r="O415" t="e">
            <v>#N/A</v>
          </cell>
          <cell r="P415">
            <v>14.37</v>
          </cell>
          <cell r="Q415">
            <v>2.4396409999999999</v>
          </cell>
          <cell r="R415" t="e">
            <v>#N/A</v>
          </cell>
        </row>
        <row r="416">
          <cell r="A416">
            <v>40575</v>
          </cell>
          <cell r="B416">
            <v>40575</v>
          </cell>
          <cell r="C416" t="str">
            <v>Past</v>
          </cell>
          <cell r="D416">
            <v>14.65</v>
          </cell>
          <cell r="E416" t="e">
            <v>#N/A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>
            <v>14.65</v>
          </cell>
          <cell r="Q416">
            <v>1.3703000000000001</v>
          </cell>
          <cell r="R416" t="e">
            <v>#N/A</v>
          </cell>
        </row>
        <row r="417">
          <cell r="A417">
            <v>40576</v>
          </cell>
          <cell r="B417">
            <v>40576</v>
          </cell>
          <cell r="C417" t="str">
            <v>Past</v>
          </cell>
          <cell r="D417">
            <v>14.55</v>
          </cell>
          <cell r="E417" t="e">
            <v>#N/A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>
            <v>14.55</v>
          </cell>
          <cell r="Q417">
            <v>0.97767199999999999</v>
          </cell>
          <cell r="R417" t="e">
            <v>#N/A</v>
          </cell>
        </row>
        <row r="418">
          <cell r="A418">
            <v>40577</v>
          </cell>
          <cell r="B418">
            <v>40577</v>
          </cell>
          <cell r="C418" t="str">
            <v>Past</v>
          </cell>
          <cell r="D418">
            <v>14.55</v>
          </cell>
          <cell r="E418" t="e">
            <v>#N/A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>
            <v>14.55</v>
          </cell>
          <cell r="Q418">
            <v>1.0440859999999998</v>
          </cell>
          <cell r="R418" t="e">
            <v>#N/A</v>
          </cell>
        </row>
        <row r="419">
          <cell r="A419">
            <v>40578</v>
          </cell>
          <cell r="B419">
            <v>40578</v>
          </cell>
          <cell r="C419" t="str">
            <v>Past</v>
          </cell>
          <cell r="D419">
            <v>14.47</v>
          </cell>
          <cell r="E419" t="e">
            <v>#N/A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>
            <v>14.47</v>
          </cell>
          <cell r="Q419">
            <v>0.59531299999999998</v>
          </cell>
          <cell r="R419" t="e">
            <v>#N/A</v>
          </cell>
        </row>
        <row r="420">
          <cell r="A420">
            <v>40581</v>
          </cell>
          <cell r="B420">
            <v>40581</v>
          </cell>
          <cell r="C420" t="str">
            <v>Past</v>
          </cell>
          <cell r="D420">
            <v>14.54</v>
          </cell>
          <cell r="E420" t="e">
            <v>#N/A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>
            <v>14.54</v>
          </cell>
          <cell r="Q420">
            <v>0.78476099999999993</v>
          </cell>
          <cell r="R420" t="e">
            <v>#N/A</v>
          </cell>
        </row>
        <row r="421">
          <cell r="A421">
            <v>40582</v>
          </cell>
          <cell r="B421">
            <v>40582</v>
          </cell>
          <cell r="C421" t="str">
            <v>Past</v>
          </cell>
          <cell r="D421">
            <v>14.53</v>
          </cell>
          <cell r="E421" t="e">
            <v>#N/A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>
            <v>14.53</v>
          </cell>
          <cell r="Q421">
            <v>1.0100449999999999</v>
          </cell>
          <cell r="R421" t="e">
            <v>#N/A</v>
          </cell>
        </row>
        <row r="422">
          <cell r="A422">
            <v>40583</v>
          </cell>
          <cell r="B422">
            <v>40583</v>
          </cell>
          <cell r="C422" t="str">
            <v>Past</v>
          </cell>
          <cell r="D422">
            <v>14.51</v>
          </cell>
          <cell r="E422" t="e">
            <v>#N/A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>
            <v>14.51</v>
          </cell>
          <cell r="Q422">
            <v>1.1109639999999998</v>
          </cell>
          <cell r="R422" t="e">
            <v>#N/A</v>
          </cell>
        </row>
        <row r="423">
          <cell r="A423">
            <v>40584</v>
          </cell>
          <cell r="B423">
            <v>40584</v>
          </cell>
          <cell r="C423" t="str">
            <v>Past</v>
          </cell>
          <cell r="D423">
            <v>14.61</v>
          </cell>
          <cell r="E423" t="e">
            <v>#N/A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>
            <v>14.61</v>
          </cell>
          <cell r="Q423">
            <v>1.1675180000000001</v>
          </cell>
          <cell r="R423" t="e">
            <v>#N/A</v>
          </cell>
        </row>
        <row r="424">
          <cell r="A424">
            <v>40585</v>
          </cell>
          <cell r="B424">
            <v>40585</v>
          </cell>
          <cell r="C424" t="str">
            <v>Past</v>
          </cell>
          <cell r="D424">
            <v>14.59</v>
          </cell>
          <cell r="E424" t="e">
            <v>#N/A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>
            <v>14.59</v>
          </cell>
          <cell r="Q424">
            <v>1.118268</v>
          </cell>
          <cell r="R424" t="e">
            <v>#N/A</v>
          </cell>
        </row>
        <row r="425">
          <cell r="A425">
            <v>40588</v>
          </cell>
          <cell r="B425">
            <v>40588</v>
          </cell>
          <cell r="C425" t="str">
            <v>Past</v>
          </cell>
          <cell r="D425">
            <v>14.58</v>
          </cell>
          <cell r="E425" t="e">
            <v>#N/A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>
            <v>14.58</v>
          </cell>
          <cell r="Q425">
            <v>1.7586619999999999</v>
          </cell>
          <cell r="R425" t="e">
            <v>#N/A</v>
          </cell>
        </row>
        <row r="426">
          <cell r="A426">
            <v>40589</v>
          </cell>
          <cell r="B426">
            <v>40589</v>
          </cell>
          <cell r="C426" t="str">
            <v>Past</v>
          </cell>
          <cell r="D426">
            <v>14.68</v>
          </cell>
          <cell r="E426" t="e">
            <v>#N/A</v>
          </cell>
          <cell r="F426" t="e">
            <v>#N/A</v>
          </cell>
          <cell r="G426" t="e">
            <v>#N/A</v>
          </cell>
          <cell r="H426" t="e">
            <v>#N/A</v>
          </cell>
          <cell r="I426" t="e">
            <v>#N/A</v>
          </cell>
          <cell r="J426" t="e">
            <v>#N/A</v>
          </cell>
          <cell r="K426" t="e">
            <v>#N/A</v>
          </cell>
          <cell r="L426" t="e">
            <v>#N/A</v>
          </cell>
          <cell r="M426" t="e">
            <v>#N/A</v>
          </cell>
          <cell r="N426" t="e">
            <v>#N/A</v>
          </cell>
          <cell r="O426" t="e">
            <v>#N/A</v>
          </cell>
          <cell r="P426">
            <v>14.68</v>
          </cell>
          <cell r="Q426">
            <v>1.2413719999999999</v>
          </cell>
          <cell r="R426" t="e">
            <v>#N/A</v>
          </cell>
        </row>
        <row r="427">
          <cell r="A427">
            <v>40590</v>
          </cell>
          <cell r="B427">
            <v>40590</v>
          </cell>
          <cell r="C427" t="str">
            <v>Past</v>
          </cell>
          <cell r="D427">
            <v>14.74</v>
          </cell>
          <cell r="E427" t="e">
            <v>#N/A</v>
          </cell>
          <cell r="F427" t="e">
            <v>#N/A</v>
          </cell>
          <cell r="G427" t="e">
            <v>#N/A</v>
          </cell>
          <cell r="H427" t="e">
            <v>#N/A</v>
          </cell>
          <cell r="I427" t="e">
            <v>#N/A</v>
          </cell>
          <cell r="J427" t="e">
            <v>#N/A</v>
          </cell>
          <cell r="K427" t="e">
            <v>#N/A</v>
          </cell>
          <cell r="L427" t="e">
            <v>#N/A</v>
          </cell>
          <cell r="M427" t="e">
            <v>#N/A</v>
          </cell>
          <cell r="N427" t="e">
            <v>#N/A</v>
          </cell>
          <cell r="O427" t="e">
            <v>#N/A</v>
          </cell>
          <cell r="P427">
            <v>14.74</v>
          </cell>
          <cell r="Q427">
            <v>1.006011</v>
          </cell>
          <cell r="R427" t="e">
            <v>#N/A</v>
          </cell>
        </row>
        <row r="428">
          <cell r="A428">
            <v>40591</v>
          </cell>
          <cell r="B428">
            <v>40591</v>
          </cell>
          <cell r="C428" t="str">
            <v>Past</v>
          </cell>
          <cell r="D428">
            <v>14.78</v>
          </cell>
          <cell r="E428" t="e">
            <v>#N/A</v>
          </cell>
          <cell r="F428" t="e">
            <v>#N/A</v>
          </cell>
          <cell r="G428" t="e">
            <v>#N/A</v>
          </cell>
          <cell r="H428" t="e">
            <v>#N/A</v>
          </cell>
          <cell r="I428" t="e">
            <v>#N/A</v>
          </cell>
          <cell r="J428" t="e">
            <v>#N/A</v>
          </cell>
          <cell r="K428" t="e">
            <v>#N/A</v>
          </cell>
          <cell r="L428" t="e">
            <v>#N/A</v>
          </cell>
          <cell r="M428" t="e">
            <v>#N/A</v>
          </cell>
          <cell r="N428" t="e">
            <v>#N/A</v>
          </cell>
          <cell r="O428" t="e">
            <v>#N/A</v>
          </cell>
          <cell r="P428">
            <v>14.78</v>
          </cell>
          <cell r="Q428">
            <v>1.5522549999999999</v>
          </cell>
          <cell r="R428" t="e">
            <v>#N/A</v>
          </cell>
        </row>
        <row r="429">
          <cell r="A429">
            <v>40592</v>
          </cell>
          <cell r="B429">
            <v>40592</v>
          </cell>
          <cell r="C429" t="str">
            <v>Past</v>
          </cell>
          <cell r="D429">
            <v>14.92</v>
          </cell>
          <cell r="E429" t="e">
            <v>#N/A</v>
          </cell>
          <cell r="F429" t="e">
            <v>#N/A</v>
          </cell>
          <cell r="G429" t="e">
            <v>#N/A</v>
          </cell>
          <cell r="H429" t="e">
            <v>#N/A</v>
          </cell>
          <cell r="I429" t="e">
            <v>#N/A</v>
          </cell>
          <cell r="J429" t="e">
            <v>#N/A</v>
          </cell>
          <cell r="K429" t="e">
            <v>#N/A</v>
          </cell>
          <cell r="L429" t="e">
            <v>#N/A</v>
          </cell>
          <cell r="M429" t="e">
            <v>#N/A</v>
          </cell>
          <cell r="N429" t="e">
            <v>#N/A</v>
          </cell>
          <cell r="O429" t="e">
            <v>#N/A</v>
          </cell>
          <cell r="P429">
            <v>14.92</v>
          </cell>
          <cell r="Q429">
            <v>3.2853879999999998</v>
          </cell>
          <cell r="R429" t="e">
            <v>#N/A</v>
          </cell>
        </row>
        <row r="430">
          <cell r="A430">
            <v>40596</v>
          </cell>
          <cell r="B430">
            <v>40596</v>
          </cell>
          <cell r="C430" t="str">
            <v>Past</v>
          </cell>
          <cell r="D430">
            <v>14.86</v>
          </cell>
          <cell r="E430" t="e">
            <v>#N/A</v>
          </cell>
          <cell r="F430" t="e">
            <v>#N/A</v>
          </cell>
          <cell r="G430" t="e">
            <v>#N/A</v>
          </cell>
          <cell r="H430" t="e">
            <v>#N/A</v>
          </cell>
          <cell r="I430" t="e">
            <v>#N/A</v>
          </cell>
          <cell r="J430" t="e">
            <v>#N/A</v>
          </cell>
          <cell r="K430" t="e">
            <v>#N/A</v>
          </cell>
          <cell r="L430" t="e">
            <v>#N/A</v>
          </cell>
          <cell r="M430" t="e">
            <v>#N/A</v>
          </cell>
          <cell r="N430" t="e">
            <v>#N/A</v>
          </cell>
          <cell r="O430" t="e">
            <v>#N/A</v>
          </cell>
          <cell r="P430">
            <v>14.86</v>
          </cell>
          <cell r="Q430">
            <v>1.7888649999999999</v>
          </cell>
          <cell r="R430" t="e">
            <v>#N/A</v>
          </cell>
        </row>
        <row r="431">
          <cell r="A431">
            <v>40597</v>
          </cell>
          <cell r="B431">
            <v>40597</v>
          </cell>
          <cell r="C431" t="str">
            <v>Past</v>
          </cell>
          <cell r="D431">
            <v>14.69</v>
          </cell>
          <cell r="E431" t="e">
            <v>#N/A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>
            <v>14.69</v>
          </cell>
          <cell r="Q431">
            <v>1.544481</v>
          </cell>
          <cell r="R431" t="e">
            <v>#N/A</v>
          </cell>
        </row>
        <row r="432">
          <cell r="A432">
            <v>40598</v>
          </cell>
          <cell r="B432">
            <v>40598</v>
          </cell>
          <cell r="C432" t="str">
            <v>Past</v>
          </cell>
          <cell r="D432">
            <v>14.56</v>
          </cell>
          <cell r="E432" t="e">
            <v>#N/A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>
            <v>14.56</v>
          </cell>
          <cell r="Q432">
            <v>1.3997700000000002</v>
          </cell>
          <cell r="R432" t="e">
            <v>#N/A</v>
          </cell>
        </row>
        <row r="433">
          <cell r="A433">
            <v>40599</v>
          </cell>
          <cell r="B433">
            <v>40599</v>
          </cell>
          <cell r="C433" t="str">
            <v>Past</v>
          </cell>
          <cell r="D433">
            <v>14.63</v>
          </cell>
          <cell r="E433" t="e">
            <v>#N/A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>
            <v>14.63</v>
          </cell>
          <cell r="Q433">
            <v>1.2756859999999999</v>
          </cell>
          <cell r="R433" t="e">
            <v>#N/A</v>
          </cell>
        </row>
        <row r="434">
          <cell r="A434">
            <v>40602</v>
          </cell>
          <cell r="B434">
            <v>40602</v>
          </cell>
          <cell r="C434" t="str">
            <v>Past</v>
          </cell>
          <cell r="D434">
            <v>14.69</v>
          </cell>
          <cell r="E434" t="e">
            <v>#N/A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>
            <v>14.69</v>
          </cell>
          <cell r="Q434">
            <v>1.8974500000000001</v>
          </cell>
          <cell r="R434" t="e">
            <v>#N/A</v>
          </cell>
        </row>
        <row r="435">
          <cell r="A435">
            <v>40603</v>
          </cell>
          <cell r="B435">
            <v>40603</v>
          </cell>
          <cell r="C435" t="str">
            <v>Past</v>
          </cell>
          <cell r="D435">
            <v>14.55</v>
          </cell>
          <cell r="E435" t="e">
            <v>#N/A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>
            <v>14.55</v>
          </cell>
          <cell r="Q435">
            <v>1.179567</v>
          </cell>
          <cell r="R435" t="e">
            <v>#N/A</v>
          </cell>
        </row>
        <row r="436">
          <cell r="A436">
            <v>40604</v>
          </cell>
          <cell r="B436">
            <v>40604</v>
          </cell>
          <cell r="C436" t="str">
            <v>Past</v>
          </cell>
          <cell r="D436">
            <v>14.64</v>
          </cell>
          <cell r="E436" t="e">
            <v>#N/A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>
            <v>14.64</v>
          </cell>
          <cell r="Q436">
            <v>1.235517</v>
          </cell>
          <cell r="R436" t="e">
            <v>#N/A</v>
          </cell>
        </row>
        <row r="437">
          <cell r="A437">
            <v>40605</v>
          </cell>
          <cell r="B437">
            <v>40605</v>
          </cell>
          <cell r="C437" t="str">
            <v>Past</v>
          </cell>
          <cell r="D437">
            <v>14.83</v>
          </cell>
          <cell r="E437" t="e">
            <v>#N/A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>
            <v>14.83</v>
          </cell>
          <cell r="Q437">
            <v>1.411872</v>
          </cell>
          <cell r="R437" t="e">
            <v>#N/A</v>
          </cell>
        </row>
        <row r="438">
          <cell r="A438">
            <v>40606</v>
          </cell>
          <cell r="B438">
            <v>40606</v>
          </cell>
          <cell r="C438" t="str">
            <v>Past</v>
          </cell>
          <cell r="D438">
            <v>14.68</v>
          </cell>
          <cell r="E438" t="e">
            <v>#N/A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>
            <v>14.68</v>
          </cell>
          <cell r="Q438">
            <v>0.85889299999999991</v>
          </cell>
          <cell r="R438" t="e">
            <v>#N/A</v>
          </cell>
        </row>
        <row r="439">
          <cell r="A439">
            <v>40609</v>
          </cell>
          <cell r="B439">
            <v>40609</v>
          </cell>
          <cell r="C439" t="str">
            <v>Past</v>
          </cell>
          <cell r="D439">
            <v>14.7</v>
          </cell>
          <cell r="E439" t="e">
            <v>#N/A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>
            <v>14.7</v>
          </cell>
          <cell r="Q439">
            <v>1.3134239999999999</v>
          </cell>
          <cell r="R439" t="e">
            <v>#N/A</v>
          </cell>
        </row>
        <row r="440">
          <cell r="A440">
            <v>40610</v>
          </cell>
          <cell r="B440">
            <v>40610</v>
          </cell>
          <cell r="C440" t="str">
            <v>Past</v>
          </cell>
          <cell r="D440">
            <v>14.88</v>
          </cell>
          <cell r="E440" t="e">
            <v>#N/A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>
            <v>14.88</v>
          </cell>
          <cell r="Q440">
            <v>1.3189700000000002</v>
          </cell>
          <cell r="R440" t="e">
            <v>#N/A</v>
          </cell>
        </row>
        <row r="441">
          <cell r="A441">
            <v>40611</v>
          </cell>
          <cell r="B441">
            <v>40611</v>
          </cell>
          <cell r="C441" t="str">
            <v>Past</v>
          </cell>
          <cell r="D441">
            <v>14.91</v>
          </cell>
          <cell r="E441" t="e">
            <v>#N/A</v>
          </cell>
          <cell r="F441" t="e">
            <v>#N/A</v>
          </cell>
          <cell r="G441" t="e">
            <v>#N/A</v>
          </cell>
          <cell r="H441" t="e">
            <v>#N/A</v>
          </cell>
          <cell r="I441" t="e">
            <v>#N/A</v>
          </cell>
          <cell r="J441" t="e">
            <v>#N/A</v>
          </cell>
          <cell r="K441" t="e">
            <v>#N/A</v>
          </cell>
          <cell r="L441" t="e">
            <v>#N/A</v>
          </cell>
          <cell r="M441" t="e">
            <v>#N/A</v>
          </cell>
          <cell r="N441" t="e">
            <v>#N/A</v>
          </cell>
          <cell r="O441" t="e">
            <v>#N/A</v>
          </cell>
          <cell r="P441">
            <v>14.91</v>
          </cell>
          <cell r="Q441">
            <v>1.1770129999999999</v>
          </cell>
          <cell r="R441" t="e">
            <v>#N/A</v>
          </cell>
        </row>
        <row r="442">
          <cell r="A442">
            <v>40612</v>
          </cell>
          <cell r="B442">
            <v>40612</v>
          </cell>
          <cell r="C442" t="str">
            <v>Past</v>
          </cell>
          <cell r="D442">
            <v>14.67</v>
          </cell>
          <cell r="E442" t="e">
            <v>#N/A</v>
          </cell>
          <cell r="F442" t="e">
            <v>#N/A</v>
          </cell>
          <cell r="G442" t="e">
            <v>#N/A</v>
          </cell>
          <cell r="H442" t="e">
            <v>#N/A</v>
          </cell>
          <cell r="I442" t="e">
            <v>#N/A</v>
          </cell>
          <cell r="J442" t="e">
            <v>#N/A</v>
          </cell>
          <cell r="K442" t="e">
            <v>#N/A</v>
          </cell>
          <cell r="L442" t="e">
            <v>#N/A</v>
          </cell>
          <cell r="M442" t="e">
            <v>#N/A</v>
          </cell>
          <cell r="N442" t="e">
            <v>#N/A</v>
          </cell>
          <cell r="O442" t="e">
            <v>#N/A</v>
          </cell>
          <cell r="P442">
            <v>14.67</v>
          </cell>
          <cell r="Q442">
            <v>2.195319</v>
          </cell>
          <cell r="R442" t="e">
            <v>#N/A</v>
          </cell>
        </row>
        <row r="443">
          <cell r="A443">
            <v>40613</v>
          </cell>
          <cell r="B443">
            <v>40613</v>
          </cell>
          <cell r="C443" t="str">
            <v>Past</v>
          </cell>
          <cell r="D443">
            <v>14.83</v>
          </cell>
          <cell r="E443" t="e">
            <v>#N/A</v>
          </cell>
          <cell r="F443" t="e">
            <v>#N/A</v>
          </cell>
          <cell r="G443" t="e">
            <v>#N/A</v>
          </cell>
          <cell r="H443" t="e">
            <v>#N/A</v>
          </cell>
          <cell r="I443" t="e">
            <v>#N/A</v>
          </cell>
          <cell r="J443" t="e">
            <v>#N/A</v>
          </cell>
          <cell r="K443" t="e">
            <v>#N/A</v>
          </cell>
          <cell r="L443" t="e">
            <v>#N/A</v>
          </cell>
          <cell r="M443" t="e">
            <v>#N/A</v>
          </cell>
          <cell r="N443" t="e">
            <v>#N/A</v>
          </cell>
          <cell r="O443" t="e">
            <v>#N/A</v>
          </cell>
          <cell r="P443">
            <v>14.83</v>
          </cell>
          <cell r="Q443">
            <v>2.5068239999999999</v>
          </cell>
          <cell r="R443" t="e">
            <v>#N/A</v>
          </cell>
        </row>
        <row r="444">
          <cell r="A444">
            <v>40616</v>
          </cell>
          <cell r="B444">
            <v>40616</v>
          </cell>
          <cell r="C444" t="str">
            <v>Past</v>
          </cell>
          <cell r="D444">
            <v>14.83</v>
          </cell>
          <cell r="E444" t="e">
            <v>#N/A</v>
          </cell>
          <cell r="F444" t="e">
            <v>#N/A</v>
          </cell>
          <cell r="G444" t="e">
            <v>#N/A</v>
          </cell>
          <cell r="H444" t="e">
            <v>#N/A</v>
          </cell>
          <cell r="I444" t="e">
            <v>#N/A</v>
          </cell>
          <cell r="J444" t="e">
            <v>#N/A</v>
          </cell>
          <cell r="K444" t="e">
            <v>#N/A</v>
          </cell>
          <cell r="L444" t="e">
            <v>#N/A</v>
          </cell>
          <cell r="M444" t="e">
            <v>#N/A</v>
          </cell>
          <cell r="N444" t="e">
            <v>#N/A</v>
          </cell>
          <cell r="O444" t="e">
            <v>#N/A</v>
          </cell>
          <cell r="P444">
            <v>14.83</v>
          </cell>
          <cell r="Q444">
            <v>1.7697939999999999</v>
          </cell>
          <cell r="R444" t="e">
            <v>#N/A</v>
          </cell>
        </row>
        <row r="445">
          <cell r="A445">
            <v>40617</v>
          </cell>
          <cell r="B445">
            <v>40617</v>
          </cell>
          <cell r="C445" t="str">
            <v>Past</v>
          </cell>
          <cell r="D445">
            <v>14.54</v>
          </cell>
          <cell r="E445" t="e">
            <v>#N/A</v>
          </cell>
          <cell r="F445" t="e">
            <v>#N/A</v>
          </cell>
          <cell r="G445" t="e">
            <v>#N/A</v>
          </cell>
          <cell r="H445" t="e">
            <v>#N/A</v>
          </cell>
          <cell r="I445" t="e">
            <v>#N/A</v>
          </cell>
          <cell r="J445" t="e">
            <v>#N/A</v>
          </cell>
          <cell r="K445" t="e">
            <v>#N/A</v>
          </cell>
          <cell r="L445" t="e">
            <v>#N/A</v>
          </cell>
          <cell r="M445" t="e">
            <v>#N/A</v>
          </cell>
          <cell r="N445" t="e">
            <v>#N/A</v>
          </cell>
          <cell r="O445" t="e">
            <v>#N/A</v>
          </cell>
          <cell r="P445">
            <v>14.54</v>
          </cell>
          <cell r="Q445">
            <v>1.7034609999999999</v>
          </cell>
          <cell r="R445" t="e">
            <v>#N/A</v>
          </cell>
        </row>
        <row r="446">
          <cell r="A446">
            <v>40618</v>
          </cell>
          <cell r="B446">
            <v>40618</v>
          </cell>
          <cell r="C446" t="str">
            <v>Past</v>
          </cell>
          <cell r="D446">
            <v>14.31</v>
          </cell>
          <cell r="E446" t="e">
            <v>#N/A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>
            <v>14.31</v>
          </cell>
          <cell r="Q446">
            <v>2.262054</v>
          </cell>
          <cell r="R446" t="e">
            <v>#N/A</v>
          </cell>
        </row>
        <row r="447">
          <cell r="A447">
            <v>40619</v>
          </cell>
          <cell r="B447">
            <v>40619</v>
          </cell>
          <cell r="C447" t="str">
            <v>Past</v>
          </cell>
          <cell r="D447">
            <v>14.33</v>
          </cell>
          <cell r="E447" t="e">
            <v>#N/A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>
            <v>14.33</v>
          </cell>
          <cell r="Q447">
            <v>1.7244809999999999</v>
          </cell>
          <cell r="R447" t="e">
            <v>#N/A</v>
          </cell>
        </row>
        <row r="448">
          <cell r="A448">
            <v>40620</v>
          </cell>
          <cell r="B448">
            <v>40620</v>
          </cell>
          <cell r="C448" t="str">
            <v>Past</v>
          </cell>
          <cell r="D448">
            <v>14.35</v>
          </cell>
          <cell r="E448" t="e">
            <v>#N/A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>
            <v>14.35</v>
          </cell>
          <cell r="Q448">
            <v>1.5717639999999999</v>
          </cell>
          <cell r="R448" t="e">
            <v>#N/A</v>
          </cell>
        </row>
        <row r="449">
          <cell r="A449">
            <v>40623</v>
          </cell>
          <cell r="B449">
            <v>40623</v>
          </cell>
          <cell r="C449" t="str">
            <v>Past</v>
          </cell>
          <cell r="D449">
            <v>14.68</v>
          </cell>
          <cell r="E449" t="e">
            <v>#N/A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>
            <v>14.68</v>
          </cell>
          <cell r="Q449">
            <v>1.8070109999999999</v>
          </cell>
          <cell r="R449" t="e">
            <v>#N/A</v>
          </cell>
        </row>
        <row r="450">
          <cell r="A450">
            <v>40624</v>
          </cell>
          <cell r="B450">
            <v>40624</v>
          </cell>
          <cell r="C450" t="str">
            <v>Past</v>
          </cell>
          <cell r="D450">
            <v>14.54</v>
          </cell>
          <cell r="E450" t="e">
            <v>#N/A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>
            <v>14.54</v>
          </cell>
          <cell r="Q450">
            <v>1.435576</v>
          </cell>
          <cell r="R450" t="e">
            <v>#N/A</v>
          </cell>
        </row>
        <row r="451">
          <cell r="A451">
            <v>40625</v>
          </cell>
          <cell r="B451">
            <v>40625</v>
          </cell>
          <cell r="C451" t="str">
            <v>Past</v>
          </cell>
          <cell r="D451">
            <v>14.49</v>
          </cell>
          <cell r="E451" t="e">
            <v>#N/A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>
            <v>14.49</v>
          </cell>
          <cell r="Q451">
            <v>1.24529</v>
          </cell>
          <cell r="R451" t="e">
            <v>#N/A</v>
          </cell>
        </row>
        <row r="452">
          <cell r="A452">
            <v>40626</v>
          </cell>
          <cell r="B452">
            <v>40626</v>
          </cell>
          <cell r="C452" t="str">
            <v>Past</v>
          </cell>
          <cell r="D452">
            <v>14.5</v>
          </cell>
          <cell r="E452" t="e">
            <v>#N/A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>
            <v>14.5</v>
          </cell>
          <cell r="Q452">
            <v>1.491544</v>
          </cell>
          <cell r="R452" t="e">
            <v>#N/A</v>
          </cell>
        </row>
        <row r="453">
          <cell r="A453">
            <v>40627</v>
          </cell>
          <cell r="B453">
            <v>40627</v>
          </cell>
          <cell r="C453" t="str">
            <v>Past</v>
          </cell>
          <cell r="D453">
            <v>14.58</v>
          </cell>
          <cell r="E453" t="e">
            <v>#N/A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>
            <v>14.58</v>
          </cell>
          <cell r="Q453">
            <v>1.252939</v>
          </cell>
          <cell r="R453" t="e">
            <v>#N/A</v>
          </cell>
        </row>
        <row r="454">
          <cell r="A454">
            <v>40630</v>
          </cell>
          <cell r="B454">
            <v>40630</v>
          </cell>
          <cell r="C454" t="str">
            <v>Past</v>
          </cell>
          <cell r="D454">
            <v>14.53</v>
          </cell>
          <cell r="E454" t="e">
            <v>#N/A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>
            <v>14.53</v>
          </cell>
          <cell r="Q454">
            <v>1.033458</v>
          </cell>
          <cell r="R454" t="e">
            <v>#N/A</v>
          </cell>
        </row>
        <row r="455">
          <cell r="A455">
            <v>40631</v>
          </cell>
          <cell r="B455">
            <v>40631</v>
          </cell>
          <cell r="C455" t="str">
            <v>Past</v>
          </cell>
          <cell r="D455">
            <v>14.7</v>
          </cell>
          <cell r="E455" t="e">
            <v>#N/A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>
            <v>14.7</v>
          </cell>
          <cell r="Q455">
            <v>1.3141769999999999</v>
          </cell>
          <cell r="R455" t="e">
            <v>#N/A</v>
          </cell>
        </row>
        <row r="456">
          <cell r="A456">
            <v>40632</v>
          </cell>
          <cell r="B456">
            <v>40632</v>
          </cell>
          <cell r="C456" t="str">
            <v>Past</v>
          </cell>
          <cell r="D456">
            <v>14.89</v>
          </cell>
          <cell r="E456" t="e">
            <v>#N/A</v>
          </cell>
          <cell r="F456" t="e">
            <v>#N/A</v>
          </cell>
          <cell r="G456" t="e">
            <v>#N/A</v>
          </cell>
          <cell r="H456" t="e">
            <v>#N/A</v>
          </cell>
          <cell r="I456" t="e">
            <v>#N/A</v>
          </cell>
          <cell r="J456" t="e">
            <v>#N/A</v>
          </cell>
          <cell r="K456" t="e">
            <v>#N/A</v>
          </cell>
          <cell r="L456" t="e">
            <v>#N/A</v>
          </cell>
          <cell r="M456" t="e">
            <v>#N/A</v>
          </cell>
          <cell r="N456" t="e">
            <v>#N/A</v>
          </cell>
          <cell r="O456" t="e">
            <v>#N/A</v>
          </cell>
          <cell r="P456">
            <v>14.89</v>
          </cell>
          <cell r="Q456">
            <v>1.3115600000000001</v>
          </cell>
          <cell r="R456" t="e">
            <v>#N/A</v>
          </cell>
        </row>
        <row r="457">
          <cell r="A457">
            <v>40633</v>
          </cell>
          <cell r="B457">
            <v>40633</v>
          </cell>
          <cell r="C457" t="str">
            <v>Past</v>
          </cell>
          <cell r="D457">
            <v>14.89</v>
          </cell>
          <cell r="E457" t="e">
            <v>#N/A</v>
          </cell>
          <cell r="F457" t="e">
            <v>#N/A</v>
          </cell>
          <cell r="G457" t="e">
            <v>#N/A</v>
          </cell>
          <cell r="H457" t="e">
            <v>#N/A</v>
          </cell>
          <cell r="I457" t="e">
            <v>#N/A</v>
          </cell>
          <cell r="J457" t="e">
            <v>#N/A</v>
          </cell>
          <cell r="K457" t="e">
            <v>#N/A</v>
          </cell>
          <cell r="L457" t="e">
            <v>#N/A</v>
          </cell>
          <cell r="M457" t="e">
            <v>#N/A</v>
          </cell>
          <cell r="N457" t="e">
            <v>#N/A</v>
          </cell>
          <cell r="O457" t="e">
            <v>#N/A</v>
          </cell>
          <cell r="P457">
            <v>14.89</v>
          </cell>
          <cell r="Q457">
            <v>0.96714199999999995</v>
          </cell>
          <cell r="R457" t="e">
            <v>#N/A</v>
          </cell>
        </row>
        <row r="458">
          <cell r="A458">
            <v>40634</v>
          </cell>
          <cell r="B458">
            <v>40634</v>
          </cell>
          <cell r="C458" t="str">
            <v>Past</v>
          </cell>
          <cell r="D458">
            <v>15.03</v>
          </cell>
          <cell r="E458" t="e">
            <v>#N/A</v>
          </cell>
          <cell r="F458" t="e">
            <v>#N/A</v>
          </cell>
          <cell r="G458" t="e">
            <v>#N/A</v>
          </cell>
          <cell r="H458" t="e">
            <v>#N/A</v>
          </cell>
          <cell r="I458" t="e">
            <v>#N/A</v>
          </cell>
          <cell r="J458" t="e">
            <v>#N/A</v>
          </cell>
          <cell r="K458" t="e">
            <v>#N/A</v>
          </cell>
          <cell r="L458" t="e">
            <v>#N/A</v>
          </cell>
          <cell r="M458" t="e">
            <v>#N/A</v>
          </cell>
          <cell r="N458" t="e">
            <v>#N/A</v>
          </cell>
          <cell r="O458" t="e">
            <v>#N/A</v>
          </cell>
          <cell r="P458">
            <v>15.03</v>
          </cell>
          <cell r="Q458">
            <v>1.0310729999999999</v>
          </cell>
          <cell r="R458" t="e">
            <v>#N/A</v>
          </cell>
        </row>
        <row r="459">
          <cell r="A459">
            <v>40637</v>
          </cell>
          <cell r="B459">
            <v>40637</v>
          </cell>
          <cell r="C459" t="str">
            <v>Past</v>
          </cell>
          <cell r="D459">
            <v>15.07</v>
          </cell>
          <cell r="E459" t="e">
            <v>#N/A</v>
          </cell>
          <cell r="F459" t="e">
            <v>#N/A</v>
          </cell>
          <cell r="G459" t="e">
            <v>#N/A</v>
          </cell>
          <cell r="H459" t="e">
            <v>#N/A</v>
          </cell>
          <cell r="I459" t="e">
            <v>#N/A</v>
          </cell>
          <cell r="J459" t="e">
            <v>#N/A</v>
          </cell>
          <cell r="K459" t="e">
            <v>#N/A</v>
          </cell>
          <cell r="L459" t="e">
            <v>#N/A</v>
          </cell>
          <cell r="M459" t="e">
            <v>#N/A</v>
          </cell>
          <cell r="N459" t="e">
            <v>#N/A</v>
          </cell>
          <cell r="O459" t="e">
            <v>#N/A</v>
          </cell>
          <cell r="P459">
            <v>15.07</v>
          </cell>
          <cell r="Q459">
            <v>1.8920779999999999</v>
          </cell>
          <cell r="R459" t="e">
            <v>#N/A</v>
          </cell>
        </row>
        <row r="460">
          <cell r="A460">
            <v>40638</v>
          </cell>
          <cell r="B460">
            <v>40638</v>
          </cell>
          <cell r="C460" t="str">
            <v>Past</v>
          </cell>
          <cell r="D460">
            <v>15.08</v>
          </cell>
          <cell r="E460" t="e">
            <v>#N/A</v>
          </cell>
          <cell r="F460" t="e">
            <v>#N/A</v>
          </cell>
          <cell r="G460" t="e">
            <v>#N/A</v>
          </cell>
          <cell r="H460" t="e">
            <v>#N/A</v>
          </cell>
          <cell r="I460" t="e">
            <v>#N/A</v>
          </cell>
          <cell r="J460" t="e">
            <v>#N/A</v>
          </cell>
          <cell r="K460" t="e">
            <v>#N/A</v>
          </cell>
          <cell r="L460" t="e">
            <v>#N/A</v>
          </cell>
          <cell r="M460" t="e">
            <v>#N/A</v>
          </cell>
          <cell r="N460" t="e">
            <v>#N/A</v>
          </cell>
          <cell r="O460" t="e">
            <v>#N/A</v>
          </cell>
          <cell r="P460">
            <v>15.08</v>
          </cell>
          <cell r="Q460">
            <v>1.070727</v>
          </cell>
          <cell r="R460" t="e">
            <v>#N/A</v>
          </cell>
        </row>
        <row r="461">
          <cell r="A461">
            <v>40639</v>
          </cell>
          <cell r="B461">
            <v>40639</v>
          </cell>
          <cell r="C461" t="str">
            <v>Past</v>
          </cell>
          <cell r="D461">
            <v>15.22</v>
          </cell>
          <cell r="E461" t="e">
            <v>#N/A</v>
          </cell>
          <cell r="F461" t="e">
            <v>#N/A</v>
          </cell>
          <cell r="G461" t="e">
            <v>#N/A</v>
          </cell>
          <cell r="H461" t="e">
            <v>#N/A</v>
          </cell>
          <cell r="I461" t="e">
            <v>#N/A</v>
          </cell>
          <cell r="J461" t="e">
            <v>#N/A</v>
          </cell>
          <cell r="K461" t="e">
            <v>#N/A</v>
          </cell>
          <cell r="L461" t="e">
            <v>#N/A</v>
          </cell>
          <cell r="M461" t="e">
            <v>#N/A</v>
          </cell>
          <cell r="N461" t="e">
            <v>#N/A</v>
          </cell>
          <cell r="O461" t="e">
            <v>#N/A</v>
          </cell>
          <cell r="P461">
            <v>15.22</v>
          </cell>
          <cell r="Q461">
            <v>2.4883349999999997</v>
          </cell>
          <cell r="R461" t="e">
            <v>#N/A</v>
          </cell>
        </row>
        <row r="462">
          <cell r="A462">
            <v>40640</v>
          </cell>
          <cell r="B462">
            <v>40640</v>
          </cell>
          <cell r="C462" t="str">
            <v>Past</v>
          </cell>
          <cell r="D462">
            <v>15.03</v>
          </cell>
          <cell r="E462" t="e">
            <v>#N/A</v>
          </cell>
          <cell r="F462" t="e">
            <v>#N/A</v>
          </cell>
          <cell r="G462" t="e">
            <v>#N/A</v>
          </cell>
          <cell r="H462" t="e">
            <v>#N/A</v>
          </cell>
          <cell r="I462" t="e">
            <v>#N/A</v>
          </cell>
          <cell r="J462" t="e">
            <v>#N/A</v>
          </cell>
          <cell r="K462" t="e">
            <v>#N/A</v>
          </cell>
          <cell r="L462" t="e">
            <v>#N/A</v>
          </cell>
          <cell r="M462" t="e">
            <v>#N/A</v>
          </cell>
          <cell r="N462" t="e">
            <v>#N/A</v>
          </cell>
          <cell r="O462" t="e">
            <v>#N/A</v>
          </cell>
          <cell r="P462">
            <v>15.03</v>
          </cell>
          <cell r="Q462">
            <v>1.381759</v>
          </cell>
          <cell r="R462" t="e">
            <v>#N/A</v>
          </cell>
        </row>
        <row r="463">
          <cell r="A463">
            <v>40641</v>
          </cell>
          <cell r="B463">
            <v>40641</v>
          </cell>
          <cell r="C463" t="str">
            <v>Past</v>
          </cell>
          <cell r="D463">
            <v>15.03</v>
          </cell>
          <cell r="E463" t="e">
            <v>#N/A</v>
          </cell>
          <cell r="F463" t="e">
            <v>#N/A</v>
          </cell>
          <cell r="G463" t="e">
            <v>#N/A</v>
          </cell>
          <cell r="H463" t="e">
            <v>#N/A</v>
          </cell>
          <cell r="I463" t="e">
            <v>#N/A</v>
          </cell>
          <cell r="J463" t="e">
            <v>#N/A</v>
          </cell>
          <cell r="K463" t="e">
            <v>#N/A</v>
          </cell>
          <cell r="L463" t="e">
            <v>#N/A</v>
          </cell>
          <cell r="M463" t="e">
            <v>#N/A</v>
          </cell>
          <cell r="N463" t="e">
            <v>#N/A</v>
          </cell>
          <cell r="O463" t="e">
            <v>#N/A</v>
          </cell>
          <cell r="P463">
            <v>15.03</v>
          </cell>
          <cell r="Q463">
            <v>1.7781319999999998</v>
          </cell>
          <cell r="R463" t="e">
            <v>#N/A</v>
          </cell>
        </row>
        <row r="464">
          <cell r="A464">
            <v>40644</v>
          </cell>
          <cell r="B464">
            <v>40644</v>
          </cell>
          <cell r="C464" t="str">
            <v>Past</v>
          </cell>
          <cell r="D464">
            <v>14.74</v>
          </cell>
          <cell r="E464" t="e">
            <v>#N/A</v>
          </cell>
          <cell r="F464" t="e">
            <v>#N/A</v>
          </cell>
          <cell r="G464" t="e">
            <v>#N/A</v>
          </cell>
          <cell r="H464" t="e">
            <v>#N/A</v>
          </cell>
          <cell r="I464" t="e">
            <v>#N/A</v>
          </cell>
          <cell r="J464" t="e">
            <v>#N/A</v>
          </cell>
          <cell r="K464" t="e">
            <v>#N/A</v>
          </cell>
          <cell r="L464" t="e">
            <v>#N/A</v>
          </cell>
          <cell r="M464" t="e">
            <v>#N/A</v>
          </cell>
          <cell r="N464" t="e">
            <v>#N/A</v>
          </cell>
          <cell r="O464" t="e">
            <v>#N/A</v>
          </cell>
          <cell r="P464">
            <v>14.74</v>
          </cell>
          <cell r="Q464">
            <v>1.324306</v>
          </cell>
          <cell r="R464" t="e">
            <v>#N/A</v>
          </cell>
        </row>
        <row r="465">
          <cell r="A465">
            <v>40645</v>
          </cell>
          <cell r="B465">
            <v>40645</v>
          </cell>
          <cell r="C465" t="str">
            <v>Past</v>
          </cell>
          <cell r="D465">
            <v>14.64</v>
          </cell>
          <cell r="E465" t="e">
            <v>#N/A</v>
          </cell>
          <cell r="F465" t="e">
            <v>#N/A</v>
          </cell>
          <cell r="G465" t="e">
            <v>#N/A</v>
          </cell>
          <cell r="H465" t="e">
            <v>#N/A</v>
          </cell>
          <cell r="I465" t="e">
            <v>#N/A</v>
          </cell>
          <cell r="J465" t="e">
            <v>#N/A</v>
          </cell>
          <cell r="K465" t="e">
            <v>#N/A</v>
          </cell>
          <cell r="L465" t="e">
            <v>#N/A</v>
          </cell>
          <cell r="M465" t="e">
            <v>#N/A</v>
          </cell>
          <cell r="N465" t="e">
            <v>#N/A</v>
          </cell>
          <cell r="O465" t="e">
            <v>#N/A</v>
          </cell>
          <cell r="P465">
            <v>14.64</v>
          </cell>
          <cell r="Q465">
            <v>0.74409799999999993</v>
          </cell>
          <cell r="R465" t="e">
            <v>#N/A</v>
          </cell>
        </row>
        <row r="466">
          <cell r="A466">
            <v>40646</v>
          </cell>
          <cell r="B466">
            <v>40646</v>
          </cell>
          <cell r="C466" t="str">
            <v>Past</v>
          </cell>
          <cell r="D466">
            <v>14.68</v>
          </cell>
          <cell r="E466" t="e">
            <v>#N/A</v>
          </cell>
          <cell r="F466" t="e">
            <v>#N/A</v>
          </cell>
          <cell r="G466" t="e">
            <v>#N/A</v>
          </cell>
          <cell r="H466" t="e">
            <v>#N/A</v>
          </cell>
          <cell r="I466" t="e">
            <v>#N/A</v>
          </cell>
          <cell r="J466" t="e">
            <v>#N/A</v>
          </cell>
          <cell r="K466" t="e">
            <v>#N/A</v>
          </cell>
          <cell r="L466" t="e">
            <v>#N/A</v>
          </cell>
          <cell r="M466" t="e">
            <v>#N/A</v>
          </cell>
          <cell r="N466" t="e">
            <v>#N/A</v>
          </cell>
          <cell r="O466" t="e">
            <v>#N/A</v>
          </cell>
          <cell r="P466">
            <v>14.68</v>
          </cell>
          <cell r="Q466">
            <v>0.85418099999999997</v>
          </cell>
          <cell r="R466" t="e">
            <v>#N/A</v>
          </cell>
        </row>
        <row r="467">
          <cell r="A467">
            <v>40647</v>
          </cell>
          <cell r="B467">
            <v>40647</v>
          </cell>
          <cell r="C467" t="str">
            <v>Past</v>
          </cell>
          <cell r="D467">
            <v>14.78</v>
          </cell>
          <cell r="E467" t="e">
            <v>#N/A</v>
          </cell>
          <cell r="F467" t="e">
            <v>#N/A</v>
          </cell>
          <cell r="G467" t="e">
            <v>#N/A</v>
          </cell>
          <cell r="H467" t="e">
            <v>#N/A</v>
          </cell>
          <cell r="I467" t="e">
            <v>#N/A</v>
          </cell>
          <cell r="J467" t="e">
            <v>#N/A</v>
          </cell>
          <cell r="K467" t="e">
            <v>#N/A</v>
          </cell>
          <cell r="L467" t="e">
            <v>#N/A</v>
          </cell>
          <cell r="M467" t="e">
            <v>#N/A</v>
          </cell>
          <cell r="N467" t="e">
            <v>#N/A</v>
          </cell>
          <cell r="O467" t="e">
            <v>#N/A</v>
          </cell>
          <cell r="P467">
            <v>14.78</v>
          </cell>
          <cell r="Q467">
            <v>0.80073699999999992</v>
          </cell>
          <cell r="R467" t="e">
            <v>#N/A</v>
          </cell>
        </row>
        <row r="468">
          <cell r="A468">
            <v>40648</v>
          </cell>
          <cell r="B468">
            <v>40648</v>
          </cell>
          <cell r="C468" t="str">
            <v>Past</v>
          </cell>
          <cell r="D468">
            <v>14.87</v>
          </cell>
          <cell r="E468" t="e">
            <v>#N/A</v>
          </cell>
          <cell r="F468" t="e">
            <v>#N/A</v>
          </cell>
          <cell r="G468" t="e">
            <v>#N/A</v>
          </cell>
          <cell r="H468" t="e">
            <v>#N/A</v>
          </cell>
          <cell r="I468" t="e">
            <v>#N/A</v>
          </cell>
          <cell r="J468" t="e">
            <v>#N/A</v>
          </cell>
          <cell r="K468" t="e">
            <v>#N/A</v>
          </cell>
          <cell r="L468" t="e">
            <v>#N/A</v>
          </cell>
          <cell r="M468" t="e">
            <v>#N/A</v>
          </cell>
          <cell r="N468" t="e">
            <v>#N/A</v>
          </cell>
          <cell r="O468" t="e">
            <v>#N/A</v>
          </cell>
          <cell r="P468">
            <v>14.87</v>
          </cell>
          <cell r="Q468">
            <v>0.85800100000000001</v>
          </cell>
          <cell r="R468" t="e">
            <v>#N/A</v>
          </cell>
        </row>
        <row r="469">
          <cell r="A469">
            <v>40651</v>
          </cell>
          <cell r="B469">
            <v>40651</v>
          </cell>
          <cell r="C469" t="str">
            <v>Past</v>
          </cell>
          <cell r="D469">
            <v>14.66</v>
          </cell>
          <cell r="E469" t="e">
            <v>#N/A</v>
          </cell>
          <cell r="F469" t="e">
            <v>#N/A</v>
          </cell>
          <cell r="G469" t="e">
            <v>#N/A</v>
          </cell>
          <cell r="H469" t="e">
            <v>#N/A</v>
          </cell>
          <cell r="I469" t="e">
            <v>#N/A</v>
          </cell>
          <cell r="J469" t="e">
            <v>#N/A</v>
          </cell>
          <cell r="K469" t="e">
            <v>#N/A</v>
          </cell>
          <cell r="L469" t="e">
            <v>#N/A</v>
          </cell>
          <cell r="M469" t="e">
            <v>#N/A</v>
          </cell>
          <cell r="N469" t="e">
            <v>#N/A</v>
          </cell>
          <cell r="O469" t="e">
            <v>#N/A</v>
          </cell>
          <cell r="P469">
            <v>14.66</v>
          </cell>
          <cell r="Q469">
            <v>1.6471739999999999</v>
          </cell>
          <cell r="R469" t="e">
            <v>#N/A</v>
          </cell>
        </row>
        <row r="470">
          <cell r="A470">
            <v>40652</v>
          </cell>
          <cell r="B470">
            <v>40652</v>
          </cell>
          <cell r="C470" t="str">
            <v>Past</v>
          </cell>
          <cell r="D470">
            <v>14.67</v>
          </cell>
          <cell r="E470" t="e">
            <v>#N/A</v>
          </cell>
          <cell r="F470" t="e">
            <v>#N/A</v>
          </cell>
          <cell r="G470" t="e">
            <v>#N/A</v>
          </cell>
          <cell r="H470" t="e">
            <v>#N/A</v>
          </cell>
          <cell r="I470" t="e">
            <v>#N/A</v>
          </cell>
          <cell r="J470" t="e">
            <v>#N/A</v>
          </cell>
          <cell r="K470" t="e">
            <v>#N/A</v>
          </cell>
          <cell r="L470" t="e">
            <v>#N/A</v>
          </cell>
          <cell r="M470" t="e">
            <v>#N/A</v>
          </cell>
          <cell r="N470" t="e">
            <v>#N/A</v>
          </cell>
          <cell r="O470" t="e">
            <v>#N/A</v>
          </cell>
          <cell r="P470">
            <v>14.67</v>
          </cell>
          <cell r="Q470">
            <v>0.76988299999999998</v>
          </cell>
          <cell r="R470" t="e">
            <v>#N/A</v>
          </cell>
        </row>
        <row r="471">
          <cell r="A471">
            <v>40653</v>
          </cell>
          <cell r="B471">
            <v>40653</v>
          </cell>
          <cell r="C471" t="str">
            <v>Past</v>
          </cell>
          <cell r="D471">
            <v>14.87</v>
          </cell>
          <cell r="E471" t="e">
            <v>#N/A</v>
          </cell>
          <cell r="F471" t="e">
            <v>#N/A</v>
          </cell>
          <cell r="G471" t="e">
            <v>#N/A</v>
          </cell>
          <cell r="H471" t="e">
            <v>#N/A</v>
          </cell>
          <cell r="I471" t="e">
            <v>#N/A</v>
          </cell>
          <cell r="J471" t="e">
            <v>#N/A</v>
          </cell>
          <cell r="K471" t="e">
            <v>#N/A</v>
          </cell>
          <cell r="L471" t="e">
            <v>#N/A</v>
          </cell>
          <cell r="M471" t="e">
            <v>#N/A</v>
          </cell>
          <cell r="N471" t="e">
            <v>#N/A</v>
          </cell>
          <cell r="O471" t="e">
            <v>#N/A</v>
          </cell>
          <cell r="P471">
            <v>14.87</v>
          </cell>
          <cell r="Q471">
            <v>1.3099069999999999</v>
          </cell>
          <cell r="R471" t="e">
            <v>#N/A</v>
          </cell>
        </row>
        <row r="472">
          <cell r="A472">
            <v>40654</v>
          </cell>
          <cell r="B472">
            <v>40654</v>
          </cell>
          <cell r="C472" t="str">
            <v>Past</v>
          </cell>
          <cell r="D472">
            <v>14.9</v>
          </cell>
          <cell r="E472" t="e">
            <v>#N/A</v>
          </cell>
          <cell r="F472" t="e">
            <v>#N/A</v>
          </cell>
          <cell r="G472" t="e">
            <v>#N/A</v>
          </cell>
          <cell r="H472" t="e">
            <v>#N/A</v>
          </cell>
          <cell r="I472" t="e">
            <v>#N/A</v>
          </cell>
          <cell r="J472" t="e">
            <v>#N/A</v>
          </cell>
          <cell r="K472" t="e">
            <v>#N/A</v>
          </cell>
          <cell r="L472" t="e">
            <v>#N/A</v>
          </cell>
          <cell r="M472" t="e">
            <v>#N/A</v>
          </cell>
          <cell r="N472" t="e">
            <v>#N/A</v>
          </cell>
          <cell r="O472" t="e">
            <v>#N/A</v>
          </cell>
          <cell r="P472">
            <v>14.9</v>
          </cell>
          <cell r="Q472">
            <v>0.91618899999999992</v>
          </cell>
          <cell r="R472" t="e">
            <v>#N/A</v>
          </cell>
        </row>
        <row r="473">
          <cell r="A473">
            <v>40658</v>
          </cell>
          <cell r="B473">
            <v>40658</v>
          </cell>
          <cell r="C473" t="str">
            <v>Past</v>
          </cell>
          <cell r="D473">
            <v>14.89</v>
          </cell>
          <cell r="E473" t="e">
            <v>#N/A</v>
          </cell>
          <cell r="F473" t="e">
            <v>#N/A</v>
          </cell>
          <cell r="G473" t="e">
            <v>#N/A</v>
          </cell>
          <cell r="H473" t="e">
            <v>#N/A</v>
          </cell>
          <cell r="I473" t="e">
            <v>#N/A</v>
          </cell>
          <cell r="J473" t="e">
            <v>#N/A</v>
          </cell>
          <cell r="K473" t="e">
            <v>#N/A</v>
          </cell>
          <cell r="L473" t="e">
            <v>#N/A</v>
          </cell>
          <cell r="M473" t="e">
            <v>#N/A</v>
          </cell>
          <cell r="N473" t="e">
            <v>#N/A</v>
          </cell>
          <cell r="O473" t="e">
            <v>#N/A</v>
          </cell>
          <cell r="P473">
            <v>14.89</v>
          </cell>
          <cell r="Q473">
            <v>0.50272499999999998</v>
          </cell>
          <cell r="R473" t="e">
            <v>#N/A</v>
          </cell>
        </row>
        <row r="474">
          <cell r="A474">
            <v>40659</v>
          </cell>
          <cell r="B474">
            <v>40659</v>
          </cell>
          <cell r="C474" t="str">
            <v>Past</v>
          </cell>
          <cell r="D474">
            <v>14.99</v>
          </cell>
          <cell r="E474" t="e">
            <v>#N/A</v>
          </cell>
          <cell r="F474" t="e">
            <v>#N/A</v>
          </cell>
          <cell r="G474" t="e">
            <v>#N/A</v>
          </cell>
          <cell r="H474" t="e">
            <v>#N/A</v>
          </cell>
          <cell r="I474" t="e">
            <v>#N/A</v>
          </cell>
          <cell r="J474" t="e">
            <v>#N/A</v>
          </cell>
          <cell r="K474" t="e">
            <v>#N/A</v>
          </cell>
          <cell r="L474" t="e">
            <v>#N/A</v>
          </cell>
          <cell r="M474" t="e">
            <v>#N/A</v>
          </cell>
          <cell r="N474" t="e">
            <v>#N/A</v>
          </cell>
          <cell r="O474" t="e">
            <v>#N/A</v>
          </cell>
          <cell r="P474">
            <v>14.99</v>
          </cell>
          <cell r="Q474">
            <v>1.0861239999999999</v>
          </cell>
          <cell r="R474" t="e">
            <v>#N/A</v>
          </cell>
        </row>
        <row r="475">
          <cell r="A475">
            <v>40660</v>
          </cell>
          <cell r="B475">
            <v>40660</v>
          </cell>
          <cell r="C475" t="str">
            <v>Past</v>
          </cell>
          <cell r="D475">
            <v>15.02</v>
          </cell>
          <cell r="E475" t="e">
            <v>#N/A</v>
          </cell>
          <cell r="F475" t="e">
            <v>#N/A</v>
          </cell>
          <cell r="G475" t="e">
            <v>#N/A</v>
          </cell>
          <cell r="H475" t="e">
            <v>#N/A</v>
          </cell>
          <cell r="I475" t="e">
            <v>#N/A</v>
          </cell>
          <cell r="J475" t="e">
            <v>#N/A</v>
          </cell>
          <cell r="K475" t="e">
            <v>#N/A</v>
          </cell>
          <cell r="L475" t="e">
            <v>#N/A</v>
          </cell>
          <cell r="M475" t="e">
            <v>#N/A</v>
          </cell>
          <cell r="N475" t="e">
            <v>#N/A</v>
          </cell>
          <cell r="O475" t="e">
            <v>#N/A</v>
          </cell>
          <cell r="P475">
            <v>15.02</v>
          </cell>
          <cell r="Q475">
            <v>1.3666639999999999</v>
          </cell>
          <cell r="R475" t="e">
            <v>#N/A</v>
          </cell>
        </row>
        <row r="476">
          <cell r="A476">
            <v>40661</v>
          </cell>
          <cell r="B476">
            <v>40661</v>
          </cell>
          <cell r="C476" t="str">
            <v>Past</v>
          </cell>
          <cell r="D476">
            <v>15.13</v>
          </cell>
          <cell r="E476" t="e">
            <v>#N/A</v>
          </cell>
          <cell r="F476" t="e">
            <v>#N/A</v>
          </cell>
          <cell r="G476" t="e">
            <v>#N/A</v>
          </cell>
          <cell r="H476" t="e">
            <v>#N/A</v>
          </cell>
          <cell r="I476" t="e">
            <v>#N/A</v>
          </cell>
          <cell r="J476" t="e">
            <v>#N/A</v>
          </cell>
          <cell r="K476" t="e">
            <v>#N/A</v>
          </cell>
          <cell r="L476" t="e">
            <v>#N/A</v>
          </cell>
          <cell r="M476" t="e">
            <v>#N/A</v>
          </cell>
          <cell r="N476" t="e">
            <v>#N/A</v>
          </cell>
          <cell r="O476" t="e">
            <v>#N/A</v>
          </cell>
          <cell r="P476">
            <v>15.13</v>
          </cell>
          <cell r="Q476">
            <v>3.1455869999999999</v>
          </cell>
          <cell r="R476" t="e">
            <v>#N/A</v>
          </cell>
        </row>
        <row r="477">
          <cell r="A477">
            <v>40662</v>
          </cell>
          <cell r="B477">
            <v>40662</v>
          </cell>
          <cell r="C477" t="str">
            <v>Past</v>
          </cell>
          <cell r="D477">
            <v>15.19</v>
          </cell>
          <cell r="E477" t="e">
            <v>#N/A</v>
          </cell>
          <cell r="F477" t="e">
            <v>#N/A</v>
          </cell>
          <cell r="G477" t="e">
            <v>#N/A</v>
          </cell>
          <cell r="H477" t="e">
            <v>#N/A</v>
          </cell>
          <cell r="I477" t="e">
            <v>#N/A</v>
          </cell>
          <cell r="J477" t="e">
            <v>#N/A</v>
          </cell>
          <cell r="K477" t="e">
            <v>#N/A</v>
          </cell>
          <cell r="L477" t="e">
            <v>#N/A</v>
          </cell>
          <cell r="M477" t="e">
            <v>#N/A</v>
          </cell>
          <cell r="N477" t="e">
            <v>#N/A</v>
          </cell>
          <cell r="O477" t="e">
            <v>#N/A</v>
          </cell>
          <cell r="P477">
            <v>15.19</v>
          </cell>
          <cell r="Q477">
            <v>1.173627</v>
          </cell>
          <cell r="R477" t="e">
            <v>#N/A</v>
          </cell>
        </row>
        <row r="478">
          <cell r="A478">
            <v>40665</v>
          </cell>
          <cell r="B478">
            <v>40665</v>
          </cell>
          <cell r="C478" t="str">
            <v>Past</v>
          </cell>
          <cell r="D478">
            <v>15.23</v>
          </cell>
          <cell r="E478" t="e">
            <v>#N/A</v>
          </cell>
          <cell r="F478" t="e">
            <v>#N/A</v>
          </cell>
          <cell r="G478" t="e">
            <v>#N/A</v>
          </cell>
          <cell r="H478" t="e">
            <v>#N/A</v>
          </cell>
          <cell r="I478" t="e">
            <v>#N/A</v>
          </cell>
          <cell r="J478" t="e">
            <v>#N/A</v>
          </cell>
          <cell r="K478" t="e">
            <v>#N/A</v>
          </cell>
          <cell r="L478" t="e">
            <v>#N/A</v>
          </cell>
          <cell r="M478" t="e">
            <v>#N/A</v>
          </cell>
          <cell r="N478" t="e">
            <v>#N/A</v>
          </cell>
          <cell r="O478" t="e">
            <v>#N/A</v>
          </cell>
          <cell r="P478">
            <v>15.23</v>
          </cell>
          <cell r="Q478">
            <v>1.4589559999999999</v>
          </cell>
          <cell r="R478" t="e">
            <v>#N/A</v>
          </cell>
        </row>
        <row r="479">
          <cell r="A479">
            <v>40666</v>
          </cell>
          <cell r="B479">
            <v>40666</v>
          </cell>
          <cell r="C479" t="str">
            <v>Past</v>
          </cell>
          <cell r="D479">
            <v>15.35</v>
          </cell>
          <cell r="E479" t="e">
            <v>#N/A</v>
          </cell>
          <cell r="F479" t="e">
            <v>#N/A</v>
          </cell>
          <cell r="G479" t="e">
            <v>#N/A</v>
          </cell>
          <cell r="H479" t="e">
            <v>#N/A</v>
          </cell>
          <cell r="I479" t="e">
            <v>#N/A</v>
          </cell>
          <cell r="J479" t="e">
            <v>#N/A</v>
          </cell>
          <cell r="K479" t="e">
            <v>#N/A</v>
          </cell>
          <cell r="L479" t="e">
            <v>#N/A</v>
          </cell>
          <cell r="M479" t="e">
            <v>#N/A</v>
          </cell>
          <cell r="N479" t="e">
            <v>#N/A</v>
          </cell>
          <cell r="O479" t="e">
            <v>#N/A</v>
          </cell>
          <cell r="P479">
            <v>15.35</v>
          </cell>
          <cell r="Q479">
            <v>1.2028179999999999</v>
          </cell>
          <cell r="R479" t="e">
            <v>#N/A</v>
          </cell>
        </row>
        <row r="480">
          <cell r="A480">
            <v>40667</v>
          </cell>
          <cell r="B480">
            <v>40667</v>
          </cell>
          <cell r="C480" t="str">
            <v>Past</v>
          </cell>
          <cell r="D480">
            <v>15.35</v>
          </cell>
          <cell r="E480" t="e">
            <v>#N/A</v>
          </cell>
          <cell r="F480" t="e">
            <v>#N/A</v>
          </cell>
          <cell r="G480" t="e">
            <v>#N/A</v>
          </cell>
          <cell r="H480" t="e">
            <v>#N/A</v>
          </cell>
          <cell r="I480" t="e">
            <v>#N/A</v>
          </cell>
          <cell r="J480" t="e">
            <v>#N/A</v>
          </cell>
          <cell r="K480" t="e">
            <v>#N/A</v>
          </cell>
          <cell r="L480" t="e">
            <v>#N/A</v>
          </cell>
          <cell r="M480" t="e">
            <v>#N/A</v>
          </cell>
          <cell r="N480" t="e">
            <v>#N/A</v>
          </cell>
          <cell r="O480" t="e">
            <v>#N/A</v>
          </cell>
          <cell r="P480">
            <v>15.35</v>
          </cell>
          <cell r="Q480">
            <v>1.497406</v>
          </cell>
          <cell r="R480" t="e">
            <v>#N/A</v>
          </cell>
        </row>
        <row r="481">
          <cell r="A481">
            <v>40668</v>
          </cell>
          <cell r="B481">
            <v>40668</v>
          </cell>
          <cell r="C481" t="str">
            <v>Past</v>
          </cell>
          <cell r="D481">
            <v>15.32</v>
          </cell>
          <cell r="E481" t="e">
            <v>#N/A</v>
          </cell>
          <cell r="F481" t="e">
            <v>#N/A</v>
          </cell>
          <cell r="G481" t="e">
            <v>#N/A</v>
          </cell>
          <cell r="H481" t="e">
            <v>#N/A</v>
          </cell>
          <cell r="I481" t="e">
            <v>#N/A</v>
          </cell>
          <cell r="J481" t="e">
            <v>#N/A</v>
          </cell>
          <cell r="K481" t="e">
            <v>#N/A</v>
          </cell>
          <cell r="L481" t="e">
            <v>#N/A</v>
          </cell>
          <cell r="M481" t="e">
            <v>#N/A</v>
          </cell>
          <cell r="N481" t="e">
            <v>#N/A</v>
          </cell>
          <cell r="O481" t="e">
            <v>#N/A</v>
          </cell>
          <cell r="P481">
            <v>15.32</v>
          </cell>
          <cell r="Q481">
            <v>1.251004</v>
          </cell>
          <cell r="R481" t="e">
            <v>#N/A</v>
          </cell>
        </row>
        <row r="482">
          <cell r="A482">
            <v>40669</v>
          </cell>
          <cell r="B482">
            <v>40669</v>
          </cell>
          <cell r="C482" t="str">
            <v>Past</v>
          </cell>
          <cell r="D482">
            <v>15.45</v>
          </cell>
          <cell r="E482" t="e">
            <v>#N/A</v>
          </cell>
          <cell r="F482" t="e">
            <v>#N/A</v>
          </cell>
          <cell r="G482" t="e">
            <v>#N/A</v>
          </cell>
          <cell r="H482" t="e">
            <v>#N/A</v>
          </cell>
          <cell r="I482" t="e">
            <v>#N/A</v>
          </cell>
          <cell r="J482" t="e">
            <v>#N/A</v>
          </cell>
          <cell r="K482" t="e">
            <v>#N/A</v>
          </cell>
          <cell r="L482" t="e">
            <v>#N/A</v>
          </cell>
          <cell r="M482" t="e">
            <v>#N/A</v>
          </cell>
          <cell r="N482" t="e">
            <v>#N/A</v>
          </cell>
          <cell r="O482" t="e">
            <v>#N/A</v>
          </cell>
          <cell r="P482">
            <v>15.45</v>
          </cell>
          <cell r="Q482">
            <v>1.1364030000000001</v>
          </cell>
          <cell r="R482" t="e">
            <v>#N/A</v>
          </cell>
        </row>
        <row r="483">
          <cell r="A483">
            <v>40672</v>
          </cell>
          <cell r="B483">
            <v>40672</v>
          </cell>
          <cell r="C483" t="str">
            <v>Past</v>
          </cell>
          <cell r="D483">
            <v>15.47</v>
          </cell>
          <cell r="E483" t="e">
            <v>#N/A</v>
          </cell>
          <cell r="F483" t="e">
            <v>#N/A</v>
          </cell>
          <cell r="G483" t="e">
            <v>#N/A</v>
          </cell>
          <cell r="H483" t="e">
            <v>#N/A</v>
          </cell>
          <cell r="I483" t="e">
            <v>#N/A</v>
          </cell>
          <cell r="J483" t="e">
            <v>#N/A</v>
          </cell>
          <cell r="K483" t="e">
            <v>#N/A</v>
          </cell>
          <cell r="L483" t="e">
            <v>#N/A</v>
          </cell>
          <cell r="M483" t="e">
            <v>#N/A</v>
          </cell>
          <cell r="N483" t="e">
            <v>#N/A</v>
          </cell>
          <cell r="O483" t="e">
            <v>#N/A</v>
          </cell>
          <cell r="P483">
            <v>15.47</v>
          </cell>
          <cell r="Q483">
            <v>0.66692499999999999</v>
          </cell>
          <cell r="R483" t="e">
            <v>#N/A</v>
          </cell>
        </row>
        <row r="484">
          <cell r="A484">
            <v>40673</v>
          </cell>
          <cell r="B484">
            <v>40673</v>
          </cell>
          <cell r="C484" t="str">
            <v>Past</v>
          </cell>
          <cell r="D484">
            <v>15.73</v>
          </cell>
          <cell r="E484" t="e">
            <v>#N/A</v>
          </cell>
          <cell r="F484" t="e">
            <v>#N/A</v>
          </cell>
          <cell r="G484" t="e">
            <v>#N/A</v>
          </cell>
          <cell r="H484" t="e">
            <v>#N/A</v>
          </cell>
          <cell r="I484" t="e">
            <v>#N/A</v>
          </cell>
          <cell r="J484" t="e">
            <v>#N/A</v>
          </cell>
          <cell r="K484" t="e">
            <v>#N/A</v>
          </cell>
          <cell r="L484" t="e">
            <v>#N/A</v>
          </cell>
          <cell r="M484" t="e">
            <v>#N/A</v>
          </cell>
          <cell r="N484" t="e">
            <v>#N/A</v>
          </cell>
          <cell r="O484" t="e">
            <v>#N/A</v>
          </cell>
          <cell r="P484">
            <v>15.73</v>
          </cell>
          <cell r="Q484">
            <v>1.8866289999999999</v>
          </cell>
          <cell r="R484" t="e">
            <v>#N/A</v>
          </cell>
        </row>
        <row r="485">
          <cell r="A485">
            <v>40674</v>
          </cell>
          <cell r="B485">
            <v>40674</v>
          </cell>
          <cell r="C485" t="str">
            <v>Past</v>
          </cell>
          <cell r="D485">
            <v>15.7</v>
          </cell>
          <cell r="E485" t="e">
            <v>#N/A</v>
          </cell>
          <cell r="F485" t="e">
            <v>#N/A</v>
          </cell>
          <cell r="G485" t="e">
            <v>#N/A</v>
          </cell>
          <cell r="H485" t="e">
            <v>#N/A</v>
          </cell>
          <cell r="I485" t="e">
            <v>#N/A</v>
          </cell>
          <cell r="J485" t="e">
            <v>#N/A</v>
          </cell>
          <cell r="K485" t="e">
            <v>#N/A</v>
          </cell>
          <cell r="L485" t="e">
            <v>#N/A</v>
          </cell>
          <cell r="M485" t="e">
            <v>#N/A</v>
          </cell>
          <cell r="N485" t="e">
            <v>#N/A</v>
          </cell>
          <cell r="O485" t="e">
            <v>#N/A</v>
          </cell>
          <cell r="P485">
            <v>15.7</v>
          </cell>
          <cell r="Q485">
            <v>1.11927</v>
          </cell>
          <cell r="R485" t="e">
            <v>#N/A</v>
          </cell>
        </row>
        <row r="486">
          <cell r="A486">
            <v>40675</v>
          </cell>
          <cell r="B486">
            <v>40675</v>
          </cell>
          <cell r="C486" t="str">
            <v>Past</v>
          </cell>
          <cell r="D486">
            <v>15.84</v>
          </cell>
          <cell r="E486" t="e">
            <v>#N/A</v>
          </cell>
          <cell r="F486" t="e">
            <v>#N/A</v>
          </cell>
          <cell r="G486" t="e">
            <v>#N/A</v>
          </cell>
          <cell r="H486" t="e">
            <v>#N/A</v>
          </cell>
          <cell r="I486" t="e">
            <v>#N/A</v>
          </cell>
          <cell r="J486" t="e">
            <v>#N/A</v>
          </cell>
          <cell r="K486" t="e">
            <v>#N/A</v>
          </cell>
          <cell r="L486" t="e">
            <v>#N/A</v>
          </cell>
          <cell r="M486" t="e">
            <v>#N/A</v>
          </cell>
          <cell r="N486" t="e">
            <v>#N/A</v>
          </cell>
          <cell r="O486" t="e">
            <v>#N/A</v>
          </cell>
          <cell r="P486">
            <v>15.84</v>
          </cell>
          <cell r="Q486">
            <v>1.401851</v>
          </cell>
          <cell r="R486" t="e">
            <v>#N/A</v>
          </cell>
        </row>
        <row r="487">
          <cell r="A487">
            <v>40676</v>
          </cell>
          <cell r="B487">
            <v>40676</v>
          </cell>
          <cell r="C487" t="str">
            <v>Past</v>
          </cell>
          <cell r="D487">
            <v>15.73</v>
          </cell>
          <cell r="E487" t="e">
            <v>#N/A</v>
          </cell>
          <cell r="F487" t="e">
            <v>#N/A</v>
          </cell>
          <cell r="G487" t="e">
            <v>#N/A</v>
          </cell>
          <cell r="H487" t="e">
            <v>#N/A</v>
          </cell>
          <cell r="I487" t="e">
            <v>#N/A</v>
          </cell>
          <cell r="J487" t="e">
            <v>#N/A</v>
          </cell>
          <cell r="K487" t="e">
            <v>#N/A</v>
          </cell>
          <cell r="L487" t="e">
            <v>#N/A</v>
          </cell>
          <cell r="M487" t="e">
            <v>#N/A</v>
          </cell>
          <cell r="N487" t="e">
            <v>#N/A</v>
          </cell>
          <cell r="O487" t="e">
            <v>#N/A</v>
          </cell>
          <cell r="P487">
            <v>15.73</v>
          </cell>
          <cell r="Q487">
            <v>1.107809</v>
          </cell>
          <cell r="R487" t="e">
            <v>#N/A</v>
          </cell>
        </row>
        <row r="488">
          <cell r="A488">
            <v>40679</v>
          </cell>
          <cell r="B488">
            <v>40679</v>
          </cell>
          <cell r="C488" t="str">
            <v>Past</v>
          </cell>
          <cell r="D488">
            <v>15.68</v>
          </cell>
          <cell r="E488" t="e">
            <v>#N/A</v>
          </cell>
          <cell r="F488" t="e">
            <v>#N/A</v>
          </cell>
          <cell r="G488" t="e">
            <v>#N/A</v>
          </cell>
          <cell r="H488" t="e">
            <v>#N/A</v>
          </cell>
          <cell r="I488" t="e">
            <v>#N/A</v>
          </cell>
          <cell r="J488" t="e">
            <v>#N/A</v>
          </cell>
          <cell r="K488" t="e">
            <v>#N/A</v>
          </cell>
          <cell r="L488" t="e">
            <v>#N/A</v>
          </cell>
          <cell r="M488" t="e">
            <v>#N/A</v>
          </cell>
          <cell r="N488" t="e">
            <v>#N/A</v>
          </cell>
          <cell r="O488" t="e">
            <v>#N/A</v>
          </cell>
          <cell r="P488">
            <v>15.68</v>
          </cell>
          <cell r="Q488">
            <v>0.97081499999999998</v>
          </cell>
          <cell r="R488" t="e">
            <v>#N/A</v>
          </cell>
        </row>
        <row r="489">
          <cell r="A489">
            <v>40680</v>
          </cell>
          <cell r="B489">
            <v>40680</v>
          </cell>
          <cell r="C489" t="str">
            <v>Past</v>
          </cell>
          <cell r="D489">
            <v>15.7</v>
          </cell>
          <cell r="E489" t="e">
            <v>#N/A</v>
          </cell>
          <cell r="F489" t="e">
            <v>#N/A</v>
          </cell>
          <cell r="G489" t="e">
            <v>#N/A</v>
          </cell>
          <cell r="H489" t="e">
            <v>#N/A</v>
          </cell>
          <cell r="I489" t="e">
            <v>#N/A</v>
          </cell>
          <cell r="J489" t="e">
            <v>#N/A</v>
          </cell>
          <cell r="K489" t="e">
            <v>#N/A</v>
          </cell>
          <cell r="L489" t="e">
            <v>#N/A</v>
          </cell>
          <cell r="M489" t="e">
            <v>#N/A</v>
          </cell>
          <cell r="N489" t="e">
            <v>#N/A</v>
          </cell>
          <cell r="O489" t="e">
            <v>#N/A</v>
          </cell>
          <cell r="P489">
            <v>15.7</v>
          </cell>
          <cell r="Q489">
            <v>1.0844129999999998</v>
          </cell>
          <cell r="R489" t="e">
            <v>#N/A</v>
          </cell>
        </row>
        <row r="490">
          <cell r="A490">
            <v>40681</v>
          </cell>
          <cell r="B490">
            <v>40681</v>
          </cell>
          <cell r="C490" t="str">
            <v>Past</v>
          </cell>
          <cell r="D490">
            <v>15.74</v>
          </cell>
          <cell r="E490" t="e">
            <v>#N/A</v>
          </cell>
          <cell r="F490" t="e">
            <v>#N/A</v>
          </cell>
          <cell r="G490" t="e">
            <v>#N/A</v>
          </cell>
          <cell r="H490" t="e">
            <v>#N/A</v>
          </cell>
          <cell r="I490" t="e">
            <v>#N/A</v>
          </cell>
          <cell r="J490" t="e">
            <v>#N/A</v>
          </cell>
          <cell r="K490" t="e">
            <v>#N/A</v>
          </cell>
          <cell r="L490" t="e">
            <v>#N/A</v>
          </cell>
          <cell r="M490" t="e">
            <v>#N/A</v>
          </cell>
          <cell r="N490" t="e">
            <v>#N/A</v>
          </cell>
          <cell r="O490" t="e">
            <v>#N/A</v>
          </cell>
          <cell r="P490">
            <v>15.74</v>
          </cell>
          <cell r="Q490">
            <v>1.2470839999999999</v>
          </cell>
          <cell r="R490" t="e">
            <v>#N/A</v>
          </cell>
        </row>
        <row r="491">
          <cell r="A491">
            <v>40682</v>
          </cell>
          <cell r="B491">
            <v>40682</v>
          </cell>
          <cell r="C491" t="str">
            <v>Past</v>
          </cell>
          <cell r="D491">
            <v>15.83</v>
          </cell>
          <cell r="E491" t="e">
            <v>#N/A</v>
          </cell>
          <cell r="F491" t="e">
            <v>#N/A</v>
          </cell>
          <cell r="G491" t="e">
            <v>#N/A</v>
          </cell>
          <cell r="H491" t="e">
            <v>#N/A</v>
          </cell>
          <cell r="I491" t="e">
            <v>#N/A</v>
          </cell>
          <cell r="J491" t="e">
            <v>#N/A</v>
          </cell>
          <cell r="K491" t="e">
            <v>#N/A</v>
          </cell>
          <cell r="L491" t="e">
            <v>#N/A</v>
          </cell>
          <cell r="M491" t="e">
            <v>#N/A</v>
          </cell>
          <cell r="N491" t="e">
            <v>#N/A</v>
          </cell>
          <cell r="O491" t="e">
            <v>#N/A</v>
          </cell>
          <cell r="P491">
            <v>15.83</v>
          </cell>
          <cell r="Q491">
            <v>1.4872179999999999</v>
          </cell>
          <cell r="R491" t="e">
            <v>#N/A</v>
          </cell>
        </row>
        <row r="492">
          <cell r="A492">
            <v>40683</v>
          </cell>
          <cell r="B492">
            <v>40683</v>
          </cell>
          <cell r="C492" t="str">
            <v>Past</v>
          </cell>
          <cell r="D492">
            <v>15.89</v>
          </cell>
          <cell r="E492" t="e">
            <v>#N/A</v>
          </cell>
          <cell r="F492" t="e">
            <v>#N/A</v>
          </cell>
          <cell r="G492" t="e">
            <v>#N/A</v>
          </cell>
          <cell r="H492" t="e">
            <v>#N/A</v>
          </cell>
          <cell r="I492" t="e">
            <v>#N/A</v>
          </cell>
          <cell r="J492" t="e">
            <v>#N/A</v>
          </cell>
          <cell r="K492" t="e">
            <v>#N/A</v>
          </cell>
          <cell r="L492" t="e">
            <v>#N/A</v>
          </cell>
          <cell r="M492" t="e">
            <v>#N/A</v>
          </cell>
          <cell r="N492" t="e">
            <v>#N/A</v>
          </cell>
          <cell r="O492" t="e">
            <v>#N/A</v>
          </cell>
          <cell r="P492">
            <v>15.89</v>
          </cell>
          <cell r="Q492">
            <v>1.526613</v>
          </cell>
          <cell r="R492" t="e">
            <v>#N/A</v>
          </cell>
        </row>
        <row r="493">
          <cell r="A493">
            <v>40686</v>
          </cell>
          <cell r="B493">
            <v>40686</v>
          </cell>
          <cell r="C493" t="str">
            <v>Past</v>
          </cell>
          <cell r="D493">
            <v>15.58</v>
          </cell>
          <cell r="E493" t="e">
            <v>#N/A</v>
          </cell>
          <cell r="F493" t="e">
            <v>#N/A</v>
          </cell>
          <cell r="G493" t="e">
            <v>#N/A</v>
          </cell>
          <cell r="H493" t="e">
            <v>#N/A</v>
          </cell>
          <cell r="I493" t="e">
            <v>#N/A</v>
          </cell>
          <cell r="J493" t="e">
            <v>#N/A</v>
          </cell>
          <cell r="K493" t="e">
            <v>#N/A</v>
          </cell>
          <cell r="L493" t="e">
            <v>#N/A</v>
          </cell>
          <cell r="M493" t="e">
            <v>#N/A</v>
          </cell>
          <cell r="N493" t="e">
            <v>#N/A</v>
          </cell>
          <cell r="O493" t="e">
            <v>#N/A</v>
          </cell>
          <cell r="P493">
            <v>15.58</v>
          </cell>
          <cell r="Q493">
            <v>0.90938699999999995</v>
          </cell>
          <cell r="R493" t="e">
            <v>#N/A</v>
          </cell>
        </row>
        <row r="494">
          <cell r="A494">
            <v>40687</v>
          </cell>
          <cell r="B494">
            <v>40687</v>
          </cell>
          <cell r="C494" t="str">
            <v>Past</v>
          </cell>
          <cell r="D494">
            <v>15.45</v>
          </cell>
          <cell r="E494" t="e">
            <v>#N/A</v>
          </cell>
          <cell r="F494" t="e">
            <v>#N/A</v>
          </cell>
          <cell r="G494" t="e">
            <v>#N/A</v>
          </cell>
          <cell r="H494" t="e">
            <v>#N/A</v>
          </cell>
          <cell r="I494" t="e">
            <v>#N/A</v>
          </cell>
          <cell r="J494" t="e">
            <v>#N/A</v>
          </cell>
          <cell r="K494" t="e">
            <v>#N/A</v>
          </cell>
          <cell r="L494" t="e">
            <v>#N/A</v>
          </cell>
          <cell r="M494" t="e">
            <v>#N/A</v>
          </cell>
          <cell r="N494" t="e">
            <v>#N/A</v>
          </cell>
          <cell r="O494" t="e">
            <v>#N/A</v>
          </cell>
          <cell r="P494">
            <v>15.45</v>
          </cell>
          <cell r="Q494">
            <v>1.10145</v>
          </cell>
          <cell r="R494" t="e">
            <v>#N/A</v>
          </cell>
        </row>
        <row r="495">
          <cell r="A495">
            <v>40688</v>
          </cell>
          <cell r="B495">
            <v>40688</v>
          </cell>
          <cell r="C495" t="str">
            <v>Past</v>
          </cell>
          <cell r="D495">
            <v>15.44</v>
          </cell>
          <cell r="E495" t="e">
            <v>#N/A</v>
          </cell>
          <cell r="F495" t="e">
            <v>#N/A</v>
          </cell>
          <cell r="G495" t="e">
            <v>#N/A</v>
          </cell>
          <cell r="H495" t="e">
            <v>#N/A</v>
          </cell>
          <cell r="I495" t="e">
            <v>#N/A</v>
          </cell>
          <cell r="J495" t="e">
            <v>#N/A</v>
          </cell>
          <cell r="K495" t="e">
            <v>#N/A</v>
          </cell>
          <cell r="L495" t="e">
            <v>#N/A</v>
          </cell>
          <cell r="M495" t="e">
            <v>#N/A</v>
          </cell>
          <cell r="N495" t="e">
            <v>#N/A</v>
          </cell>
          <cell r="O495" t="e">
            <v>#N/A</v>
          </cell>
          <cell r="P495">
            <v>15.44</v>
          </cell>
          <cell r="Q495">
            <v>0.66003800000000001</v>
          </cell>
          <cell r="R495" t="e">
            <v>#N/A</v>
          </cell>
        </row>
        <row r="496">
          <cell r="A496">
            <v>40689</v>
          </cell>
          <cell r="B496">
            <v>40689</v>
          </cell>
          <cell r="C496" t="str">
            <v>Past</v>
          </cell>
          <cell r="D496">
            <v>15.54</v>
          </cell>
          <cell r="E496" t="e">
            <v>#N/A</v>
          </cell>
          <cell r="F496" t="e">
            <v>#N/A</v>
          </cell>
          <cell r="G496" t="e">
            <v>#N/A</v>
          </cell>
          <cell r="H496" t="e">
            <v>#N/A</v>
          </cell>
          <cell r="I496" t="e">
            <v>#N/A</v>
          </cell>
          <cell r="J496" t="e">
            <v>#N/A</v>
          </cell>
          <cell r="K496" t="e">
            <v>#N/A</v>
          </cell>
          <cell r="L496" t="e">
            <v>#N/A</v>
          </cell>
          <cell r="M496" t="e">
            <v>#N/A</v>
          </cell>
          <cell r="N496" t="e">
            <v>#N/A</v>
          </cell>
          <cell r="O496" t="e">
            <v>#N/A</v>
          </cell>
          <cell r="P496">
            <v>15.54</v>
          </cell>
          <cell r="Q496">
            <v>1.0232129999999999</v>
          </cell>
          <cell r="R496" t="e">
            <v>#N/A</v>
          </cell>
        </row>
        <row r="497">
          <cell r="A497">
            <v>40690</v>
          </cell>
          <cell r="B497">
            <v>40690</v>
          </cell>
          <cell r="C497" t="str">
            <v>Past</v>
          </cell>
          <cell r="D497">
            <v>15.54</v>
          </cell>
          <cell r="E497" t="e">
            <v>#N/A</v>
          </cell>
          <cell r="F497" t="e">
            <v>#N/A</v>
          </cell>
          <cell r="G497" t="e">
            <v>#N/A</v>
          </cell>
          <cell r="H497" t="e">
            <v>#N/A</v>
          </cell>
          <cell r="I497" t="e">
            <v>#N/A</v>
          </cell>
          <cell r="J497" t="e">
            <v>#N/A</v>
          </cell>
          <cell r="K497" t="e">
            <v>#N/A</v>
          </cell>
          <cell r="L497" t="e">
            <v>#N/A</v>
          </cell>
          <cell r="M497" t="e">
            <v>#N/A</v>
          </cell>
          <cell r="N497" t="e">
            <v>#N/A</v>
          </cell>
          <cell r="O497" t="e">
            <v>#N/A</v>
          </cell>
          <cell r="P497">
            <v>15.54</v>
          </cell>
          <cell r="Q497">
            <v>0.67053600000000002</v>
          </cell>
          <cell r="R497" t="e">
            <v>#N/A</v>
          </cell>
        </row>
        <row r="498">
          <cell r="A498">
            <v>40694</v>
          </cell>
          <cell r="B498">
            <v>40694</v>
          </cell>
          <cell r="C498" t="str">
            <v>Past</v>
          </cell>
          <cell r="D498">
            <v>15.77</v>
          </cell>
          <cell r="E498" t="e">
            <v>#N/A</v>
          </cell>
          <cell r="F498" t="e">
            <v>#N/A</v>
          </cell>
          <cell r="G498" t="e">
            <v>#N/A</v>
          </cell>
          <cell r="H498" t="e">
            <v>#N/A</v>
          </cell>
          <cell r="I498" t="e">
            <v>#N/A</v>
          </cell>
          <cell r="J498" t="e">
            <v>#N/A</v>
          </cell>
          <cell r="K498" t="e">
            <v>#N/A</v>
          </cell>
          <cell r="L498" t="e">
            <v>#N/A</v>
          </cell>
          <cell r="M498" t="e">
            <v>#N/A</v>
          </cell>
          <cell r="N498" t="e">
            <v>#N/A</v>
          </cell>
          <cell r="O498" t="e">
            <v>#N/A</v>
          </cell>
          <cell r="P498">
            <v>15.77</v>
          </cell>
          <cell r="Q498">
            <v>1.214715</v>
          </cell>
          <cell r="R498" t="e">
            <v>#N/A</v>
          </cell>
        </row>
        <row r="499">
          <cell r="A499">
            <v>40695</v>
          </cell>
          <cell r="B499">
            <v>40695</v>
          </cell>
          <cell r="C499" t="str">
            <v>Past</v>
          </cell>
          <cell r="D499">
            <v>15.54</v>
          </cell>
          <cell r="E499" t="e">
            <v>#N/A</v>
          </cell>
          <cell r="F499" t="e">
            <v>#N/A</v>
          </cell>
          <cell r="G499" t="e">
            <v>#N/A</v>
          </cell>
          <cell r="H499" t="e">
            <v>#N/A</v>
          </cell>
          <cell r="I499" t="e">
            <v>#N/A</v>
          </cell>
          <cell r="J499" t="e">
            <v>#N/A</v>
          </cell>
          <cell r="K499" t="e">
            <v>#N/A</v>
          </cell>
          <cell r="L499" t="e">
            <v>#N/A</v>
          </cell>
          <cell r="M499" t="e">
            <v>#N/A</v>
          </cell>
          <cell r="N499" t="e">
            <v>#N/A</v>
          </cell>
          <cell r="O499" t="e">
            <v>#N/A</v>
          </cell>
          <cell r="P499">
            <v>15.54</v>
          </cell>
          <cell r="Q499">
            <v>1.767245</v>
          </cell>
          <cell r="R499" t="e">
            <v>#N/A</v>
          </cell>
        </row>
        <row r="500">
          <cell r="A500">
            <v>40696</v>
          </cell>
          <cell r="B500">
            <v>40696</v>
          </cell>
          <cell r="C500" t="str">
            <v>Past</v>
          </cell>
          <cell r="D500">
            <v>15.48</v>
          </cell>
          <cell r="E500" t="e">
            <v>#N/A</v>
          </cell>
          <cell r="F500" t="e">
            <v>#N/A</v>
          </cell>
          <cell r="G500" t="e">
            <v>#N/A</v>
          </cell>
          <cell r="H500" t="e">
            <v>#N/A</v>
          </cell>
          <cell r="I500" t="e">
            <v>#N/A</v>
          </cell>
          <cell r="J500" t="e">
            <v>#N/A</v>
          </cell>
          <cell r="K500" t="e">
            <v>#N/A</v>
          </cell>
          <cell r="L500" t="e">
            <v>#N/A</v>
          </cell>
          <cell r="M500" t="e">
            <v>#N/A</v>
          </cell>
          <cell r="N500" t="e">
            <v>#N/A</v>
          </cell>
          <cell r="O500" t="e">
            <v>#N/A</v>
          </cell>
          <cell r="P500">
            <v>15.48</v>
          </cell>
          <cell r="Q500">
            <v>1.4389000000000001</v>
          </cell>
          <cell r="R500" t="e">
            <v>#N/A</v>
          </cell>
        </row>
        <row r="501">
          <cell r="A501">
            <v>40697</v>
          </cell>
          <cell r="B501">
            <v>40697</v>
          </cell>
          <cell r="C501" t="str">
            <v>Past</v>
          </cell>
          <cell r="D501">
            <v>15.21</v>
          </cell>
          <cell r="E501" t="e">
            <v>#N/A</v>
          </cell>
          <cell r="F501" t="e">
            <v>#N/A</v>
          </cell>
          <cell r="G501" t="e">
            <v>#N/A</v>
          </cell>
          <cell r="H501" t="e">
            <v>#N/A</v>
          </cell>
          <cell r="I501" t="e">
            <v>#N/A</v>
          </cell>
          <cell r="J501" t="e">
            <v>#N/A</v>
          </cell>
          <cell r="K501" t="e">
            <v>#N/A</v>
          </cell>
          <cell r="L501" t="e">
            <v>#N/A</v>
          </cell>
          <cell r="M501" t="e">
            <v>#N/A</v>
          </cell>
          <cell r="N501" t="e">
            <v>#N/A</v>
          </cell>
          <cell r="O501" t="e">
            <v>#N/A</v>
          </cell>
          <cell r="P501">
            <v>15.21</v>
          </cell>
          <cell r="Q501">
            <v>1.2053719999999999</v>
          </cell>
          <cell r="R501" t="e">
            <v>#N/A</v>
          </cell>
        </row>
        <row r="502">
          <cell r="A502">
            <v>40700</v>
          </cell>
          <cell r="B502">
            <v>40700</v>
          </cell>
          <cell r="C502" t="str">
            <v>Past</v>
          </cell>
          <cell r="D502">
            <v>15.03</v>
          </cell>
          <cell r="E502" t="e">
            <v>#N/A</v>
          </cell>
          <cell r="F502" t="e">
            <v>#N/A</v>
          </cell>
          <cell r="G502" t="e">
            <v>#N/A</v>
          </cell>
          <cell r="H502" t="e">
            <v>#N/A</v>
          </cell>
          <cell r="I502" t="e">
            <v>#N/A</v>
          </cell>
          <cell r="J502" t="e">
            <v>#N/A</v>
          </cell>
          <cell r="K502" t="e">
            <v>#N/A</v>
          </cell>
          <cell r="L502" t="e">
            <v>#N/A</v>
          </cell>
          <cell r="M502" t="e">
            <v>#N/A</v>
          </cell>
          <cell r="N502" t="e">
            <v>#N/A</v>
          </cell>
          <cell r="O502" t="e">
            <v>#N/A</v>
          </cell>
          <cell r="P502">
            <v>15.03</v>
          </cell>
          <cell r="Q502">
            <v>1.5388409999999999</v>
          </cell>
          <cell r="R502" t="e">
            <v>#N/A</v>
          </cell>
        </row>
        <row r="503">
          <cell r="A503">
            <v>40701</v>
          </cell>
          <cell r="B503">
            <v>40701</v>
          </cell>
          <cell r="C503" t="str">
            <v>Past</v>
          </cell>
          <cell r="D503">
            <v>15.2</v>
          </cell>
          <cell r="E503" t="e">
            <v>#N/A</v>
          </cell>
          <cell r="F503" t="e">
            <v>#N/A</v>
          </cell>
          <cell r="G503" t="e">
            <v>#N/A</v>
          </cell>
          <cell r="H503" t="e">
            <v>#N/A</v>
          </cell>
          <cell r="I503" t="e">
            <v>#N/A</v>
          </cell>
          <cell r="J503" t="e">
            <v>#N/A</v>
          </cell>
          <cell r="K503" t="e">
            <v>#N/A</v>
          </cell>
          <cell r="L503" t="e">
            <v>#N/A</v>
          </cell>
          <cell r="M503" t="e">
            <v>#N/A</v>
          </cell>
          <cell r="N503" t="e">
            <v>#N/A</v>
          </cell>
          <cell r="O503" t="e">
            <v>#N/A</v>
          </cell>
          <cell r="P503">
            <v>15.2</v>
          </cell>
          <cell r="Q503">
            <v>3.3628109999999998</v>
          </cell>
          <cell r="R503" t="e">
            <v>#N/A</v>
          </cell>
        </row>
        <row r="504">
          <cell r="A504">
            <v>40702</v>
          </cell>
          <cell r="B504">
            <v>40702</v>
          </cell>
          <cell r="C504" t="str">
            <v>Past</v>
          </cell>
          <cell r="D504">
            <v>15.55</v>
          </cell>
          <cell r="E504" t="e">
            <v>#N/A</v>
          </cell>
          <cell r="F504" t="e">
            <v>#N/A</v>
          </cell>
          <cell r="G504" t="e">
            <v>#N/A</v>
          </cell>
          <cell r="H504" t="e">
            <v>#N/A</v>
          </cell>
          <cell r="I504" t="e">
            <v>#N/A</v>
          </cell>
          <cell r="J504" t="e">
            <v>#N/A</v>
          </cell>
          <cell r="K504" t="e">
            <v>#N/A</v>
          </cell>
          <cell r="L504" t="e">
            <v>#N/A</v>
          </cell>
          <cell r="M504" t="e">
            <v>#N/A</v>
          </cell>
          <cell r="N504" t="e">
            <v>#N/A</v>
          </cell>
          <cell r="O504" t="e">
            <v>#N/A</v>
          </cell>
          <cell r="P504">
            <v>15.55</v>
          </cell>
          <cell r="Q504">
            <v>3.4263000000000003</v>
          </cell>
          <cell r="R504" t="e">
            <v>#N/A</v>
          </cell>
        </row>
        <row r="505">
          <cell r="A505">
            <v>40703</v>
          </cell>
          <cell r="B505">
            <v>40703</v>
          </cell>
          <cell r="C505" t="str">
            <v>Past</v>
          </cell>
          <cell r="D505">
            <v>15.38</v>
          </cell>
          <cell r="E505" t="e">
            <v>#N/A</v>
          </cell>
          <cell r="F505" t="e">
            <v>#N/A</v>
          </cell>
          <cell r="G505" t="e">
            <v>#N/A</v>
          </cell>
          <cell r="H505" t="e">
            <v>#N/A</v>
          </cell>
          <cell r="I505" t="e">
            <v>#N/A</v>
          </cell>
          <cell r="J505" t="e">
            <v>#N/A</v>
          </cell>
          <cell r="K505" t="e">
            <v>#N/A</v>
          </cell>
          <cell r="L505" t="e">
            <v>#N/A</v>
          </cell>
          <cell r="M505" t="e">
            <v>#N/A</v>
          </cell>
          <cell r="N505" t="e">
            <v>#N/A</v>
          </cell>
          <cell r="O505" t="e">
            <v>#N/A</v>
          </cell>
          <cell r="P505">
            <v>15.38</v>
          </cell>
          <cell r="Q505">
            <v>4.3216890000000001</v>
          </cell>
          <cell r="R505" t="e">
            <v>#N/A</v>
          </cell>
        </row>
        <row r="506">
          <cell r="A506">
            <v>40704</v>
          </cell>
          <cell r="B506">
            <v>40704</v>
          </cell>
          <cell r="C506" t="str">
            <v>Past</v>
          </cell>
          <cell r="D506">
            <v>15.69</v>
          </cell>
          <cell r="E506" t="e">
            <v>#N/A</v>
          </cell>
          <cell r="F506" t="e">
            <v>#N/A</v>
          </cell>
          <cell r="G506" t="e">
            <v>#N/A</v>
          </cell>
          <cell r="H506" t="e">
            <v>#N/A</v>
          </cell>
          <cell r="I506" t="e">
            <v>#N/A</v>
          </cell>
          <cell r="J506" t="e">
            <v>#N/A</v>
          </cell>
          <cell r="K506" t="e">
            <v>#N/A</v>
          </cell>
          <cell r="L506" t="e">
            <v>#N/A</v>
          </cell>
          <cell r="M506" t="e">
            <v>#N/A</v>
          </cell>
          <cell r="N506" t="e">
            <v>#N/A</v>
          </cell>
          <cell r="O506" t="e">
            <v>#N/A</v>
          </cell>
          <cell r="P506">
            <v>15.69</v>
          </cell>
          <cell r="Q506">
            <v>4.2505619999999995</v>
          </cell>
          <cell r="R506" t="e">
            <v>#N/A</v>
          </cell>
        </row>
        <row r="507">
          <cell r="A507">
            <v>40707</v>
          </cell>
          <cell r="B507">
            <v>40707</v>
          </cell>
          <cell r="C507" t="str">
            <v>Past</v>
          </cell>
          <cell r="D507">
            <v>15.65</v>
          </cell>
          <cell r="E507" t="e">
            <v>#N/A</v>
          </cell>
          <cell r="F507" t="e">
            <v>#N/A</v>
          </cell>
          <cell r="G507" t="e">
            <v>#N/A</v>
          </cell>
          <cell r="H507" t="e">
            <v>#N/A</v>
          </cell>
          <cell r="I507" t="e">
            <v>#N/A</v>
          </cell>
          <cell r="J507" t="e">
            <v>#N/A</v>
          </cell>
          <cell r="K507" t="e">
            <v>#N/A</v>
          </cell>
          <cell r="L507" t="e">
            <v>#N/A</v>
          </cell>
          <cell r="M507" t="e">
            <v>#N/A</v>
          </cell>
          <cell r="N507" t="e">
            <v>#N/A</v>
          </cell>
          <cell r="O507" t="e">
            <v>#N/A</v>
          </cell>
          <cell r="P507">
            <v>15.65</v>
          </cell>
          <cell r="Q507">
            <v>4.1095300000000003</v>
          </cell>
          <cell r="R507" t="e">
            <v>#N/A</v>
          </cell>
        </row>
        <row r="508">
          <cell r="A508">
            <v>40708</v>
          </cell>
          <cell r="B508">
            <v>40708</v>
          </cell>
          <cell r="C508" t="str">
            <v>Past</v>
          </cell>
          <cell r="D508">
            <v>15.54</v>
          </cell>
          <cell r="E508" t="e">
            <v>#N/A</v>
          </cell>
          <cell r="F508" t="e">
            <v>#N/A</v>
          </cell>
          <cell r="G508" t="e">
            <v>#N/A</v>
          </cell>
          <cell r="H508" t="e">
            <v>#N/A</v>
          </cell>
          <cell r="I508" t="e">
            <v>#N/A</v>
          </cell>
          <cell r="J508" t="e">
            <v>#N/A</v>
          </cell>
          <cell r="K508" t="e">
            <v>#N/A</v>
          </cell>
          <cell r="L508" t="e">
            <v>#N/A</v>
          </cell>
          <cell r="M508" t="e">
            <v>#N/A</v>
          </cell>
          <cell r="N508" t="e">
            <v>#N/A</v>
          </cell>
          <cell r="O508" t="e">
            <v>#N/A</v>
          </cell>
          <cell r="P508">
            <v>15.54</v>
          </cell>
          <cell r="Q508">
            <v>4.4835189999999994</v>
          </cell>
          <cell r="R508" t="e">
            <v>#N/A</v>
          </cell>
        </row>
        <row r="509">
          <cell r="A509">
            <v>40709</v>
          </cell>
          <cell r="B509">
            <v>40709</v>
          </cell>
          <cell r="C509" t="str">
            <v>Past</v>
          </cell>
          <cell r="D509">
            <v>15.37</v>
          </cell>
          <cell r="E509" t="e">
            <v>#N/A</v>
          </cell>
          <cell r="F509" t="e">
            <v>#N/A</v>
          </cell>
          <cell r="G509" t="e">
            <v>#N/A</v>
          </cell>
          <cell r="H509" t="e">
            <v>#N/A</v>
          </cell>
          <cell r="I509" t="e">
            <v>#N/A</v>
          </cell>
          <cell r="J509" t="e">
            <v>#N/A</v>
          </cell>
          <cell r="K509" t="e">
            <v>#N/A</v>
          </cell>
          <cell r="L509" t="e">
            <v>#N/A</v>
          </cell>
          <cell r="M509" t="e">
            <v>#N/A</v>
          </cell>
          <cell r="N509" t="e">
            <v>#N/A</v>
          </cell>
          <cell r="O509" t="e">
            <v>#N/A</v>
          </cell>
          <cell r="P509">
            <v>15.37</v>
          </cell>
          <cell r="Q509">
            <v>2.9629879999999997</v>
          </cell>
          <cell r="R509" t="e">
            <v>#N/A</v>
          </cell>
        </row>
        <row r="510">
          <cell r="A510">
            <v>40710</v>
          </cell>
          <cell r="B510">
            <v>40710</v>
          </cell>
          <cell r="C510" t="str">
            <v>Past</v>
          </cell>
          <cell r="D510">
            <v>15.4</v>
          </cell>
          <cell r="E510" t="e">
            <v>#N/A</v>
          </cell>
          <cell r="F510" t="e">
            <v>#N/A</v>
          </cell>
          <cell r="G510" t="e">
            <v>#N/A</v>
          </cell>
          <cell r="H510" t="e">
            <v>#N/A</v>
          </cell>
          <cell r="I510" t="e">
            <v>#N/A</v>
          </cell>
          <cell r="J510" t="e">
            <v>#N/A</v>
          </cell>
          <cell r="K510" t="e">
            <v>#N/A</v>
          </cell>
          <cell r="L510" t="e">
            <v>#N/A</v>
          </cell>
          <cell r="M510" t="e">
            <v>#N/A</v>
          </cell>
          <cell r="N510" t="e">
            <v>#N/A</v>
          </cell>
          <cell r="O510" t="e">
            <v>#N/A</v>
          </cell>
          <cell r="P510">
            <v>15.4</v>
          </cell>
          <cell r="Q510">
            <v>2.338606</v>
          </cell>
          <cell r="R510" t="e">
            <v>#N/A</v>
          </cell>
        </row>
        <row r="511">
          <cell r="A511">
            <v>40711</v>
          </cell>
          <cell r="B511">
            <v>40711</v>
          </cell>
          <cell r="C511" t="str">
            <v>Past</v>
          </cell>
          <cell r="D511">
            <v>15.45</v>
          </cell>
          <cell r="E511" t="e">
            <v>#N/A</v>
          </cell>
          <cell r="F511" t="e">
            <v>#N/A</v>
          </cell>
          <cell r="G511" t="e">
            <v>#N/A</v>
          </cell>
          <cell r="H511" t="e">
            <v>#N/A</v>
          </cell>
          <cell r="I511" t="e">
            <v>#N/A</v>
          </cell>
          <cell r="J511" t="e">
            <v>#N/A</v>
          </cell>
          <cell r="K511" t="e">
            <v>#N/A</v>
          </cell>
          <cell r="L511" t="e">
            <v>#N/A</v>
          </cell>
          <cell r="M511" t="e">
            <v>#N/A</v>
          </cell>
          <cell r="N511" t="e">
            <v>#N/A</v>
          </cell>
          <cell r="O511" t="e">
            <v>#N/A</v>
          </cell>
          <cell r="P511">
            <v>15.45</v>
          </cell>
          <cell r="Q511">
            <v>2.8604409999999998</v>
          </cell>
          <cell r="R511" t="e">
            <v>#N/A</v>
          </cell>
        </row>
        <row r="512">
          <cell r="A512">
            <v>40714</v>
          </cell>
          <cell r="B512">
            <v>40714</v>
          </cell>
          <cell r="C512" t="str">
            <v>Past</v>
          </cell>
          <cell r="D512">
            <v>15.4</v>
          </cell>
          <cell r="E512" t="e">
            <v>#N/A</v>
          </cell>
          <cell r="F512" t="e">
            <v>#N/A</v>
          </cell>
          <cell r="G512" t="e">
            <v>#N/A</v>
          </cell>
          <cell r="H512" t="e">
            <v>#N/A</v>
          </cell>
          <cell r="I512" t="e">
            <v>#N/A</v>
          </cell>
          <cell r="J512" t="e">
            <v>#N/A</v>
          </cell>
          <cell r="K512" t="e">
            <v>#N/A</v>
          </cell>
          <cell r="L512" t="e">
            <v>#N/A</v>
          </cell>
          <cell r="M512" t="e">
            <v>#N/A</v>
          </cell>
          <cell r="N512" t="e">
            <v>#N/A</v>
          </cell>
          <cell r="O512" t="e">
            <v>#N/A</v>
          </cell>
          <cell r="P512">
            <v>15.4</v>
          </cell>
          <cell r="Q512">
            <v>3.7483</v>
          </cell>
          <cell r="R512" t="e">
            <v>#N/A</v>
          </cell>
        </row>
        <row r="513">
          <cell r="A513">
            <v>40715</v>
          </cell>
          <cell r="B513">
            <v>40715</v>
          </cell>
          <cell r="C513" t="str">
            <v>Past</v>
          </cell>
          <cell r="D513">
            <v>15.5</v>
          </cell>
          <cell r="E513" t="e">
            <v>#N/A</v>
          </cell>
          <cell r="F513" t="e">
            <v>#N/A</v>
          </cell>
          <cell r="G513" t="e">
            <v>#N/A</v>
          </cell>
          <cell r="H513" t="e">
            <v>#N/A</v>
          </cell>
          <cell r="I513" t="e">
            <v>#N/A</v>
          </cell>
          <cell r="J513" t="e">
            <v>#N/A</v>
          </cell>
          <cell r="K513" t="e">
            <v>#N/A</v>
          </cell>
          <cell r="L513" t="e">
            <v>#N/A</v>
          </cell>
          <cell r="M513" t="e">
            <v>#N/A</v>
          </cell>
          <cell r="N513" t="e">
            <v>#N/A</v>
          </cell>
          <cell r="O513" t="e">
            <v>#N/A</v>
          </cell>
          <cell r="P513">
            <v>15.5</v>
          </cell>
          <cell r="Q513">
            <v>4.0320909999999994</v>
          </cell>
          <cell r="R513" t="e">
            <v>#N/A</v>
          </cell>
        </row>
        <row r="514">
          <cell r="A514">
            <v>40716</v>
          </cell>
          <cell r="B514">
            <v>40716</v>
          </cell>
          <cell r="C514" t="str">
            <v>Past</v>
          </cell>
          <cell r="D514">
            <v>15.32</v>
          </cell>
          <cell r="E514" t="e">
            <v>#N/A</v>
          </cell>
          <cell r="F514" t="e">
            <v>#N/A</v>
          </cell>
          <cell r="G514" t="e">
            <v>#N/A</v>
          </cell>
          <cell r="H514" t="e">
            <v>#N/A</v>
          </cell>
          <cell r="I514" t="e">
            <v>#N/A</v>
          </cell>
          <cell r="J514" t="e">
            <v>#N/A</v>
          </cell>
          <cell r="K514" t="e">
            <v>#N/A</v>
          </cell>
          <cell r="L514" t="e">
            <v>#N/A</v>
          </cell>
          <cell r="M514" t="e">
            <v>#N/A</v>
          </cell>
          <cell r="N514" t="e">
            <v>#N/A</v>
          </cell>
          <cell r="O514" t="e">
            <v>#N/A</v>
          </cell>
          <cell r="P514">
            <v>15.32</v>
          </cell>
          <cell r="Q514">
            <v>2.2638000000000003</v>
          </cell>
          <cell r="R514" t="e">
            <v>#N/A</v>
          </cell>
        </row>
        <row r="515">
          <cell r="A515">
            <v>40717</v>
          </cell>
          <cell r="B515">
            <v>40717</v>
          </cell>
          <cell r="C515" t="str">
            <v>Past</v>
          </cell>
          <cell r="D515">
            <v>15.1</v>
          </cell>
          <cell r="E515" t="e">
            <v>#N/A</v>
          </cell>
          <cell r="F515" t="e">
            <v>#N/A</v>
          </cell>
          <cell r="G515" t="e">
            <v>#N/A</v>
          </cell>
          <cell r="H515" t="e">
            <v>#N/A</v>
          </cell>
          <cell r="I515" t="e">
            <v>#N/A</v>
          </cell>
          <cell r="J515" t="e">
            <v>#N/A</v>
          </cell>
          <cell r="K515" t="e">
            <v>#N/A</v>
          </cell>
          <cell r="L515" t="e">
            <v>#N/A</v>
          </cell>
          <cell r="M515" t="e">
            <v>#N/A</v>
          </cell>
          <cell r="N515" t="e">
            <v>#N/A</v>
          </cell>
          <cell r="O515" t="e">
            <v>#N/A</v>
          </cell>
          <cell r="P515">
            <v>15.1</v>
          </cell>
          <cell r="Q515">
            <v>3.6845919999999999</v>
          </cell>
          <cell r="R515" t="e">
            <v>#N/A</v>
          </cell>
        </row>
        <row r="516">
          <cell r="A516">
            <v>40718</v>
          </cell>
          <cell r="B516">
            <v>40718</v>
          </cell>
          <cell r="C516" t="str">
            <v>Past</v>
          </cell>
          <cell r="D516">
            <v>15.1</v>
          </cell>
          <cell r="E516" t="e">
            <v>#N/A</v>
          </cell>
          <cell r="F516" t="e">
            <v>#N/A</v>
          </cell>
          <cell r="G516" t="e">
            <v>#N/A</v>
          </cell>
          <cell r="H516" t="e">
            <v>#N/A</v>
          </cell>
          <cell r="I516" t="e">
            <v>#N/A</v>
          </cell>
          <cell r="J516" t="e">
            <v>#N/A</v>
          </cell>
          <cell r="K516" t="e">
            <v>#N/A</v>
          </cell>
          <cell r="L516" t="e">
            <v>#N/A</v>
          </cell>
          <cell r="M516" t="e">
            <v>#N/A</v>
          </cell>
          <cell r="N516" t="e">
            <v>#N/A</v>
          </cell>
          <cell r="O516" t="e">
            <v>#N/A</v>
          </cell>
          <cell r="P516">
            <v>15.1</v>
          </cell>
          <cell r="Q516">
            <v>2.8938419999999998</v>
          </cell>
          <cell r="R516" t="e">
            <v>#N/A</v>
          </cell>
        </row>
        <row r="517">
          <cell r="A517">
            <v>40721</v>
          </cell>
          <cell r="B517">
            <v>40721</v>
          </cell>
          <cell r="C517" t="str">
            <v>Past</v>
          </cell>
          <cell r="D517">
            <v>15.23</v>
          </cell>
          <cell r="E517" t="e">
            <v>#N/A</v>
          </cell>
          <cell r="F517" t="e">
            <v>#N/A</v>
          </cell>
          <cell r="G517" t="e">
            <v>#N/A</v>
          </cell>
          <cell r="H517" t="e">
            <v>#N/A</v>
          </cell>
          <cell r="I517" t="e">
            <v>#N/A</v>
          </cell>
          <cell r="J517" t="e">
            <v>#N/A</v>
          </cell>
          <cell r="K517" t="e">
            <v>#N/A</v>
          </cell>
          <cell r="L517" t="e">
            <v>#N/A</v>
          </cell>
          <cell r="M517" t="e">
            <v>#N/A</v>
          </cell>
          <cell r="N517" t="e">
            <v>#N/A</v>
          </cell>
          <cell r="O517" t="e">
            <v>#N/A</v>
          </cell>
          <cell r="P517">
            <v>15.23</v>
          </cell>
          <cell r="Q517">
            <v>1.7149000000000001</v>
          </cell>
          <cell r="R517" t="e">
            <v>#N/A</v>
          </cell>
        </row>
        <row r="518">
          <cell r="A518">
            <v>40722</v>
          </cell>
          <cell r="B518">
            <v>40722</v>
          </cell>
          <cell r="C518" t="str">
            <v>Past</v>
          </cell>
          <cell r="D518">
            <v>15.24</v>
          </cell>
          <cell r="E518" t="e">
            <v>#N/A</v>
          </cell>
          <cell r="F518" t="e">
            <v>#N/A</v>
          </cell>
          <cell r="G518" t="e">
            <v>#N/A</v>
          </cell>
          <cell r="H518" t="e">
            <v>#N/A</v>
          </cell>
          <cell r="I518" t="e">
            <v>#N/A</v>
          </cell>
          <cell r="J518" t="e">
            <v>#N/A</v>
          </cell>
          <cell r="K518" t="e">
            <v>#N/A</v>
          </cell>
          <cell r="L518" t="e">
            <v>#N/A</v>
          </cell>
          <cell r="M518" t="e">
            <v>#N/A</v>
          </cell>
          <cell r="N518" t="e">
            <v>#N/A</v>
          </cell>
          <cell r="O518" t="e">
            <v>#N/A</v>
          </cell>
          <cell r="P518">
            <v>15.24</v>
          </cell>
          <cell r="Q518">
            <v>2.6037949999999999</v>
          </cell>
          <cell r="R518" t="e">
            <v>#N/A</v>
          </cell>
        </row>
        <row r="519">
          <cell r="A519">
            <v>40723</v>
          </cell>
          <cell r="B519">
            <v>40723</v>
          </cell>
          <cell r="C519" t="str">
            <v>Past</v>
          </cell>
          <cell r="D519">
            <v>15.31</v>
          </cell>
          <cell r="E519" t="e">
            <v>#N/A</v>
          </cell>
          <cell r="F519" t="e">
            <v>#N/A</v>
          </cell>
          <cell r="G519" t="e">
            <v>#N/A</v>
          </cell>
          <cell r="H519" t="e">
            <v>#N/A</v>
          </cell>
          <cell r="I519" t="e">
            <v>#N/A</v>
          </cell>
          <cell r="J519" t="e">
            <v>#N/A</v>
          </cell>
          <cell r="K519" t="e">
            <v>#N/A</v>
          </cell>
          <cell r="L519" t="e">
            <v>#N/A</v>
          </cell>
          <cell r="M519" t="e">
            <v>#N/A</v>
          </cell>
          <cell r="N519" t="e">
            <v>#N/A</v>
          </cell>
          <cell r="O519" t="e">
            <v>#N/A</v>
          </cell>
          <cell r="P519">
            <v>15.31</v>
          </cell>
          <cell r="Q519">
            <v>2.3394059999999999</v>
          </cell>
          <cell r="R519" t="e">
            <v>#N/A</v>
          </cell>
        </row>
        <row r="520">
          <cell r="A520">
            <v>40724</v>
          </cell>
          <cell r="B520">
            <v>40724</v>
          </cell>
          <cell r="C520" t="str">
            <v>Past</v>
          </cell>
          <cell r="D520">
            <v>15.35</v>
          </cell>
          <cell r="E520" t="e">
            <v>#N/A</v>
          </cell>
          <cell r="F520" t="e">
            <v>#N/A</v>
          </cell>
          <cell r="G520" t="e">
            <v>#N/A</v>
          </cell>
          <cell r="H520" t="e">
            <v>#N/A</v>
          </cell>
          <cell r="I520" t="e">
            <v>#N/A</v>
          </cell>
          <cell r="J520" t="e">
            <v>#N/A</v>
          </cell>
          <cell r="K520" t="e">
            <v>#N/A</v>
          </cell>
          <cell r="L520" t="e">
            <v>#N/A</v>
          </cell>
          <cell r="M520" t="e">
            <v>#N/A</v>
          </cell>
          <cell r="N520" t="e">
            <v>#N/A</v>
          </cell>
          <cell r="O520" t="e">
            <v>#N/A</v>
          </cell>
          <cell r="P520">
            <v>15.35</v>
          </cell>
          <cell r="Q520">
            <v>2.2514089999999998</v>
          </cell>
          <cell r="R520" t="e">
            <v>#N/A</v>
          </cell>
        </row>
        <row r="521">
          <cell r="A521">
            <v>40725</v>
          </cell>
          <cell r="B521">
            <v>40725</v>
          </cell>
          <cell r="C521" t="str">
            <v>Past</v>
          </cell>
          <cell r="D521">
            <v>15.59</v>
          </cell>
          <cell r="E521" t="e">
            <v>#N/A</v>
          </cell>
          <cell r="F521" t="e">
            <v>#N/A</v>
          </cell>
          <cell r="G521" t="e">
            <v>#N/A</v>
          </cell>
          <cell r="H521" t="e">
            <v>#N/A</v>
          </cell>
          <cell r="I521" t="e">
            <v>#N/A</v>
          </cell>
          <cell r="J521" t="e">
            <v>#N/A</v>
          </cell>
          <cell r="K521" t="e">
            <v>#N/A</v>
          </cell>
          <cell r="L521" t="e">
            <v>#N/A</v>
          </cell>
          <cell r="M521" t="e">
            <v>#N/A</v>
          </cell>
          <cell r="N521" t="e">
            <v>#N/A</v>
          </cell>
          <cell r="O521" t="e">
            <v>#N/A</v>
          </cell>
          <cell r="P521">
            <v>15.59</v>
          </cell>
          <cell r="Q521">
            <v>1.3990500000000001</v>
          </cell>
          <cell r="R521" t="e">
            <v>#N/A</v>
          </cell>
        </row>
        <row r="522">
          <cell r="A522">
            <v>40729</v>
          </cell>
          <cell r="B522">
            <v>40729</v>
          </cell>
          <cell r="C522" t="str">
            <v>Past</v>
          </cell>
          <cell r="D522">
            <v>15.55</v>
          </cell>
          <cell r="E522" t="e">
            <v>#N/A</v>
          </cell>
          <cell r="F522" t="e">
            <v>#N/A</v>
          </cell>
          <cell r="G522" t="e">
            <v>#N/A</v>
          </cell>
          <cell r="H522" t="e">
            <v>#N/A</v>
          </cell>
          <cell r="I522" t="e">
            <v>#N/A</v>
          </cell>
          <cell r="J522" t="e">
            <v>#N/A</v>
          </cell>
          <cell r="K522" t="e">
            <v>#N/A</v>
          </cell>
          <cell r="L522" t="e">
            <v>#N/A</v>
          </cell>
          <cell r="M522" t="e">
            <v>#N/A</v>
          </cell>
          <cell r="N522" t="e">
            <v>#N/A</v>
          </cell>
          <cell r="O522" t="e">
            <v>#N/A</v>
          </cell>
          <cell r="P522">
            <v>15.55</v>
          </cell>
          <cell r="Q522">
            <v>1.5489000000000002</v>
          </cell>
          <cell r="R522" t="e">
            <v>#N/A</v>
          </cell>
        </row>
        <row r="523">
          <cell r="A523">
            <v>40730</v>
          </cell>
          <cell r="B523">
            <v>40730</v>
          </cell>
          <cell r="C523" t="str">
            <v>Past</v>
          </cell>
          <cell r="D523">
            <v>15.59</v>
          </cell>
          <cell r="E523" t="e">
            <v>#N/A</v>
          </cell>
          <cell r="F523" t="e">
            <v>#N/A</v>
          </cell>
          <cell r="G523" t="e">
            <v>#N/A</v>
          </cell>
          <cell r="H523" t="e">
            <v>#N/A</v>
          </cell>
          <cell r="I523" t="e">
            <v>#N/A</v>
          </cell>
          <cell r="J523" t="e">
            <v>#N/A</v>
          </cell>
          <cell r="K523" t="e">
            <v>#N/A</v>
          </cell>
          <cell r="L523" t="e">
            <v>#N/A</v>
          </cell>
          <cell r="M523" t="e">
            <v>#N/A</v>
          </cell>
          <cell r="N523" t="e">
            <v>#N/A</v>
          </cell>
          <cell r="O523" t="e">
            <v>#N/A</v>
          </cell>
          <cell r="P523">
            <v>15.59</v>
          </cell>
          <cell r="Q523">
            <v>1.2207249999999998</v>
          </cell>
          <cell r="R523" t="e">
            <v>#N/A</v>
          </cell>
        </row>
        <row r="524">
          <cell r="A524">
            <v>40731</v>
          </cell>
          <cell r="B524">
            <v>40731</v>
          </cell>
          <cell r="C524" t="str">
            <v>Past</v>
          </cell>
          <cell r="D524">
            <v>15.61</v>
          </cell>
          <cell r="E524" t="e">
            <v>#N/A</v>
          </cell>
          <cell r="F524" t="e">
            <v>#N/A</v>
          </cell>
          <cell r="G524" t="e">
            <v>#N/A</v>
          </cell>
          <cell r="H524" t="e">
            <v>#N/A</v>
          </cell>
          <cell r="I524" t="e">
            <v>#N/A</v>
          </cell>
          <cell r="J524" t="e">
            <v>#N/A</v>
          </cell>
          <cell r="K524" t="e">
            <v>#N/A</v>
          </cell>
          <cell r="L524" t="e">
            <v>#N/A</v>
          </cell>
          <cell r="M524" t="e">
            <v>#N/A</v>
          </cell>
          <cell r="N524" t="e">
            <v>#N/A</v>
          </cell>
          <cell r="O524" t="e">
            <v>#N/A</v>
          </cell>
          <cell r="P524">
            <v>15.61</v>
          </cell>
          <cell r="Q524">
            <v>1.3784529999999999</v>
          </cell>
          <cell r="R524" t="e">
            <v>#N/A</v>
          </cell>
        </row>
        <row r="525">
          <cell r="A525">
            <v>40732</v>
          </cell>
          <cell r="B525">
            <v>40732</v>
          </cell>
          <cell r="C525" t="str">
            <v>Past</v>
          </cell>
          <cell r="D525">
            <v>15.51</v>
          </cell>
          <cell r="E525" t="e">
            <v>#N/A</v>
          </cell>
          <cell r="F525" t="e">
            <v>#N/A</v>
          </cell>
          <cell r="G525" t="e">
            <v>#N/A</v>
          </cell>
          <cell r="H525" t="e">
            <v>#N/A</v>
          </cell>
          <cell r="I525" t="e">
            <v>#N/A</v>
          </cell>
          <cell r="J525" t="e">
            <v>#N/A</v>
          </cell>
          <cell r="K525" t="e">
            <v>#N/A</v>
          </cell>
          <cell r="L525" t="e">
            <v>#N/A</v>
          </cell>
          <cell r="M525" t="e">
            <v>#N/A</v>
          </cell>
          <cell r="N525" t="e">
            <v>#N/A</v>
          </cell>
          <cell r="O525" t="e">
            <v>#N/A</v>
          </cell>
          <cell r="P525">
            <v>15.51</v>
          </cell>
          <cell r="Q525">
            <v>1.8003829999999998</v>
          </cell>
          <cell r="R525" t="e">
            <v>#N/A</v>
          </cell>
        </row>
        <row r="526">
          <cell r="A526">
            <v>40735</v>
          </cell>
          <cell r="B526">
            <v>40735</v>
          </cell>
          <cell r="C526" t="str">
            <v>Past</v>
          </cell>
          <cell r="D526">
            <v>15.24</v>
          </cell>
          <cell r="E526" t="e">
            <v>#N/A</v>
          </cell>
          <cell r="F526" t="e">
            <v>#N/A</v>
          </cell>
          <cell r="G526" t="e">
            <v>#N/A</v>
          </cell>
          <cell r="H526" t="e">
            <v>#N/A</v>
          </cell>
          <cell r="I526" t="e">
            <v>#N/A</v>
          </cell>
          <cell r="J526" t="e">
            <v>#N/A</v>
          </cell>
          <cell r="K526" t="e">
            <v>#N/A</v>
          </cell>
          <cell r="L526" t="e">
            <v>#N/A</v>
          </cell>
          <cell r="M526" t="e">
            <v>#N/A</v>
          </cell>
          <cell r="N526" t="e">
            <v>#N/A</v>
          </cell>
          <cell r="O526" t="e">
            <v>#N/A</v>
          </cell>
          <cell r="P526">
            <v>15.24</v>
          </cell>
          <cell r="Q526">
            <v>1.3767149999999999</v>
          </cell>
          <cell r="R526" t="e">
            <v>#N/A</v>
          </cell>
        </row>
        <row r="527">
          <cell r="A527">
            <v>40736</v>
          </cell>
          <cell r="B527">
            <v>40736</v>
          </cell>
          <cell r="C527" t="str">
            <v>Past</v>
          </cell>
          <cell r="D527">
            <v>15.29</v>
          </cell>
          <cell r="E527" t="e">
            <v>#N/A</v>
          </cell>
          <cell r="F527" t="e">
            <v>#N/A</v>
          </cell>
          <cell r="G527" t="e">
            <v>#N/A</v>
          </cell>
          <cell r="H527" t="e">
            <v>#N/A</v>
          </cell>
          <cell r="I527" t="e">
            <v>#N/A</v>
          </cell>
          <cell r="J527" t="e">
            <v>#N/A</v>
          </cell>
          <cell r="K527" t="e">
            <v>#N/A</v>
          </cell>
          <cell r="L527" t="e">
            <v>#N/A</v>
          </cell>
          <cell r="M527" t="e">
            <v>#N/A</v>
          </cell>
          <cell r="N527" t="e">
            <v>#N/A</v>
          </cell>
          <cell r="O527" t="e">
            <v>#N/A</v>
          </cell>
          <cell r="P527">
            <v>15.29</v>
          </cell>
          <cell r="Q527">
            <v>1.7635969999999999</v>
          </cell>
          <cell r="R527" t="e">
            <v>#N/A</v>
          </cell>
        </row>
        <row r="528">
          <cell r="A528">
            <v>40737</v>
          </cell>
          <cell r="B528">
            <v>40737</v>
          </cell>
          <cell r="C528" t="str">
            <v>Past</v>
          </cell>
          <cell r="D528">
            <v>15.3</v>
          </cell>
          <cell r="E528" t="e">
            <v>#N/A</v>
          </cell>
          <cell r="F528" t="e">
            <v>#N/A</v>
          </cell>
          <cell r="G528" t="e">
            <v>#N/A</v>
          </cell>
          <cell r="H528" t="e">
            <v>#N/A</v>
          </cell>
          <cell r="I528" t="e">
            <v>#N/A</v>
          </cell>
          <cell r="J528" t="e">
            <v>#N/A</v>
          </cell>
          <cell r="K528" t="e">
            <v>#N/A</v>
          </cell>
          <cell r="L528" t="e">
            <v>#N/A</v>
          </cell>
          <cell r="M528" t="e">
            <v>#N/A</v>
          </cell>
          <cell r="N528" t="e">
            <v>#N/A</v>
          </cell>
          <cell r="O528" t="e">
            <v>#N/A</v>
          </cell>
          <cell r="P528">
            <v>15.3</v>
          </cell>
          <cell r="Q528">
            <v>1.718731</v>
          </cell>
          <cell r="R528" t="e">
            <v>#N/A</v>
          </cell>
        </row>
        <row r="529">
          <cell r="A529">
            <v>40738</v>
          </cell>
          <cell r="B529">
            <v>40738</v>
          </cell>
          <cell r="C529" t="str">
            <v>Past</v>
          </cell>
          <cell r="D529">
            <v>15.16</v>
          </cell>
          <cell r="E529" t="e">
            <v>#N/A</v>
          </cell>
          <cell r="F529" t="e">
            <v>#N/A</v>
          </cell>
          <cell r="G529" t="e">
            <v>#N/A</v>
          </cell>
          <cell r="H529" t="e">
            <v>#N/A</v>
          </cell>
          <cell r="I529" t="e">
            <v>#N/A</v>
          </cell>
          <cell r="J529" t="e">
            <v>#N/A</v>
          </cell>
          <cell r="K529" t="e">
            <v>#N/A</v>
          </cell>
          <cell r="L529" t="e">
            <v>#N/A</v>
          </cell>
          <cell r="M529" t="e">
            <v>#N/A</v>
          </cell>
          <cell r="N529" t="e">
            <v>#N/A</v>
          </cell>
          <cell r="O529" t="e">
            <v>#N/A</v>
          </cell>
          <cell r="P529">
            <v>15.16</v>
          </cell>
          <cell r="Q529">
            <v>1.5739669999999999</v>
          </cell>
          <cell r="R529" t="e">
            <v>#N/A</v>
          </cell>
        </row>
        <row r="530">
          <cell r="A530">
            <v>40739</v>
          </cell>
          <cell r="B530">
            <v>40739</v>
          </cell>
          <cell r="C530" t="str">
            <v>Past</v>
          </cell>
          <cell r="D530">
            <v>15.22</v>
          </cell>
          <cell r="E530" t="e">
            <v>#N/A</v>
          </cell>
          <cell r="F530" t="e">
            <v>#N/A</v>
          </cell>
          <cell r="G530" t="e">
            <v>#N/A</v>
          </cell>
          <cell r="H530" t="e">
            <v>#N/A</v>
          </cell>
          <cell r="I530" t="e">
            <v>#N/A</v>
          </cell>
          <cell r="J530" t="e">
            <v>#N/A</v>
          </cell>
          <cell r="K530" t="e">
            <v>#N/A</v>
          </cell>
          <cell r="L530" t="e">
            <v>#N/A</v>
          </cell>
          <cell r="M530" t="e">
            <v>#N/A</v>
          </cell>
          <cell r="N530" t="e">
            <v>#N/A</v>
          </cell>
          <cell r="O530" t="e">
            <v>#N/A</v>
          </cell>
          <cell r="P530">
            <v>15.22</v>
          </cell>
          <cell r="Q530">
            <v>1.518662</v>
          </cell>
          <cell r="R530" t="e">
            <v>#N/A</v>
          </cell>
        </row>
        <row r="531">
          <cell r="A531">
            <v>40742</v>
          </cell>
          <cell r="B531">
            <v>40742</v>
          </cell>
          <cell r="C531" t="str">
            <v>Past</v>
          </cell>
          <cell r="D531">
            <v>15.08</v>
          </cell>
          <cell r="E531" t="e">
            <v>#N/A</v>
          </cell>
          <cell r="F531" t="e">
            <v>#N/A</v>
          </cell>
          <cell r="G531" t="e">
            <v>#N/A</v>
          </cell>
          <cell r="H531" t="e">
            <v>#N/A</v>
          </cell>
          <cell r="I531" t="e">
            <v>#N/A</v>
          </cell>
          <cell r="J531" t="e">
            <v>#N/A</v>
          </cell>
          <cell r="K531" t="e">
            <v>#N/A</v>
          </cell>
          <cell r="L531" t="e">
            <v>#N/A</v>
          </cell>
          <cell r="M531" t="e">
            <v>#N/A</v>
          </cell>
          <cell r="N531" t="e">
            <v>#N/A</v>
          </cell>
          <cell r="O531" t="e">
            <v>#N/A</v>
          </cell>
          <cell r="P531">
            <v>15.08</v>
          </cell>
          <cell r="Q531">
            <v>1.8748959999999999</v>
          </cell>
          <cell r="R531" t="e">
            <v>#N/A</v>
          </cell>
        </row>
        <row r="532">
          <cell r="A532">
            <v>40743</v>
          </cell>
          <cell r="B532">
            <v>40743</v>
          </cell>
          <cell r="C532" t="str">
            <v>Past</v>
          </cell>
          <cell r="D532">
            <v>15.12</v>
          </cell>
          <cell r="E532" t="e">
            <v>#N/A</v>
          </cell>
          <cell r="F532" t="e">
            <v>#N/A</v>
          </cell>
          <cell r="G532" t="e">
            <v>#N/A</v>
          </cell>
          <cell r="H532" t="e">
            <v>#N/A</v>
          </cell>
          <cell r="I532" t="e">
            <v>#N/A</v>
          </cell>
          <cell r="J532" t="e">
            <v>#N/A</v>
          </cell>
          <cell r="K532" t="e">
            <v>#N/A</v>
          </cell>
          <cell r="L532" t="e">
            <v>#N/A</v>
          </cell>
          <cell r="M532" t="e">
            <v>#N/A</v>
          </cell>
          <cell r="N532" t="e">
            <v>#N/A</v>
          </cell>
          <cell r="O532" t="e">
            <v>#N/A</v>
          </cell>
          <cell r="P532">
            <v>15.12</v>
          </cell>
          <cell r="Q532">
            <v>1.273741</v>
          </cell>
          <cell r="R532" t="e">
            <v>#N/A</v>
          </cell>
        </row>
        <row r="533">
          <cell r="A533">
            <v>40744</v>
          </cell>
          <cell r="B533">
            <v>40744</v>
          </cell>
          <cell r="C533" t="str">
            <v>Past</v>
          </cell>
          <cell r="D533">
            <v>15.34</v>
          </cell>
          <cell r="E533" t="e">
            <v>#N/A</v>
          </cell>
          <cell r="F533" t="e">
            <v>#N/A</v>
          </cell>
          <cell r="G533" t="e">
            <v>#N/A</v>
          </cell>
          <cell r="H533" t="e">
            <v>#N/A</v>
          </cell>
          <cell r="I533" t="e">
            <v>#N/A</v>
          </cell>
          <cell r="J533" t="e">
            <v>#N/A</v>
          </cell>
          <cell r="K533" t="e">
            <v>#N/A</v>
          </cell>
          <cell r="L533" t="e">
            <v>#N/A</v>
          </cell>
          <cell r="M533" t="e">
            <v>#N/A</v>
          </cell>
          <cell r="N533" t="e">
            <v>#N/A</v>
          </cell>
          <cell r="O533" t="e">
            <v>#N/A</v>
          </cell>
          <cell r="P533">
            <v>15.34</v>
          </cell>
          <cell r="Q533">
            <v>1.0193000000000001</v>
          </cell>
          <cell r="R533" t="e">
            <v>#N/A</v>
          </cell>
        </row>
        <row r="534">
          <cell r="A534">
            <v>40745</v>
          </cell>
          <cell r="B534">
            <v>40745</v>
          </cell>
          <cell r="C534" t="str">
            <v>Past</v>
          </cell>
          <cell r="D534">
            <v>15.47</v>
          </cell>
          <cell r="E534" t="e">
            <v>#N/A</v>
          </cell>
          <cell r="F534" t="e">
            <v>#N/A</v>
          </cell>
          <cell r="G534" t="e">
            <v>#N/A</v>
          </cell>
          <cell r="H534" t="e">
            <v>#N/A</v>
          </cell>
          <cell r="I534" t="e">
            <v>#N/A</v>
          </cell>
          <cell r="J534" t="e">
            <v>#N/A</v>
          </cell>
          <cell r="K534" t="e">
            <v>#N/A</v>
          </cell>
          <cell r="L534" t="e">
            <v>#N/A</v>
          </cell>
          <cell r="M534" t="e">
            <v>#N/A</v>
          </cell>
          <cell r="N534" t="e">
            <v>#N/A</v>
          </cell>
          <cell r="O534" t="e">
            <v>#N/A</v>
          </cell>
          <cell r="P534">
            <v>15.47</v>
          </cell>
          <cell r="Q534">
            <v>1.356128</v>
          </cell>
          <cell r="R534" t="e">
            <v>#N/A</v>
          </cell>
        </row>
        <row r="535">
          <cell r="A535">
            <v>40746</v>
          </cell>
          <cell r="B535">
            <v>40746</v>
          </cell>
          <cell r="C535" t="str">
            <v>Past</v>
          </cell>
          <cell r="D535">
            <v>15.27</v>
          </cell>
          <cell r="E535" t="e">
            <v>#N/A</v>
          </cell>
          <cell r="F535" t="e">
            <v>#N/A</v>
          </cell>
          <cell r="G535" t="e">
            <v>#N/A</v>
          </cell>
          <cell r="H535" t="e">
            <v>#N/A</v>
          </cell>
          <cell r="I535" t="e">
            <v>#N/A</v>
          </cell>
          <cell r="J535" t="e">
            <v>#N/A</v>
          </cell>
          <cell r="K535" t="e">
            <v>#N/A</v>
          </cell>
          <cell r="L535" t="e">
            <v>#N/A</v>
          </cell>
          <cell r="M535" t="e">
            <v>#N/A</v>
          </cell>
          <cell r="N535" t="e">
            <v>#N/A</v>
          </cell>
          <cell r="O535" t="e">
            <v>#N/A</v>
          </cell>
          <cell r="P535">
            <v>15.27</v>
          </cell>
          <cell r="Q535">
            <v>1.5000300000000002</v>
          </cell>
          <cell r="R535" t="e">
            <v>#N/A</v>
          </cell>
        </row>
        <row r="536">
          <cell r="A536">
            <v>40749</v>
          </cell>
          <cell r="B536">
            <v>40749</v>
          </cell>
          <cell r="C536" t="str">
            <v>Past</v>
          </cell>
          <cell r="D536">
            <v>15.17</v>
          </cell>
          <cell r="E536" t="e">
            <v>#N/A</v>
          </cell>
          <cell r="F536" t="e">
            <v>#N/A</v>
          </cell>
          <cell r="G536" t="e">
            <v>#N/A</v>
          </cell>
          <cell r="H536" t="e">
            <v>#N/A</v>
          </cell>
          <cell r="I536" t="e">
            <v>#N/A</v>
          </cell>
          <cell r="J536" t="e">
            <v>#N/A</v>
          </cell>
          <cell r="K536" t="e">
            <v>#N/A</v>
          </cell>
          <cell r="L536" t="e">
            <v>#N/A</v>
          </cell>
          <cell r="M536" t="e">
            <v>#N/A</v>
          </cell>
          <cell r="N536" t="e">
            <v>#N/A</v>
          </cell>
          <cell r="O536" t="e">
            <v>#N/A</v>
          </cell>
          <cell r="P536">
            <v>15.17</v>
          </cell>
          <cell r="Q536">
            <v>1.7525819999999999</v>
          </cell>
          <cell r="R536" t="e">
            <v>#N/A</v>
          </cell>
        </row>
        <row r="537">
          <cell r="A537">
            <v>40750</v>
          </cell>
          <cell r="B537">
            <v>40750</v>
          </cell>
          <cell r="C537" t="str">
            <v>Past</v>
          </cell>
          <cell r="D537">
            <v>15.11</v>
          </cell>
          <cell r="E537" t="e">
            <v>#N/A</v>
          </cell>
          <cell r="F537" t="e">
            <v>#N/A</v>
          </cell>
          <cell r="G537" t="e">
            <v>#N/A</v>
          </cell>
          <cell r="H537" t="e">
            <v>#N/A</v>
          </cell>
          <cell r="I537" t="e">
            <v>#N/A</v>
          </cell>
          <cell r="J537" t="e">
            <v>#N/A</v>
          </cell>
          <cell r="K537" t="e">
            <v>#N/A</v>
          </cell>
          <cell r="L537" t="e">
            <v>#N/A</v>
          </cell>
          <cell r="M537" t="e">
            <v>#N/A</v>
          </cell>
          <cell r="N537" t="e">
            <v>#N/A</v>
          </cell>
          <cell r="O537" t="e">
            <v>#N/A</v>
          </cell>
          <cell r="P537">
            <v>15.11</v>
          </cell>
          <cell r="Q537">
            <v>0.94330799999999992</v>
          </cell>
          <cell r="R537" t="e">
            <v>#N/A</v>
          </cell>
        </row>
        <row r="538">
          <cell r="A538">
            <v>40751</v>
          </cell>
          <cell r="B538">
            <v>40751</v>
          </cell>
          <cell r="C538" t="str">
            <v>Past</v>
          </cell>
          <cell r="D538">
            <v>15.08</v>
          </cell>
          <cell r="E538" t="e">
            <v>#N/A</v>
          </cell>
          <cell r="F538" t="e">
            <v>#N/A</v>
          </cell>
          <cell r="G538" t="e">
            <v>#N/A</v>
          </cell>
          <cell r="H538" t="e">
            <v>#N/A</v>
          </cell>
          <cell r="I538" t="e">
            <v>#N/A</v>
          </cell>
          <cell r="J538" t="e">
            <v>#N/A</v>
          </cell>
          <cell r="K538" t="e">
            <v>#N/A</v>
          </cell>
          <cell r="L538" t="e">
            <v>#N/A</v>
          </cell>
          <cell r="M538" t="e">
            <v>#N/A</v>
          </cell>
          <cell r="N538" t="e">
            <v>#N/A</v>
          </cell>
          <cell r="O538" t="e">
            <v>#N/A</v>
          </cell>
          <cell r="P538">
            <v>15.08</v>
          </cell>
          <cell r="Q538">
            <v>1.8040179999999999</v>
          </cell>
          <cell r="R538" t="e">
            <v>#N/A</v>
          </cell>
        </row>
        <row r="539">
          <cell r="A539">
            <v>40752</v>
          </cell>
          <cell r="B539">
            <v>40752</v>
          </cell>
          <cell r="C539" t="str">
            <v>Past</v>
          </cell>
          <cell r="D539">
            <v>15.01</v>
          </cell>
          <cell r="E539" t="e">
            <v>#N/A</v>
          </cell>
          <cell r="F539" t="e">
            <v>#N/A</v>
          </cell>
          <cell r="G539" t="e">
            <v>#N/A</v>
          </cell>
          <cell r="H539" t="e">
            <v>#N/A</v>
          </cell>
          <cell r="I539" t="e">
            <v>#N/A</v>
          </cell>
          <cell r="J539" t="e">
            <v>#N/A</v>
          </cell>
          <cell r="K539" t="e">
            <v>#N/A</v>
          </cell>
          <cell r="L539" t="e">
            <v>#N/A</v>
          </cell>
          <cell r="M539" t="e">
            <v>#N/A</v>
          </cell>
          <cell r="N539" t="e">
            <v>#N/A</v>
          </cell>
          <cell r="O539" t="e">
            <v>#N/A</v>
          </cell>
          <cell r="P539">
            <v>15.01</v>
          </cell>
          <cell r="Q539">
            <v>1.6958300000000002</v>
          </cell>
          <cell r="R539" t="e">
            <v>#N/A</v>
          </cell>
        </row>
        <row r="540">
          <cell r="A540">
            <v>40753</v>
          </cell>
          <cell r="B540">
            <v>40753</v>
          </cell>
          <cell r="C540" t="str">
            <v>Past</v>
          </cell>
          <cell r="D540">
            <v>14.84</v>
          </cell>
          <cell r="E540" t="e">
            <v>#N/A</v>
          </cell>
          <cell r="F540" t="e">
            <v>#N/A</v>
          </cell>
          <cell r="G540" t="e">
            <v>#N/A</v>
          </cell>
          <cell r="H540" t="e">
            <v>#N/A</v>
          </cell>
          <cell r="I540" t="e">
            <v>#N/A</v>
          </cell>
          <cell r="J540" t="e">
            <v>#N/A</v>
          </cell>
          <cell r="K540" t="e">
            <v>#N/A</v>
          </cell>
          <cell r="L540" t="e">
            <v>#N/A</v>
          </cell>
          <cell r="M540" t="e">
            <v>#N/A</v>
          </cell>
          <cell r="N540" t="e">
            <v>#N/A</v>
          </cell>
          <cell r="O540" t="e">
            <v>#N/A</v>
          </cell>
          <cell r="P540">
            <v>14.84</v>
          </cell>
          <cell r="Q540">
            <v>2.0042</v>
          </cell>
          <cell r="R540" t="e">
            <v>#N/A</v>
          </cell>
        </row>
        <row r="541">
          <cell r="A541">
            <v>40756</v>
          </cell>
          <cell r="B541">
            <v>40756</v>
          </cell>
          <cell r="C541" t="str">
            <v>Past</v>
          </cell>
          <cell r="D541">
            <v>14.55</v>
          </cell>
          <cell r="E541" t="e">
            <v>#N/A</v>
          </cell>
          <cell r="F541" t="e">
            <v>#N/A</v>
          </cell>
          <cell r="G541" t="e">
            <v>#N/A</v>
          </cell>
          <cell r="H541" t="e">
            <v>#N/A</v>
          </cell>
          <cell r="I541" t="e">
            <v>#N/A</v>
          </cell>
          <cell r="J541" t="e">
            <v>#N/A</v>
          </cell>
          <cell r="K541" t="e">
            <v>#N/A</v>
          </cell>
          <cell r="L541" t="e">
            <v>#N/A</v>
          </cell>
          <cell r="M541" t="e">
            <v>#N/A</v>
          </cell>
          <cell r="N541" t="e">
            <v>#N/A</v>
          </cell>
          <cell r="O541" t="e">
            <v>#N/A</v>
          </cell>
          <cell r="P541">
            <v>14.55</v>
          </cell>
          <cell r="Q541">
            <v>5.4451649999999994</v>
          </cell>
          <cell r="R541" t="e">
            <v>#N/A</v>
          </cell>
        </row>
        <row r="542">
          <cell r="A542">
            <v>40757</v>
          </cell>
          <cell r="B542">
            <v>40757</v>
          </cell>
          <cell r="C542" t="str">
            <v>Past</v>
          </cell>
          <cell r="D542">
            <v>14.24</v>
          </cell>
          <cell r="E542" t="e">
            <v>#N/A</v>
          </cell>
          <cell r="F542" t="e">
            <v>#N/A</v>
          </cell>
          <cell r="G542" t="e">
            <v>#N/A</v>
          </cell>
          <cell r="H542" t="e">
            <v>#N/A</v>
          </cell>
          <cell r="I542" t="e">
            <v>#N/A</v>
          </cell>
          <cell r="J542" t="e">
            <v>#N/A</v>
          </cell>
          <cell r="K542" t="e">
            <v>#N/A</v>
          </cell>
          <cell r="L542" t="e">
            <v>#N/A</v>
          </cell>
          <cell r="M542" t="e">
            <v>#N/A</v>
          </cell>
          <cell r="N542" t="e">
            <v>#N/A</v>
          </cell>
          <cell r="O542" t="e">
            <v>#N/A</v>
          </cell>
          <cell r="P542">
            <v>14.24</v>
          </cell>
          <cell r="Q542">
            <v>4.5422519999999995</v>
          </cell>
          <cell r="R542" t="e">
            <v>#N/A</v>
          </cell>
        </row>
        <row r="543">
          <cell r="A543">
            <v>40758</v>
          </cell>
          <cell r="B543">
            <v>40758</v>
          </cell>
          <cell r="C543" t="str">
            <v>Past</v>
          </cell>
          <cell r="D543">
            <v>14.26</v>
          </cell>
          <cell r="E543" t="e">
            <v>#N/A</v>
          </cell>
          <cell r="F543" t="e">
            <v>#N/A</v>
          </cell>
          <cell r="G543" t="e">
            <v>#N/A</v>
          </cell>
          <cell r="H543" t="e">
            <v>#N/A</v>
          </cell>
          <cell r="I543" t="e">
            <v>#N/A</v>
          </cell>
          <cell r="J543" t="e">
            <v>#N/A</v>
          </cell>
          <cell r="K543" t="e">
            <v>#N/A</v>
          </cell>
          <cell r="L543" t="e">
            <v>#N/A</v>
          </cell>
          <cell r="M543" t="e">
            <v>#N/A</v>
          </cell>
          <cell r="N543" t="e">
            <v>#N/A</v>
          </cell>
          <cell r="O543" t="e">
            <v>#N/A</v>
          </cell>
          <cell r="P543">
            <v>14.26</v>
          </cell>
          <cell r="Q543">
            <v>3.8783000000000003</v>
          </cell>
          <cell r="R543" t="e">
            <v>#N/A</v>
          </cell>
        </row>
        <row r="544">
          <cell r="A544">
            <v>40759</v>
          </cell>
          <cell r="B544">
            <v>40759</v>
          </cell>
          <cell r="C544" t="str">
            <v>Past</v>
          </cell>
          <cell r="D544">
            <v>13.68</v>
          </cell>
          <cell r="E544" t="e">
            <v>#N/A</v>
          </cell>
          <cell r="F544" t="e">
            <v>#N/A</v>
          </cell>
          <cell r="G544" t="e">
            <v>#N/A</v>
          </cell>
          <cell r="H544" t="e">
            <v>#N/A</v>
          </cell>
          <cell r="I544" t="e">
            <v>#N/A</v>
          </cell>
          <cell r="J544" t="e">
            <v>#N/A</v>
          </cell>
          <cell r="K544" t="e">
            <v>#N/A</v>
          </cell>
          <cell r="L544" t="e">
            <v>#N/A</v>
          </cell>
          <cell r="M544" t="e">
            <v>#N/A</v>
          </cell>
          <cell r="N544" t="e">
            <v>#N/A</v>
          </cell>
          <cell r="O544" t="e">
            <v>#N/A</v>
          </cell>
          <cell r="P544">
            <v>13.68</v>
          </cell>
          <cell r="Q544">
            <v>3.3178739999999998</v>
          </cell>
          <cell r="R544" t="e">
            <v>#N/A</v>
          </cell>
        </row>
        <row r="545">
          <cell r="A545">
            <v>40760</v>
          </cell>
          <cell r="B545">
            <v>40760</v>
          </cell>
          <cell r="C545" t="str">
            <v>Past</v>
          </cell>
          <cell r="D545">
            <v>13.43</v>
          </cell>
          <cell r="E545" t="e">
            <v>#N/A</v>
          </cell>
          <cell r="F545" t="e">
            <v>#N/A</v>
          </cell>
          <cell r="G545" t="e">
            <v>#N/A</v>
          </cell>
          <cell r="H545" t="e">
            <v>#N/A</v>
          </cell>
          <cell r="I545" t="e">
            <v>#N/A</v>
          </cell>
          <cell r="J545" t="e">
            <v>#N/A</v>
          </cell>
          <cell r="K545" t="e">
            <v>#N/A</v>
          </cell>
          <cell r="L545" t="e">
            <v>#N/A</v>
          </cell>
          <cell r="M545" t="e">
            <v>#N/A</v>
          </cell>
          <cell r="N545" t="e">
            <v>#N/A</v>
          </cell>
          <cell r="O545" t="e">
            <v>#N/A</v>
          </cell>
          <cell r="P545">
            <v>13.43</v>
          </cell>
          <cell r="Q545">
            <v>10.9306</v>
          </cell>
          <cell r="R545" t="e">
            <v>#N/A</v>
          </cell>
        </row>
        <row r="546">
          <cell r="A546">
            <v>40763</v>
          </cell>
          <cell r="B546">
            <v>40763</v>
          </cell>
          <cell r="C546" t="str">
            <v>Past</v>
          </cell>
          <cell r="D546">
            <v>12.48</v>
          </cell>
          <cell r="E546" t="e">
            <v>#N/A</v>
          </cell>
          <cell r="F546" t="e">
            <v>#N/A</v>
          </cell>
          <cell r="G546" t="e">
            <v>#N/A</v>
          </cell>
          <cell r="H546" t="e">
            <v>#N/A</v>
          </cell>
          <cell r="I546" t="e">
            <v>#N/A</v>
          </cell>
          <cell r="J546" t="e">
            <v>#N/A</v>
          </cell>
          <cell r="K546" t="e">
            <v>#N/A</v>
          </cell>
          <cell r="L546" t="e">
            <v>#N/A</v>
          </cell>
          <cell r="M546" t="e">
            <v>#N/A</v>
          </cell>
          <cell r="N546" t="e">
            <v>#N/A</v>
          </cell>
          <cell r="O546" t="e">
            <v>#N/A</v>
          </cell>
          <cell r="P546">
            <v>12.48</v>
          </cell>
          <cell r="Q546">
            <v>5.4664239999999999</v>
          </cell>
          <cell r="R546" t="e">
            <v>#N/A</v>
          </cell>
        </row>
        <row r="547">
          <cell r="A547">
            <v>40764</v>
          </cell>
          <cell r="B547">
            <v>40764</v>
          </cell>
          <cell r="C547" t="str">
            <v>Past</v>
          </cell>
          <cell r="D547">
            <v>13.03</v>
          </cell>
          <cell r="E547" t="e">
            <v>#N/A</v>
          </cell>
          <cell r="F547" t="e">
            <v>#N/A</v>
          </cell>
          <cell r="G547" t="e">
            <v>#N/A</v>
          </cell>
          <cell r="H547" t="e">
            <v>#N/A</v>
          </cell>
          <cell r="I547" t="e">
            <v>#N/A</v>
          </cell>
          <cell r="J547" t="e">
            <v>#N/A</v>
          </cell>
          <cell r="K547" t="e">
            <v>#N/A</v>
          </cell>
          <cell r="L547" t="e">
            <v>#N/A</v>
          </cell>
          <cell r="M547" t="e">
            <v>#N/A</v>
          </cell>
          <cell r="N547" t="e">
            <v>#N/A</v>
          </cell>
          <cell r="O547" t="e">
            <v>#N/A</v>
          </cell>
          <cell r="P547">
            <v>13.03</v>
          </cell>
          <cell r="Q547">
            <v>10.383920000000002</v>
          </cell>
          <cell r="R547" t="e">
            <v>#N/A</v>
          </cell>
        </row>
        <row r="548">
          <cell r="A548">
            <v>40765</v>
          </cell>
          <cell r="B548">
            <v>40765</v>
          </cell>
          <cell r="C548" t="str">
            <v>Past</v>
          </cell>
          <cell r="D548">
            <v>12.99</v>
          </cell>
          <cell r="E548" t="e">
            <v>#N/A</v>
          </cell>
          <cell r="F548" t="e">
            <v>#N/A</v>
          </cell>
          <cell r="G548" t="e">
            <v>#N/A</v>
          </cell>
          <cell r="H548" t="e">
            <v>#N/A</v>
          </cell>
          <cell r="I548" t="e">
            <v>#N/A</v>
          </cell>
          <cell r="J548" t="e">
            <v>#N/A</v>
          </cell>
          <cell r="K548" t="e">
            <v>#N/A</v>
          </cell>
          <cell r="L548" t="e">
            <v>#N/A</v>
          </cell>
          <cell r="M548" t="e">
            <v>#N/A</v>
          </cell>
          <cell r="N548" t="e">
            <v>#N/A</v>
          </cell>
          <cell r="O548" t="e">
            <v>#N/A</v>
          </cell>
          <cell r="P548">
            <v>12.99</v>
          </cell>
          <cell r="Q548">
            <v>6.6745519999999994</v>
          </cell>
          <cell r="R548" t="e">
            <v>#N/A</v>
          </cell>
        </row>
        <row r="549">
          <cell r="A549">
            <v>40766</v>
          </cell>
          <cell r="B549">
            <v>40766</v>
          </cell>
          <cell r="C549" t="str">
            <v>Past</v>
          </cell>
          <cell r="D549">
            <v>13.8</v>
          </cell>
          <cell r="E549" t="e">
            <v>#N/A</v>
          </cell>
          <cell r="F549" t="e">
            <v>#N/A</v>
          </cell>
          <cell r="G549" t="e">
            <v>#N/A</v>
          </cell>
          <cell r="H549" t="e">
            <v>#N/A</v>
          </cell>
          <cell r="I549" t="e">
            <v>#N/A</v>
          </cell>
          <cell r="J549" t="e">
            <v>#N/A</v>
          </cell>
          <cell r="K549" t="e">
            <v>#N/A</v>
          </cell>
          <cell r="L549" t="e">
            <v>#N/A</v>
          </cell>
          <cell r="M549" t="e">
            <v>#N/A</v>
          </cell>
          <cell r="N549" t="e">
            <v>#N/A</v>
          </cell>
          <cell r="O549" t="e">
            <v>#N/A</v>
          </cell>
          <cell r="P549">
            <v>13.8</v>
          </cell>
          <cell r="Q549">
            <v>5.9046940000000001</v>
          </cell>
          <cell r="R549" t="e">
            <v>#N/A</v>
          </cell>
        </row>
        <row r="550">
          <cell r="A550">
            <v>40767</v>
          </cell>
          <cell r="B550">
            <v>40767</v>
          </cell>
          <cell r="C550" t="str">
            <v>Past</v>
          </cell>
          <cell r="D550">
            <v>13.74</v>
          </cell>
          <cell r="E550" t="e">
            <v>#N/A</v>
          </cell>
          <cell r="F550" t="e">
            <v>#N/A</v>
          </cell>
          <cell r="G550" t="e">
            <v>#N/A</v>
          </cell>
          <cell r="H550" t="e">
            <v>#N/A</v>
          </cell>
          <cell r="I550" t="e">
            <v>#N/A</v>
          </cell>
          <cell r="J550" t="e">
            <v>#N/A</v>
          </cell>
          <cell r="K550" t="e">
            <v>#N/A</v>
          </cell>
          <cell r="L550" t="e">
            <v>#N/A</v>
          </cell>
          <cell r="M550" t="e">
            <v>#N/A</v>
          </cell>
          <cell r="N550" t="e">
            <v>#N/A</v>
          </cell>
          <cell r="O550" t="e">
            <v>#N/A</v>
          </cell>
          <cell r="P550">
            <v>13.74</v>
          </cell>
          <cell r="Q550">
            <v>3.7796319999999999</v>
          </cell>
          <cell r="R550" t="e">
            <v>#N/A</v>
          </cell>
        </row>
        <row r="551">
          <cell r="A551">
            <v>40770</v>
          </cell>
          <cell r="B551">
            <v>40770</v>
          </cell>
          <cell r="C551" t="str">
            <v>Past</v>
          </cell>
          <cell r="D551">
            <v>14.3</v>
          </cell>
          <cell r="E551" t="e">
            <v>#N/A</v>
          </cell>
          <cell r="F551" t="e">
            <v>#N/A</v>
          </cell>
          <cell r="G551" t="e">
            <v>#N/A</v>
          </cell>
          <cell r="H551" t="e">
            <v>#N/A</v>
          </cell>
          <cell r="I551" t="e">
            <v>#N/A</v>
          </cell>
          <cell r="J551" t="e">
            <v>#N/A</v>
          </cell>
          <cell r="K551" t="e">
            <v>#N/A</v>
          </cell>
          <cell r="L551" t="e">
            <v>#N/A</v>
          </cell>
          <cell r="M551" t="e">
            <v>#N/A</v>
          </cell>
          <cell r="N551" t="e">
            <v>#N/A</v>
          </cell>
          <cell r="O551" t="e">
            <v>#N/A</v>
          </cell>
          <cell r="P551">
            <v>14.3</v>
          </cell>
          <cell r="Q551">
            <v>3.0225</v>
          </cell>
          <cell r="R551" t="e">
            <v>#N/A</v>
          </cell>
        </row>
        <row r="552">
          <cell r="A552">
            <v>40771</v>
          </cell>
          <cell r="B552">
            <v>40771</v>
          </cell>
          <cell r="C552" t="str">
            <v>Past</v>
          </cell>
          <cell r="D552">
            <v>14.63</v>
          </cell>
          <cell r="E552" t="e">
            <v>#N/A</v>
          </cell>
          <cell r="F552" t="e">
            <v>#N/A</v>
          </cell>
          <cell r="G552" t="e">
            <v>#N/A</v>
          </cell>
          <cell r="H552" t="e">
            <v>#N/A</v>
          </cell>
          <cell r="I552" t="e">
            <v>#N/A</v>
          </cell>
          <cell r="J552" t="e">
            <v>#N/A</v>
          </cell>
          <cell r="K552" t="e">
            <v>#N/A</v>
          </cell>
          <cell r="L552" t="e">
            <v>#N/A</v>
          </cell>
          <cell r="M552" t="e">
            <v>#N/A</v>
          </cell>
          <cell r="N552" t="e">
            <v>#N/A</v>
          </cell>
          <cell r="O552" t="e">
            <v>#N/A</v>
          </cell>
          <cell r="P552">
            <v>14.63</v>
          </cell>
          <cell r="Q552">
            <v>11.01886</v>
          </cell>
          <cell r="R552" t="e">
            <v>#N/A</v>
          </cell>
        </row>
        <row r="553">
          <cell r="A553">
            <v>40772</v>
          </cell>
          <cell r="B553">
            <v>40772</v>
          </cell>
          <cell r="C553" t="str">
            <v>Past</v>
          </cell>
          <cell r="D553">
            <v>14.49</v>
          </cell>
          <cell r="E553" t="e">
            <v>#N/A</v>
          </cell>
          <cell r="F553" t="e">
            <v>#N/A</v>
          </cell>
          <cell r="G553" t="e">
            <v>#N/A</v>
          </cell>
          <cell r="H553" t="e">
            <v>#N/A</v>
          </cell>
          <cell r="I553" t="e">
            <v>#N/A</v>
          </cell>
          <cell r="J553" t="e">
            <v>#N/A</v>
          </cell>
          <cell r="K553" t="e">
            <v>#N/A</v>
          </cell>
          <cell r="L553" t="e">
            <v>#N/A</v>
          </cell>
          <cell r="M553" t="e">
            <v>#N/A</v>
          </cell>
          <cell r="N553" t="e">
            <v>#N/A</v>
          </cell>
          <cell r="O553" t="e">
            <v>#N/A</v>
          </cell>
          <cell r="P553">
            <v>14.49</v>
          </cell>
          <cell r="Q553">
            <v>3.505992</v>
          </cell>
          <cell r="R553" t="e">
            <v>#N/A</v>
          </cell>
        </row>
        <row r="554">
          <cell r="A554">
            <v>40773</v>
          </cell>
          <cell r="B554">
            <v>40773</v>
          </cell>
          <cell r="C554" t="str">
            <v>Past</v>
          </cell>
          <cell r="D554">
            <v>14.3</v>
          </cell>
          <cell r="E554" t="e">
            <v>#N/A</v>
          </cell>
          <cell r="F554" t="e">
            <v>#N/A</v>
          </cell>
          <cell r="G554" t="e">
            <v>#N/A</v>
          </cell>
          <cell r="H554" t="e">
            <v>#N/A</v>
          </cell>
          <cell r="I554" t="e">
            <v>#N/A</v>
          </cell>
          <cell r="J554" t="e">
            <v>#N/A</v>
          </cell>
          <cell r="K554" t="e">
            <v>#N/A</v>
          </cell>
          <cell r="L554" t="e">
            <v>#N/A</v>
          </cell>
          <cell r="M554" t="e">
            <v>#N/A</v>
          </cell>
          <cell r="N554" t="e">
            <v>#N/A</v>
          </cell>
          <cell r="O554" t="e">
            <v>#N/A</v>
          </cell>
          <cell r="P554">
            <v>14.3</v>
          </cell>
          <cell r="Q554">
            <v>4.7268319999999999</v>
          </cell>
          <cell r="R554" t="e">
            <v>#N/A</v>
          </cell>
        </row>
        <row r="555">
          <cell r="A555">
            <v>40774</v>
          </cell>
          <cell r="B555">
            <v>40774</v>
          </cell>
          <cell r="C555" t="str">
            <v>Past</v>
          </cell>
          <cell r="D555">
            <v>14.46</v>
          </cell>
          <cell r="E555" t="e">
            <v>#N/A</v>
          </cell>
          <cell r="F555" t="e">
            <v>#N/A</v>
          </cell>
          <cell r="G555" t="e">
            <v>#N/A</v>
          </cell>
          <cell r="H555" t="e">
            <v>#N/A</v>
          </cell>
          <cell r="I555" t="e">
            <v>#N/A</v>
          </cell>
          <cell r="J555" t="e">
            <v>#N/A</v>
          </cell>
          <cell r="K555" t="e">
            <v>#N/A</v>
          </cell>
          <cell r="L555" t="e">
            <v>#N/A</v>
          </cell>
          <cell r="M555" t="e">
            <v>#N/A</v>
          </cell>
          <cell r="N555" t="e">
            <v>#N/A</v>
          </cell>
          <cell r="O555" t="e">
            <v>#N/A</v>
          </cell>
          <cell r="P555">
            <v>14.46</v>
          </cell>
          <cell r="Q555">
            <v>7.8624469999999995</v>
          </cell>
          <cell r="R555" t="e">
            <v>#N/A</v>
          </cell>
        </row>
        <row r="556">
          <cell r="A556">
            <v>40777</v>
          </cell>
          <cell r="B556">
            <v>40777</v>
          </cell>
          <cell r="C556" t="str">
            <v>Past</v>
          </cell>
          <cell r="D556">
            <v>14.22</v>
          </cell>
          <cell r="E556" t="e">
            <v>#N/A</v>
          </cell>
          <cell r="F556" t="e">
            <v>#N/A</v>
          </cell>
          <cell r="G556" t="e">
            <v>#N/A</v>
          </cell>
          <cell r="H556" t="e">
            <v>#N/A</v>
          </cell>
          <cell r="I556" t="e">
            <v>#N/A</v>
          </cell>
          <cell r="J556" t="e">
            <v>#N/A</v>
          </cell>
          <cell r="K556" t="e">
            <v>#N/A</v>
          </cell>
          <cell r="L556" t="e">
            <v>#N/A</v>
          </cell>
          <cell r="M556" t="e">
            <v>#N/A</v>
          </cell>
          <cell r="N556" t="e">
            <v>#N/A</v>
          </cell>
          <cell r="O556" t="e">
            <v>#N/A</v>
          </cell>
          <cell r="P556">
            <v>14.22</v>
          </cell>
          <cell r="Q556">
            <v>3.313774</v>
          </cell>
          <cell r="R556" t="e">
            <v>#N/A</v>
          </cell>
        </row>
        <row r="557">
          <cell r="A557">
            <v>40778</v>
          </cell>
          <cell r="B557">
            <v>40778</v>
          </cell>
          <cell r="C557" t="str">
            <v>Past</v>
          </cell>
          <cell r="D557">
            <v>14.34</v>
          </cell>
          <cell r="E557" t="e">
            <v>#N/A</v>
          </cell>
          <cell r="F557" t="e">
            <v>#N/A</v>
          </cell>
          <cell r="G557" t="e">
            <v>#N/A</v>
          </cell>
          <cell r="H557" t="e">
            <v>#N/A</v>
          </cell>
          <cell r="I557" t="e">
            <v>#N/A</v>
          </cell>
          <cell r="J557" t="e">
            <v>#N/A</v>
          </cell>
          <cell r="K557" t="e">
            <v>#N/A</v>
          </cell>
          <cell r="L557" t="e">
            <v>#N/A</v>
          </cell>
          <cell r="M557" t="e">
            <v>#N/A</v>
          </cell>
          <cell r="N557" t="e">
            <v>#N/A</v>
          </cell>
          <cell r="O557" t="e">
            <v>#N/A</v>
          </cell>
          <cell r="P557">
            <v>14.34</v>
          </cell>
          <cell r="Q557">
            <v>5.3917320000000002</v>
          </cell>
          <cell r="R557" t="e">
            <v>#N/A</v>
          </cell>
        </row>
        <row r="558">
          <cell r="A558">
            <v>40779</v>
          </cell>
          <cell r="B558">
            <v>40779</v>
          </cell>
          <cell r="C558" t="str">
            <v>Past</v>
          </cell>
          <cell r="D558">
            <v>14.6</v>
          </cell>
          <cell r="E558" t="e">
            <v>#N/A</v>
          </cell>
          <cell r="F558" t="e">
            <v>#N/A</v>
          </cell>
          <cell r="G558" t="e">
            <v>#N/A</v>
          </cell>
          <cell r="H558" t="e">
            <v>#N/A</v>
          </cell>
          <cell r="I558" t="e">
            <v>#N/A</v>
          </cell>
          <cell r="J558" t="e">
            <v>#N/A</v>
          </cell>
          <cell r="K558" t="e">
            <v>#N/A</v>
          </cell>
          <cell r="L558" t="e">
            <v>#N/A</v>
          </cell>
          <cell r="M558" t="e">
            <v>#N/A</v>
          </cell>
          <cell r="N558" t="e">
            <v>#N/A</v>
          </cell>
          <cell r="O558">
            <v>0</v>
          </cell>
          <cell r="P558">
            <v>14.6</v>
          </cell>
          <cell r="Q558">
            <v>2.3300529999999999</v>
          </cell>
          <cell r="R558" t="e">
            <v>#N/A</v>
          </cell>
        </row>
        <row r="559">
          <cell r="A559">
            <v>40780</v>
          </cell>
          <cell r="B559">
            <v>40780</v>
          </cell>
          <cell r="C559" t="str">
            <v>Current</v>
          </cell>
          <cell r="D559">
            <v>14.35</v>
          </cell>
          <cell r="E559">
            <v>14.35</v>
          </cell>
          <cell r="F559">
            <v>14.35</v>
          </cell>
          <cell r="G559">
            <v>14.35</v>
          </cell>
          <cell r="H559">
            <v>14.35</v>
          </cell>
          <cell r="I559">
            <v>14.35</v>
          </cell>
          <cell r="J559" t="e">
            <v>#N/A</v>
          </cell>
          <cell r="K559" t="e">
            <v>#N/A</v>
          </cell>
          <cell r="L559" t="e">
            <v>#N/A</v>
          </cell>
          <cell r="M559" t="e">
            <v>#N/A</v>
          </cell>
          <cell r="N559" t="e">
            <v>#N/A</v>
          </cell>
          <cell r="O559">
            <v>55.094300000000004</v>
          </cell>
          <cell r="P559">
            <v>14.35</v>
          </cell>
          <cell r="Q559">
            <v>2.5751249999999999</v>
          </cell>
          <cell r="R559" t="e">
            <v>#N/A</v>
          </cell>
        </row>
        <row r="560">
          <cell r="A560">
            <v>40781</v>
          </cell>
          <cell r="B560">
            <v>40781</v>
          </cell>
          <cell r="C560" t="str">
            <v>Future</v>
          </cell>
          <cell r="D560" t="e">
            <v>#N/A</v>
          </cell>
          <cell r="E560">
            <v>14.294594594594594</v>
          </cell>
          <cell r="F560">
            <v>14.362162162162162</v>
          </cell>
          <cell r="G560">
            <v>14.348648648648648</v>
          </cell>
          <cell r="H560">
            <v>14.348648648648648</v>
          </cell>
          <cell r="I560" t="e">
            <v>#N/A</v>
          </cell>
          <cell r="J560" t="e">
            <v>#N/A</v>
          </cell>
          <cell r="K560" t="e">
            <v>#N/A</v>
          </cell>
          <cell r="L560" t="e">
            <v>#N/A</v>
          </cell>
          <cell r="M560" t="e">
            <v>#N/A</v>
          </cell>
          <cell r="N560" t="e">
            <v>#N/A</v>
          </cell>
          <cell r="O560" t="e">
            <v>#N/A</v>
          </cell>
          <cell r="P560">
            <v>14.52</v>
          </cell>
          <cell r="Q560">
            <v>0</v>
          </cell>
          <cell r="R560" t="e">
            <v>#N/A</v>
          </cell>
        </row>
        <row r="561">
          <cell r="A561">
            <v>40784</v>
          </cell>
          <cell r="B561">
            <v>40784</v>
          </cell>
          <cell r="C561" t="str">
            <v>Future</v>
          </cell>
          <cell r="D561" t="e">
            <v>#N/A</v>
          </cell>
          <cell r="E561">
            <v>14.239189189189188</v>
          </cell>
          <cell r="F561">
            <v>14.374324324324325</v>
          </cell>
          <cell r="G561">
            <v>14.347297297297297</v>
          </cell>
          <cell r="H561">
            <v>14.347297297297297</v>
          </cell>
          <cell r="I561" t="e">
            <v>#N/A</v>
          </cell>
          <cell r="J561" t="e">
            <v>#N/A</v>
          </cell>
          <cell r="K561" t="e">
            <v>#N/A</v>
          </cell>
          <cell r="L561" t="e">
            <v>#N/A</v>
          </cell>
          <cell r="M561" t="e">
            <v>#N/A</v>
          </cell>
          <cell r="N561" t="e">
            <v>#N/A</v>
          </cell>
          <cell r="O561" t="e">
            <v>#N/A</v>
          </cell>
          <cell r="P561">
            <v>14.52</v>
          </cell>
          <cell r="Q561" t="str">
            <v/>
          </cell>
          <cell r="R561" t="e">
            <v>#N/A</v>
          </cell>
        </row>
        <row r="562">
          <cell r="A562">
            <v>40785</v>
          </cell>
          <cell r="B562">
            <v>40785</v>
          </cell>
          <cell r="C562" t="str">
            <v>Future</v>
          </cell>
          <cell r="D562" t="e">
            <v>#N/A</v>
          </cell>
          <cell r="E562">
            <v>14.183783783783783</v>
          </cell>
          <cell r="F562">
            <v>14.386486486486488</v>
          </cell>
          <cell r="G562">
            <v>14.345945945945946</v>
          </cell>
          <cell r="H562">
            <v>14.345945945945946</v>
          </cell>
          <cell r="I562" t="e">
            <v>#N/A</v>
          </cell>
          <cell r="J562" t="e">
            <v>#N/A</v>
          </cell>
          <cell r="K562" t="e">
            <v>#N/A</v>
          </cell>
          <cell r="L562" t="e">
            <v>#N/A</v>
          </cell>
          <cell r="M562" t="e">
            <v>#N/A</v>
          </cell>
          <cell r="N562" t="e">
            <v>#N/A</v>
          </cell>
          <cell r="O562" t="e">
            <v>#N/A</v>
          </cell>
          <cell r="P562">
            <v>14.52</v>
          </cell>
          <cell r="Q562" t="str">
            <v/>
          </cell>
          <cell r="R562" t="e">
            <v>#N/A</v>
          </cell>
        </row>
        <row r="563">
          <cell r="A563">
            <v>40786</v>
          </cell>
          <cell r="B563">
            <v>40786</v>
          </cell>
          <cell r="C563" t="str">
            <v>Future</v>
          </cell>
          <cell r="D563" t="e">
            <v>#N/A</v>
          </cell>
          <cell r="E563">
            <v>14.128378378378377</v>
          </cell>
          <cell r="F563">
            <v>14.398648648648651</v>
          </cell>
          <cell r="G563">
            <v>14.344594594594595</v>
          </cell>
          <cell r="H563">
            <v>14.344594594594595</v>
          </cell>
          <cell r="I563" t="e">
            <v>#N/A</v>
          </cell>
          <cell r="J563" t="e">
            <v>#N/A</v>
          </cell>
          <cell r="K563" t="e">
            <v>#N/A</v>
          </cell>
          <cell r="L563" t="e">
            <v>#N/A</v>
          </cell>
          <cell r="M563" t="e">
            <v>#N/A</v>
          </cell>
          <cell r="N563" t="e">
            <v>#N/A</v>
          </cell>
          <cell r="O563" t="e">
            <v>#N/A</v>
          </cell>
          <cell r="P563">
            <v>14.52</v>
          </cell>
          <cell r="Q563" t="str">
            <v/>
          </cell>
          <cell r="R563" t="e">
            <v>#N/A</v>
          </cell>
        </row>
        <row r="564">
          <cell r="A564">
            <v>40787</v>
          </cell>
          <cell r="B564">
            <v>40787</v>
          </cell>
          <cell r="C564" t="str">
            <v>Future</v>
          </cell>
          <cell r="D564" t="e">
            <v>#N/A</v>
          </cell>
          <cell r="E564">
            <v>14.072972972972972</v>
          </cell>
          <cell r="F564">
            <v>14.410810810810814</v>
          </cell>
          <cell r="G564">
            <v>14.343243243243244</v>
          </cell>
          <cell r="H564">
            <v>14.343243243243244</v>
          </cell>
          <cell r="I564" t="e">
            <v>#N/A</v>
          </cell>
          <cell r="J564" t="e">
            <v>#N/A</v>
          </cell>
          <cell r="K564" t="e">
            <v>#N/A</v>
          </cell>
          <cell r="L564" t="e">
            <v>#N/A</v>
          </cell>
          <cell r="M564" t="e">
            <v>#N/A</v>
          </cell>
          <cell r="N564" t="e">
            <v>#N/A</v>
          </cell>
          <cell r="O564" t="e">
            <v>#N/A</v>
          </cell>
          <cell r="P564">
            <v>14.52</v>
          </cell>
          <cell r="Q564" t="str">
            <v/>
          </cell>
          <cell r="R564" t="e">
            <v>#N/A</v>
          </cell>
        </row>
        <row r="565">
          <cell r="A565">
            <v>40788</v>
          </cell>
          <cell r="B565">
            <v>40788</v>
          </cell>
          <cell r="C565" t="str">
            <v>Future</v>
          </cell>
          <cell r="D565" t="e">
            <v>#N/A</v>
          </cell>
          <cell r="E565">
            <v>14.017567567567566</v>
          </cell>
          <cell r="F565">
            <v>14.422972972972977</v>
          </cell>
          <cell r="G565">
            <v>14.341891891891892</v>
          </cell>
          <cell r="H565">
            <v>14.341891891891892</v>
          </cell>
          <cell r="I565" t="e">
            <v>#N/A</v>
          </cell>
          <cell r="J565" t="e">
            <v>#N/A</v>
          </cell>
          <cell r="K565" t="e">
            <v>#N/A</v>
          </cell>
          <cell r="L565" t="e">
            <v>#N/A</v>
          </cell>
          <cell r="M565" t="e">
            <v>#N/A</v>
          </cell>
          <cell r="N565" t="e">
            <v>#N/A</v>
          </cell>
          <cell r="O565" t="e">
            <v>#N/A</v>
          </cell>
          <cell r="P565">
            <v>14.52</v>
          </cell>
          <cell r="Q565" t="str">
            <v/>
          </cell>
          <cell r="R565" t="e">
            <v>#N/A</v>
          </cell>
        </row>
        <row r="566">
          <cell r="A566">
            <v>40792</v>
          </cell>
          <cell r="B566">
            <v>40792</v>
          </cell>
          <cell r="C566" t="str">
            <v>Future</v>
          </cell>
          <cell r="D566" t="e">
            <v>#N/A</v>
          </cell>
          <cell r="E566">
            <v>13.96216216216216</v>
          </cell>
          <cell r="F566">
            <v>14.435135135135139</v>
          </cell>
          <cell r="G566">
            <v>14.340540540540541</v>
          </cell>
          <cell r="H566">
            <v>14.340540540540541</v>
          </cell>
          <cell r="I566" t="e">
            <v>#N/A</v>
          </cell>
          <cell r="J566" t="e">
            <v>#N/A</v>
          </cell>
          <cell r="K566" t="e">
            <v>#N/A</v>
          </cell>
          <cell r="L566" t="e">
            <v>#N/A</v>
          </cell>
          <cell r="M566" t="e">
            <v>#N/A</v>
          </cell>
          <cell r="N566" t="e">
            <v>#N/A</v>
          </cell>
          <cell r="O566" t="e">
            <v>#N/A</v>
          </cell>
          <cell r="P566">
            <v>14.52</v>
          </cell>
          <cell r="Q566" t="str">
            <v/>
          </cell>
          <cell r="R566" t="e">
            <v>#N/A</v>
          </cell>
        </row>
        <row r="567">
          <cell r="A567">
            <v>40793</v>
          </cell>
          <cell r="B567">
            <v>40793</v>
          </cell>
          <cell r="C567" t="str">
            <v>Future</v>
          </cell>
          <cell r="D567" t="e">
            <v>#N/A</v>
          </cell>
          <cell r="E567">
            <v>13.906756756756755</v>
          </cell>
          <cell r="F567">
            <v>14.447297297297302</v>
          </cell>
          <cell r="G567">
            <v>14.33918918918919</v>
          </cell>
          <cell r="H567">
            <v>14.33918918918919</v>
          </cell>
          <cell r="I567" t="e">
            <v>#N/A</v>
          </cell>
          <cell r="J567" t="e">
            <v>#N/A</v>
          </cell>
          <cell r="K567" t="e">
            <v>#N/A</v>
          </cell>
          <cell r="L567" t="e">
            <v>#N/A</v>
          </cell>
          <cell r="M567" t="e">
            <v>#N/A</v>
          </cell>
          <cell r="N567" t="e">
            <v>#N/A</v>
          </cell>
          <cell r="O567" t="e">
            <v>#N/A</v>
          </cell>
          <cell r="P567">
            <v>14.52</v>
          </cell>
          <cell r="Q567" t="str">
            <v/>
          </cell>
          <cell r="R567" t="e">
            <v>#N/A</v>
          </cell>
        </row>
        <row r="568">
          <cell r="A568">
            <v>40794</v>
          </cell>
          <cell r="B568">
            <v>40794</v>
          </cell>
          <cell r="C568" t="str">
            <v>Future</v>
          </cell>
          <cell r="D568" t="e">
            <v>#N/A</v>
          </cell>
          <cell r="E568">
            <v>13.851351351351349</v>
          </cell>
          <cell r="F568">
            <v>14.459459459459465</v>
          </cell>
          <cell r="G568">
            <v>14.337837837837839</v>
          </cell>
          <cell r="H568">
            <v>14.337837837837839</v>
          </cell>
          <cell r="I568" t="e">
            <v>#N/A</v>
          </cell>
          <cell r="J568" t="e">
            <v>#N/A</v>
          </cell>
          <cell r="K568" t="e">
            <v>#N/A</v>
          </cell>
          <cell r="L568" t="e">
            <v>#N/A</v>
          </cell>
          <cell r="M568" t="e">
            <v>#N/A</v>
          </cell>
          <cell r="N568" t="e">
            <v>#N/A</v>
          </cell>
          <cell r="O568" t="e">
            <v>#N/A</v>
          </cell>
          <cell r="P568">
            <v>14.52</v>
          </cell>
          <cell r="Q568" t="str">
            <v/>
          </cell>
          <cell r="R568" t="e">
            <v>#N/A</v>
          </cell>
        </row>
        <row r="569">
          <cell r="A569">
            <v>40795</v>
          </cell>
          <cell r="B569">
            <v>40795</v>
          </cell>
          <cell r="C569" t="str">
            <v>Future</v>
          </cell>
          <cell r="D569" t="e">
            <v>#N/A</v>
          </cell>
          <cell r="E569">
            <v>13.795945945945943</v>
          </cell>
          <cell r="F569">
            <v>14.471621621621628</v>
          </cell>
          <cell r="G569">
            <v>14.336486486486487</v>
          </cell>
          <cell r="H569">
            <v>14.336486486486487</v>
          </cell>
          <cell r="I569" t="e">
            <v>#N/A</v>
          </cell>
          <cell r="J569" t="e">
            <v>#N/A</v>
          </cell>
          <cell r="K569" t="e">
            <v>#N/A</v>
          </cell>
          <cell r="L569" t="e">
            <v>#N/A</v>
          </cell>
          <cell r="M569" t="e">
            <v>#N/A</v>
          </cell>
          <cell r="N569" t="e">
            <v>#N/A</v>
          </cell>
          <cell r="O569" t="e">
            <v>#N/A</v>
          </cell>
          <cell r="P569">
            <v>14.52</v>
          </cell>
          <cell r="Q569" t="str">
            <v/>
          </cell>
          <cell r="R569" t="e">
            <v>#N/A</v>
          </cell>
        </row>
        <row r="570">
          <cell r="A570">
            <v>40798</v>
          </cell>
          <cell r="B570">
            <v>40798</v>
          </cell>
          <cell r="C570" t="str">
            <v>Future</v>
          </cell>
          <cell r="D570" t="e">
            <v>#N/A</v>
          </cell>
          <cell r="E570">
            <v>13.740540540540538</v>
          </cell>
          <cell r="F570">
            <v>14.483783783783791</v>
          </cell>
          <cell r="G570">
            <v>14.335135135135136</v>
          </cell>
          <cell r="H570">
            <v>14.335135135135136</v>
          </cell>
          <cell r="I570" t="e">
            <v>#N/A</v>
          </cell>
          <cell r="J570" t="e">
            <v>#N/A</v>
          </cell>
          <cell r="K570" t="e">
            <v>#N/A</v>
          </cell>
          <cell r="L570" t="e">
            <v>#N/A</v>
          </cell>
          <cell r="M570" t="e">
            <v>#N/A</v>
          </cell>
          <cell r="N570" t="e">
            <v>#N/A</v>
          </cell>
          <cell r="O570" t="e">
            <v>#N/A</v>
          </cell>
          <cell r="P570">
            <v>14.52</v>
          </cell>
          <cell r="Q570" t="str">
            <v/>
          </cell>
          <cell r="R570" t="e">
            <v>#N/A</v>
          </cell>
        </row>
        <row r="571">
          <cell r="A571">
            <v>40799</v>
          </cell>
          <cell r="B571">
            <v>40799</v>
          </cell>
          <cell r="C571" t="str">
            <v>Future</v>
          </cell>
          <cell r="D571" t="e">
            <v>#N/A</v>
          </cell>
          <cell r="E571">
            <v>13.685135135135132</v>
          </cell>
          <cell r="F571">
            <v>14.495945945945953</v>
          </cell>
          <cell r="G571">
            <v>14.333783783783785</v>
          </cell>
          <cell r="H571">
            <v>14.333783783783785</v>
          </cell>
          <cell r="I571" t="e">
            <v>#N/A</v>
          </cell>
          <cell r="J571" t="e">
            <v>#N/A</v>
          </cell>
          <cell r="K571" t="e">
            <v>#N/A</v>
          </cell>
          <cell r="L571" t="e">
            <v>#N/A</v>
          </cell>
          <cell r="M571" t="e">
            <v>#N/A</v>
          </cell>
          <cell r="N571" t="e">
            <v>#N/A</v>
          </cell>
          <cell r="O571" t="e">
            <v>#N/A</v>
          </cell>
          <cell r="P571">
            <v>14.52</v>
          </cell>
          <cell r="Q571" t="str">
            <v/>
          </cell>
          <cell r="R571" t="e">
            <v>#N/A</v>
          </cell>
        </row>
        <row r="572">
          <cell r="A572">
            <v>40800</v>
          </cell>
          <cell r="B572">
            <v>40800</v>
          </cell>
          <cell r="C572" t="str">
            <v>Future</v>
          </cell>
          <cell r="D572" t="e">
            <v>#N/A</v>
          </cell>
          <cell r="E572">
            <v>13.629729729729727</v>
          </cell>
          <cell r="F572">
            <v>14.508108108108116</v>
          </cell>
          <cell r="G572">
            <v>14.332432432432434</v>
          </cell>
          <cell r="H572">
            <v>14.332432432432434</v>
          </cell>
          <cell r="I572" t="e">
            <v>#N/A</v>
          </cell>
          <cell r="J572" t="e">
            <v>#N/A</v>
          </cell>
          <cell r="K572" t="e">
            <v>#N/A</v>
          </cell>
          <cell r="L572" t="e">
            <v>#N/A</v>
          </cell>
          <cell r="M572" t="e">
            <v>#N/A</v>
          </cell>
          <cell r="N572" t="e">
            <v>#N/A</v>
          </cell>
          <cell r="O572" t="e">
            <v>#N/A</v>
          </cell>
          <cell r="P572">
            <v>14.52</v>
          </cell>
          <cell r="Q572" t="str">
            <v/>
          </cell>
          <cell r="R572" t="e">
            <v>#N/A</v>
          </cell>
        </row>
        <row r="573">
          <cell r="A573">
            <v>40801</v>
          </cell>
          <cell r="B573">
            <v>40801</v>
          </cell>
          <cell r="C573" t="str">
            <v>Future</v>
          </cell>
          <cell r="D573" t="e">
            <v>#N/A</v>
          </cell>
          <cell r="E573">
            <v>13.574324324324321</v>
          </cell>
          <cell r="F573">
            <v>14.520270270270279</v>
          </cell>
          <cell r="G573">
            <v>14.331081081081082</v>
          </cell>
          <cell r="H573">
            <v>14.331081081081082</v>
          </cell>
          <cell r="I573" t="e">
            <v>#N/A</v>
          </cell>
          <cell r="J573" t="e">
            <v>#N/A</v>
          </cell>
          <cell r="K573" t="e">
            <v>#N/A</v>
          </cell>
          <cell r="L573" t="e">
            <v>#N/A</v>
          </cell>
          <cell r="M573" t="e">
            <v>#N/A</v>
          </cell>
          <cell r="N573" t="e">
            <v>#N/A</v>
          </cell>
          <cell r="O573" t="e">
            <v>#N/A</v>
          </cell>
          <cell r="P573">
            <v>14.52</v>
          </cell>
          <cell r="Q573" t="str">
            <v/>
          </cell>
          <cell r="R573" t="e">
            <v>#N/A</v>
          </cell>
        </row>
        <row r="574">
          <cell r="A574">
            <v>40802</v>
          </cell>
          <cell r="B574">
            <v>40802</v>
          </cell>
          <cell r="C574" t="str">
            <v>Future</v>
          </cell>
          <cell r="D574" t="e">
            <v>#N/A</v>
          </cell>
          <cell r="E574">
            <v>13.518918918918915</v>
          </cell>
          <cell r="F574">
            <v>14.532432432432442</v>
          </cell>
          <cell r="G574">
            <v>14.329729729729731</v>
          </cell>
          <cell r="H574">
            <v>14.329729729729731</v>
          </cell>
          <cell r="I574" t="e">
            <v>#N/A</v>
          </cell>
          <cell r="J574" t="e">
            <v>#N/A</v>
          </cell>
          <cell r="K574" t="e">
            <v>#N/A</v>
          </cell>
          <cell r="L574" t="e">
            <v>#N/A</v>
          </cell>
          <cell r="M574" t="e">
            <v>#N/A</v>
          </cell>
          <cell r="N574" t="e">
            <v>#N/A</v>
          </cell>
          <cell r="O574" t="e">
            <v>#N/A</v>
          </cell>
          <cell r="P574">
            <v>14.52</v>
          </cell>
          <cell r="Q574" t="str">
            <v/>
          </cell>
          <cell r="R574" t="e">
            <v>#N/A</v>
          </cell>
        </row>
        <row r="575">
          <cell r="A575">
            <v>40805</v>
          </cell>
          <cell r="B575">
            <v>40805</v>
          </cell>
          <cell r="C575" t="str">
            <v>Future</v>
          </cell>
          <cell r="D575" t="e">
            <v>#N/A</v>
          </cell>
          <cell r="E575">
            <v>13.46351351351351</v>
          </cell>
          <cell r="F575">
            <v>14.544594594594605</v>
          </cell>
          <cell r="G575">
            <v>14.32837837837838</v>
          </cell>
          <cell r="H575">
            <v>14.32837837837838</v>
          </cell>
          <cell r="I575" t="e">
            <v>#N/A</v>
          </cell>
          <cell r="J575" t="e">
            <v>#N/A</v>
          </cell>
          <cell r="K575" t="e">
            <v>#N/A</v>
          </cell>
          <cell r="L575" t="e">
            <v>#N/A</v>
          </cell>
          <cell r="M575" t="e">
            <v>#N/A</v>
          </cell>
          <cell r="N575" t="e">
            <v>#N/A</v>
          </cell>
          <cell r="O575" t="e">
            <v>#N/A</v>
          </cell>
          <cell r="P575">
            <v>14.52</v>
          </cell>
          <cell r="Q575" t="str">
            <v/>
          </cell>
          <cell r="R575" t="e">
            <v>#N/A</v>
          </cell>
        </row>
        <row r="576">
          <cell r="A576">
            <v>40806</v>
          </cell>
          <cell r="B576">
            <v>40806</v>
          </cell>
          <cell r="C576" t="str">
            <v>Future</v>
          </cell>
          <cell r="D576" t="e">
            <v>#N/A</v>
          </cell>
          <cell r="E576">
            <v>13.408108108108104</v>
          </cell>
          <cell r="F576">
            <v>14.556756756756768</v>
          </cell>
          <cell r="G576">
            <v>14.327027027027029</v>
          </cell>
          <cell r="H576">
            <v>14.327027027027029</v>
          </cell>
          <cell r="I576" t="e">
            <v>#N/A</v>
          </cell>
          <cell r="J576" t="e">
            <v>#N/A</v>
          </cell>
          <cell r="K576" t="e">
            <v>#N/A</v>
          </cell>
          <cell r="L576" t="e">
            <v>#N/A</v>
          </cell>
          <cell r="M576" t="e">
            <v>#N/A</v>
          </cell>
          <cell r="N576" t="e">
            <v>#N/A</v>
          </cell>
          <cell r="O576" t="e">
            <v>#N/A</v>
          </cell>
          <cell r="P576">
            <v>14.52</v>
          </cell>
          <cell r="Q576" t="str">
            <v/>
          </cell>
          <cell r="R576" t="e">
            <v>#N/A</v>
          </cell>
        </row>
        <row r="577">
          <cell r="A577">
            <v>40807</v>
          </cell>
          <cell r="B577">
            <v>40807</v>
          </cell>
          <cell r="C577" t="str">
            <v>Future</v>
          </cell>
          <cell r="D577" t="e">
            <v>#N/A</v>
          </cell>
          <cell r="E577">
            <v>13.352702702702699</v>
          </cell>
          <cell r="F577">
            <v>14.56891891891893</v>
          </cell>
          <cell r="G577">
            <v>14.325675675675678</v>
          </cell>
          <cell r="H577">
            <v>14.325675675675678</v>
          </cell>
          <cell r="I577" t="e">
            <v>#N/A</v>
          </cell>
          <cell r="J577" t="e">
            <v>#N/A</v>
          </cell>
          <cell r="K577" t="e">
            <v>#N/A</v>
          </cell>
          <cell r="L577" t="e">
            <v>#N/A</v>
          </cell>
          <cell r="M577" t="e">
            <v>#N/A</v>
          </cell>
          <cell r="N577" t="e">
            <v>#N/A</v>
          </cell>
          <cell r="O577" t="e">
            <v>#N/A</v>
          </cell>
          <cell r="P577">
            <v>14.52</v>
          </cell>
          <cell r="Q577" t="str">
            <v/>
          </cell>
          <cell r="R577" t="e">
            <v>#N/A</v>
          </cell>
        </row>
        <row r="578">
          <cell r="A578">
            <v>40808</v>
          </cell>
          <cell r="B578">
            <v>40808</v>
          </cell>
          <cell r="C578" t="str">
            <v>Future</v>
          </cell>
          <cell r="D578" t="e">
            <v>#N/A</v>
          </cell>
          <cell r="E578">
            <v>13.297297297297293</v>
          </cell>
          <cell r="F578">
            <v>14.581081081081093</v>
          </cell>
          <cell r="G578">
            <v>14.324324324324326</v>
          </cell>
          <cell r="H578">
            <v>14.324324324324326</v>
          </cell>
          <cell r="I578" t="e">
            <v>#N/A</v>
          </cell>
          <cell r="J578" t="e">
            <v>#N/A</v>
          </cell>
          <cell r="K578" t="e">
            <v>#N/A</v>
          </cell>
          <cell r="L578" t="e">
            <v>#N/A</v>
          </cell>
          <cell r="M578" t="e">
            <v>#N/A</v>
          </cell>
          <cell r="N578" t="e">
            <v>#N/A</v>
          </cell>
          <cell r="O578" t="e">
            <v>#N/A</v>
          </cell>
          <cell r="P578">
            <v>14.52</v>
          </cell>
          <cell r="Q578" t="str">
            <v/>
          </cell>
          <cell r="R578" t="e">
            <v>#N/A</v>
          </cell>
        </row>
        <row r="579">
          <cell r="A579">
            <v>40809</v>
          </cell>
          <cell r="B579">
            <v>40809</v>
          </cell>
          <cell r="C579" t="str">
            <v>Future</v>
          </cell>
          <cell r="D579" t="e">
            <v>#N/A</v>
          </cell>
          <cell r="E579">
            <v>13.241891891891887</v>
          </cell>
          <cell r="F579">
            <v>14.593243243243256</v>
          </cell>
          <cell r="G579">
            <v>14.322972972972975</v>
          </cell>
          <cell r="H579">
            <v>14.322972972972975</v>
          </cell>
          <cell r="I579" t="e">
            <v>#N/A</v>
          </cell>
          <cell r="J579" t="e">
            <v>#N/A</v>
          </cell>
          <cell r="K579" t="e">
            <v>#N/A</v>
          </cell>
          <cell r="L579" t="e">
            <v>#N/A</v>
          </cell>
          <cell r="M579" t="e">
            <v>#N/A</v>
          </cell>
          <cell r="N579" t="e">
            <v>#N/A</v>
          </cell>
          <cell r="O579" t="e">
            <v>#N/A</v>
          </cell>
          <cell r="P579">
            <v>14.52</v>
          </cell>
          <cell r="Q579" t="str">
            <v/>
          </cell>
          <cell r="R579" t="e">
            <v>#N/A</v>
          </cell>
        </row>
        <row r="580">
          <cell r="A580">
            <v>40812</v>
          </cell>
          <cell r="B580">
            <v>40812</v>
          </cell>
          <cell r="C580" t="str">
            <v>Future</v>
          </cell>
          <cell r="D580" t="e">
            <v>#N/A</v>
          </cell>
          <cell r="E580">
            <v>13.186486486486482</v>
          </cell>
          <cell r="F580">
            <v>14.605405405405419</v>
          </cell>
          <cell r="G580">
            <v>14.321621621621624</v>
          </cell>
          <cell r="H580">
            <v>14.321621621621624</v>
          </cell>
          <cell r="I580" t="e">
            <v>#N/A</v>
          </cell>
          <cell r="J580" t="e">
            <v>#N/A</v>
          </cell>
          <cell r="K580" t="e">
            <v>#N/A</v>
          </cell>
          <cell r="L580" t="e">
            <v>#N/A</v>
          </cell>
          <cell r="M580" t="e">
            <v>#N/A</v>
          </cell>
          <cell r="N580" t="e">
            <v>#N/A</v>
          </cell>
          <cell r="O580" t="e">
            <v>#N/A</v>
          </cell>
          <cell r="P580">
            <v>14.52</v>
          </cell>
          <cell r="Q580" t="str">
            <v/>
          </cell>
          <cell r="R580" t="e">
            <v>#N/A</v>
          </cell>
        </row>
        <row r="581">
          <cell r="A581">
            <v>40813</v>
          </cell>
          <cell r="B581">
            <v>40813</v>
          </cell>
          <cell r="C581" t="str">
            <v>Future</v>
          </cell>
          <cell r="D581" t="e">
            <v>#N/A</v>
          </cell>
          <cell r="E581">
            <v>13.131081081081076</v>
          </cell>
          <cell r="F581">
            <v>14.617567567567582</v>
          </cell>
          <cell r="G581">
            <v>14.320270270270273</v>
          </cell>
          <cell r="H581">
            <v>14.320270270270273</v>
          </cell>
          <cell r="I581" t="e">
            <v>#N/A</v>
          </cell>
          <cell r="J581" t="e">
            <v>#N/A</v>
          </cell>
          <cell r="K581" t="e">
            <v>#N/A</v>
          </cell>
          <cell r="L581" t="e">
            <v>#N/A</v>
          </cell>
          <cell r="M581" t="e">
            <v>#N/A</v>
          </cell>
          <cell r="N581" t="e">
            <v>#N/A</v>
          </cell>
          <cell r="O581" t="e">
            <v>#N/A</v>
          </cell>
          <cell r="P581">
            <v>14.52</v>
          </cell>
          <cell r="Q581" t="str">
            <v/>
          </cell>
          <cell r="R581" t="e">
            <v>#N/A</v>
          </cell>
        </row>
        <row r="582">
          <cell r="A582">
            <v>40814</v>
          </cell>
          <cell r="B582">
            <v>40814</v>
          </cell>
          <cell r="C582" t="str">
            <v>Future</v>
          </cell>
          <cell r="D582" t="e">
            <v>#N/A</v>
          </cell>
          <cell r="E582">
            <v>13.07567567567567</v>
          </cell>
          <cell r="F582">
            <v>14.629729729729744</v>
          </cell>
          <cell r="G582">
            <v>14.318918918918921</v>
          </cell>
          <cell r="H582">
            <v>14.318918918918921</v>
          </cell>
          <cell r="I582" t="e">
            <v>#N/A</v>
          </cell>
          <cell r="J582" t="e">
            <v>#N/A</v>
          </cell>
          <cell r="K582" t="e">
            <v>#N/A</v>
          </cell>
          <cell r="L582" t="e">
            <v>#N/A</v>
          </cell>
          <cell r="M582" t="e">
            <v>#N/A</v>
          </cell>
          <cell r="N582" t="e">
            <v>#N/A</v>
          </cell>
          <cell r="O582" t="e">
            <v>#N/A</v>
          </cell>
          <cell r="P582">
            <v>14.52</v>
          </cell>
          <cell r="Q582" t="str">
            <v/>
          </cell>
          <cell r="R582" t="e">
            <v>#N/A</v>
          </cell>
        </row>
        <row r="583">
          <cell r="A583">
            <v>40815</v>
          </cell>
          <cell r="B583">
            <v>40815</v>
          </cell>
          <cell r="C583" t="str">
            <v>Future</v>
          </cell>
          <cell r="D583" t="e">
            <v>#N/A</v>
          </cell>
          <cell r="E583">
            <v>13.020270270270265</v>
          </cell>
          <cell r="F583">
            <v>14.641891891891907</v>
          </cell>
          <cell r="G583">
            <v>14.31756756756757</v>
          </cell>
          <cell r="H583">
            <v>14.31756756756757</v>
          </cell>
          <cell r="I583" t="e">
            <v>#N/A</v>
          </cell>
          <cell r="J583" t="e">
            <v>#N/A</v>
          </cell>
          <cell r="K583" t="e">
            <v>#N/A</v>
          </cell>
          <cell r="L583" t="e">
            <v>#N/A</v>
          </cell>
          <cell r="M583" t="e">
            <v>#N/A</v>
          </cell>
          <cell r="N583" t="e">
            <v>#N/A</v>
          </cell>
          <cell r="O583" t="e">
            <v>#N/A</v>
          </cell>
          <cell r="P583">
            <v>14.52</v>
          </cell>
          <cell r="Q583" t="str">
            <v/>
          </cell>
          <cell r="R583" t="e">
            <v>#N/A</v>
          </cell>
        </row>
        <row r="584">
          <cell r="A584">
            <v>40816</v>
          </cell>
          <cell r="B584">
            <v>40816</v>
          </cell>
          <cell r="C584" t="str">
            <v>Future</v>
          </cell>
          <cell r="D584" t="e">
            <v>#N/A</v>
          </cell>
          <cell r="E584">
            <v>12.964864864864859</v>
          </cell>
          <cell r="F584">
            <v>14.65405405405407</v>
          </cell>
          <cell r="G584">
            <v>14.316216216216219</v>
          </cell>
          <cell r="H584">
            <v>14.316216216216219</v>
          </cell>
          <cell r="I584" t="e">
            <v>#N/A</v>
          </cell>
          <cell r="J584" t="e">
            <v>#N/A</v>
          </cell>
          <cell r="K584" t="e">
            <v>#N/A</v>
          </cell>
          <cell r="L584" t="e">
            <v>#N/A</v>
          </cell>
          <cell r="M584" t="e">
            <v>#N/A</v>
          </cell>
          <cell r="N584" t="e">
            <v>#N/A</v>
          </cell>
          <cell r="O584" t="e">
            <v>#N/A</v>
          </cell>
          <cell r="P584">
            <v>14.52</v>
          </cell>
          <cell r="Q584" t="str">
            <v/>
          </cell>
          <cell r="R584" t="e">
            <v>#N/A</v>
          </cell>
        </row>
        <row r="585">
          <cell r="A585">
            <v>40819</v>
          </cell>
          <cell r="B585">
            <v>40819</v>
          </cell>
          <cell r="C585" t="str">
            <v>Future</v>
          </cell>
          <cell r="D585" t="e">
            <v>#N/A</v>
          </cell>
          <cell r="E585">
            <v>12.909459459459454</v>
          </cell>
          <cell r="F585">
            <v>14.666216216216233</v>
          </cell>
          <cell r="G585">
            <v>14.314864864864868</v>
          </cell>
          <cell r="H585">
            <v>14.314864864864868</v>
          </cell>
          <cell r="I585" t="e">
            <v>#N/A</v>
          </cell>
          <cell r="J585" t="e">
            <v>#N/A</v>
          </cell>
          <cell r="K585" t="e">
            <v>#N/A</v>
          </cell>
          <cell r="L585" t="e">
            <v>#N/A</v>
          </cell>
          <cell r="M585" t="e">
            <v>#N/A</v>
          </cell>
          <cell r="N585" t="e">
            <v>#N/A</v>
          </cell>
          <cell r="O585" t="e">
            <v>#N/A</v>
          </cell>
          <cell r="P585">
            <v>14.52</v>
          </cell>
          <cell r="Q585" t="str">
            <v/>
          </cell>
          <cell r="R585" t="e">
            <v>#N/A</v>
          </cell>
        </row>
        <row r="586">
          <cell r="A586">
            <v>40820</v>
          </cell>
          <cell r="B586">
            <v>40820</v>
          </cell>
          <cell r="C586" t="str">
            <v>Future</v>
          </cell>
          <cell r="D586" t="e">
            <v>#N/A</v>
          </cell>
          <cell r="E586">
            <v>12.854054054054048</v>
          </cell>
          <cell r="F586">
            <v>14.678378378378396</v>
          </cell>
          <cell r="G586">
            <v>14.313513513513517</v>
          </cell>
          <cell r="H586">
            <v>14.313513513513517</v>
          </cell>
          <cell r="I586" t="e">
            <v>#N/A</v>
          </cell>
          <cell r="J586" t="e">
            <v>#N/A</v>
          </cell>
          <cell r="K586" t="e">
            <v>#N/A</v>
          </cell>
          <cell r="L586" t="e">
            <v>#N/A</v>
          </cell>
          <cell r="M586" t="e">
            <v>#N/A</v>
          </cell>
          <cell r="N586" t="e">
            <v>#N/A</v>
          </cell>
          <cell r="O586" t="e">
            <v>#N/A</v>
          </cell>
          <cell r="P586">
            <v>14.52</v>
          </cell>
          <cell r="Q586" t="str">
            <v/>
          </cell>
          <cell r="R586" t="e">
            <v>#N/A</v>
          </cell>
        </row>
        <row r="587">
          <cell r="A587">
            <v>40821</v>
          </cell>
          <cell r="B587">
            <v>40821</v>
          </cell>
          <cell r="C587" t="str">
            <v>Future</v>
          </cell>
          <cell r="D587" t="e">
            <v>#N/A</v>
          </cell>
          <cell r="E587">
            <v>12.798648648648642</v>
          </cell>
          <cell r="F587">
            <v>14.690540540540558</v>
          </cell>
          <cell r="G587">
            <v>14.312162162162165</v>
          </cell>
          <cell r="H587">
            <v>14.312162162162165</v>
          </cell>
          <cell r="I587" t="e">
            <v>#N/A</v>
          </cell>
          <cell r="J587" t="e">
            <v>#N/A</v>
          </cell>
          <cell r="K587" t="e">
            <v>#N/A</v>
          </cell>
          <cell r="L587" t="e">
            <v>#N/A</v>
          </cell>
          <cell r="M587" t="e">
            <v>#N/A</v>
          </cell>
          <cell r="N587" t="e">
            <v>#N/A</v>
          </cell>
          <cell r="O587" t="e">
            <v>#N/A</v>
          </cell>
          <cell r="P587">
            <v>14.52</v>
          </cell>
          <cell r="Q587" t="str">
            <v/>
          </cell>
          <cell r="R587" t="e">
            <v>#N/A</v>
          </cell>
        </row>
        <row r="588">
          <cell r="A588">
            <v>40822</v>
          </cell>
          <cell r="B588">
            <v>40822</v>
          </cell>
          <cell r="C588" t="str">
            <v>Future</v>
          </cell>
          <cell r="D588" t="e">
            <v>#N/A</v>
          </cell>
          <cell r="E588">
            <v>12.743243243243237</v>
          </cell>
          <cell r="F588">
            <v>14.702702702702721</v>
          </cell>
          <cell r="G588">
            <v>14.310810810810814</v>
          </cell>
          <cell r="H588">
            <v>14.310810810810814</v>
          </cell>
          <cell r="I588" t="e">
            <v>#N/A</v>
          </cell>
          <cell r="J588" t="e">
            <v>#N/A</v>
          </cell>
          <cell r="K588" t="e">
            <v>#N/A</v>
          </cell>
          <cell r="L588" t="e">
            <v>#N/A</v>
          </cell>
          <cell r="M588" t="e">
            <v>#N/A</v>
          </cell>
          <cell r="N588" t="e">
            <v>#N/A</v>
          </cell>
          <cell r="O588" t="e">
            <v>#N/A</v>
          </cell>
          <cell r="P588">
            <v>14.52</v>
          </cell>
          <cell r="Q588" t="str">
            <v/>
          </cell>
          <cell r="R588" t="e">
            <v>#N/A</v>
          </cell>
        </row>
        <row r="589">
          <cell r="A589">
            <v>40823</v>
          </cell>
          <cell r="B589">
            <v>40823</v>
          </cell>
          <cell r="C589" t="str">
            <v>Future</v>
          </cell>
          <cell r="D589" t="e">
            <v>#N/A</v>
          </cell>
          <cell r="E589">
            <v>12.687837837837831</v>
          </cell>
          <cell r="F589">
            <v>14.714864864864884</v>
          </cell>
          <cell r="G589">
            <v>14.309459459459463</v>
          </cell>
          <cell r="H589">
            <v>14.309459459459463</v>
          </cell>
          <cell r="I589" t="e">
            <v>#N/A</v>
          </cell>
          <cell r="J589" t="e">
            <v>#N/A</v>
          </cell>
          <cell r="K589" t="e">
            <v>#N/A</v>
          </cell>
          <cell r="L589" t="e">
            <v>#N/A</v>
          </cell>
          <cell r="M589" t="e">
            <v>#N/A</v>
          </cell>
          <cell r="N589" t="e">
            <v>#N/A</v>
          </cell>
          <cell r="O589" t="e">
            <v>#N/A</v>
          </cell>
          <cell r="P589">
            <v>14.52</v>
          </cell>
          <cell r="Q589" t="str">
            <v/>
          </cell>
          <cell r="R589" t="e">
            <v>#N/A</v>
          </cell>
        </row>
        <row r="590">
          <cell r="A590">
            <v>40826</v>
          </cell>
          <cell r="B590">
            <v>40826</v>
          </cell>
          <cell r="C590" t="str">
            <v>Future</v>
          </cell>
          <cell r="D590" t="e">
            <v>#N/A</v>
          </cell>
          <cell r="E590">
            <v>12.632432432432426</v>
          </cell>
          <cell r="F590">
            <v>14.727027027027047</v>
          </cell>
          <cell r="G590">
            <v>14.308108108108112</v>
          </cell>
          <cell r="H590">
            <v>14.308108108108112</v>
          </cell>
          <cell r="I590" t="e">
            <v>#N/A</v>
          </cell>
          <cell r="J590" t="e">
            <v>#N/A</v>
          </cell>
          <cell r="K590" t="e">
            <v>#N/A</v>
          </cell>
          <cell r="L590" t="e">
            <v>#N/A</v>
          </cell>
          <cell r="M590" t="e">
            <v>#N/A</v>
          </cell>
          <cell r="N590" t="e">
            <v>#N/A</v>
          </cell>
          <cell r="O590" t="e">
            <v>#N/A</v>
          </cell>
          <cell r="P590">
            <v>14.52</v>
          </cell>
          <cell r="Q590" t="str">
            <v/>
          </cell>
          <cell r="R590" t="e">
            <v>#N/A</v>
          </cell>
        </row>
        <row r="591">
          <cell r="A591">
            <v>40827</v>
          </cell>
          <cell r="B591">
            <v>40827</v>
          </cell>
          <cell r="C591" t="str">
            <v>Future</v>
          </cell>
          <cell r="D591" t="e">
            <v>#N/A</v>
          </cell>
          <cell r="E591">
            <v>12.57702702702702</v>
          </cell>
          <cell r="F591">
            <v>14.73918918918921</v>
          </cell>
          <cell r="G591">
            <v>14.30675675675676</v>
          </cell>
          <cell r="H591">
            <v>14.30675675675676</v>
          </cell>
          <cell r="I591" t="e">
            <v>#N/A</v>
          </cell>
          <cell r="J591" t="e">
            <v>#N/A</v>
          </cell>
          <cell r="K591" t="e">
            <v>#N/A</v>
          </cell>
          <cell r="L591" t="e">
            <v>#N/A</v>
          </cell>
          <cell r="M591" t="e">
            <v>#N/A</v>
          </cell>
          <cell r="N591" t="e">
            <v>#N/A</v>
          </cell>
          <cell r="O591" t="e">
            <v>#N/A</v>
          </cell>
          <cell r="P591">
            <v>14.52</v>
          </cell>
          <cell r="Q591" t="str">
            <v/>
          </cell>
          <cell r="R591" t="e">
            <v>#N/A</v>
          </cell>
        </row>
        <row r="592">
          <cell r="A592">
            <v>40828</v>
          </cell>
          <cell r="B592">
            <v>40828</v>
          </cell>
          <cell r="C592" t="str">
            <v>Future</v>
          </cell>
          <cell r="D592" t="e">
            <v>#N/A</v>
          </cell>
          <cell r="E592">
            <v>12.521621621621614</v>
          </cell>
          <cell r="F592">
            <v>14.751351351351373</v>
          </cell>
          <cell r="G592">
            <v>14.305405405405409</v>
          </cell>
          <cell r="H592">
            <v>14.305405405405409</v>
          </cell>
          <cell r="I592" t="e">
            <v>#N/A</v>
          </cell>
          <cell r="J592" t="e">
            <v>#N/A</v>
          </cell>
          <cell r="K592" t="e">
            <v>#N/A</v>
          </cell>
          <cell r="L592" t="e">
            <v>#N/A</v>
          </cell>
          <cell r="M592" t="e">
            <v>#N/A</v>
          </cell>
          <cell r="N592" t="e">
            <v>#N/A</v>
          </cell>
          <cell r="O592" t="e">
            <v>#N/A</v>
          </cell>
          <cell r="P592">
            <v>14.52</v>
          </cell>
          <cell r="Q592" t="str">
            <v/>
          </cell>
          <cell r="R592" t="e">
            <v>#N/A</v>
          </cell>
        </row>
        <row r="593">
          <cell r="A593">
            <v>40829</v>
          </cell>
          <cell r="B593">
            <v>40829</v>
          </cell>
          <cell r="C593" t="str">
            <v>Future</v>
          </cell>
          <cell r="D593" t="e">
            <v>#N/A</v>
          </cell>
          <cell r="E593">
            <v>12.466216216216209</v>
          </cell>
          <cell r="F593">
            <v>14.763513513513535</v>
          </cell>
          <cell r="G593">
            <v>14.304054054054058</v>
          </cell>
          <cell r="H593">
            <v>14.304054054054058</v>
          </cell>
          <cell r="I593" t="e">
            <v>#N/A</v>
          </cell>
          <cell r="J593" t="e">
            <v>#N/A</v>
          </cell>
          <cell r="K593" t="e">
            <v>#N/A</v>
          </cell>
          <cell r="L593" t="e">
            <v>#N/A</v>
          </cell>
          <cell r="M593" t="e">
            <v>#N/A</v>
          </cell>
          <cell r="N593" t="e">
            <v>#N/A</v>
          </cell>
          <cell r="O593" t="e">
            <v>#N/A</v>
          </cell>
          <cell r="P593">
            <v>14.52</v>
          </cell>
          <cell r="Q593" t="str">
            <v/>
          </cell>
          <cell r="R593" t="e">
            <v>#N/A</v>
          </cell>
        </row>
        <row r="594">
          <cell r="A594">
            <v>40830</v>
          </cell>
          <cell r="B594">
            <v>40830</v>
          </cell>
          <cell r="C594" t="str">
            <v>Future</v>
          </cell>
          <cell r="D594" t="e">
            <v>#N/A</v>
          </cell>
          <cell r="E594">
            <v>12.410810810810803</v>
          </cell>
          <cell r="F594">
            <v>14.775675675675698</v>
          </cell>
          <cell r="G594">
            <v>14.302702702702707</v>
          </cell>
          <cell r="H594">
            <v>14.302702702702707</v>
          </cell>
          <cell r="I594" t="e">
            <v>#N/A</v>
          </cell>
          <cell r="J594" t="e">
            <v>#N/A</v>
          </cell>
          <cell r="K594" t="e">
            <v>#N/A</v>
          </cell>
          <cell r="L594" t="e">
            <v>#N/A</v>
          </cell>
          <cell r="M594" t="e">
            <v>#N/A</v>
          </cell>
          <cell r="N594" t="e">
            <v>#N/A</v>
          </cell>
          <cell r="O594" t="e">
            <v>#N/A</v>
          </cell>
          <cell r="P594">
            <v>14.52</v>
          </cell>
          <cell r="Q594" t="str">
            <v/>
          </cell>
          <cell r="R594" t="e">
            <v>#N/A</v>
          </cell>
        </row>
        <row r="595">
          <cell r="A595">
            <v>40833</v>
          </cell>
          <cell r="B595">
            <v>40833</v>
          </cell>
          <cell r="C595" t="str">
            <v>Future</v>
          </cell>
          <cell r="D595" t="e">
            <v>#N/A</v>
          </cell>
          <cell r="E595">
            <v>12.355405405405397</v>
          </cell>
          <cell r="F595">
            <v>14.787837837837861</v>
          </cell>
          <cell r="G595">
            <v>14.301351351351355</v>
          </cell>
          <cell r="H595">
            <v>14.301351351351355</v>
          </cell>
          <cell r="I595" t="e">
            <v>#N/A</v>
          </cell>
          <cell r="J595" t="e">
            <v>#N/A</v>
          </cell>
          <cell r="K595" t="e">
            <v>#N/A</v>
          </cell>
          <cell r="L595" t="e">
            <v>#N/A</v>
          </cell>
          <cell r="M595" t="e">
            <v>#N/A</v>
          </cell>
          <cell r="N595" t="e">
            <v>#N/A</v>
          </cell>
          <cell r="O595" t="e">
            <v>#N/A</v>
          </cell>
          <cell r="P595">
            <v>14.52</v>
          </cell>
          <cell r="Q595" t="str">
            <v/>
          </cell>
          <cell r="R595" t="e">
            <v>#N/A</v>
          </cell>
        </row>
        <row r="596">
          <cell r="A596">
            <v>40834</v>
          </cell>
          <cell r="B596">
            <v>40834</v>
          </cell>
          <cell r="C596" t="str">
            <v>Future</v>
          </cell>
          <cell r="D596" t="e">
            <v>#N/A</v>
          </cell>
          <cell r="E596">
            <v>12.299999999999992</v>
          </cell>
          <cell r="F596">
            <v>14.800000000000024</v>
          </cell>
          <cell r="G596">
            <v>14.300000000000004</v>
          </cell>
          <cell r="H596">
            <v>14.300000000000004</v>
          </cell>
          <cell r="I596" t="e">
            <v>#N/A</v>
          </cell>
          <cell r="J596" t="e">
            <v>#N/A</v>
          </cell>
          <cell r="K596" t="e">
            <v>#N/A</v>
          </cell>
          <cell r="L596" t="e">
            <v>#N/A</v>
          </cell>
          <cell r="M596" t="e">
            <v>#N/A</v>
          </cell>
          <cell r="N596" t="e">
            <v>#N/A</v>
          </cell>
          <cell r="O596" t="e">
            <v>#N/A</v>
          </cell>
          <cell r="P596">
            <v>14.52</v>
          </cell>
          <cell r="Q596" t="str">
            <v/>
          </cell>
          <cell r="R596" t="e">
            <v>#N/A</v>
          </cell>
        </row>
        <row r="597">
          <cell r="A597">
            <v>40835</v>
          </cell>
          <cell r="B597">
            <v>40835</v>
          </cell>
          <cell r="C597" t="str">
            <v>Future</v>
          </cell>
          <cell r="D597" t="e">
            <v>#N/A</v>
          </cell>
          <cell r="E597">
            <v>12.244594594594586</v>
          </cell>
          <cell r="F597">
            <v>14.812162162162187</v>
          </cell>
          <cell r="G597">
            <v>14.298648648648653</v>
          </cell>
          <cell r="H597">
            <v>14.298648648648653</v>
          </cell>
          <cell r="I597" t="e">
            <v>#N/A</v>
          </cell>
          <cell r="J597" t="e">
            <v>#N/A</v>
          </cell>
          <cell r="K597" t="e">
            <v>#N/A</v>
          </cell>
          <cell r="L597" t="e">
            <v>#N/A</v>
          </cell>
          <cell r="M597" t="e">
            <v>#N/A</v>
          </cell>
          <cell r="N597" t="e">
            <v>#N/A</v>
          </cell>
          <cell r="O597" t="e">
            <v>#N/A</v>
          </cell>
          <cell r="P597">
            <v>14.52</v>
          </cell>
          <cell r="Q597" t="str">
            <v/>
          </cell>
          <cell r="R597" t="e">
            <v>#N/A</v>
          </cell>
        </row>
        <row r="598">
          <cell r="A598">
            <v>40836</v>
          </cell>
          <cell r="B598">
            <v>40836</v>
          </cell>
          <cell r="C598" t="str">
            <v>Future</v>
          </cell>
          <cell r="D598" t="e">
            <v>#N/A</v>
          </cell>
          <cell r="E598">
            <v>12.189189189189181</v>
          </cell>
          <cell r="F598">
            <v>14.824324324324349</v>
          </cell>
          <cell r="G598">
            <v>14.297297297297302</v>
          </cell>
          <cell r="H598">
            <v>14.297297297297302</v>
          </cell>
          <cell r="I598" t="e">
            <v>#N/A</v>
          </cell>
          <cell r="J598" t="e">
            <v>#N/A</v>
          </cell>
          <cell r="K598" t="e">
            <v>#N/A</v>
          </cell>
          <cell r="L598" t="e">
            <v>#N/A</v>
          </cell>
          <cell r="M598" t="e">
            <v>#N/A</v>
          </cell>
          <cell r="N598" t="e">
            <v>#N/A</v>
          </cell>
          <cell r="O598" t="e">
            <v>#N/A</v>
          </cell>
          <cell r="P598">
            <v>14.52</v>
          </cell>
          <cell r="Q598" t="str">
            <v/>
          </cell>
          <cell r="R598" t="e">
            <v>#N/A</v>
          </cell>
        </row>
        <row r="599">
          <cell r="A599">
            <v>40837</v>
          </cell>
          <cell r="B599">
            <v>40837</v>
          </cell>
          <cell r="C599" t="str">
            <v>Future</v>
          </cell>
          <cell r="D599" t="e">
            <v>#N/A</v>
          </cell>
          <cell r="E599">
            <v>12.133783783783775</v>
          </cell>
          <cell r="F599">
            <v>14.836486486486512</v>
          </cell>
          <cell r="G599">
            <v>14.295945945945951</v>
          </cell>
          <cell r="H599">
            <v>14.295945945945951</v>
          </cell>
          <cell r="I599" t="e">
            <v>#N/A</v>
          </cell>
          <cell r="J599" t="e">
            <v>#N/A</v>
          </cell>
          <cell r="K599" t="e">
            <v>#N/A</v>
          </cell>
          <cell r="L599" t="e">
            <v>#N/A</v>
          </cell>
          <cell r="M599" t="e">
            <v>#N/A</v>
          </cell>
          <cell r="N599" t="e">
            <v>#N/A</v>
          </cell>
          <cell r="O599" t="e">
            <v>#N/A</v>
          </cell>
          <cell r="P599">
            <v>14.52</v>
          </cell>
          <cell r="Q599" t="str">
            <v/>
          </cell>
          <cell r="R599" t="e">
            <v>#N/A</v>
          </cell>
        </row>
        <row r="600">
          <cell r="A600">
            <v>40840</v>
          </cell>
          <cell r="B600">
            <v>40840</v>
          </cell>
          <cell r="C600" t="str">
            <v>Future</v>
          </cell>
          <cell r="D600" t="e">
            <v>#N/A</v>
          </cell>
          <cell r="E600">
            <v>12.078378378378369</v>
          </cell>
          <cell r="F600">
            <v>14.848648648648675</v>
          </cell>
          <cell r="G600">
            <v>14.294594594594599</v>
          </cell>
          <cell r="H600">
            <v>14.294594594594599</v>
          </cell>
          <cell r="I600" t="e">
            <v>#N/A</v>
          </cell>
          <cell r="J600" t="e">
            <v>#N/A</v>
          </cell>
          <cell r="K600" t="e">
            <v>#N/A</v>
          </cell>
          <cell r="L600" t="e">
            <v>#N/A</v>
          </cell>
          <cell r="M600" t="e">
            <v>#N/A</v>
          </cell>
          <cell r="N600" t="e">
            <v>#N/A</v>
          </cell>
          <cell r="O600" t="e">
            <v>#N/A</v>
          </cell>
          <cell r="P600">
            <v>14.52</v>
          </cell>
          <cell r="Q600" t="str">
            <v/>
          </cell>
          <cell r="R600" t="e">
            <v>#N/A</v>
          </cell>
        </row>
        <row r="601">
          <cell r="A601">
            <v>40841</v>
          </cell>
          <cell r="B601">
            <v>40841</v>
          </cell>
          <cell r="C601" t="str">
            <v>Future</v>
          </cell>
          <cell r="D601" t="e">
            <v>#N/A</v>
          </cell>
          <cell r="E601">
            <v>12.022972972972964</v>
          </cell>
          <cell r="F601">
            <v>14.860810810810838</v>
          </cell>
          <cell r="G601">
            <v>14.293243243243248</v>
          </cell>
          <cell r="H601">
            <v>14.293243243243248</v>
          </cell>
          <cell r="I601" t="e">
            <v>#N/A</v>
          </cell>
          <cell r="J601" t="e">
            <v>#N/A</v>
          </cell>
          <cell r="K601" t="e">
            <v>#N/A</v>
          </cell>
          <cell r="L601" t="e">
            <v>#N/A</v>
          </cell>
          <cell r="M601" t="e">
            <v>#N/A</v>
          </cell>
          <cell r="N601" t="e">
            <v>#N/A</v>
          </cell>
          <cell r="O601" t="e">
            <v>#N/A</v>
          </cell>
          <cell r="P601">
            <v>14.52</v>
          </cell>
          <cell r="Q601" t="str">
            <v/>
          </cell>
          <cell r="R601" t="e">
            <v>#N/A</v>
          </cell>
        </row>
        <row r="602">
          <cell r="A602">
            <v>40842</v>
          </cell>
          <cell r="B602">
            <v>40842</v>
          </cell>
          <cell r="C602" t="str">
            <v>Future</v>
          </cell>
          <cell r="D602" t="e">
            <v>#N/A</v>
          </cell>
          <cell r="E602">
            <v>11.967567567567558</v>
          </cell>
          <cell r="F602">
            <v>14.872972972973001</v>
          </cell>
          <cell r="G602">
            <v>14.291891891891897</v>
          </cell>
          <cell r="H602">
            <v>14.291891891891897</v>
          </cell>
          <cell r="I602" t="e">
            <v>#N/A</v>
          </cell>
          <cell r="J602" t="e">
            <v>#N/A</v>
          </cell>
          <cell r="K602" t="e">
            <v>#N/A</v>
          </cell>
          <cell r="L602" t="e">
            <v>#N/A</v>
          </cell>
          <cell r="M602" t="e">
            <v>#N/A</v>
          </cell>
          <cell r="N602" t="e">
            <v>#N/A</v>
          </cell>
          <cell r="O602" t="e">
            <v>#N/A</v>
          </cell>
          <cell r="P602">
            <v>14.52</v>
          </cell>
          <cell r="Q602" t="str">
            <v/>
          </cell>
          <cell r="R602" t="e">
            <v>#N/A</v>
          </cell>
        </row>
        <row r="603">
          <cell r="A603">
            <v>40843</v>
          </cell>
          <cell r="B603">
            <v>40843</v>
          </cell>
          <cell r="C603" t="str">
            <v>Future</v>
          </cell>
          <cell r="D603" t="e">
            <v>#N/A</v>
          </cell>
          <cell r="E603">
            <v>11.912162162162153</v>
          </cell>
          <cell r="F603">
            <v>14.885135135135164</v>
          </cell>
          <cell r="G603">
            <v>14.290540540540546</v>
          </cell>
          <cell r="H603">
            <v>14.290540540540546</v>
          </cell>
          <cell r="I603" t="e">
            <v>#N/A</v>
          </cell>
          <cell r="J603" t="e">
            <v>#N/A</v>
          </cell>
          <cell r="K603" t="e">
            <v>#N/A</v>
          </cell>
          <cell r="L603" t="e">
            <v>#N/A</v>
          </cell>
          <cell r="M603" t="e">
            <v>#N/A</v>
          </cell>
          <cell r="N603" t="e">
            <v>#N/A</v>
          </cell>
          <cell r="O603" t="e">
            <v>#N/A</v>
          </cell>
          <cell r="P603">
            <v>14.52</v>
          </cell>
          <cell r="Q603" t="str">
            <v/>
          </cell>
          <cell r="R603" t="e">
            <v>#N/A</v>
          </cell>
        </row>
        <row r="604">
          <cell r="A604">
            <v>40844</v>
          </cell>
          <cell r="B604">
            <v>40844</v>
          </cell>
          <cell r="C604" t="str">
            <v>Future</v>
          </cell>
          <cell r="D604" t="e">
            <v>#N/A</v>
          </cell>
          <cell r="E604">
            <v>11.856756756756747</v>
          </cell>
          <cell r="F604">
            <v>14.897297297297326</v>
          </cell>
          <cell r="G604">
            <v>14.289189189189194</v>
          </cell>
          <cell r="H604">
            <v>14.289189189189194</v>
          </cell>
          <cell r="I604" t="e">
            <v>#N/A</v>
          </cell>
          <cell r="J604" t="e">
            <v>#N/A</v>
          </cell>
          <cell r="K604" t="e">
            <v>#N/A</v>
          </cell>
          <cell r="L604" t="e">
            <v>#N/A</v>
          </cell>
          <cell r="M604" t="e">
            <v>#N/A</v>
          </cell>
          <cell r="N604" t="e">
            <v>#N/A</v>
          </cell>
          <cell r="O604" t="e">
            <v>#N/A</v>
          </cell>
          <cell r="P604">
            <v>14.52</v>
          </cell>
          <cell r="Q604" t="str">
            <v/>
          </cell>
          <cell r="R604" t="e">
            <v>#N/A</v>
          </cell>
        </row>
        <row r="605">
          <cell r="A605">
            <v>40847</v>
          </cell>
          <cell r="B605">
            <v>40847</v>
          </cell>
          <cell r="C605" t="str">
            <v>Future</v>
          </cell>
          <cell r="D605" t="e">
            <v>#N/A</v>
          </cell>
          <cell r="E605">
            <v>11.801351351351341</v>
          </cell>
          <cell r="F605">
            <v>14.909459459459489</v>
          </cell>
          <cell r="G605">
            <v>14.287837837837843</v>
          </cell>
          <cell r="H605">
            <v>14.287837837837843</v>
          </cell>
          <cell r="I605" t="e">
            <v>#N/A</v>
          </cell>
          <cell r="J605" t="e">
            <v>#N/A</v>
          </cell>
          <cell r="K605" t="e">
            <v>#N/A</v>
          </cell>
          <cell r="L605" t="e">
            <v>#N/A</v>
          </cell>
          <cell r="M605" t="e">
            <v>#N/A</v>
          </cell>
          <cell r="N605" t="e">
            <v>#N/A</v>
          </cell>
          <cell r="O605" t="e">
            <v>#N/A</v>
          </cell>
          <cell r="P605">
            <v>14.52</v>
          </cell>
          <cell r="Q605" t="str">
            <v/>
          </cell>
          <cell r="R605" t="e">
            <v>#N/A</v>
          </cell>
        </row>
        <row r="606">
          <cell r="A606">
            <v>40848</v>
          </cell>
          <cell r="B606">
            <v>40848</v>
          </cell>
          <cell r="C606" t="str">
            <v>Future</v>
          </cell>
          <cell r="D606" t="e">
            <v>#N/A</v>
          </cell>
          <cell r="E606">
            <v>11.745945945945936</v>
          </cell>
          <cell r="F606">
            <v>14.921621621621652</v>
          </cell>
          <cell r="G606">
            <v>14.286486486486492</v>
          </cell>
          <cell r="H606">
            <v>14.286486486486492</v>
          </cell>
          <cell r="I606" t="e">
            <v>#N/A</v>
          </cell>
          <cell r="J606" t="e">
            <v>#N/A</v>
          </cell>
          <cell r="K606" t="e">
            <v>#N/A</v>
          </cell>
          <cell r="L606" t="e">
            <v>#N/A</v>
          </cell>
          <cell r="M606" t="e">
            <v>#N/A</v>
          </cell>
          <cell r="N606" t="e">
            <v>#N/A</v>
          </cell>
          <cell r="O606" t="e">
            <v>#N/A</v>
          </cell>
          <cell r="P606">
            <v>14.52</v>
          </cell>
          <cell r="Q606" t="str">
            <v/>
          </cell>
          <cell r="R606" t="e">
            <v>#N/A</v>
          </cell>
        </row>
        <row r="607">
          <cell r="A607">
            <v>40849</v>
          </cell>
          <cell r="B607">
            <v>40849</v>
          </cell>
          <cell r="C607" t="str">
            <v>Future</v>
          </cell>
          <cell r="D607" t="e">
            <v>#N/A</v>
          </cell>
          <cell r="E607">
            <v>11.69054054054053</v>
          </cell>
          <cell r="F607">
            <v>14.933783783783815</v>
          </cell>
          <cell r="G607">
            <v>14.285135135135141</v>
          </cell>
          <cell r="H607">
            <v>14.285135135135141</v>
          </cell>
          <cell r="I607" t="e">
            <v>#N/A</v>
          </cell>
          <cell r="J607" t="e">
            <v>#N/A</v>
          </cell>
          <cell r="K607" t="e">
            <v>#N/A</v>
          </cell>
          <cell r="L607" t="e">
            <v>#N/A</v>
          </cell>
          <cell r="M607" t="e">
            <v>#N/A</v>
          </cell>
          <cell r="N607" t="e">
            <v>#N/A</v>
          </cell>
          <cell r="O607" t="e">
            <v>#N/A</v>
          </cell>
          <cell r="P607">
            <v>14.52</v>
          </cell>
          <cell r="Q607" t="str">
            <v/>
          </cell>
          <cell r="R607" t="e">
            <v>#N/A</v>
          </cell>
        </row>
        <row r="608">
          <cell r="A608">
            <v>40850</v>
          </cell>
          <cell r="B608">
            <v>40850</v>
          </cell>
          <cell r="C608" t="str">
            <v>Future</v>
          </cell>
          <cell r="D608" t="e">
            <v>#N/A</v>
          </cell>
          <cell r="E608">
            <v>11.635135135135124</v>
          </cell>
          <cell r="F608">
            <v>14.945945945945978</v>
          </cell>
          <cell r="G608">
            <v>14.28378378378379</v>
          </cell>
          <cell r="H608">
            <v>14.28378378378379</v>
          </cell>
          <cell r="I608" t="e">
            <v>#N/A</v>
          </cell>
          <cell r="J608" t="e">
            <v>#N/A</v>
          </cell>
          <cell r="K608" t="e">
            <v>#N/A</v>
          </cell>
          <cell r="L608" t="e">
            <v>#N/A</v>
          </cell>
          <cell r="M608" t="e">
            <v>#N/A</v>
          </cell>
          <cell r="N608" t="e">
            <v>#N/A</v>
          </cell>
          <cell r="O608" t="e">
            <v>#N/A</v>
          </cell>
          <cell r="P608">
            <v>14.52</v>
          </cell>
          <cell r="Q608" t="str">
            <v/>
          </cell>
          <cell r="R608" t="e">
            <v>#N/A</v>
          </cell>
        </row>
        <row r="609">
          <cell r="A609">
            <v>40851</v>
          </cell>
          <cell r="B609">
            <v>40851</v>
          </cell>
          <cell r="C609" t="str">
            <v>Future</v>
          </cell>
          <cell r="D609" t="e">
            <v>#N/A</v>
          </cell>
          <cell r="E609">
            <v>11.579729729729719</v>
          </cell>
          <cell r="F609">
            <v>14.95810810810814</v>
          </cell>
          <cell r="G609">
            <v>14.282432432432438</v>
          </cell>
          <cell r="H609">
            <v>14.282432432432438</v>
          </cell>
          <cell r="I609" t="e">
            <v>#N/A</v>
          </cell>
          <cell r="J609" t="e">
            <v>#N/A</v>
          </cell>
          <cell r="K609" t="e">
            <v>#N/A</v>
          </cell>
          <cell r="L609" t="e">
            <v>#N/A</v>
          </cell>
          <cell r="M609" t="e">
            <v>#N/A</v>
          </cell>
          <cell r="N609" t="e">
            <v>#N/A</v>
          </cell>
          <cell r="O609" t="e">
            <v>#N/A</v>
          </cell>
          <cell r="P609">
            <v>14.52</v>
          </cell>
          <cell r="Q609" t="str">
            <v/>
          </cell>
          <cell r="R609" t="e">
            <v>#N/A</v>
          </cell>
        </row>
        <row r="610">
          <cell r="A610">
            <v>40854</v>
          </cell>
          <cell r="B610">
            <v>40854</v>
          </cell>
          <cell r="C610" t="str">
            <v>Future</v>
          </cell>
          <cell r="D610" t="e">
            <v>#N/A</v>
          </cell>
          <cell r="E610">
            <v>11.524324324324313</v>
          </cell>
          <cell r="F610">
            <v>14.970270270270303</v>
          </cell>
          <cell r="G610">
            <v>14.281081081081087</v>
          </cell>
          <cell r="H610">
            <v>14.281081081081087</v>
          </cell>
          <cell r="I610" t="e">
            <v>#N/A</v>
          </cell>
          <cell r="J610" t="e">
            <v>#N/A</v>
          </cell>
          <cell r="K610" t="e">
            <v>#N/A</v>
          </cell>
          <cell r="L610" t="e">
            <v>#N/A</v>
          </cell>
          <cell r="M610" t="e">
            <v>#N/A</v>
          </cell>
          <cell r="N610" t="e">
            <v>#N/A</v>
          </cell>
          <cell r="O610" t="e">
            <v>#N/A</v>
          </cell>
          <cell r="P610">
            <v>14.52</v>
          </cell>
          <cell r="Q610" t="str">
            <v/>
          </cell>
          <cell r="R610" t="e">
            <v>#N/A</v>
          </cell>
        </row>
        <row r="611">
          <cell r="A611">
            <v>40855</v>
          </cell>
          <cell r="B611">
            <v>40855</v>
          </cell>
          <cell r="C611" t="str">
            <v>Future</v>
          </cell>
          <cell r="D611" t="e">
            <v>#N/A</v>
          </cell>
          <cell r="E611">
            <v>11.468918918918908</v>
          </cell>
          <cell r="F611">
            <v>14.982432432432466</v>
          </cell>
          <cell r="G611">
            <v>14.279729729729736</v>
          </cell>
          <cell r="H611">
            <v>14.279729729729736</v>
          </cell>
          <cell r="I611" t="e">
            <v>#N/A</v>
          </cell>
          <cell r="J611" t="e">
            <v>#N/A</v>
          </cell>
          <cell r="K611" t="e">
            <v>#N/A</v>
          </cell>
          <cell r="L611" t="e">
            <v>#N/A</v>
          </cell>
          <cell r="M611" t="e">
            <v>#N/A</v>
          </cell>
          <cell r="N611" t="e">
            <v>#N/A</v>
          </cell>
          <cell r="O611" t="e">
            <v>#N/A</v>
          </cell>
          <cell r="P611">
            <v>14.52</v>
          </cell>
          <cell r="Q611" t="str">
            <v/>
          </cell>
          <cell r="R611" t="e">
            <v>#N/A</v>
          </cell>
        </row>
        <row r="612">
          <cell r="A612">
            <v>40856</v>
          </cell>
          <cell r="B612">
            <v>40856</v>
          </cell>
          <cell r="C612" t="str">
            <v>Future</v>
          </cell>
          <cell r="D612" t="e">
            <v>#N/A</v>
          </cell>
          <cell r="E612">
            <v>11.413513513513502</v>
          </cell>
          <cell r="F612">
            <v>14.994594594594629</v>
          </cell>
          <cell r="G612">
            <v>14.278378378378385</v>
          </cell>
          <cell r="H612">
            <v>14.278378378378385</v>
          </cell>
          <cell r="I612" t="e">
            <v>#N/A</v>
          </cell>
          <cell r="J612" t="e">
            <v>#N/A</v>
          </cell>
          <cell r="K612" t="e">
            <v>#N/A</v>
          </cell>
          <cell r="L612" t="e">
            <v>#N/A</v>
          </cell>
          <cell r="M612" t="e">
            <v>#N/A</v>
          </cell>
          <cell r="N612" t="e">
            <v>#N/A</v>
          </cell>
          <cell r="O612" t="e">
            <v>#N/A</v>
          </cell>
          <cell r="P612">
            <v>14.52</v>
          </cell>
          <cell r="Q612" t="str">
            <v/>
          </cell>
          <cell r="R612" t="e">
            <v>#N/A</v>
          </cell>
        </row>
        <row r="613">
          <cell r="A613">
            <v>40857</v>
          </cell>
          <cell r="B613">
            <v>40857</v>
          </cell>
          <cell r="C613" t="str">
            <v>Future</v>
          </cell>
          <cell r="D613" t="e">
            <v>#N/A</v>
          </cell>
          <cell r="E613">
            <v>11.358108108108096</v>
          </cell>
          <cell r="F613">
            <v>15.006756756756792</v>
          </cell>
          <cell r="G613">
            <v>14.277027027027033</v>
          </cell>
          <cell r="H613">
            <v>14.277027027027033</v>
          </cell>
          <cell r="I613" t="e">
            <v>#N/A</v>
          </cell>
          <cell r="J613" t="e">
            <v>#N/A</v>
          </cell>
          <cell r="K613" t="e">
            <v>#N/A</v>
          </cell>
          <cell r="L613" t="e">
            <v>#N/A</v>
          </cell>
          <cell r="M613" t="e">
            <v>#N/A</v>
          </cell>
          <cell r="N613" t="e">
            <v>#N/A</v>
          </cell>
          <cell r="O613" t="e">
            <v>#N/A</v>
          </cell>
          <cell r="P613">
            <v>14.52</v>
          </cell>
          <cell r="Q613" t="str">
            <v/>
          </cell>
          <cell r="R613" t="e">
            <v>#N/A</v>
          </cell>
        </row>
        <row r="614">
          <cell r="A614">
            <v>40858</v>
          </cell>
          <cell r="B614">
            <v>40858</v>
          </cell>
          <cell r="C614" t="str">
            <v>Future</v>
          </cell>
          <cell r="D614" t="e">
            <v>#N/A</v>
          </cell>
          <cell r="E614">
            <v>11.302702702702691</v>
          </cell>
          <cell r="F614">
            <v>15.018918918918954</v>
          </cell>
          <cell r="G614">
            <v>14.275675675675682</v>
          </cell>
          <cell r="H614">
            <v>14.275675675675682</v>
          </cell>
          <cell r="I614" t="e">
            <v>#N/A</v>
          </cell>
          <cell r="J614" t="e">
            <v>#N/A</v>
          </cell>
          <cell r="K614" t="e">
            <v>#N/A</v>
          </cell>
          <cell r="L614" t="e">
            <v>#N/A</v>
          </cell>
          <cell r="M614" t="e">
            <v>#N/A</v>
          </cell>
          <cell r="N614" t="e">
            <v>#N/A</v>
          </cell>
          <cell r="O614" t="e">
            <v>#N/A</v>
          </cell>
          <cell r="P614">
            <v>14.52</v>
          </cell>
          <cell r="Q614" t="str">
            <v/>
          </cell>
          <cell r="R614" t="e">
            <v>#N/A</v>
          </cell>
        </row>
        <row r="615">
          <cell r="A615">
            <v>40861</v>
          </cell>
          <cell r="B615">
            <v>40861</v>
          </cell>
          <cell r="C615" t="str">
            <v>Future</v>
          </cell>
          <cell r="D615" t="e">
            <v>#N/A</v>
          </cell>
          <cell r="E615">
            <v>11.247297297297285</v>
          </cell>
          <cell r="F615">
            <v>15.031081081081117</v>
          </cell>
          <cell r="G615">
            <v>14.274324324324331</v>
          </cell>
          <cell r="H615">
            <v>14.274324324324331</v>
          </cell>
          <cell r="I615" t="e">
            <v>#N/A</v>
          </cell>
          <cell r="J615" t="e">
            <v>#N/A</v>
          </cell>
          <cell r="K615" t="e">
            <v>#N/A</v>
          </cell>
          <cell r="L615" t="e">
            <v>#N/A</v>
          </cell>
          <cell r="M615" t="e">
            <v>#N/A</v>
          </cell>
          <cell r="N615" t="e">
            <v>#N/A</v>
          </cell>
          <cell r="O615" t="e">
            <v>#N/A</v>
          </cell>
          <cell r="P615">
            <v>14.52</v>
          </cell>
          <cell r="Q615" t="str">
            <v/>
          </cell>
          <cell r="R615" t="e">
            <v>#N/A</v>
          </cell>
        </row>
        <row r="616">
          <cell r="A616">
            <v>40862</v>
          </cell>
          <cell r="B616">
            <v>40862</v>
          </cell>
          <cell r="C616" t="str">
            <v>Future</v>
          </cell>
          <cell r="D616" t="e">
            <v>#N/A</v>
          </cell>
          <cell r="E616">
            <v>11.191891891891879</v>
          </cell>
          <cell r="F616">
            <v>15.04324324324328</v>
          </cell>
          <cell r="G616">
            <v>14.27297297297298</v>
          </cell>
          <cell r="H616">
            <v>14.27297297297298</v>
          </cell>
          <cell r="I616" t="e">
            <v>#N/A</v>
          </cell>
          <cell r="J616" t="e">
            <v>#N/A</v>
          </cell>
          <cell r="K616" t="e">
            <v>#N/A</v>
          </cell>
          <cell r="L616" t="e">
            <v>#N/A</v>
          </cell>
          <cell r="M616" t="e">
            <v>#N/A</v>
          </cell>
          <cell r="N616" t="e">
            <v>#N/A</v>
          </cell>
          <cell r="O616" t="e">
            <v>#N/A</v>
          </cell>
          <cell r="P616">
            <v>14.52</v>
          </cell>
          <cell r="Q616" t="str">
            <v/>
          </cell>
          <cell r="R616" t="e">
            <v>#N/A</v>
          </cell>
        </row>
        <row r="617">
          <cell r="A617">
            <v>40863</v>
          </cell>
          <cell r="B617">
            <v>40863</v>
          </cell>
          <cell r="C617" t="str">
            <v>Future</v>
          </cell>
          <cell r="D617" t="e">
            <v>#N/A</v>
          </cell>
          <cell r="E617">
            <v>11.136486486486474</v>
          </cell>
          <cell r="F617">
            <v>15.055405405405443</v>
          </cell>
          <cell r="G617">
            <v>14.271621621621629</v>
          </cell>
          <cell r="H617">
            <v>14.271621621621629</v>
          </cell>
          <cell r="I617" t="e">
            <v>#N/A</v>
          </cell>
          <cell r="J617" t="e">
            <v>#N/A</v>
          </cell>
          <cell r="K617" t="e">
            <v>#N/A</v>
          </cell>
          <cell r="L617" t="e">
            <v>#N/A</v>
          </cell>
          <cell r="M617" t="e">
            <v>#N/A</v>
          </cell>
          <cell r="N617" t="e">
            <v>#N/A</v>
          </cell>
          <cell r="O617" t="e">
            <v>#N/A</v>
          </cell>
          <cell r="P617">
            <v>14.52</v>
          </cell>
          <cell r="Q617" t="str">
            <v/>
          </cell>
          <cell r="R617" t="e">
            <v>#N/A</v>
          </cell>
        </row>
        <row r="618">
          <cell r="A618">
            <v>40864</v>
          </cell>
          <cell r="B618">
            <v>40864</v>
          </cell>
          <cell r="C618" t="str">
            <v>Future</v>
          </cell>
          <cell r="D618" t="e">
            <v>#N/A</v>
          </cell>
          <cell r="E618">
            <v>11.081081081081068</v>
          </cell>
          <cell r="F618">
            <v>15.067567567567606</v>
          </cell>
          <cell r="G618">
            <v>14.270270270270277</v>
          </cell>
          <cell r="H618">
            <v>14.270270270270277</v>
          </cell>
          <cell r="I618" t="e">
            <v>#N/A</v>
          </cell>
          <cell r="J618" t="e">
            <v>#N/A</v>
          </cell>
          <cell r="K618" t="e">
            <v>#N/A</v>
          </cell>
          <cell r="L618" t="e">
            <v>#N/A</v>
          </cell>
          <cell r="M618" t="e">
            <v>#N/A</v>
          </cell>
          <cell r="N618" t="e">
            <v>#N/A</v>
          </cell>
          <cell r="O618" t="e">
            <v>#N/A</v>
          </cell>
          <cell r="P618">
            <v>14.52</v>
          </cell>
          <cell r="Q618" t="str">
            <v/>
          </cell>
          <cell r="R618" t="e">
            <v>#N/A</v>
          </cell>
        </row>
        <row r="619">
          <cell r="A619">
            <v>40865</v>
          </cell>
          <cell r="B619">
            <v>40865</v>
          </cell>
          <cell r="C619" t="str">
            <v>Future</v>
          </cell>
          <cell r="D619" t="e">
            <v>#N/A</v>
          </cell>
          <cell r="E619">
            <v>11.025675675675663</v>
          </cell>
          <cell r="F619">
            <v>15.079729729729769</v>
          </cell>
          <cell r="G619">
            <v>14.268918918918926</v>
          </cell>
          <cell r="H619">
            <v>14.268918918918926</v>
          </cell>
          <cell r="I619" t="e">
            <v>#N/A</v>
          </cell>
          <cell r="J619" t="e">
            <v>#N/A</v>
          </cell>
          <cell r="K619" t="e">
            <v>#N/A</v>
          </cell>
          <cell r="L619" t="e">
            <v>#N/A</v>
          </cell>
          <cell r="M619" t="e">
            <v>#N/A</v>
          </cell>
          <cell r="N619" t="e">
            <v>#N/A</v>
          </cell>
          <cell r="O619" t="e">
            <v>#N/A</v>
          </cell>
          <cell r="P619">
            <v>14.52</v>
          </cell>
          <cell r="Q619" t="str">
            <v/>
          </cell>
          <cell r="R619" t="e">
            <v>#N/A</v>
          </cell>
        </row>
        <row r="620">
          <cell r="A620">
            <v>40868</v>
          </cell>
          <cell r="B620">
            <v>40868</v>
          </cell>
          <cell r="C620" t="str">
            <v>Future</v>
          </cell>
          <cell r="D620" t="e">
            <v>#N/A</v>
          </cell>
          <cell r="E620">
            <v>10.970270270270257</v>
          </cell>
          <cell r="F620">
            <v>15.091891891891931</v>
          </cell>
          <cell r="G620">
            <v>14.267567567567575</v>
          </cell>
          <cell r="H620">
            <v>14.267567567567575</v>
          </cell>
          <cell r="I620" t="e">
            <v>#N/A</v>
          </cell>
          <cell r="J620" t="e">
            <v>#N/A</v>
          </cell>
          <cell r="K620" t="e">
            <v>#N/A</v>
          </cell>
          <cell r="L620" t="e">
            <v>#N/A</v>
          </cell>
          <cell r="M620" t="e">
            <v>#N/A</v>
          </cell>
          <cell r="N620" t="e">
            <v>#N/A</v>
          </cell>
          <cell r="O620" t="e">
            <v>#N/A</v>
          </cell>
          <cell r="P620">
            <v>14.52</v>
          </cell>
          <cell r="Q620" t="str">
            <v/>
          </cell>
          <cell r="R620" t="e">
            <v>#N/A</v>
          </cell>
        </row>
        <row r="621">
          <cell r="A621">
            <v>40869</v>
          </cell>
          <cell r="B621">
            <v>40869</v>
          </cell>
          <cell r="C621" t="str">
            <v>Future</v>
          </cell>
          <cell r="D621" t="e">
            <v>#N/A</v>
          </cell>
          <cell r="E621">
            <v>10.914864864864851</v>
          </cell>
          <cell r="F621">
            <v>15.104054054054094</v>
          </cell>
          <cell r="G621">
            <v>14.266216216216224</v>
          </cell>
          <cell r="H621">
            <v>14.266216216216224</v>
          </cell>
          <cell r="I621" t="e">
            <v>#N/A</v>
          </cell>
          <cell r="J621" t="e">
            <v>#N/A</v>
          </cell>
          <cell r="K621" t="e">
            <v>#N/A</v>
          </cell>
          <cell r="L621" t="e">
            <v>#N/A</v>
          </cell>
          <cell r="M621" t="e">
            <v>#N/A</v>
          </cell>
          <cell r="N621" t="e">
            <v>#N/A</v>
          </cell>
          <cell r="O621" t="e">
            <v>#N/A</v>
          </cell>
          <cell r="P621">
            <v>14.52</v>
          </cell>
          <cell r="Q621" t="str">
            <v/>
          </cell>
          <cell r="R621" t="e">
            <v>#N/A</v>
          </cell>
        </row>
        <row r="622">
          <cell r="A622">
            <v>40870</v>
          </cell>
          <cell r="B622">
            <v>40870</v>
          </cell>
          <cell r="C622" t="str">
            <v>Future</v>
          </cell>
          <cell r="D622" t="e">
            <v>#N/A</v>
          </cell>
          <cell r="E622">
            <v>10.859459459459446</v>
          </cell>
          <cell r="F622">
            <v>15.116216216216257</v>
          </cell>
          <cell r="G622">
            <v>14.264864864864872</v>
          </cell>
          <cell r="H622">
            <v>14.264864864864872</v>
          </cell>
          <cell r="I622" t="e">
            <v>#N/A</v>
          </cell>
          <cell r="J622" t="e">
            <v>#N/A</v>
          </cell>
          <cell r="K622" t="e">
            <v>#N/A</v>
          </cell>
          <cell r="L622" t="e">
            <v>#N/A</v>
          </cell>
          <cell r="M622" t="e">
            <v>#N/A</v>
          </cell>
          <cell r="N622" t="e">
            <v>#N/A</v>
          </cell>
          <cell r="O622" t="e">
            <v>#N/A</v>
          </cell>
          <cell r="P622">
            <v>14.52</v>
          </cell>
          <cell r="Q622" t="str">
            <v/>
          </cell>
          <cell r="R622" t="e">
            <v>#N/A</v>
          </cell>
        </row>
        <row r="623">
          <cell r="A623">
            <v>40872</v>
          </cell>
          <cell r="B623">
            <v>40872</v>
          </cell>
          <cell r="C623" t="str">
            <v>Future</v>
          </cell>
          <cell r="D623" t="e">
            <v>#N/A</v>
          </cell>
          <cell r="E623">
            <v>10.80405405405404</v>
          </cell>
          <cell r="F623">
            <v>15.12837837837842</v>
          </cell>
          <cell r="G623">
            <v>14.263513513513521</v>
          </cell>
          <cell r="H623">
            <v>14.263513513513521</v>
          </cell>
          <cell r="I623" t="e">
            <v>#N/A</v>
          </cell>
          <cell r="J623" t="e">
            <v>#N/A</v>
          </cell>
          <cell r="K623" t="e">
            <v>#N/A</v>
          </cell>
          <cell r="L623" t="e">
            <v>#N/A</v>
          </cell>
          <cell r="M623" t="e">
            <v>#N/A</v>
          </cell>
          <cell r="N623" t="e">
            <v>#N/A</v>
          </cell>
          <cell r="O623" t="e">
            <v>#N/A</v>
          </cell>
          <cell r="P623">
            <v>14.52</v>
          </cell>
          <cell r="Q623" t="str">
            <v/>
          </cell>
          <cell r="R623" t="e">
            <v>#N/A</v>
          </cell>
        </row>
        <row r="624">
          <cell r="A624">
            <v>40875</v>
          </cell>
          <cell r="B624">
            <v>40875</v>
          </cell>
          <cell r="C624" t="str">
            <v>Future</v>
          </cell>
          <cell r="D624" t="e">
            <v>#N/A</v>
          </cell>
          <cell r="E624">
            <v>10.748648648648635</v>
          </cell>
          <cell r="F624">
            <v>15.140540540540583</v>
          </cell>
          <cell r="G624">
            <v>14.26216216216217</v>
          </cell>
          <cell r="H624">
            <v>14.26216216216217</v>
          </cell>
          <cell r="I624" t="e">
            <v>#N/A</v>
          </cell>
          <cell r="J624" t="e">
            <v>#N/A</v>
          </cell>
          <cell r="K624" t="e">
            <v>#N/A</v>
          </cell>
          <cell r="L624" t="e">
            <v>#N/A</v>
          </cell>
          <cell r="M624" t="e">
            <v>#N/A</v>
          </cell>
          <cell r="N624" t="e">
            <v>#N/A</v>
          </cell>
          <cell r="O624" t="e">
            <v>#N/A</v>
          </cell>
          <cell r="P624">
            <v>14.52</v>
          </cell>
          <cell r="Q624" t="str">
            <v/>
          </cell>
          <cell r="R624" t="e">
            <v>#N/A</v>
          </cell>
        </row>
        <row r="625">
          <cell r="A625">
            <v>40876</v>
          </cell>
          <cell r="B625">
            <v>40876</v>
          </cell>
          <cell r="C625" t="str">
            <v>Future</v>
          </cell>
          <cell r="D625" t="e">
            <v>#N/A</v>
          </cell>
          <cell r="E625">
            <v>10.693243243243229</v>
          </cell>
          <cell r="F625">
            <v>15.152702702702745</v>
          </cell>
          <cell r="G625">
            <v>14.260810810810819</v>
          </cell>
          <cell r="H625">
            <v>14.260810810810819</v>
          </cell>
          <cell r="I625" t="e">
            <v>#N/A</v>
          </cell>
          <cell r="J625" t="e">
            <v>#N/A</v>
          </cell>
          <cell r="K625" t="e">
            <v>#N/A</v>
          </cell>
          <cell r="L625" t="e">
            <v>#N/A</v>
          </cell>
          <cell r="M625" t="e">
            <v>#N/A</v>
          </cell>
          <cell r="N625" t="e">
            <v>#N/A</v>
          </cell>
          <cell r="O625" t="e">
            <v>#N/A</v>
          </cell>
          <cell r="P625">
            <v>14.52</v>
          </cell>
          <cell r="Q625" t="str">
            <v/>
          </cell>
          <cell r="R625" t="e">
            <v>#N/A</v>
          </cell>
        </row>
        <row r="626">
          <cell r="A626">
            <v>40877</v>
          </cell>
          <cell r="B626">
            <v>40877</v>
          </cell>
          <cell r="C626" t="str">
            <v>Future</v>
          </cell>
          <cell r="D626" t="e">
            <v>#N/A</v>
          </cell>
          <cell r="E626">
            <v>10.637837837837823</v>
          </cell>
          <cell r="F626">
            <v>15.164864864864908</v>
          </cell>
          <cell r="G626">
            <v>14.259459459459467</v>
          </cell>
          <cell r="H626">
            <v>14.259459459459467</v>
          </cell>
          <cell r="I626" t="e">
            <v>#N/A</v>
          </cell>
          <cell r="J626" t="e">
            <v>#N/A</v>
          </cell>
          <cell r="K626" t="e">
            <v>#N/A</v>
          </cell>
          <cell r="L626" t="e">
            <v>#N/A</v>
          </cell>
          <cell r="M626" t="e">
            <v>#N/A</v>
          </cell>
          <cell r="N626" t="e">
            <v>#N/A</v>
          </cell>
          <cell r="O626" t="e">
            <v>#N/A</v>
          </cell>
          <cell r="P626">
            <v>14.52</v>
          </cell>
          <cell r="Q626" t="str">
            <v/>
          </cell>
          <cell r="R626" t="e">
            <v>#N/A</v>
          </cell>
        </row>
        <row r="627">
          <cell r="A627">
            <v>40878</v>
          </cell>
          <cell r="B627">
            <v>40878</v>
          </cell>
          <cell r="C627" t="str">
            <v>Future</v>
          </cell>
          <cell r="D627" t="e">
            <v>#N/A</v>
          </cell>
          <cell r="E627">
            <v>10.582432432432418</v>
          </cell>
          <cell r="F627">
            <v>15.177027027027071</v>
          </cell>
          <cell r="G627">
            <v>14.258108108108116</v>
          </cell>
          <cell r="H627">
            <v>14.258108108108116</v>
          </cell>
          <cell r="I627" t="e">
            <v>#N/A</v>
          </cell>
          <cell r="J627" t="e">
            <v>#N/A</v>
          </cell>
          <cell r="K627" t="e">
            <v>#N/A</v>
          </cell>
          <cell r="L627" t="e">
            <v>#N/A</v>
          </cell>
          <cell r="M627" t="e">
            <v>#N/A</v>
          </cell>
          <cell r="N627" t="e">
            <v>#N/A</v>
          </cell>
          <cell r="O627" t="e">
            <v>#N/A</v>
          </cell>
          <cell r="P627">
            <v>14.52</v>
          </cell>
          <cell r="Q627" t="str">
            <v/>
          </cell>
          <cell r="R627" t="e">
            <v>#N/A</v>
          </cell>
        </row>
        <row r="628">
          <cell r="A628">
            <v>40879</v>
          </cell>
          <cell r="B628">
            <v>40879</v>
          </cell>
          <cell r="C628" t="str">
            <v>Future</v>
          </cell>
          <cell r="D628" t="e">
            <v>#N/A</v>
          </cell>
          <cell r="E628">
            <v>10.527027027027012</v>
          </cell>
          <cell r="F628">
            <v>15.189189189189234</v>
          </cell>
          <cell r="G628">
            <v>14.256756756756765</v>
          </cell>
          <cell r="H628">
            <v>14.256756756756765</v>
          </cell>
          <cell r="I628" t="e">
            <v>#N/A</v>
          </cell>
          <cell r="J628" t="e">
            <v>#N/A</v>
          </cell>
          <cell r="K628" t="e">
            <v>#N/A</v>
          </cell>
          <cell r="L628" t="e">
            <v>#N/A</v>
          </cell>
          <cell r="M628" t="e">
            <v>#N/A</v>
          </cell>
          <cell r="N628" t="e">
            <v>#N/A</v>
          </cell>
          <cell r="O628" t="e">
            <v>#N/A</v>
          </cell>
          <cell r="P628">
            <v>14.52</v>
          </cell>
          <cell r="Q628" t="str">
            <v/>
          </cell>
          <cell r="R628" t="e">
            <v>#N/A</v>
          </cell>
        </row>
        <row r="629">
          <cell r="A629">
            <v>40882</v>
          </cell>
          <cell r="B629">
            <v>40882</v>
          </cell>
          <cell r="C629" t="str">
            <v>Future</v>
          </cell>
          <cell r="D629" t="e">
            <v>#N/A</v>
          </cell>
          <cell r="E629">
            <v>10.471621621621606</v>
          </cell>
          <cell r="F629">
            <v>15.201351351351397</v>
          </cell>
          <cell r="G629">
            <v>14.255405405405414</v>
          </cell>
          <cell r="H629">
            <v>14.255405405405414</v>
          </cell>
          <cell r="I629" t="e">
            <v>#N/A</v>
          </cell>
          <cell r="J629" t="e">
            <v>#N/A</v>
          </cell>
          <cell r="K629" t="e">
            <v>#N/A</v>
          </cell>
          <cell r="L629" t="e">
            <v>#N/A</v>
          </cell>
          <cell r="M629" t="e">
            <v>#N/A</v>
          </cell>
          <cell r="N629" t="e">
            <v>#N/A</v>
          </cell>
          <cell r="O629" t="e">
            <v>#N/A</v>
          </cell>
          <cell r="P629">
            <v>14.52</v>
          </cell>
          <cell r="Q629" t="str">
            <v/>
          </cell>
          <cell r="R629" t="e">
            <v>#N/A</v>
          </cell>
        </row>
        <row r="630">
          <cell r="A630">
            <v>40883</v>
          </cell>
          <cell r="B630">
            <v>40883</v>
          </cell>
          <cell r="C630" t="str">
            <v>Future</v>
          </cell>
          <cell r="D630" t="e">
            <v>#N/A</v>
          </cell>
          <cell r="E630">
            <v>10.416216216216201</v>
          </cell>
          <cell r="F630">
            <v>15.21351351351356</v>
          </cell>
          <cell r="G630">
            <v>14.254054054054063</v>
          </cell>
          <cell r="H630">
            <v>14.254054054054063</v>
          </cell>
          <cell r="I630" t="e">
            <v>#N/A</v>
          </cell>
          <cell r="J630" t="e">
            <v>#N/A</v>
          </cell>
          <cell r="K630" t="e">
            <v>#N/A</v>
          </cell>
          <cell r="L630" t="e">
            <v>#N/A</v>
          </cell>
          <cell r="M630" t="e">
            <v>#N/A</v>
          </cell>
          <cell r="N630" t="e">
            <v>#N/A</v>
          </cell>
          <cell r="O630" t="e">
            <v>#N/A</v>
          </cell>
          <cell r="P630">
            <v>14.52</v>
          </cell>
          <cell r="Q630" t="str">
            <v/>
          </cell>
          <cell r="R630" t="e">
            <v>#N/A</v>
          </cell>
        </row>
        <row r="631">
          <cell r="A631">
            <v>40884</v>
          </cell>
          <cell r="B631">
            <v>40884</v>
          </cell>
          <cell r="C631" t="str">
            <v>Future</v>
          </cell>
          <cell r="D631" t="e">
            <v>#N/A</v>
          </cell>
          <cell r="E631">
            <v>10.360810810810795</v>
          </cell>
          <cell r="F631">
            <v>15.225675675675722</v>
          </cell>
          <cell r="G631">
            <v>14.252702702702711</v>
          </cell>
          <cell r="H631">
            <v>14.252702702702711</v>
          </cell>
          <cell r="I631" t="e">
            <v>#N/A</v>
          </cell>
          <cell r="J631" t="e">
            <v>#N/A</v>
          </cell>
          <cell r="K631" t="e">
            <v>#N/A</v>
          </cell>
          <cell r="L631" t="e">
            <v>#N/A</v>
          </cell>
          <cell r="M631" t="e">
            <v>#N/A</v>
          </cell>
          <cell r="N631" t="e">
            <v>#N/A</v>
          </cell>
          <cell r="O631" t="e">
            <v>#N/A</v>
          </cell>
          <cell r="P631">
            <v>14.52</v>
          </cell>
          <cell r="Q631" t="str">
            <v/>
          </cell>
          <cell r="R631" t="e">
            <v>#N/A</v>
          </cell>
        </row>
        <row r="632">
          <cell r="A632">
            <v>40885</v>
          </cell>
          <cell r="B632">
            <v>40885</v>
          </cell>
          <cell r="C632" t="str">
            <v>Future</v>
          </cell>
          <cell r="D632" t="e">
            <v>#N/A</v>
          </cell>
          <cell r="E632">
            <v>10.30540540540539</v>
          </cell>
          <cell r="F632">
            <v>15.237837837837885</v>
          </cell>
          <cell r="G632">
            <v>14.25135135135136</v>
          </cell>
          <cell r="H632">
            <v>14.25135135135136</v>
          </cell>
          <cell r="I632" t="e">
            <v>#N/A</v>
          </cell>
          <cell r="J632" t="e">
            <v>#N/A</v>
          </cell>
          <cell r="K632" t="e">
            <v>#N/A</v>
          </cell>
          <cell r="L632" t="e">
            <v>#N/A</v>
          </cell>
          <cell r="M632" t="e">
            <v>#N/A</v>
          </cell>
          <cell r="N632" t="e">
            <v>#N/A</v>
          </cell>
          <cell r="O632" t="e">
            <v>#N/A</v>
          </cell>
          <cell r="P632">
            <v>14.52</v>
          </cell>
          <cell r="Q632" t="str">
            <v/>
          </cell>
          <cell r="R632" t="e">
            <v>#N/A</v>
          </cell>
        </row>
        <row r="633">
          <cell r="A633">
            <v>40886</v>
          </cell>
          <cell r="B633">
            <v>40886</v>
          </cell>
          <cell r="C633" t="str">
            <v>Future</v>
          </cell>
          <cell r="D633" t="e">
            <v>#N/A</v>
          </cell>
          <cell r="E633">
            <v>10.249999999999984</v>
          </cell>
          <cell r="F633">
            <v>15.250000000000048</v>
          </cell>
          <cell r="G633">
            <v>14.250000000000009</v>
          </cell>
          <cell r="H633">
            <v>14.250000000000009</v>
          </cell>
          <cell r="I633" t="e">
            <v>#N/A</v>
          </cell>
          <cell r="J633" t="e">
            <v>#N/A</v>
          </cell>
          <cell r="K633" t="e">
            <v>#N/A</v>
          </cell>
          <cell r="L633" t="e">
            <v>#N/A</v>
          </cell>
          <cell r="M633" t="e">
            <v>#N/A</v>
          </cell>
          <cell r="N633" t="e">
            <v>#N/A</v>
          </cell>
          <cell r="O633" t="e">
            <v>#N/A</v>
          </cell>
          <cell r="P633">
            <v>14.52</v>
          </cell>
          <cell r="Q633" t="str">
            <v/>
          </cell>
          <cell r="R633" t="e">
            <v>#N/A</v>
          </cell>
        </row>
        <row r="634">
          <cell r="A634">
            <v>40889</v>
          </cell>
          <cell r="B634">
            <v>40889</v>
          </cell>
          <cell r="C634" t="str">
            <v>Future</v>
          </cell>
          <cell r="D634" t="e">
            <v>#N/A</v>
          </cell>
          <cell r="E634">
            <v>10.194594594594578</v>
          </cell>
          <cell r="F634">
            <v>15.262162162162211</v>
          </cell>
          <cell r="G634">
            <v>14.248648648648658</v>
          </cell>
          <cell r="H634">
            <v>14.248648648648658</v>
          </cell>
          <cell r="I634" t="e">
            <v>#N/A</v>
          </cell>
          <cell r="J634" t="e">
            <v>#N/A</v>
          </cell>
          <cell r="K634" t="e">
            <v>#N/A</v>
          </cell>
          <cell r="L634" t="e">
            <v>#N/A</v>
          </cell>
          <cell r="M634" t="e">
            <v>#N/A</v>
          </cell>
          <cell r="N634" t="e">
            <v>#N/A</v>
          </cell>
          <cell r="O634" t="e">
            <v>#N/A</v>
          </cell>
          <cell r="P634">
            <v>14.52</v>
          </cell>
          <cell r="Q634" t="str">
            <v/>
          </cell>
          <cell r="R634" t="e">
            <v>#N/A</v>
          </cell>
        </row>
        <row r="635">
          <cell r="A635">
            <v>40890</v>
          </cell>
          <cell r="B635">
            <v>40890</v>
          </cell>
          <cell r="C635" t="str">
            <v>Future</v>
          </cell>
          <cell r="D635" t="e">
            <v>#N/A</v>
          </cell>
          <cell r="E635">
            <v>10.139189189189173</v>
          </cell>
          <cell r="F635">
            <v>15.274324324324374</v>
          </cell>
          <cell r="G635">
            <v>14.247297297297306</v>
          </cell>
          <cell r="H635">
            <v>14.247297297297306</v>
          </cell>
          <cell r="I635" t="e">
            <v>#N/A</v>
          </cell>
          <cell r="J635" t="e">
            <v>#N/A</v>
          </cell>
          <cell r="K635" t="e">
            <v>#N/A</v>
          </cell>
          <cell r="L635" t="e">
            <v>#N/A</v>
          </cell>
          <cell r="M635" t="e">
            <v>#N/A</v>
          </cell>
          <cell r="N635" t="e">
            <v>#N/A</v>
          </cell>
          <cell r="O635" t="e">
            <v>#N/A</v>
          </cell>
          <cell r="P635">
            <v>14.52</v>
          </cell>
          <cell r="Q635" t="str">
            <v/>
          </cell>
          <cell r="R635" t="e">
            <v>#N/A</v>
          </cell>
        </row>
        <row r="636">
          <cell r="A636">
            <v>40891</v>
          </cell>
          <cell r="B636">
            <v>40891</v>
          </cell>
          <cell r="C636" t="str">
            <v>Future</v>
          </cell>
          <cell r="D636" t="e">
            <v>#N/A</v>
          </cell>
          <cell r="E636">
            <v>10.083783783783767</v>
          </cell>
          <cell r="F636">
            <v>15.286486486486536</v>
          </cell>
          <cell r="G636">
            <v>14.245945945945955</v>
          </cell>
          <cell r="H636">
            <v>14.245945945945955</v>
          </cell>
          <cell r="I636" t="e">
            <v>#N/A</v>
          </cell>
          <cell r="J636" t="e">
            <v>#N/A</v>
          </cell>
          <cell r="K636" t="e">
            <v>#N/A</v>
          </cell>
          <cell r="L636" t="e">
            <v>#N/A</v>
          </cell>
          <cell r="M636" t="e">
            <v>#N/A</v>
          </cell>
          <cell r="N636" t="e">
            <v>#N/A</v>
          </cell>
          <cell r="O636" t="e">
            <v>#N/A</v>
          </cell>
          <cell r="P636">
            <v>14.52</v>
          </cell>
          <cell r="Q636" t="str">
            <v/>
          </cell>
          <cell r="R636" t="e">
            <v>#N/A</v>
          </cell>
        </row>
        <row r="637">
          <cell r="A637">
            <v>40892</v>
          </cell>
          <cell r="B637">
            <v>40892</v>
          </cell>
          <cell r="C637" t="str">
            <v>Future</v>
          </cell>
          <cell r="D637" t="e">
            <v>#N/A</v>
          </cell>
          <cell r="E637">
            <v>10.028378378378362</v>
          </cell>
          <cell r="F637">
            <v>15.298648648648699</v>
          </cell>
          <cell r="G637">
            <v>14.244594594594604</v>
          </cell>
          <cell r="H637">
            <v>14.244594594594604</v>
          </cell>
          <cell r="I637" t="e">
            <v>#N/A</v>
          </cell>
          <cell r="J637" t="e">
            <v>#N/A</v>
          </cell>
          <cell r="K637" t="e">
            <v>#N/A</v>
          </cell>
          <cell r="L637" t="e">
            <v>#N/A</v>
          </cell>
          <cell r="M637" t="e">
            <v>#N/A</v>
          </cell>
          <cell r="N637" t="e">
            <v>#N/A</v>
          </cell>
          <cell r="O637" t="e">
            <v>#N/A</v>
          </cell>
          <cell r="P637">
            <v>14.52</v>
          </cell>
          <cell r="Q637" t="str">
            <v/>
          </cell>
          <cell r="R637" t="e">
            <v>#N/A</v>
          </cell>
        </row>
        <row r="638">
          <cell r="A638">
            <v>40893</v>
          </cell>
          <cell r="B638">
            <v>40893</v>
          </cell>
          <cell r="C638" t="str">
            <v>Future</v>
          </cell>
          <cell r="D638" t="e">
            <v>#N/A</v>
          </cell>
          <cell r="E638">
            <v>9.9729729729729559</v>
          </cell>
          <cell r="F638">
            <v>15.310810810810862</v>
          </cell>
          <cell r="G638">
            <v>14.243243243243253</v>
          </cell>
          <cell r="H638">
            <v>14.243243243243253</v>
          </cell>
          <cell r="I638" t="e">
            <v>#N/A</v>
          </cell>
          <cell r="J638" t="e">
            <v>#N/A</v>
          </cell>
          <cell r="K638" t="e">
            <v>#N/A</v>
          </cell>
          <cell r="L638" t="e">
            <v>#N/A</v>
          </cell>
          <cell r="M638" t="e">
            <v>#N/A</v>
          </cell>
          <cell r="N638" t="e">
            <v>#N/A</v>
          </cell>
          <cell r="O638" t="e">
            <v>#N/A</v>
          </cell>
          <cell r="P638">
            <v>14.52</v>
          </cell>
          <cell r="Q638" t="str">
            <v/>
          </cell>
          <cell r="R638" t="e">
            <v>#N/A</v>
          </cell>
        </row>
        <row r="639">
          <cell r="A639">
            <v>40896</v>
          </cell>
          <cell r="B639">
            <v>40896</v>
          </cell>
          <cell r="C639" t="str">
            <v>Future</v>
          </cell>
          <cell r="D639" t="e">
            <v>#N/A</v>
          </cell>
          <cell r="E639">
            <v>9.9175675675675503</v>
          </cell>
          <cell r="F639">
            <v>15.322972972973025</v>
          </cell>
          <cell r="G639">
            <v>14.241891891891902</v>
          </cell>
          <cell r="H639">
            <v>14.241891891891902</v>
          </cell>
          <cell r="I639" t="e">
            <v>#N/A</v>
          </cell>
          <cell r="J639" t="e">
            <v>#N/A</v>
          </cell>
          <cell r="K639" t="e">
            <v>#N/A</v>
          </cell>
          <cell r="L639" t="e">
            <v>#N/A</v>
          </cell>
          <cell r="M639" t="e">
            <v>#N/A</v>
          </cell>
          <cell r="N639" t="e">
            <v>#N/A</v>
          </cell>
          <cell r="O639" t="e">
            <v>#N/A</v>
          </cell>
          <cell r="P639">
            <v>14.52</v>
          </cell>
          <cell r="Q639" t="str">
            <v/>
          </cell>
          <cell r="R639" t="e">
            <v>#N/A</v>
          </cell>
        </row>
        <row r="640">
          <cell r="A640">
            <v>40897</v>
          </cell>
          <cell r="B640">
            <v>40897</v>
          </cell>
          <cell r="C640" t="str">
            <v>Future</v>
          </cell>
          <cell r="D640" t="e">
            <v>#N/A</v>
          </cell>
          <cell r="E640">
            <v>9.8621621621621447</v>
          </cell>
          <cell r="F640">
            <v>15.335135135135188</v>
          </cell>
          <cell r="G640">
            <v>14.24054054054055</v>
          </cell>
          <cell r="H640">
            <v>14.24054054054055</v>
          </cell>
          <cell r="I640" t="e">
            <v>#N/A</v>
          </cell>
          <cell r="J640" t="e">
            <v>#N/A</v>
          </cell>
          <cell r="K640" t="e">
            <v>#N/A</v>
          </cell>
          <cell r="L640" t="e">
            <v>#N/A</v>
          </cell>
          <cell r="M640" t="e">
            <v>#N/A</v>
          </cell>
          <cell r="N640" t="e">
            <v>#N/A</v>
          </cell>
          <cell r="O640" t="e">
            <v>#N/A</v>
          </cell>
          <cell r="P640">
            <v>14.52</v>
          </cell>
          <cell r="Q640" t="str">
            <v/>
          </cell>
          <cell r="R640" t="e">
            <v>#N/A</v>
          </cell>
        </row>
        <row r="641">
          <cell r="A641">
            <v>40898</v>
          </cell>
          <cell r="B641">
            <v>40898</v>
          </cell>
          <cell r="C641" t="str">
            <v>Future</v>
          </cell>
          <cell r="D641" t="e">
            <v>#N/A</v>
          </cell>
          <cell r="E641">
            <v>9.8067567567567391</v>
          </cell>
          <cell r="F641">
            <v>15.34729729729735</v>
          </cell>
          <cell r="G641">
            <v>14.239189189189199</v>
          </cell>
          <cell r="H641">
            <v>14.239189189189199</v>
          </cell>
          <cell r="I641" t="e">
            <v>#N/A</v>
          </cell>
          <cell r="J641" t="e">
            <v>#N/A</v>
          </cell>
          <cell r="K641" t="e">
            <v>#N/A</v>
          </cell>
          <cell r="L641" t="e">
            <v>#N/A</v>
          </cell>
          <cell r="M641" t="e">
            <v>#N/A</v>
          </cell>
          <cell r="N641" t="e">
            <v>#N/A</v>
          </cell>
          <cell r="O641" t="e">
            <v>#N/A</v>
          </cell>
          <cell r="P641">
            <v>14.52</v>
          </cell>
          <cell r="Q641" t="str">
            <v/>
          </cell>
          <cell r="R641" t="e">
            <v>#N/A</v>
          </cell>
        </row>
        <row r="642">
          <cell r="A642">
            <v>40899</v>
          </cell>
          <cell r="B642">
            <v>40899</v>
          </cell>
          <cell r="C642" t="str">
            <v>Future</v>
          </cell>
          <cell r="D642" t="e">
            <v>#N/A</v>
          </cell>
          <cell r="E642">
            <v>9.7513513513513335</v>
          </cell>
          <cell r="F642">
            <v>15.359459459459513</v>
          </cell>
          <cell r="G642">
            <v>14.237837837837848</v>
          </cell>
          <cell r="H642">
            <v>14.237837837837848</v>
          </cell>
          <cell r="I642" t="e">
            <v>#N/A</v>
          </cell>
          <cell r="J642" t="e">
            <v>#N/A</v>
          </cell>
          <cell r="K642" t="e">
            <v>#N/A</v>
          </cell>
          <cell r="L642" t="e">
            <v>#N/A</v>
          </cell>
          <cell r="M642" t="e">
            <v>#N/A</v>
          </cell>
          <cell r="N642" t="e">
            <v>#N/A</v>
          </cell>
          <cell r="O642" t="e">
            <v>#N/A</v>
          </cell>
          <cell r="P642">
            <v>14.52</v>
          </cell>
          <cell r="Q642" t="str">
            <v/>
          </cell>
          <cell r="R642" t="e">
            <v>#N/A</v>
          </cell>
        </row>
        <row r="643">
          <cell r="A643">
            <v>40900</v>
          </cell>
          <cell r="B643">
            <v>40900</v>
          </cell>
          <cell r="C643" t="str">
            <v>Future</v>
          </cell>
          <cell r="D643" t="e">
            <v>#N/A</v>
          </cell>
          <cell r="E643">
            <v>9.6959459459459278</v>
          </cell>
          <cell r="F643">
            <v>15.371621621621676</v>
          </cell>
          <cell r="G643">
            <v>14.236486486486497</v>
          </cell>
          <cell r="H643">
            <v>14.236486486486497</v>
          </cell>
          <cell r="I643" t="e">
            <v>#N/A</v>
          </cell>
          <cell r="J643" t="e">
            <v>#N/A</v>
          </cell>
          <cell r="K643" t="e">
            <v>#N/A</v>
          </cell>
          <cell r="L643" t="e">
            <v>#N/A</v>
          </cell>
          <cell r="M643" t="e">
            <v>#N/A</v>
          </cell>
          <cell r="N643" t="e">
            <v>#N/A</v>
          </cell>
          <cell r="O643" t="e">
            <v>#N/A</v>
          </cell>
          <cell r="P643">
            <v>14.52</v>
          </cell>
          <cell r="Q643" t="str">
            <v/>
          </cell>
          <cell r="R643" t="e">
            <v>#N/A</v>
          </cell>
        </row>
        <row r="644">
          <cell r="A644">
            <v>40904</v>
          </cell>
          <cell r="B644">
            <v>40904</v>
          </cell>
          <cell r="C644" t="str">
            <v>Future</v>
          </cell>
          <cell r="D644" t="e">
            <v>#N/A</v>
          </cell>
          <cell r="E644">
            <v>9.6405405405405222</v>
          </cell>
          <cell r="F644">
            <v>15.383783783783839</v>
          </cell>
          <cell r="G644">
            <v>14.235135135135145</v>
          </cell>
          <cell r="H644">
            <v>14.235135135135145</v>
          </cell>
          <cell r="I644" t="e">
            <v>#N/A</v>
          </cell>
          <cell r="J644" t="e">
            <v>#N/A</v>
          </cell>
          <cell r="K644" t="e">
            <v>#N/A</v>
          </cell>
          <cell r="L644" t="e">
            <v>#N/A</v>
          </cell>
          <cell r="M644" t="e">
            <v>#N/A</v>
          </cell>
          <cell r="N644" t="e">
            <v>#N/A</v>
          </cell>
          <cell r="O644" t="e">
            <v>#N/A</v>
          </cell>
          <cell r="P644">
            <v>14.52</v>
          </cell>
          <cell r="Q644" t="str">
            <v/>
          </cell>
          <cell r="R644" t="e">
            <v>#N/A</v>
          </cell>
        </row>
        <row r="645">
          <cell r="A645">
            <v>40905</v>
          </cell>
          <cell r="B645">
            <v>40905</v>
          </cell>
          <cell r="C645" t="str">
            <v>Future</v>
          </cell>
          <cell r="D645" t="e">
            <v>#N/A</v>
          </cell>
          <cell r="E645">
            <v>9.5851351351351166</v>
          </cell>
          <cell r="F645">
            <v>15.395945945946002</v>
          </cell>
          <cell r="G645">
            <v>14.233783783783794</v>
          </cell>
          <cell r="H645">
            <v>14.233783783783794</v>
          </cell>
          <cell r="I645" t="e">
            <v>#N/A</v>
          </cell>
          <cell r="J645" t="e">
            <v>#N/A</v>
          </cell>
          <cell r="K645" t="e">
            <v>#N/A</v>
          </cell>
          <cell r="L645" t="e">
            <v>#N/A</v>
          </cell>
          <cell r="M645" t="e">
            <v>#N/A</v>
          </cell>
          <cell r="N645" t="e">
            <v>#N/A</v>
          </cell>
          <cell r="O645" t="e">
            <v>#N/A</v>
          </cell>
          <cell r="P645">
            <v>14.52</v>
          </cell>
          <cell r="Q645" t="str">
            <v/>
          </cell>
          <cell r="R645" t="e">
            <v>#N/A</v>
          </cell>
        </row>
        <row r="646">
          <cell r="A646">
            <v>40906</v>
          </cell>
          <cell r="B646">
            <v>40906</v>
          </cell>
          <cell r="C646" t="str">
            <v>Future</v>
          </cell>
          <cell r="D646" t="e">
            <v>#N/A</v>
          </cell>
          <cell r="E646">
            <v>9.529729729729711</v>
          </cell>
          <cell r="F646">
            <v>15.408108108108165</v>
          </cell>
          <cell r="G646">
            <v>14.232432432432443</v>
          </cell>
          <cell r="H646">
            <v>14.232432432432443</v>
          </cell>
          <cell r="I646" t="e">
            <v>#N/A</v>
          </cell>
          <cell r="J646" t="e">
            <v>#N/A</v>
          </cell>
          <cell r="K646" t="e">
            <v>#N/A</v>
          </cell>
          <cell r="L646" t="e">
            <v>#N/A</v>
          </cell>
          <cell r="M646" t="e">
            <v>#N/A</v>
          </cell>
          <cell r="N646" t="e">
            <v>#N/A</v>
          </cell>
          <cell r="O646" t="e">
            <v>#N/A</v>
          </cell>
          <cell r="P646">
            <v>14.52</v>
          </cell>
          <cell r="Q646" t="str">
            <v/>
          </cell>
          <cell r="R646" t="e">
            <v>#N/A</v>
          </cell>
        </row>
        <row r="647">
          <cell r="A647">
            <v>40907</v>
          </cell>
          <cell r="B647">
            <v>40907</v>
          </cell>
          <cell r="C647" t="str">
            <v>Future</v>
          </cell>
          <cell r="D647" t="e">
            <v>#N/A</v>
          </cell>
          <cell r="E647">
            <v>9.4743243243243054</v>
          </cell>
          <cell r="F647">
            <v>15.420270270270327</v>
          </cell>
          <cell r="G647">
            <v>14.231081081081092</v>
          </cell>
          <cell r="H647">
            <v>14.231081081081092</v>
          </cell>
          <cell r="I647" t="e">
            <v>#N/A</v>
          </cell>
          <cell r="J647" t="e">
            <v>#N/A</v>
          </cell>
          <cell r="K647" t="e">
            <v>#N/A</v>
          </cell>
          <cell r="L647" t="e">
            <v>#N/A</v>
          </cell>
          <cell r="M647" t="e">
            <v>#N/A</v>
          </cell>
          <cell r="N647" t="e">
            <v>#N/A</v>
          </cell>
          <cell r="O647" t="e">
            <v>#N/A</v>
          </cell>
          <cell r="P647">
            <v>14.52</v>
          </cell>
          <cell r="Q647" t="str">
            <v/>
          </cell>
          <cell r="R647" t="e">
            <v>#N/A</v>
          </cell>
        </row>
        <row r="648">
          <cell r="A648">
            <v>40910</v>
          </cell>
          <cell r="B648">
            <v>40910</v>
          </cell>
          <cell r="C648" t="str">
            <v>Future</v>
          </cell>
          <cell r="D648" t="e">
            <v>#N/A</v>
          </cell>
          <cell r="E648">
            <v>9.4189189189188998</v>
          </cell>
          <cell r="F648">
            <v>15.43243243243249</v>
          </cell>
          <cell r="G648">
            <v>14.22972972972974</v>
          </cell>
          <cell r="H648">
            <v>14.22972972972974</v>
          </cell>
          <cell r="I648" t="e">
            <v>#N/A</v>
          </cell>
          <cell r="J648" t="e">
            <v>#N/A</v>
          </cell>
          <cell r="K648" t="e">
            <v>#N/A</v>
          </cell>
          <cell r="L648" t="e">
            <v>#N/A</v>
          </cell>
          <cell r="M648" t="e">
            <v>#N/A</v>
          </cell>
          <cell r="N648" t="e">
            <v>#N/A</v>
          </cell>
          <cell r="O648" t="e">
            <v>#N/A</v>
          </cell>
          <cell r="P648">
            <v>14.52</v>
          </cell>
          <cell r="Q648" t="str">
            <v/>
          </cell>
          <cell r="R648" t="e">
            <v>#N/A</v>
          </cell>
        </row>
        <row r="649">
          <cell r="A649">
            <v>40911</v>
          </cell>
          <cell r="B649">
            <v>40911</v>
          </cell>
          <cell r="C649" t="str">
            <v>Future</v>
          </cell>
          <cell r="D649" t="e">
            <v>#N/A</v>
          </cell>
          <cell r="E649">
            <v>9.3635135135134941</v>
          </cell>
          <cell r="F649">
            <v>15.444594594594653</v>
          </cell>
          <cell r="G649">
            <v>14.228378378378389</v>
          </cell>
          <cell r="H649">
            <v>14.228378378378389</v>
          </cell>
          <cell r="I649" t="e">
            <v>#N/A</v>
          </cell>
          <cell r="J649" t="e">
            <v>#N/A</v>
          </cell>
          <cell r="K649" t="e">
            <v>#N/A</v>
          </cell>
          <cell r="L649" t="e">
            <v>#N/A</v>
          </cell>
          <cell r="M649" t="e">
            <v>#N/A</v>
          </cell>
          <cell r="N649" t="e">
            <v>#N/A</v>
          </cell>
          <cell r="O649" t="e">
            <v>#N/A</v>
          </cell>
          <cell r="P649">
            <v>14.52</v>
          </cell>
          <cell r="Q649" t="str">
            <v/>
          </cell>
          <cell r="R649" t="e">
            <v>#N/A</v>
          </cell>
        </row>
        <row r="650">
          <cell r="A650">
            <v>40912</v>
          </cell>
          <cell r="B650">
            <v>40912</v>
          </cell>
          <cell r="C650" t="str">
            <v>Future</v>
          </cell>
          <cell r="D650" t="e">
            <v>#N/A</v>
          </cell>
          <cell r="E650">
            <v>9.3081081081080885</v>
          </cell>
          <cell r="F650">
            <v>15.456756756756816</v>
          </cell>
          <cell r="G650">
            <v>14.227027027027038</v>
          </cell>
          <cell r="H650">
            <v>14.227027027027038</v>
          </cell>
          <cell r="I650" t="e">
            <v>#N/A</v>
          </cell>
          <cell r="J650" t="e">
            <v>#N/A</v>
          </cell>
          <cell r="K650" t="e">
            <v>#N/A</v>
          </cell>
          <cell r="L650" t="e">
            <v>#N/A</v>
          </cell>
          <cell r="M650" t="e">
            <v>#N/A</v>
          </cell>
          <cell r="N650" t="e">
            <v>#N/A</v>
          </cell>
          <cell r="O650" t="e">
            <v>#N/A</v>
          </cell>
          <cell r="P650">
            <v>14.52</v>
          </cell>
          <cell r="Q650" t="str">
            <v/>
          </cell>
          <cell r="R650" t="e">
            <v>#N/A</v>
          </cell>
        </row>
        <row r="651">
          <cell r="A651">
            <v>40913</v>
          </cell>
          <cell r="B651">
            <v>40913</v>
          </cell>
          <cell r="C651" t="str">
            <v>Future</v>
          </cell>
          <cell r="D651" t="e">
            <v>#N/A</v>
          </cell>
          <cell r="E651">
            <v>9.2527027027026829</v>
          </cell>
          <cell r="F651">
            <v>15.468918918918979</v>
          </cell>
          <cell r="G651">
            <v>14.225675675675687</v>
          </cell>
          <cell r="H651">
            <v>14.225675675675687</v>
          </cell>
          <cell r="I651" t="e">
            <v>#N/A</v>
          </cell>
          <cell r="J651" t="e">
            <v>#N/A</v>
          </cell>
          <cell r="K651" t="e">
            <v>#N/A</v>
          </cell>
          <cell r="L651" t="e">
            <v>#N/A</v>
          </cell>
          <cell r="M651" t="e">
            <v>#N/A</v>
          </cell>
          <cell r="N651" t="e">
            <v>#N/A</v>
          </cell>
          <cell r="O651" t="e">
            <v>#N/A</v>
          </cell>
          <cell r="P651">
            <v>14.52</v>
          </cell>
          <cell r="Q651" t="str">
            <v/>
          </cell>
          <cell r="R651" t="e">
            <v>#N/A</v>
          </cell>
        </row>
        <row r="652">
          <cell r="A652">
            <v>40914</v>
          </cell>
          <cell r="B652">
            <v>40914</v>
          </cell>
          <cell r="C652" t="str">
            <v>Future</v>
          </cell>
          <cell r="D652" t="e">
            <v>#N/A</v>
          </cell>
          <cell r="E652">
            <v>9.1972972972972773</v>
          </cell>
          <cell r="F652">
            <v>15.481081081081141</v>
          </cell>
          <cell r="G652">
            <v>14.224324324324336</v>
          </cell>
          <cell r="H652">
            <v>14.224324324324336</v>
          </cell>
          <cell r="I652" t="e">
            <v>#N/A</v>
          </cell>
          <cell r="J652" t="e">
            <v>#N/A</v>
          </cell>
          <cell r="K652" t="e">
            <v>#N/A</v>
          </cell>
          <cell r="L652" t="e">
            <v>#N/A</v>
          </cell>
          <cell r="M652" t="e">
            <v>#N/A</v>
          </cell>
          <cell r="N652" t="e">
            <v>#N/A</v>
          </cell>
          <cell r="O652" t="e">
            <v>#N/A</v>
          </cell>
          <cell r="P652">
            <v>14.52</v>
          </cell>
          <cell r="Q652" t="str">
            <v/>
          </cell>
          <cell r="R652" t="e">
            <v>#N/A</v>
          </cell>
        </row>
        <row r="653">
          <cell r="A653">
            <v>40917</v>
          </cell>
          <cell r="B653">
            <v>40917</v>
          </cell>
          <cell r="C653" t="str">
            <v>Future</v>
          </cell>
          <cell r="D653" t="e">
            <v>#N/A</v>
          </cell>
          <cell r="E653">
            <v>9.1418918918918717</v>
          </cell>
          <cell r="F653">
            <v>15.493243243243304</v>
          </cell>
          <cell r="G653">
            <v>14.222972972972984</v>
          </cell>
          <cell r="H653">
            <v>14.222972972972984</v>
          </cell>
          <cell r="I653" t="e">
            <v>#N/A</v>
          </cell>
          <cell r="J653" t="e">
            <v>#N/A</v>
          </cell>
          <cell r="K653" t="e">
            <v>#N/A</v>
          </cell>
          <cell r="L653" t="e">
            <v>#N/A</v>
          </cell>
          <cell r="M653" t="e">
            <v>#N/A</v>
          </cell>
          <cell r="N653" t="e">
            <v>#N/A</v>
          </cell>
          <cell r="O653" t="e">
            <v>#N/A</v>
          </cell>
          <cell r="P653">
            <v>14.52</v>
          </cell>
          <cell r="Q653" t="str">
            <v/>
          </cell>
          <cell r="R653" t="e">
            <v>#N/A</v>
          </cell>
        </row>
        <row r="654">
          <cell r="A654">
            <v>40918</v>
          </cell>
          <cell r="B654">
            <v>40918</v>
          </cell>
          <cell r="C654" t="str">
            <v>Future</v>
          </cell>
          <cell r="D654" t="e">
            <v>#N/A</v>
          </cell>
          <cell r="E654">
            <v>9.0864864864864661</v>
          </cell>
          <cell r="F654">
            <v>15.505405405405467</v>
          </cell>
          <cell r="G654">
            <v>14.221621621621633</v>
          </cell>
          <cell r="H654">
            <v>14.221621621621633</v>
          </cell>
          <cell r="I654" t="e">
            <v>#N/A</v>
          </cell>
          <cell r="J654" t="e">
            <v>#N/A</v>
          </cell>
          <cell r="K654" t="e">
            <v>#N/A</v>
          </cell>
          <cell r="L654" t="e">
            <v>#N/A</v>
          </cell>
          <cell r="M654" t="e">
            <v>#N/A</v>
          </cell>
          <cell r="N654" t="e">
            <v>#N/A</v>
          </cell>
          <cell r="O654" t="e">
            <v>#N/A</v>
          </cell>
          <cell r="P654">
            <v>14.52</v>
          </cell>
          <cell r="Q654" t="str">
            <v/>
          </cell>
          <cell r="R654" t="e">
            <v>#N/A</v>
          </cell>
        </row>
        <row r="655">
          <cell r="A655">
            <v>40919</v>
          </cell>
          <cell r="B655">
            <v>40919</v>
          </cell>
          <cell r="C655" t="str">
            <v>Future</v>
          </cell>
          <cell r="D655" t="e">
            <v>#N/A</v>
          </cell>
          <cell r="E655">
            <v>9.0310810810810604</v>
          </cell>
          <cell r="F655">
            <v>15.51756756756763</v>
          </cell>
          <cell r="G655">
            <v>14.220270270270282</v>
          </cell>
          <cell r="H655">
            <v>14.220270270270282</v>
          </cell>
          <cell r="I655" t="e">
            <v>#N/A</v>
          </cell>
          <cell r="J655" t="e">
            <v>#N/A</v>
          </cell>
          <cell r="K655" t="e">
            <v>#N/A</v>
          </cell>
          <cell r="L655" t="e">
            <v>#N/A</v>
          </cell>
          <cell r="M655" t="e">
            <v>#N/A</v>
          </cell>
          <cell r="N655" t="e">
            <v>#N/A</v>
          </cell>
          <cell r="O655" t="e">
            <v>#N/A</v>
          </cell>
          <cell r="P655">
            <v>14.52</v>
          </cell>
          <cell r="Q655" t="str">
            <v/>
          </cell>
          <cell r="R655" t="e">
            <v>#N/A</v>
          </cell>
        </row>
        <row r="656">
          <cell r="A656">
            <v>40920</v>
          </cell>
          <cell r="B656">
            <v>40920</v>
          </cell>
          <cell r="C656" t="str">
            <v>Future</v>
          </cell>
          <cell r="D656" t="e">
            <v>#N/A</v>
          </cell>
          <cell r="E656">
            <v>8.9756756756756548</v>
          </cell>
          <cell r="F656">
            <v>15.529729729729793</v>
          </cell>
          <cell r="G656">
            <v>14.218918918918931</v>
          </cell>
          <cell r="H656">
            <v>14.218918918918931</v>
          </cell>
          <cell r="I656" t="e">
            <v>#N/A</v>
          </cell>
          <cell r="J656" t="e">
            <v>#N/A</v>
          </cell>
          <cell r="K656" t="e">
            <v>#N/A</v>
          </cell>
          <cell r="L656" t="e">
            <v>#N/A</v>
          </cell>
          <cell r="M656" t="e">
            <v>#N/A</v>
          </cell>
          <cell r="N656" t="e">
            <v>#N/A</v>
          </cell>
          <cell r="O656" t="e">
            <v>#N/A</v>
          </cell>
          <cell r="P656">
            <v>14.52</v>
          </cell>
          <cell r="Q656" t="str">
            <v/>
          </cell>
          <cell r="R656" t="e">
            <v>#N/A</v>
          </cell>
        </row>
        <row r="657">
          <cell r="A657">
            <v>40921</v>
          </cell>
          <cell r="B657">
            <v>40921</v>
          </cell>
          <cell r="C657" t="str">
            <v>Future</v>
          </cell>
          <cell r="D657" t="e">
            <v>#N/A</v>
          </cell>
          <cell r="E657">
            <v>8.9202702702702492</v>
          </cell>
          <cell r="F657">
            <v>15.541891891891956</v>
          </cell>
          <cell r="G657">
            <v>14.217567567567579</v>
          </cell>
          <cell r="H657">
            <v>14.217567567567579</v>
          </cell>
          <cell r="I657" t="e">
            <v>#N/A</v>
          </cell>
          <cell r="J657" t="e">
            <v>#N/A</v>
          </cell>
          <cell r="K657" t="e">
            <v>#N/A</v>
          </cell>
          <cell r="L657" t="e">
            <v>#N/A</v>
          </cell>
          <cell r="M657" t="e">
            <v>#N/A</v>
          </cell>
          <cell r="N657" t="e">
            <v>#N/A</v>
          </cell>
          <cell r="O657" t="e">
            <v>#N/A</v>
          </cell>
          <cell r="P657">
            <v>14.52</v>
          </cell>
          <cell r="Q657" t="str">
            <v/>
          </cell>
          <cell r="R657" t="e">
            <v>#N/A</v>
          </cell>
        </row>
        <row r="658">
          <cell r="A658">
            <v>40924</v>
          </cell>
          <cell r="B658">
            <v>40924</v>
          </cell>
          <cell r="C658" t="str">
            <v>Future</v>
          </cell>
          <cell r="D658" t="e">
            <v>#N/A</v>
          </cell>
          <cell r="E658">
            <v>8.8648648648648436</v>
          </cell>
          <cell r="F658">
            <v>15.554054054054118</v>
          </cell>
          <cell r="G658">
            <v>14.216216216216228</v>
          </cell>
          <cell r="H658">
            <v>14.216216216216228</v>
          </cell>
          <cell r="I658" t="e">
            <v>#N/A</v>
          </cell>
          <cell r="J658" t="e">
            <v>#N/A</v>
          </cell>
          <cell r="K658" t="e">
            <v>#N/A</v>
          </cell>
          <cell r="L658" t="e">
            <v>#N/A</v>
          </cell>
          <cell r="M658" t="e">
            <v>#N/A</v>
          </cell>
          <cell r="N658" t="e">
            <v>#N/A</v>
          </cell>
          <cell r="O658" t="e">
            <v>#N/A</v>
          </cell>
          <cell r="P658">
            <v>14.52</v>
          </cell>
          <cell r="Q658" t="str">
            <v/>
          </cell>
          <cell r="R658" t="e">
            <v>#N/A</v>
          </cell>
        </row>
        <row r="659">
          <cell r="A659">
            <v>40925</v>
          </cell>
          <cell r="B659">
            <v>40925</v>
          </cell>
          <cell r="C659" t="str">
            <v>Future</v>
          </cell>
          <cell r="D659" t="e">
            <v>#N/A</v>
          </cell>
          <cell r="E659">
            <v>8.809459459459438</v>
          </cell>
          <cell r="F659">
            <v>15.566216216216281</v>
          </cell>
          <cell r="G659">
            <v>14.214864864864877</v>
          </cell>
          <cell r="H659">
            <v>14.214864864864877</v>
          </cell>
          <cell r="I659" t="e">
            <v>#N/A</v>
          </cell>
          <cell r="J659" t="e">
            <v>#N/A</v>
          </cell>
          <cell r="K659" t="e">
            <v>#N/A</v>
          </cell>
          <cell r="L659" t="e">
            <v>#N/A</v>
          </cell>
          <cell r="M659" t="e">
            <v>#N/A</v>
          </cell>
          <cell r="N659" t="e">
            <v>#N/A</v>
          </cell>
          <cell r="O659" t="e">
            <v>#N/A</v>
          </cell>
          <cell r="P659">
            <v>14.52</v>
          </cell>
          <cell r="Q659" t="str">
            <v/>
          </cell>
          <cell r="R659" t="e">
            <v>#N/A</v>
          </cell>
        </row>
        <row r="660">
          <cell r="A660">
            <v>40926</v>
          </cell>
          <cell r="B660">
            <v>40926</v>
          </cell>
          <cell r="C660" t="str">
            <v>Future</v>
          </cell>
          <cell r="D660" t="e">
            <v>#N/A</v>
          </cell>
          <cell r="E660">
            <v>8.7540540540540324</v>
          </cell>
          <cell r="F660">
            <v>15.578378378378444</v>
          </cell>
          <cell r="G660">
            <v>14.213513513513526</v>
          </cell>
          <cell r="H660">
            <v>14.213513513513526</v>
          </cell>
          <cell r="I660" t="e">
            <v>#N/A</v>
          </cell>
          <cell r="J660" t="e">
            <v>#N/A</v>
          </cell>
          <cell r="K660" t="e">
            <v>#N/A</v>
          </cell>
          <cell r="L660" t="e">
            <v>#N/A</v>
          </cell>
          <cell r="M660" t="e">
            <v>#N/A</v>
          </cell>
          <cell r="N660" t="e">
            <v>#N/A</v>
          </cell>
          <cell r="O660" t="e">
            <v>#N/A</v>
          </cell>
          <cell r="P660">
            <v>14.52</v>
          </cell>
          <cell r="Q660" t="str">
            <v/>
          </cell>
          <cell r="R660" t="e">
            <v>#N/A</v>
          </cell>
        </row>
        <row r="661">
          <cell r="A661">
            <v>40927</v>
          </cell>
          <cell r="B661">
            <v>40927</v>
          </cell>
          <cell r="C661" t="str">
            <v>Future</v>
          </cell>
          <cell r="D661" t="e">
            <v>#N/A</v>
          </cell>
          <cell r="E661">
            <v>8.6986486486486267</v>
          </cell>
          <cell r="F661">
            <v>15.590540540540607</v>
          </cell>
          <cell r="G661">
            <v>14.212162162162175</v>
          </cell>
          <cell r="H661">
            <v>14.212162162162175</v>
          </cell>
          <cell r="I661" t="e">
            <v>#N/A</v>
          </cell>
          <cell r="J661" t="e">
            <v>#N/A</v>
          </cell>
          <cell r="K661" t="e">
            <v>#N/A</v>
          </cell>
          <cell r="L661" t="e">
            <v>#N/A</v>
          </cell>
          <cell r="M661" t="e">
            <v>#N/A</v>
          </cell>
          <cell r="N661" t="e">
            <v>#N/A</v>
          </cell>
          <cell r="O661" t="e">
            <v>#N/A</v>
          </cell>
          <cell r="P661">
            <v>14.52</v>
          </cell>
          <cell r="Q661" t="str">
            <v/>
          </cell>
          <cell r="R661" t="e">
            <v>#N/A</v>
          </cell>
        </row>
        <row r="662">
          <cell r="A662">
            <v>40928</v>
          </cell>
          <cell r="B662">
            <v>40928</v>
          </cell>
          <cell r="C662" t="str">
            <v>Future</v>
          </cell>
          <cell r="D662" t="e">
            <v>#N/A</v>
          </cell>
          <cell r="E662">
            <v>8.6432432432432211</v>
          </cell>
          <cell r="F662">
            <v>15.60270270270277</v>
          </cell>
          <cell r="G662">
            <v>14.210810810810823</v>
          </cell>
          <cell r="H662">
            <v>14.210810810810823</v>
          </cell>
          <cell r="I662" t="e">
            <v>#N/A</v>
          </cell>
          <cell r="J662" t="e">
            <v>#N/A</v>
          </cell>
          <cell r="K662" t="e">
            <v>#N/A</v>
          </cell>
          <cell r="L662" t="e">
            <v>#N/A</v>
          </cell>
          <cell r="M662" t="e">
            <v>#N/A</v>
          </cell>
          <cell r="N662" t="e">
            <v>#N/A</v>
          </cell>
          <cell r="O662" t="e">
            <v>#N/A</v>
          </cell>
          <cell r="P662">
            <v>14.52</v>
          </cell>
          <cell r="Q662" t="str">
            <v/>
          </cell>
          <cell r="R662" t="e">
            <v>#N/A</v>
          </cell>
        </row>
        <row r="663">
          <cell r="A663">
            <v>40931</v>
          </cell>
          <cell r="B663">
            <v>40931</v>
          </cell>
          <cell r="C663" t="str">
            <v>Future</v>
          </cell>
          <cell r="D663" t="e">
            <v>#N/A</v>
          </cell>
          <cell r="E663">
            <v>8.5878378378378155</v>
          </cell>
          <cell r="F663">
            <v>15.614864864864932</v>
          </cell>
          <cell r="G663">
            <v>14.209459459459472</v>
          </cell>
          <cell r="H663">
            <v>14.209459459459472</v>
          </cell>
          <cell r="I663" t="e">
            <v>#N/A</v>
          </cell>
          <cell r="J663" t="e">
            <v>#N/A</v>
          </cell>
          <cell r="K663" t="e">
            <v>#N/A</v>
          </cell>
          <cell r="L663" t="e">
            <v>#N/A</v>
          </cell>
          <cell r="M663" t="e">
            <v>#N/A</v>
          </cell>
          <cell r="N663" t="e">
            <v>#N/A</v>
          </cell>
          <cell r="O663" t="e">
            <v>#N/A</v>
          </cell>
          <cell r="P663">
            <v>14.52</v>
          </cell>
          <cell r="Q663" t="str">
            <v/>
          </cell>
          <cell r="R663" t="e">
            <v>#N/A</v>
          </cell>
        </row>
        <row r="664">
          <cell r="A664">
            <v>40932</v>
          </cell>
          <cell r="B664">
            <v>40932</v>
          </cell>
          <cell r="C664" t="str">
            <v>Future</v>
          </cell>
          <cell r="D664" t="e">
            <v>#N/A</v>
          </cell>
          <cell r="E664">
            <v>8.5324324324324099</v>
          </cell>
          <cell r="F664">
            <v>15.627027027027095</v>
          </cell>
          <cell r="G664">
            <v>14.208108108108121</v>
          </cell>
          <cell r="H664">
            <v>14.208108108108121</v>
          </cell>
          <cell r="I664" t="e">
            <v>#N/A</v>
          </cell>
          <cell r="J664" t="e">
            <v>#N/A</v>
          </cell>
          <cell r="K664" t="e">
            <v>#N/A</v>
          </cell>
          <cell r="L664" t="e">
            <v>#N/A</v>
          </cell>
          <cell r="M664" t="e">
            <v>#N/A</v>
          </cell>
          <cell r="N664" t="e">
            <v>#N/A</v>
          </cell>
          <cell r="O664" t="e">
            <v>#N/A</v>
          </cell>
          <cell r="P664">
            <v>14.52</v>
          </cell>
          <cell r="Q664" t="str">
            <v/>
          </cell>
          <cell r="R664" t="e">
            <v>#N/A</v>
          </cell>
        </row>
        <row r="665">
          <cell r="A665">
            <v>40933</v>
          </cell>
          <cell r="B665">
            <v>40933</v>
          </cell>
          <cell r="C665" t="str">
            <v>Future</v>
          </cell>
          <cell r="D665" t="e">
            <v>#N/A</v>
          </cell>
          <cell r="E665">
            <v>8.4770270270270043</v>
          </cell>
          <cell r="F665">
            <v>15.639189189189258</v>
          </cell>
          <cell r="G665">
            <v>14.20675675675677</v>
          </cell>
          <cell r="H665">
            <v>14.20675675675677</v>
          </cell>
          <cell r="I665" t="e">
            <v>#N/A</v>
          </cell>
          <cell r="J665" t="e">
            <v>#N/A</v>
          </cell>
          <cell r="K665" t="e">
            <v>#N/A</v>
          </cell>
          <cell r="L665" t="e">
            <v>#N/A</v>
          </cell>
          <cell r="M665" t="e">
            <v>#N/A</v>
          </cell>
          <cell r="N665" t="e">
            <v>#N/A</v>
          </cell>
          <cell r="O665" t="e">
            <v>#N/A</v>
          </cell>
          <cell r="P665">
            <v>14.52</v>
          </cell>
          <cell r="Q665" t="str">
            <v/>
          </cell>
          <cell r="R665" t="e">
            <v>#N/A</v>
          </cell>
        </row>
        <row r="666">
          <cell r="A666">
            <v>40934</v>
          </cell>
          <cell r="B666">
            <v>40934</v>
          </cell>
          <cell r="C666" t="str">
            <v>Future</v>
          </cell>
          <cell r="D666" t="e">
            <v>#N/A</v>
          </cell>
          <cell r="E666">
            <v>8.4216216216215987</v>
          </cell>
          <cell r="F666">
            <v>15.651351351351421</v>
          </cell>
          <cell r="G666">
            <v>14.205405405405418</v>
          </cell>
          <cell r="H666">
            <v>14.205405405405418</v>
          </cell>
          <cell r="I666" t="e">
            <v>#N/A</v>
          </cell>
          <cell r="J666" t="e">
            <v>#N/A</v>
          </cell>
          <cell r="K666" t="e">
            <v>#N/A</v>
          </cell>
          <cell r="L666" t="e">
            <v>#N/A</v>
          </cell>
          <cell r="M666" t="e">
            <v>#N/A</v>
          </cell>
          <cell r="N666" t="e">
            <v>#N/A</v>
          </cell>
          <cell r="O666" t="e">
            <v>#N/A</v>
          </cell>
          <cell r="P666">
            <v>14.52</v>
          </cell>
          <cell r="Q666" t="str">
            <v/>
          </cell>
          <cell r="R666" t="e">
            <v>#N/A</v>
          </cell>
        </row>
        <row r="667">
          <cell r="A667">
            <v>40935</v>
          </cell>
          <cell r="B667">
            <v>40935</v>
          </cell>
          <cell r="C667" t="str">
            <v>Future</v>
          </cell>
          <cell r="D667" t="e">
            <v>#N/A</v>
          </cell>
          <cell r="E667">
            <v>8.366216216216193</v>
          </cell>
          <cell r="F667">
            <v>15.663513513513584</v>
          </cell>
          <cell r="G667">
            <v>14.204054054054067</v>
          </cell>
          <cell r="H667">
            <v>14.204054054054067</v>
          </cell>
          <cell r="I667" t="e">
            <v>#N/A</v>
          </cell>
          <cell r="J667" t="e">
            <v>#N/A</v>
          </cell>
          <cell r="K667" t="e">
            <v>#N/A</v>
          </cell>
          <cell r="L667" t="e">
            <v>#N/A</v>
          </cell>
          <cell r="M667" t="e">
            <v>#N/A</v>
          </cell>
          <cell r="N667" t="e">
            <v>#N/A</v>
          </cell>
          <cell r="O667" t="e">
            <v>#N/A</v>
          </cell>
          <cell r="P667">
            <v>14.52</v>
          </cell>
          <cell r="Q667" t="str">
            <v/>
          </cell>
          <cell r="R667" t="e">
            <v>#N/A</v>
          </cell>
        </row>
        <row r="668">
          <cell r="A668">
            <v>40938</v>
          </cell>
          <cell r="B668">
            <v>40938</v>
          </cell>
          <cell r="C668" t="str">
            <v>Future</v>
          </cell>
          <cell r="D668" t="e">
            <v>#N/A</v>
          </cell>
          <cell r="E668">
            <v>8.3108108108107874</v>
          </cell>
          <cell r="F668">
            <v>15.675675675675746</v>
          </cell>
          <cell r="G668">
            <v>14.202702702702716</v>
          </cell>
          <cell r="H668">
            <v>14.202702702702716</v>
          </cell>
          <cell r="I668" t="e">
            <v>#N/A</v>
          </cell>
          <cell r="J668" t="e">
            <v>#N/A</v>
          </cell>
          <cell r="K668" t="e">
            <v>#N/A</v>
          </cell>
          <cell r="L668" t="e">
            <v>#N/A</v>
          </cell>
          <cell r="M668" t="e">
            <v>#N/A</v>
          </cell>
          <cell r="N668" t="e">
            <v>#N/A</v>
          </cell>
          <cell r="O668" t="e">
            <v>#N/A</v>
          </cell>
          <cell r="P668">
            <v>14.52</v>
          </cell>
          <cell r="Q668" t="str">
            <v/>
          </cell>
          <cell r="R668" t="e">
            <v>#N/A</v>
          </cell>
        </row>
        <row r="669">
          <cell r="A669">
            <v>40939</v>
          </cell>
          <cell r="B669">
            <v>40939</v>
          </cell>
          <cell r="C669" t="str">
            <v>Future</v>
          </cell>
          <cell r="D669" t="e">
            <v>#N/A</v>
          </cell>
          <cell r="E669">
            <v>8.2554054054053818</v>
          </cell>
          <cell r="F669">
            <v>15.687837837837909</v>
          </cell>
          <cell r="G669">
            <v>14.201351351351365</v>
          </cell>
          <cell r="H669">
            <v>14.201351351351365</v>
          </cell>
          <cell r="I669" t="e">
            <v>#N/A</v>
          </cell>
          <cell r="J669" t="e">
            <v>#N/A</v>
          </cell>
          <cell r="K669" t="e">
            <v>#N/A</v>
          </cell>
          <cell r="L669" t="e">
            <v>#N/A</v>
          </cell>
          <cell r="M669" t="e">
            <v>#N/A</v>
          </cell>
          <cell r="N669" t="e">
            <v>#N/A</v>
          </cell>
          <cell r="O669" t="e">
            <v>#N/A</v>
          </cell>
          <cell r="P669">
            <v>14.52</v>
          </cell>
          <cell r="Q669" t="str">
            <v/>
          </cell>
          <cell r="R669" t="e">
            <v>#N/A</v>
          </cell>
        </row>
        <row r="670">
          <cell r="A670">
            <v>40940</v>
          </cell>
          <cell r="B670">
            <v>40940</v>
          </cell>
          <cell r="C670" t="str">
            <v>Future</v>
          </cell>
          <cell r="D670" t="e">
            <v>#N/A</v>
          </cell>
          <cell r="E670">
            <v>8.1999999999999762</v>
          </cell>
          <cell r="F670">
            <v>15.700000000000072</v>
          </cell>
          <cell r="G670">
            <v>14.200000000000014</v>
          </cell>
          <cell r="H670">
            <v>14.200000000000014</v>
          </cell>
          <cell r="I670" t="e">
            <v>#N/A</v>
          </cell>
          <cell r="J670" t="e">
            <v>#N/A</v>
          </cell>
          <cell r="K670" t="e">
            <v>#N/A</v>
          </cell>
          <cell r="L670" t="e">
            <v>#N/A</v>
          </cell>
          <cell r="M670" t="e">
            <v>#N/A</v>
          </cell>
          <cell r="N670" t="e">
            <v>#N/A</v>
          </cell>
          <cell r="O670" t="e">
            <v>#N/A</v>
          </cell>
          <cell r="P670">
            <v>14.52</v>
          </cell>
          <cell r="Q670" t="str">
            <v/>
          </cell>
          <cell r="R670" t="e">
            <v>#N/A</v>
          </cell>
        </row>
        <row r="671">
          <cell r="A671">
            <v>40941</v>
          </cell>
          <cell r="B671">
            <v>40941</v>
          </cell>
          <cell r="C671" t="str">
            <v>Future</v>
          </cell>
          <cell r="D671" t="e">
            <v>#N/A</v>
          </cell>
          <cell r="E671">
            <v>8.1445945945945706</v>
          </cell>
          <cell r="F671">
            <v>15.712162162162235</v>
          </cell>
          <cell r="G671">
            <v>14.198648648648662</v>
          </cell>
          <cell r="H671">
            <v>14.198648648648662</v>
          </cell>
          <cell r="I671" t="e">
            <v>#N/A</v>
          </cell>
          <cell r="J671" t="e">
            <v>#N/A</v>
          </cell>
          <cell r="K671" t="e">
            <v>#N/A</v>
          </cell>
          <cell r="L671" t="e">
            <v>#N/A</v>
          </cell>
          <cell r="M671" t="e">
            <v>#N/A</v>
          </cell>
          <cell r="N671" t="e">
            <v>#N/A</v>
          </cell>
          <cell r="O671" t="e">
            <v>#N/A</v>
          </cell>
          <cell r="P671">
            <v>14.52</v>
          </cell>
          <cell r="Q671" t="str">
            <v/>
          </cell>
          <cell r="R671" t="e">
            <v>#N/A</v>
          </cell>
        </row>
        <row r="672">
          <cell r="A672">
            <v>40942</v>
          </cell>
          <cell r="B672">
            <v>40942</v>
          </cell>
          <cell r="C672" t="str">
            <v>Future</v>
          </cell>
          <cell r="D672" t="e">
            <v>#N/A</v>
          </cell>
          <cell r="E672">
            <v>8.089189189189165</v>
          </cell>
          <cell r="F672">
            <v>15.724324324324398</v>
          </cell>
          <cell r="G672">
            <v>14.197297297297311</v>
          </cell>
          <cell r="H672">
            <v>14.197297297297311</v>
          </cell>
          <cell r="I672" t="e">
            <v>#N/A</v>
          </cell>
          <cell r="J672" t="e">
            <v>#N/A</v>
          </cell>
          <cell r="K672" t="e">
            <v>#N/A</v>
          </cell>
          <cell r="L672" t="e">
            <v>#N/A</v>
          </cell>
          <cell r="M672" t="e">
            <v>#N/A</v>
          </cell>
          <cell r="N672" t="e">
            <v>#N/A</v>
          </cell>
          <cell r="O672" t="e">
            <v>#N/A</v>
          </cell>
          <cell r="P672">
            <v>14.52</v>
          </cell>
          <cell r="Q672" t="str">
            <v/>
          </cell>
          <cell r="R672" t="e">
            <v>#N/A</v>
          </cell>
        </row>
        <row r="673">
          <cell r="A673">
            <v>40945</v>
          </cell>
          <cell r="B673">
            <v>40945</v>
          </cell>
          <cell r="C673" t="str">
            <v>Future</v>
          </cell>
          <cell r="D673" t="e">
            <v>#N/A</v>
          </cell>
          <cell r="E673">
            <v>8.0337837837837593</v>
          </cell>
          <cell r="F673">
            <v>15.736486486486561</v>
          </cell>
          <cell r="G673">
            <v>14.19594594594596</v>
          </cell>
          <cell r="H673">
            <v>14.19594594594596</v>
          </cell>
          <cell r="I673" t="e">
            <v>#N/A</v>
          </cell>
          <cell r="J673" t="e">
            <v>#N/A</v>
          </cell>
          <cell r="K673" t="e">
            <v>#N/A</v>
          </cell>
          <cell r="L673" t="e">
            <v>#N/A</v>
          </cell>
          <cell r="M673" t="e">
            <v>#N/A</v>
          </cell>
          <cell r="N673" t="e">
            <v>#N/A</v>
          </cell>
          <cell r="O673" t="e">
            <v>#N/A</v>
          </cell>
          <cell r="P673">
            <v>14.52</v>
          </cell>
          <cell r="Q673" t="str">
            <v/>
          </cell>
          <cell r="R673" t="e">
            <v>#N/A</v>
          </cell>
        </row>
        <row r="674">
          <cell r="A674">
            <v>40946</v>
          </cell>
          <cell r="B674">
            <v>40946</v>
          </cell>
          <cell r="C674" t="str">
            <v>Future</v>
          </cell>
          <cell r="D674" t="e">
            <v>#N/A</v>
          </cell>
          <cell r="E674">
            <v>7.9783783783783537</v>
          </cell>
          <cell r="F674">
            <v>15.748648648648723</v>
          </cell>
          <cell r="G674">
            <v>14.194594594594609</v>
          </cell>
          <cell r="H674">
            <v>14.194594594594609</v>
          </cell>
          <cell r="I674" t="e">
            <v>#N/A</v>
          </cell>
          <cell r="J674" t="e">
            <v>#N/A</v>
          </cell>
          <cell r="K674" t="e">
            <v>#N/A</v>
          </cell>
          <cell r="L674" t="e">
            <v>#N/A</v>
          </cell>
          <cell r="M674" t="e">
            <v>#N/A</v>
          </cell>
          <cell r="N674" t="e">
            <v>#N/A</v>
          </cell>
          <cell r="O674" t="e">
            <v>#N/A</v>
          </cell>
          <cell r="P674">
            <v>14.52</v>
          </cell>
          <cell r="Q674" t="str">
            <v/>
          </cell>
          <cell r="R674" t="e">
            <v>#N/A</v>
          </cell>
        </row>
        <row r="675">
          <cell r="A675">
            <v>40947</v>
          </cell>
          <cell r="B675">
            <v>40947</v>
          </cell>
          <cell r="C675" t="str">
            <v>Future</v>
          </cell>
          <cell r="D675" t="e">
            <v>#N/A</v>
          </cell>
          <cell r="E675">
            <v>7.9229729729729481</v>
          </cell>
          <cell r="F675">
            <v>15.760810810810886</v>
          </cell>
          <cell r="G675">
            <v>14.193243243243257</v>
          </cell>
          <cell r="H675">
            <v>14.193243243243257</v>
          </cell>
          <cell r="I675" t="e">
            <v>#N/A</v>
          </cell>
          <cell r="J675" t="e">
            <v>#N/A</v>
          </cell>
          <cell r="K675" t="e">
            <v>#N/A</v>
          </cell>
          <cell r="L675" t="e">
            <v>#N/A</v>
          </cell>
          <cell r="M675" t="e">
            <v>#N/A</v>
          </cell>
          <cell r="N675" t="e">
            <v>#N/A</v>
          </cell>
          <cell r="O675" t="e">
            <v>#N/A</v>
          </cell>
          <cell r="P675">
            <v>14.52</v>
          </cell>
          <cell r="Q675" t="str">
            <v/>
          </cell>
          <cell r="R675" t="e">
            <v>#N/A</v>
          </cell>
        </row>
        <row r="676">
          <cell r="A676">
            <v>40948</v>
          </cell>
          <cell r="B676">
            <v>40948</v>
          </cell>
          <cell r="C676" t="str">
            <v>Future</v>
          </cell>
          <cell r="D676" t="e">
            <v>#N/A</v>
          </cell>
          <cell r="E676">
            <v>7.8675675675675425</v>
          </cell>
          <cell r="F676">
            <v>15.772972972973049</v>
          </cell>
          <cell r="G676">
            <v>14.191891891891906</v>
          </cell>
          <cell r="H676">
            <v>14.191891891891906</v>
          </cell>
          <cell r="I676" t="e">
            <v>#N/A</v>
          </cell>
          <cell r="J676" t="e">
            <v>#N/A</v>
          </cell>
          <cell r="K676" t="e">
            <v>#N/A</v>
          </cell>
          <cell r="L676" t="e">
            <v>#N/A</v>
          </cell>
          <cell r="M676" t="e">
            <v>#N/A</v>
          </cell>
          <cell r="N676" t="e">
            <v>#N/A</v>
          </cell>
          <cell r="O676" t="e">
            <v>#N/A</v>
          </cell>
          <cell r="P676">
            <v>14.52</v>
          </cell>
          <cell r="Q676" t="str">
            <v/>
          </cell>
          <cell r="R676" t="e">
            <v>#N/A</v>
          </cell>
        </row>
        <row r="677">
          <cell r="A677">
            <v>40949</v>
          </cell>
          <cell r="B677">
            <v>40949</v>
          </cell>
          <cell r="C677" t="str">
            <v>Future</v>
          </cell>
          <cell r="D677" t="e">
            <v>#N/A</v>
          </cell>
          <cell r="E677">
            <v>7.8121621621621369</v>
          </cell>
          <cell r="F677">
            <v>15.785135135135212</v>
          </cell>
          <cell r="G677">
            <v>14.190540540540555</v>
          </cell>
          <cell r="H677">
            <v>14.190540540540555</v>
          </cell>
          <cell r="I677" t="e">
            <v>#N/A</v>
          </cell>
          <cell r="J677" t="e">
            <v>#N/A</v>
          </cell>
          <cell r="K677" t="e">
            <v>#N/A</v>
          </cell>
          <cell r="L677" t="e">
            <v>#N/A</v>
          </cell>
          <cell r="M677" t="e">
            <v>#N/A</v>
          </cell>
          <cell r="N677" t="e">
            <v>#N/A</v>
          </cell>
          <cell r="O677" t="e">
            <v>#N/A</v>
          </cell>
          <cell r="P677">
            <v>14.52</v>
          </cell>
          <cell r="Q677" t="str">
            <v/>
          </cell>
          <cell r="R677" t="e">
            <v>#N/A</v>
          </cell>
        </row>
        <row r="678">
          <cell r="A678">
            <v>40952</v>
          </cell>
          <cell r="B678">
            <v>40952</v>
          </cell>
          <cell r="C678" t="str">
            <v>Future</v>
          </cell>
          <cell r="D678" t="e">
            <v>#N/A</v>
          </cell>
          <cell r="E678">
            <v>7.7567567567567313</v>
          </cell>
          <cell r="F678">
            <v>15.797297297297375</v>
          </cell>
          <cell r="G678">
            <v>14.189189189189204</v>
          </cell>
          <cell r="H678">
            <v>14.189189189189204</v>
          </cell>
          <cell r="I678" t="e">
            <v>#N/A</v>
          </cell>
          <cell r="J678" t="e">
            <v>#N/A</v>
          </cell>
          <cell r="K678" t="e">
            <v>#N/A</v>
          </cell>
          <cell r="L678" t="e">
            <v>#N/A</v>
          </cell>
          <cell r="M678" t="e">
            <v>#N/A</v>
          </cell>
          <cell r="N678" t="e">
            <v>#N/A</v>
          </cell>
          <cell r="O678" t="e">
            <v>#N/A</v>
          </cell>
          <cell r="P678">
            <v>14.52</v>
          </cell>
          <cell r="Q678" t="str">
            <v/>
          </cell>
          <cell r="R678" t="e">
            <v>#N/A</v>
          </cell>
        </row>
        <row r="679">
          <cell r="A679">
            <v>40953</v>
          </cell>
          <cell r="B679">
            <v>40953</v>
          </cell>
          <cell r="C679" t="str">
            <v>Future</v>
          </cell>
          <cell r="D679" t="e">
            <v>#N/A</v>
          </cell>
          <cell r="E679">
            <v>7.7013513513513256</v>
          </cell>
          <cell r="F679">
            <v>15.809459459459537</v>
          </cell>
          <cell r="G679">
            <v>14.187837837837852</v>
          </cell>
          <cell r="H679">
            <v>14.187837837837852</v>
          </cell>
          <cell r="I679" t="e">
            <v>#N/A</v>
          </cell>
          <cell r="J679" t="e">
            <v>#N/A</v>
          </cell>
          <cell r="K679" t="e">
            <v>#N/A</v>
          </cell>
          <cell r="L679" t="e">
            <v>#N/A</v>
          </cell>
          <cell r="M679" t="e">
            <v>#N/A</v>
          </cell>
          <cell r="N679" t="e">
            <v>#N/A</v>
          </cell>
          <cell r="O679" t="e">
            <v>#N/A</v>
          </cell>
          <cell r="P679">
            <v>14.52</v>
          </cell>
          <cell r="Q679" t="str">
            <v/>
          </cell>
          <cell r="R679" t="e">
            <v>#N/A</v>
          </cell>
        </row>
        <row r="680">
          <cell r="A680">
            <v>40954</v>
          </cell>
          <cell r="B680">
            <v>40954</v>
          </cell>
          <cell r="C680" t="str">
            <v>Future</v>
          </cell>
          <cell r="D680" t="e">
            <v>#N/A</v>
          </cell>
          <cell r="E680">
            <v>7.64594594594592</v>
          </cell>
          <cell r="F680">
            <v>15.8216216216217</v>
          </cell>
          <cell r="G680">
            <v>14.186486486486501</v>
          </cell>
          <cell r="H680">
            <v>14.186486486486501</v>
          </cell>
          <cell r="I680" t="e">
            <v>#N/A</v>
          </cell>
          <cell r="J680" t="e">
            <v>#N/A</v>
          </cell>
          <cell r="K680" t="e">
            <v>#N/A</v>
          </cell>
          <cell r="L680" t="e">
            <v>#N/A</v>
          </cell>
          <cell r="M680" t="e">
            <v>#N/A</v>
          </cell>
          <cell r="N680" t="e">
            <v>#N/A</v>
          </cell>
          <cell r="O680" t="e">
            <v>#N/A</v>
          </cell>
          <cell r="P680">
            <v>14.52</v>
          </cell>
          <cell r="Q680" t="str">
            <v/>
          </cell>
          <cell r="R680" t="e">
            <v>#N/A</v>
          </cell>
        </row>
        <row r="681">
          <cell r="A681">
            <v>40955</v>
          </cell>
          <cell r="B681">
            <v>40955</v>
          </cell>
          <cell r="C681" t="str">
            <v>Future</v>
          </cell>
          <cell r="D681" t="e">
            <v>#N/A</v>
          </cell>
          <cell r="E681">
            <v>7.5905405405405144</v>
          </cell>
          <cell r="F681">
            <v>15.833783783783863</v>
          </cell>
          <cell r="G681">
            <v>14.18513513513515</v>
          </cell>
          <cell r="H681">
            <v>14.18513513513515</v>
          </cell>
          <cell r="I681" t="e">
            <v>#N/A</v>
          </cell>
          <cell r="J681" t="e">
            <v>#N/A</v>
          </cell>
          <cell r="K681" t="e">
            <v>#N/A</v>
          </cell>
          <cell r="L681" t="e">
            <v>#N/A</v>
          </cell>
          <cell r="M681" t="e">
            <v>#N/A</v>
          </cell>
          <cell r="N681" t="e">
            <v>#N/A</v>
          </cell>
          <cell r="O681" t="e">
            <v>#N/A</v>
          </cell>
          <cell r="P681">
            <v>14.52</v>
          </cell>
          <cell r="Q681" t="str">
            <v/>
          </cell>
          <cell r="R681" t="e">
            <v>#N/A</v>
          </cell>
        </row>
        <row r="682">
          <cell r="A682">
            <v>40956</v>
          </cell>
          <cell r="B682">
            <v>40956</v>
          </cell>
          <cell r="C682" t="str">
            <v>Future</v>
          </cell>
          <cell r="D682" t="e">
            <v>#N/A</v>
          </cell>
          <cell r="E682">
            <v>7.5351351351351088</v>
          </cell>
          <cell r="F682">
            <v>15.845945945946026</v>
          </cell>
          <cell r="G682">
            <v>14.183783783783799</v>
          </cell>
          <cell r="H682">
            <v>14.183783783783799</v>
          </cell>
          <cell r="I682" t="e">
            <v>#N/A</v>
          </cell>
          <cell r="J682" t="e">
            <v>#N/A</v>
          </cell>
          <cell r="K682" t="e">
            <v>#N/A</v>
          </cell>
          <cell r="L682" t="e">
            <v>#N/A</v>
          </cell>
          <cell r="M682" t="e">
            <v>#N/A</v>
          </cell>
          <cell r="N682" t="e">
            <v>#N/A</v>
          </cell>
          <cell r="O682" t="e">
            <v>#N/A</v>
          </cell>
          <cell r="P682">
            <v>14.52</v>
          </cell>
          <cell r="Q682" t="str">
            <v/>
          </cell>
          <cell r="R682" t="e">
            <v>#N/A</v>
          </cell>
        </row>
        <row r="683">
          <cell r="A683">
            <v>40959</v>
          </cell>
          <cell r="B683">
            <v>40959</v>
          </cell>
          <cell r="C683" t="str">
            <v>Future</v>
          </cell>
          <cell r="D683" t="e">
            <v>#N/A</v>
          </cell>
          <cell r="E683">
            <v>7.4797297297297032</v>
          </cell>
          <cell r="F683">
            <v>15.858108108108189</v>
          </cell>
          <cell r="G683">
            <v>14.182432432432448</v>
          </cell>
          <cell r="H683">
            <v>14.182432432432448</v>
          </cell>
          <cell r="I683" t="e">
            <v>#N/A</v>
          </cell>
          <cell r="J683" t="e">
            <v>#N/A</v>
          </cell>
          <cell r="K683" t="e">
            <v>#N/A</v>
          </cell>
          <cell r="L683" t="e">
            <v>#N/A</v>
          </cell>
          <cell r="M683" t="e">
            <v>#N/A</v>
          </cell>
          <cell r="N683" t="e">
            <v>#N/A</v>
          </cell>
          <cell r="O683" t="e">
            <v>#N/A</v>
          </cell>
          <cell r="P683">
            <v>14.52</v>
          </cell>
          <cell r="Q683" t="str">
            <v/>
          </cell>
          <cell r="R683" t="e">
            <v>#N/A</v>
          </cell>
        </row>
        <row r="684">
          <cell r="A684">
            <v>40960</v>
          </cell>
          <cell r="B684">
            <v>40960</v>
          </cell>
          <cell r="C684" t="str">
            <v>Future</v>
          </cell>
          <cell r="D684" t="e">
            <v>#N/A</v>
          </cell>
          <cell r="E684">
            <v>7.4243243243242976</v>
          </cell>
          <cell r="F684">
            <v>15.870270270270352</v>
          </cell>
          <cell r="G684">
            <v>14.181081081081096</v>
          </cell>
          <cell r="H684">
            <v>14.181081081081096</v>
          </cell>
          <cell r="I684" t="e">
            <v>#N/A</v>
          </cell>
          <cell r="J684" t="e">
            <v>#N/A</v>
          </cell>
          <cell r="K684" t="e">
            <v>#N/A</v>
          </cell>
          <cell r="L684" t="e">
            <v>#N/A</v>
          </cell>
          <cell r="M684" t="e">
            <v>#N/A</v>
          </cell>
          <cell r="N684" t="e">
            <v>#N/A</v>
          </cell>
          <cell r="O684" t="e">
            <v>#N/A</v>
          </cell>
          <cell r="P684">
            <v>14.52</v>
          </cell>
          <cell r="Q684" t="str">
            <v/>
          </cell>
          <cell r="R684" t="e">
            <v>#N/A</v>
          </cell>
        </row>
        <row r="685">
          <cell r="A685">
            <v>40961</v>
          </cell>
          <cell r="B685">
            <v>40961</v>
          </cell>
          <cell r="C685" t="str">
            <v>Future</v>
          </cell>
          <cell r="D685" t="e">
            <v>#N/A</v>
          </cell>
          <cell r="E685">
            <v>7.3689189189188919</v>
          </cell>
          <cell r="F685">
            <v>15.882432432432514</v>
          </cell>
          <cell r="G685">
            <v>14.179729729729745</v>
          </cell>
          <cell r="H685">
            <v>14.179729729729745</v>
          </cell>
          <cell r="I685" t="e">
            <v>#N/A</v>
          </cell>
          <cell r="J685" t="e">
            <v>#N/A</v>
          </cell>
          <cell r="K685" t="e">
            <v>#N/A</v>
          </cell>
          <cell r="L685" t="e">
            <v>#N/A</v>
          </cell>
          <cell r="M685" t="e">
            <v>#N/A</v>
          </cell>
          <cell r="N685" t="e">
            <v>#N/A</v>
          </cell>
          <cell r="O685" t="e">
            <v>#N/A</v>
          </cell>
          <cell r="P685">
            <v>14.52</v>
          </cell>
          <cell r="Q685" t="str">
            <v/>
          </cell>
          <cell r="R685" t="e">
            <v>#N/A</v>
          </cell>
        </row>
        <row r="686">
          <cell r="A686">
            <v>40962</v>
          </cell>
          <cell r="B686">
            <v>40962</v>
          </cell>
          <cell r="C686" t="str">
            <v>Future</v>
          </cell>
          <cell r="D686" t="e">
            <v>#N/A</v>
          </cell>
          <cell r="E686">
            <v>7.3135135135134863</v>
          </cell>
          <cell r="F686">
            <v>15.894594594594677</v>
          </cell>
          <cell r="G686">
            <v>14.178378378378394</v>
          </cell>
          <cell r="H686">
            <v>14.178378378378394</v>
          </cell>
          <cell r="I686" t="e">
            <v>#N/A</v>
          </cell>
          <cell r="J686" t="e">
            <v>#N/A</v>
          </cell>
          <cell r="K686" t="e">
            <v>#N/A</v>
          </cell>
          <cell r="L686" t="e">
            <v>#N/A</v>
          </cell>
          <cell r="M686" t="e">
            <v>#N/A</v>
          </cell>
          <cell r="N686" t="e">
            <v>#N/A</v>
          </cell>
          <cell r="O686" t="e">
            <v>#N/A</v>
          </cell>
          <cell r="P686">
            <v>14.52</v>
          </cell>
          <cell r="Q686" t="str">
            <v/>
          </cell>
          <cell r="R686" t="e">
            <v>#N/A</v>
          </cell>
        </row>
        <row r="687">
          <cell r="A687">
            <v>40963</v>
          </cell>
          <cell r="B687">
            <v>40963</v>
          </cell>
          <cell r="C687" t="str">
            <v>Future</v>
          </cell>
          <cell r="D687" t="e">
            <v>#N/A</v>
          </cell>
          <cell r="E687">
            <v>7.2581081081080807</v>
          </cell>
          <cell r="F687">
            <v>15.90675675675684</v>
          </cell>
          <cell r="G687">
            <v>14.177027027027043</v>
          </cell>
          <cell r="H687">
            <v>14.177027027027043</v>
          </cell>
          <cell r="I687" t="e">
            <v>#N/A</v>
          </cell>
          <cell r="J687" t="e">
            <v>#N/A</v>
          </cell>
          <cell r="K687" t="e">
            <v>#N/A</v>
          </cell>
          <cell r="L687" t="e">
            <v>#N/A</v>
          </cell>
          <cell r="M687" t="e">
            <v>#N/A</v>
          </cell>
          <cell r="N687" t="e">
            <v>#N/A</v>
          </cell>
          <cell r="O687" t="e">
            <v>#N/A</v>
          </cell>
          <cell r="P687">
            <v>14.52</v>
          </cell>
          <cell r="Q687" t="str">
            <v/>
          </cell>
          <cell r="R687" t="e">
            <v>#N/A</v>
          </cell>
        </row>
        <row r="688">
          <cell r="A688">
            <v>40966</v>
          </cell>
          <cell r="B688">
            <v>40966</v>
          </cell>
          <cell r="C688" t="str">
            <v>Future</v>
          </cell>
          <cell r="D688" t="e">
            <v>#N/A</v>
          </cell>
          <cell r="E688">
            <v>7.2027027027026751</v>
          </cell>
          <cell r="F688">
            <v>15.918918918919003</v>
          </cell>
          <cell r="G688">
            <v>14.175675675675691</v>
          </cell>
          <cell r="H688">
            <v>14.175675675675691</v>
          </cell>
          <cell r="I688" t="e">
            <v>#N/A</v>
          </cell>
          <cell r="J688" t="e">
            <v>#N/A</v>
          </cell>
          <cell r="K688" t="e">
            <v>#N/A</v>
          </cell>
          <cell r="L688" t="e">
            <v>#N/A</v>
          </cell>
          <cell r="M688" t="e">
            <v>#N/A</v>
          </cell>
          <cell r="N688" t="e">
            <v>#N/A</v>
          </cell>
          <cell r="O688" t="e">
            <v>#N/A</v>
          </cell>
          <cell r="P688">
            <v>14.52</v>
          </cell>
          <cell r="Q688" t="str">
            <v/>
          </cell>
          <cell r="R688" t="e">
            <v>#N/A</v>
          </cell>
        </row>
        <row r="689">
          <cell r="A689">
            <v>40967</v>
          </cell>
          <cell r="B689">
            <v>40967</v>
          </cell>
          <cell r="C689" t="str">
            <v>Future</v>
          </cell>
          <cell r="D689" t="e">
            <v>#N/A</v>
          </cell>
          <cell r="E689">
            <v>7.1472972972972695</v>
          </cell>
          <cell r="F689">
            <v>15.931081081081166</v>
          </cell>
          <cell r="G689">
            <v>14.17432432432434</v>
          </cell>
          <cell r="H689">
            <v>14.17432432432434</v>
          </cell>
          <cell r="I689" t="e">
            <v>#N/A</v>
          </cell>
          <cell r="J689" t="e">
            <v>#N/A</v>
          </cell>
          <cell r="K689" t="e">
            <v>#N/A</v>
          </cell>
          <cell r="L689" t="e">
            <v>#N/A</v>
          </cell>
          <cell r="M689" t="e">
            <v>#N/A</v>
          </cell>
          <cell r="N689" t="e">
            <v>#N/A</v>
          </cell>
          <cell r="O689" t="e">
            <v>#N/A</v>
          </cell>
          <cell r="P689">
            <v>14.52</v>
          </cell>
          <cell r="Q689" t="str">
            <v/>
          </cell>
          <cell r="R689" t="e">
            <v>#N/A</v>
          </cell>
        </row>
        <row r="690">
          <cell r="A690">
            <v>40968</v>
          </cell>
          <cell r="B690">
            <v>40968</v>
          </cell>
          <cell r="C690" t="str">
            <v>Future</v>
          </cell>
          <cell r="D690" t="e">
            <v>#N/A</v>
          </cell>
          <cell r="E690">
            <v>7.0918918918918639</v>
          </cell>
          <cell r="F690">
            <v>15.943243243243328</v>
          </cell>
          <cell r="G690">
            <v>14.172972972972989</v>
          </cell>
          <cell r="H690">
            <v>14.172972972972989</v>
          </cell>
          <cell r="I690" t="e">
            <v>#N/A</v>
          </cell>
          <cell r="J690" t="e">
            <v>#N/A</v>
          </cell>
          <cell r="K690" t="e">
            <v>#N/A</v>
          </cell>
          <cell r="L690" t="e">
            <v>#N/A</v>
          </cell>
          <cell r="M690" t="e">
            <v>#N/A</v>
          </cell>
          <cell r="N690" t="e">
            <v>#N/A</v>
          </cell>
          <cell r="O690" t="e">
            <v>#N/A</v>
          </cell>
          <cell r="P690">
            <v>14.52</v>
          </cell>
          <cell r="Q690" t="str">
            <v/>
          </cell>
          <cell r="R690" t="e">
            <v>#N/A</v>
          </cell>
        </row>
        <row r="691">
          <cell r="A691">
            <v>40969</v>
          </cell>
          <cell r="B691">
            <v>40969</v>
          </cell>
          <cell r="C691" t="str">
            <v>Future</v>
          </cell>
          <cell r="D691" t="e">
            <v>#N/A</v>
          </cell>
          <cell r="E691">
            <v>7.0364864864864582</v>
          </cell>
          <cell r="F691">
            <v>15.955405405405491</v>
          </cell>
          <cell r="G691">
            <v>14.171621621621638</v>
          </cell>
          <cell r="H691">
            <v>14.171621621621638</v>
          </cell>
          <cell r="I691" t="e">
            <v>#N/A</v>
          </cell>
          <cell r="J691" t="e">
            <v>#N/A</v>
          </cell>
          <cell r="K691" t="e">
            <v>#N/A</v>
          </cell>
          <cell r="L691" t="e">
            <v>#N/A</v>
          </cell>
          <cell r="M691" t="e">
            <v>#N/A</v>
          </cell>
          <cell r="N691" t="e">
            <v>#N/A</v>
          </cell>
          <cell r="O691" t="e">
            <v>#N/A</v>
          </cell>
          <cell r="P691">
            <v>14.52</v>
          </cell>
          <cell r="Q691" t="str">
            <v/>
          </cell>
          <cell r="R691" t="e">
            <v>#N/A</v>
          </cell>
        </row>
        <row r="692">
          <cell r="A692">
            <v>40970</v>
          </cell>
          <cell r="B692">
            <v>40970</v>
          </cell>
          <cell r="C692" t="str">
            <v>Future</v>
          </cell>
          <cell r="D692" t="e">
            <v>#N/A</v>
          </cell>
          <cell r="E692">
            <v>6.9810810810810526</v>
          </cell>
          <cell r="F692">
            <v>15.967567567567654</v>
          </cell>
          <cell r="G692">
            <v>14.170270270270287</v>
          </cell>
          <cell r="H692">
            <v>14.170270270270287</v>
          </cell>
          <cell r="I692" t="e">
            <v>#N/A</v>
          </cell>
          <cell r="J692" t="e">
            <v>#N/A</v>
          </cell>
          <cell r="K692" t="e">
            <v>#N/A</v>
          </cell>
          <cell r="L692" t="e">
            <v>#N/A</v>
          </cell>
          <cell r="M692" t="e">
            <v>#N/A</v>
          </cell>
          <cell r="N692" t="e">
            <v>#N/A</v>
          </cell>
          <cell r="O692" t="e">
            <v>#N/A</v>
          </cell>
          <cell r="P692">
            <v>14.52</v>
          </cell>
          <cell r="Q692" t="str">
            <v/>
          </cell>
          <cell r="R692" t="e">
            <v>#N/A</v>
          </cell>
        </row>
        <row r="693">
          <cell r="A693">
            <v>40973</v>
          </cell>
          <cell r="B693">
            <v>40973</v>
          </cell>
          <cell r="C693" t="str">
            <v>Future</v>
          </cell>
          <cell r="D693" t="e">
            <v>#N/A</v>
          </cell>
          <cell r="E693">
            <v>6.925675675675647</v>
          </cell>
          <cell r="F693">
            <v>15.979729729729817</v>
          </cell>
          <cell r="G693">
            <v>14.168918918918935</v>
          </cell>
          <cell r="H693">
            <v>14.168918918918935</v>
          </cell>
          <cell r="I693" t="e">
            <v>#N/A</v>
          </cell>
          <cell r="J693" t="e">
            <v>#N/A</v>
          </cell>
          <cell r="K693" t="e">
            <v>#N/A</v>
          </cell>
          <cell r="L693" t="e">
            <v>#N/A</v>
          </cell>
          <cell r="M693" t="e">
            <v>#N/A</v>
          </cell>
          <cell r="N693" t="e">
            <v>#N/A</v>
          </cell>
          <cell r="O693" t="e">
            <v>#N/A</v>
          </cell>
          <cell r="P693">
            <v>14.52</v>
          </cell>
          <cell r="Q693" t="str">
            <v/>
          </cell>
          <cell r="R693" t="e">
            <v>#N/A</v>
          </cell>
        </row>
        <row r="694">
          <cell r="A694">
            <v>40974</v>
          </cell>
          <cell r="B694">
            <v>40974</v>
          </cell>
          <cell r="C694" t="str">
            <v>Future</v>
          </cell>
          <cell r="D694" t="e">
            <v>#N/A</v>
          </cell>
          <cell r="E694">
            <v>6.8702702702702414</v>
          </cell>
          <cell r="F694">
            <v>15.99189189189198</v>
          </cell>
          <cell r="G694">
            <v>14.167567567567584</v>
          </cell>
          <cell r="H694">
            <v>14.167567567567584</v>
          </cell>
          <cell r="I694" t="e">
            <v>#N/A</v>
          </cell>
          <cell r="J694" t="e">
            <v>#N/A</v>
          </cell>
          <cell r="K694" t="e">
            <v>#N/A</v>
          </cell>
          <cell r="L694" t="e">
            <v>#N/A</v>
          </cell>
          <cell r="M694" t="e">
            <v>#N/A</v>
          </cell>
          <cell r="N694" t="e">
            <v>#N/A</v>
          </cell>
          <cell r="O694" t="e">
            <v>#N/A</v>
          </cell>
          <cell r="P694">
            <v>14.52</v>
          </cell>
          <cell r="Q694" t="str">
            <v/>
          </cell>
          <cell r="R694" t="e">
            <v>#N/A</v>
          </cell>
        </row>
        <row r="695">
          <cell r="A695">
            <v>40975</v>
          </cell>
          <cell r="B695">
            <v>40975</v>
          </cell>
          <cell r="C695" t="str">
            <v>Future</v>
          </cell>
          <cell r="D695" t="e">
            <v>#N/A</v>
          </cell>
          <cell r="E695">
            <v>6.8148648648648358</v>
          </cell>
          <cell r="F695">
            <v>16.004054054054141</v>
          </cell>
          <cell r="G695">
            <v>14.166216216216233</v>
          </cell>
          <cell r="H695">
            <v>14.166216216216233</v>
          </cell>
          <cell r="I695" t="e">
            <v>#N/A</v>
          </cell>
          <cell r="J695" t="e">
            <v>#N/A</v>
          </cell>
          <cell r="K695" t="e">
            <v>#N/A</v>
          </cell>
          <cell r="L695" t="e">
            <v>#N/A</v>
          </cell>
          <cell r="M695" t="e">
            <v>#N/A</v>
          </cell>
          <cell r="N695" t="e">
            <v>#N/A</v>
          </cell>
          <cell r="O695" t="e">
            <v>#N/A</v>
          </cell>
          <cell r="P695">
            <v>14.52</v>
          </cell>
          <cell r="Q695" t="str">
            <v/>
          </cell>
          <cell r="R695" t="e">
            <v>#N/A</v>
          </cell>
        </row>
        <row r="696">
          <cell r="A696">
            <v>40976</v>
          </cell>
          <cell r="B696">
            <v>40976</v>
          </cell>
          <cell r="C696" t="str">
            <v>Future</v>
          </cell>
          <cell r="D696" t="e">
            <v>#N/A</v>
          </cell>
          <cell r="E696">
            <v>6.7594594594594302</v>
          </cell>
          <cell r="F696">
            <v>16.016216216216304</v>
          </cell>
          <cell r="G696">
            <v>14.164864864864882</v>
          </cell>
          <cell r="H696">
            <v>14.164864864864882</v>
          </cell>
          <cell r="I696" t="e">
            <v>#N/A</v>
          </cell>
          <cell r="J696" t="e">
            <v>#N/A</v>
          </cell>
          <cell r="K696" t="e">
            <v>#N/A</v>
          </cell>
          <cell r="L696" t="e">
            <v>#N/A</v>
          </cell>
          <cell r="M696" t="e">
            <v>#N/A</v>
          </cell>
          <cell r="N696" t="e">
            <v>#N/A</v>
          </cell>
          <cell r="O696" t="e">
            <v>#N/A</v>
          </cell>
          <cell r="P696">
            <v>14.52</v>
          </cell>
          <cell r="Q696" t="str">
            <v/>
          </cell>
          <cell r="R696" t="e">
            <v>#N/A</v>
          </cell>
        </row>
        <row r="697">
          <cell r="A697">
            <v>40977</v>
          </cell>
          <cell r="B697">
            <v>40977</v>
          </cell>
          <cell r="C697" t="str">
            <v>Future</v>
          </cell>
          <cell r="D697" t="e">
            <v>#N/A</v>
          </cell>
          <cell r="E697">
            <v>6.7040540540540245</v>
          </cell>
          <cell r="F697">
            <v>16.028378378378466</v>
          </cell>
          <cell r="G697">
            <v>14.16351351351353</v>
          </cell>
          <cell r="H697">
            <v>14.16351351351353</v>
          </cell>
          <cell r="I697" t="e">
            <v>#N/A</v>
          </cell>
          <cell r="J697" t="e">
            <v>#N/A</v>
          </cell>
          <cell r="K697" t="e">
            <v>#N/A</v>
          </cell>
          <cell r="L697" t="e">
            <v>#N/A</v>
          </cell>
          <cell r="M697" t="e">
            <v>#N/A</v>
          </cell>
          <cell r="N697" t="e">
            <v>#N/A</v>
          </cell>
          <cell r="O697" t="e">
            <v>#N/A</v>
          </cell>
          <cell r="P697">
            <v>14.52</v>
          </cell>
          <cell r="Q697" t="str">
            <v/>
          </cell>
          <cell r="R697" t="e">
            <v>#N/A</v>
          </cell>
        </row>
        <row r="698">
          <cell r="A698">
            <v>40980</v>
          </cell>
          <cell r="B698">
            <v>40980</v>
          </cell>
          <cell r="C698" t="str">
            <v>Future</v>
          </cell>
          <cell r="D698" t="e">
            <v>#N/A</v>
          </cell>
          <cell r="E698">
            <v>6.6486486486486189</v>
          </cell>
          <cell r="F698">
            <v>16.040540540540629</v>
          </cell>
          <cell r="G698">
            <v>14.162162162162179</v>
          </cell>
          <cell r="H698">
            <v>14.162162162162179</v>
          </cell>
          <cell r="I698" t="e">
            <v>#N/A</v>
          </cell>
          <cell r="J698" t="e">
            <v>#N/A</v>
          </cell>
          <cell r="K698" t="e">
            <v>#N/A</v>
          </cell>
          <cell r="L698" t="e">
            <v>#N/A</v>
          </cell>
          <cell r="M698" t="e">
            <v>#N/A</v>
          </cell>
          <cell r="N698" t="e">
            <v>#N/A</v>
          </cell>
          <cell r="O698" t="e">
            <v>#N/A</v>
          </cell>
          <cell r="P698">
            <v>14.52</v>
          </cell>
          <cell r="Q698" t="str">
            <v/>
          </cell>
          <cell r="R698" t="e">
            <v>#N/A</v>
          </cell>
        </row>
        <row r="699">
          <cell r="A699">
            <v>40981</v>
          </cell>
          <cell r="B699">
            <v>40981</v>
          </cell>
          <cell r="C699" t="str">
            <v>Future</v>
          </cell>
          <cell r="D699" t="e">
            <v>#N/A</v>
          </cell>
          <cell r="E699">
            <v>6.5932432432432133</v>
          </cell>
          <cell r="F699">
            <v>16.052702702702792</v>
          </cell>
          <cell r="G699">
            <v>14.160810810810828</v>
          </cell>
          <cell r="H699">
            <v>14.160810810810828</v>
          </cell>
          <cell r="I699" t="e">
            <v>#N/A</v>
          </cell>
          <cell r="J699" t="e">
            <v>#N/A</v>
          </cell>
          <cell r="K699" t="e">
            <v>#N/A</v>
          </cell>
          <cell r="L699" t="e">
            <v>#N/A</v>
          </cell>
          <cell r="M699" t="e">
            <v>#N/A</v>
          </cell>
          <cell r="N699" t="e">
            <v>#N/A</v>
          </cell>
          <cell r="O699" t="e">
            <v>#N/A</v>
          </cell>
          <cell r="P699">
            <v>14.52</v>
          </cell>
          <cell r="Q699" t="str">
            <v/>
          </cell>
          <cell r="R699" t="e">
            <v>#N/A</v>
          </cell>
        </row>
        <row r="700">
          <cell r="A700">
            <v>40982</v>
          </cell>
          <cell r="B700">
            <v>40982</v>
          </cell>
          <cell r="C700" t="str">
            <v>Future</v>
          </cell>
          <cell r="D700" t="e">
            <v>#N/A</v>
          </cell>
          <cell r="E700">
            <v>6.5378378378378077</v>
          </cell>
          <cell r="F700">
            <v>16.064864864864955</v>
          </cell>
          <cell r="G700">
            <v>14.159459459459477</v>
          </cell>
          <cell r="H700">
            <v>14.159459459459477</v>
          </cell>
          <cell r="I700" t="e">
            <v>#N/A</v>
          </cell>
          <cell r="J700" t="e">
            <v>#N/A</v>
          </cell>
          <cell r="K700" t="e">
            <v>#N/A</v>
          </cell>
          <cell r="L700" t="e">
            <v>#N/A</v>
          </cell>
          <cell r="M700" t="e">
            <v>#N/A</v>
          </cell>
          <cell r="N700" t="e">
            <v>#N/A</v>
          </cell>
          <cell r="O700" t="e">
            <v>#N/A</v>
          </cell>
          <cell r="P700">
            <v>14.52</v>
          </cell>
          <cell r="Q700" t="str">
            <v/>
          </cell>
          <cell r="R700" t="e">
            <v>#N/A</v>
          </cell>
        </row>
        <row r="701">
          <cell r="A701">
            <v>40983</v>
          </cell>
          <cell r="B701">
            <v>40983</v>
          </cell>
          <cell r="C701" t="str">
            <v>Future</v>
          </cell>
          <cell r="D701" t="e">
            <v>#N/A</v>
          </cell>
          <cell r="E701">
            <v>6.4824324324324021</v>
          </cell>
          <cell r="F701">
            <v>16.077027027027118</v>
          </cell>
          <cell r="G701">
            <v>14.158108108108125</v>
          </cell>
          <cell r="H701">
            <v>14.158108108108125</v>
          </cell>
          <cell r="I701" t="e">
            <v>#N/A</v>
          </cell>
          <cell r="J701" t="e">
            <v>#N/A</v>
          </cell>
          <cell r="K701" t="e">
            <v>#N/A</v>
          </cell>
          <cell r="L701" t="e">
            <v>#N/A</v>
          </cell>
          <cell r="M701" t="e">
            <v>#N/A</v>
          </cell>
          <cell r="N701" t="e">
            <v>#N/A</v>
          </cell>
          <cell r="O701" t="e">
            <v>#N/A</v>
          </cell>
          <cell r="P701">
            <v>14.52</v>
          </cell>
          <cell r="Q701" t="str">
            <v/>
          </cell>
          <cell r="R701" t="e">
            <v>#N/A</v>
          </cell>
        </row>
        <row r="702">
          <cell r="A702">
            <v>40984</v>
          </cell>
          <cell r="B702">
            <v>40984</v>
          </cell>
          <cell r="C702" t="str">
            <v>Future</v>
          </cell>
          <cell r="D702" t="e">
            <v>#N/A</v>
          </cell>
          <cell r="E702">
            <v>6.4270270270269965</v>
          </cell>
          <cell r="F702">
            <v>16.08918918918928</v>
          </cell>
          <cell r="G702">
            <v>14.156756756756774</v>
          </cell>
          <cell r="H702">
            <v>14.156756756756774</v>
          </cell>
          <cell r="I702" t="e">
            <v>#N/A</v>
          </cell>
          <cell r="J702" t="e">
            <v>#N/A</v>
          </cell>
          <cell r="K702" t="e">
            <v>#N/A</v>
          </cell>
          <cell r="L702" t="e">
            <v>#N/A</v>
          </cell>
          <cell r="M702" t="e">
            <v>#N/A</v>
          </cell>
          <cell r="N702" t="e">
            <v>#N/A</v>
          </cell>
          <cell r="O702" t="e">
            <v>#N/A</v>
          </cell>
          <cell r="P702">
            <v>14.52</v>
          </cell>
          <cell r="Q702" t="str">
            <v/>
          </cell>
          <cell r="R702" t="e">
            <v>#N/A</v>
          </cell>
        </row>
        <row r="703">
          <cell r="A703">
            <v>40987</v>
          </cell>
          <cell r="B703">
            <v>40987</v>
          </cell>
          <cell r="C703" t="str">
            <v>Future</v>
          </cell>
          <cell r="D703" t="e">
            <v>#N/A</v>
          </cell>
          <cell r="E703">
            <v>6.3716216216215908</v>
          </cell>
          <cell r="F703">
            <v>16.101351351351443</v>
          </cell>
          <cell r="G703">
            <v>14.155405405405423</v>
          </cell>
          <cell r="H703">
            <v>14.155405405405423</v>
          </cell>
          <cell r="I703" t="e">
            <v>#N/A</v>
          </cell>
          <cell r="J703" t="e">
            <v>#N/A</v>
          </cell>
          <cell r="K703" t="e">
            <v>#N/A</v>
          </cell>
          <cell r="L703" t="e">
            <v>#N/A</v>
          </cell>
          <cell r="M703" t="e">
            <v>#N/A</v>
          </cell>
          <cell r="N703" t="e">
            <v>#N/A</v>
          </cell>
          <cell r="O703" t="e">
            <v>#N/A</v>
          </cell>
          <cell r="P703">
            <v>14.52</v>
          </cell>
          <cell r="Q703" t="str">
            <v/>
          </cell>
          <cell r="R703" t="e">
            <v>#N/A</v>
          </cell>
        </row>
        <row r="704">
          <cell r="A704">
            <v>40988</v>
          </cell>
          <cell r="B704">
            <v>40988</v>
          </cell>
          <cell r="C704" t="str">
            <v>Future</v>
          </cell>
          <cell r="D704" t="e">
            <v>#N/A</v>
          </cell>
          <cell r="E704">
            <v>6.3162162162161852</v>
          </cell>
          <cell r="F704">
            <v>16.113513513513606</v>
          </cell>
          <cell r="G704">
            <v>14.154054054054072</v>
          </cell>
          <cell r="H704">
            <v>14.154054054054072</v>
          </cell>
          <cell r="I704" t="e">
            <v>#N/A</v>
          </cell>
          <cell r="J704" t="e">
            <v>#N/A</v>
          </cell>
          <cell r="K704" t="e">
            <v>#N/A</v>
          </cell>
          <cell r="L704" t="e">
            <v>#N/A</v>
          </cell>
          <cell r="M704" t="e">
            <v>#N/A</v>
          </cell>
          <cell r="N704" t="e">
            <v>#N/A</v>
          </cell>
          <cell r="O704" t="e">
            <v>#N/A</v>
          </cell>
          <cell r="P704">
            <v>14.52</v>
          </cell>
          <cell r="Q704" t="str">
            <v/>
          </cell>
          <cell r="R704" t="e">
            <v>#N/A</v>
          </cell>
        </row>
        <row r="705">
          <cell r="A705">
            <v>40989</v>
          </cell>
          <cell r="B705">
            <v>40989</v>
          </cell>
          <cell r="C705" t="str">
            <v>Future</v>
          </cell>
          <cell r="D705" t="e">
            <v>#N/A</v>
          </cell>
          <cell r="E705">
            <v>6.2608108108107796</v>
          </cell>
          <cell r="F705">
            <v>16.125675675675769</v>
          </cell>
          <cell r="G705">
            <v>14.152702702702721</v>
          </cell>
          <cell r="H705">
            <v>14.152702702702721</v>
          </cell>
          <cell r="I705" t="e">
            <v>#N/A</v>
          </cell>
          <cell r="J705" t="e">
            <v>#N/A</v>
          </cell>
          <cell r="K705" t="e">
            <v>#N/A</v>
          </cell>
          <cell r="L705" t="e">
            <v>#N/A</v>
          </cell>
          <cell r="M705" t="e">
            <v>#N/A</v>
          </cell>
          <cell r="N705" t="e">
            <v>#N/A</v>
          </cell>
          <cell r="O705" t="e">
            <v>#N/A</v>
          </cell>
          <cell r="P705">
            <v>14.52</v>
          </cell>
          <cell r="Q705" t="str">
            <v/>
          </cell>
          <cell r="R705" t="e">
            <v>#N/A</v>
          </cell>
        </row>
        <row r="706">
          <cell r="A706">
            <v>40990</v>
          </cell>
          <cell r="B706">
            <v>40990</v>
          </cell>
          <cell r="C706" t="str">
            <v>Future</v>
          </cell>
          <cell r="D706" t="e">
            <v>#N/A</v>
          </cell>
          <cell r="E706">
            <v>6.205405405405374</v>
          </cell>
          <cell r="F706">
            <v>16.137837837837932</v>
          </cell>
          <cell r="G706">
            <v>14.151351351351369</v>
          </cell>
          <cell r="H706">
            <v>14.151351351351369</v>
          </cell>
          <cell r="I706" t="e">
            <v>#N/A</v>
          </cell>
          <cell r="J706" t="e">
            <v>#N/A</v>
          </cell>
          <cell r="K706" t="e">
            <v>#N/A</v>
          </cell>
          <cell r="L706" t="e">
            <v>#N/A</v>
          </cell>
          <cell r="M706" t="e">
            <v>#N/A</v>
          </cell>
          <cell r="N706" t="e">
            <v>#N/A</v>
          </cell>
          <cell r="O706" t="e">
            <v>#N/A</v>
          </cell>
          <cell r="P706">
            <v>14.52</v>
          </cell>
          <cell r="Q706" t="str">
            <v/>
          </cell>
          <cell r="R706" t="e">
            <v>#N/A</v>
          </cell>
        </row>
        <row r="707">
          <cell r="A707">
            <v>40991</v>
          </cell>
          <cell r="B707">
            <v>40991</v>
          </cell>
          <cell r="C707" t="str">
            <v>Future</v>
          </cell>
          <cell r="D707" t="e">
            <v>#N/A</v>
          </cell>
          <cell r="E707">
            <v>6.1499999999999684</v>
          </cell>
          <cell r="F707">
            <v>16.150000000000095</v>
          </cell>
          <cell r="G707">
            <v>14.150000000000018</v>
          </cell>
          <cell r="H707">
            <v>14.150000000000018</v>
          </cell>
          <cell r="I707" t="e">
            <v>#N/A</v>
          </cell>
          <cell r="J707" t="e">
            <v>#N/A</v>
          </cell>
          <cell r="K707" t="e">
            <v>#N/A</v>
          </cell>
          <cell r="L707" t="e">
            <v>#N/A</v>
          </cell>
          <cell r="M707" t="e">
            <v>#N/A</v>
          </cell>
          <cell r="N707" t="e">
            <v>#N/A</v>
          </cell>
          <cell r="O707" t="e">
            <v>#N/A</v>
          </cell>
          <cell r="P707">
            <v>14.52</v>
          </cell>
          <cell r="Q707" t="str">
            <v/>
          </cell>
          <cell r="R707" t="e">
            <v>#N/A</v>
          </cell>
        </row>
        <row r="708">
          <cell r="A708">
            <v>40994</v>
          </cell>
          <cell r="B708">
            <v>40994</v>
          </cell>
          <cell r="C708" t="str">
            <v>Future</v>
          </cell>
          <cell r="D708" t="e">
            <v>#N/A</v>
          </cell>
          <cell r="E708">
            <v>6.0945945945945628</v>
          </cell>
          <cell r="F708">
            <v>16.162162162162257</v>
          </cell>
          <cell r="G708">
            <v>14.148648648648667</v>
          </cell>
          <cell r="H708">
            <v>14.148648648648667</v>
          </cell>
          <cell r="I708" t="e">
            <v>#N/A</v>
          </cell>
          <cell r="J708" t="e">
            <v>#N/A</v>
          </cell>
          <cell r="K708" t="e">
            <v>#N/A</v>
          </cell>
          <cell r="L708" t="e">
            <v>#N/A</v>
          </cell>
          <cell r="M708" t="e">
            <v>#N/A</v>
          </cell>
          <cell r="N708" t="e">
            <v>#N/A</v>
          </cell>
          <cell r="O708" t="e">
            <v>#N/A</v>
          </cell>
          <cell r="P708">
            <v>14.52</v>
          </cell>
          <cell r="Q708" t="str">
            <v/>
          </cell>
          <cell r="R708" t="e">
            <v>#N/A</v>
          </cell>
        </row>
        <row r="709">
          <cell r="A709">
            <v>40995</v>
          </cell>
          <cell r="B709">
            <v>40995</v>
          </cell>
          <cell r="C709" t="str">
            <v>Future</v>
          </cell>
          <cell r="D709" t="e">
            <v>#N/A</v>
          </cell>
          <cell r="E709">
            <v>6.0391891891891571</v>
          </cell>
          <cell r="F709">
            <v>16.17432432432442</v>
          </cell>
          <cell r="G709">
            <v>14.147297297297316</v>
          </cell>
          <cell r="H709">
            <v>14.147297297297316</v>
          </cell>
          <cell r="I709" t="e">
            <v>#N/A</v>
          </cell>
          <cell r="J709" t="e">
            <v>#N/A</v>
          </cell>
          <cell r="K709" t="e">
            <v>#N/A</v>
          </cell>
          <cell r="L709" t="e">
            <v>#N/A</v>
          </cell>
          <cell r="M709" t="e">
            <v>#N/A</v>
          </cell>
          <cell r="N709" t="e">
            <v>#N/A</v>
          </cell>
          <cell r="O709" t="e">
            <v>#N/A</v>
          </cell>
          <cell r="P709">
            <v>14.52</v>
          </cell>
          <cell r="Q709" t="str">
            <v/>
          </cell>
          <cell r="R709" t="e">
            <v>#N/A</v>
          </cell>
        </row>
        <row r="710">
          <cell r="A710">
            <v>40996</v>
          </cell>
          <cell r="B710">
            <v>40996</v>
          </cell>
          <cell r="C710" t="str">
            <v>Future</v>
          </cell>
          <cell r="D710" t="e">
            <v>#N/A</v>
          </cell>
          <cell r="E710">
            <v>5.9837837837837515</v>
          </cell>
          <cell r="F710">
            <v>16.186486486486583</v>
          </cell>
          <cell r="G710">
            <v>14.145945945945964</v>
          </cell>
          <cell r="H710">
            <v>14.145945945945964</v>
          </cell>
          <cell r="I710" t="e">
            <v>#N/A</v>
          </cell>
          <cell r="J710" t="e">
            <v>#N/A</v>
          </cell>
          <cell r="K710" t="e">
            <v>#N/A</v>
          </cell>
          <cell r="L710" t="e">
            <v>#N/A</v>
          </cell>
          <cell r="M710" t="e">
            <v>#N/A</v>
          </cell>
          <cell r="N710" t="e">
            <v>#N/A</v>
          </cell>
          <cell r="O710" t="e">
            <v>#N/A</v>
          </cell>
          <cell r="P710">
            <v>14.52</v>
          </cell>
          <cell r="Q710" t="str">
            <v/>
          </cell>
          <cell r="R710" t="e">
            <v>#N/A</v>
          </cell>
        </row>
        <row r="711">
          <cell r="A711">
            <v>40997</v>
          </cell>
          <cell r="B711">
            <v>40997</v>
          </cell>
          <cell r="C711" t="str">
            <v>Future</v>
          </cell>
          <cell r="D711" t="e">
            <v>#N/A</v>
          </cell>
          <cell r="E711">
            <v>5.9283783783783459</v>
          </cell>
          <cell r="F711">
            <v>16.198648648648746</v>
          </cell>
          <cell r="G711">
            <v>14.144594594594613</v>
          </cell>
          <cell r="H711">
            <v>14.144594594594613</v>
          </cell>
          <cell r="I711" t="e">
            <v>#N/A</v>
          </cell>
          <cell r="J711" t="e">
            <v>#N/A</v>
          </cell>
          <cell r="K711" t="e">
            <v>#N/A</v>
          </cell>
          <cell r="L711" t="e">
            <v>#N/A</v>
          </cell>
          <cell r="M711" t="e">
            <v>#N/A</v>
          </cell>
          <cell r="N711" t="e">
            <v>#N/A</v>
          </cell>
          <cell r="O711" t="e">
            <v>#N/A</v>
          </cell>
          <cell r="P711">
            <v>14.52</v>
          </cell>
          <cell r="Q711" t="str">
            <v/>
          </cell>
          <cell r="R711" t="e">
            <v>#N/A</v>
          </cell>
        </row>
        <row r="712">
          <cell r="A712">
            <v>40998</v>
          </cell>
          <cell r="B712">
            <v>40998</v>
          </cell>
          <cell r="C712" t="str">
            <v>Future</v>
          </cell>
          <cell r="D712" t="e">
            <v>#N/A</v>
          </cell>
          <cell r="E712">
            <v>5.8729729729729403</v>
          </cell>
          <cell r="F712">
            <v>16.210810810810909</v>
          </cell>
          <cell r="G712">
            <v>14.143243243243262</v>
          </cell>
          <cell r="H712">
            <v>14.143243243243262</v>
          </cell>
          <cell r="I712" t="e">
            <v>#N/A</v>
          </cell>
          <cell r="J712" t="e">
            <v>#N/A</v>
          </cell>
          <cell r="K712" t="e">
            <v>#N/A</v>
          </cell>
          <cell r="L712" t="e">
            <v>#N/A</v>
          </cell>
          <cell r="M712" t="e">
            <v>#N/A</v>
          </cell>
          <cell r="N712" t="e">
            <v>#N/A</v>
          </cell>
          <cell r="O712" t="e">
            <v>#N/A</v>
          </cell>
          <cell r="P712">
            <v>14.52</v>
          </cell>
          <cell r="Q712" t="str">
            <v/>
          </cell>
          <cell r="R712" t="e">
            <v>#N/A</v>
          </cell>
        </row>
        <row r="713">
          <cell r="A713">
            <v>41001</v>
          </cell>
          <cell r="B713">
            <v>41001</v>
          </cell>
          <cell r="C713" t="str">
            <v>Future</v>
          </cell>
          <cell r="D713" t="e">
            <v>#N/A</v>
          </cell>
          <cell r="E713">
            <v>5.8175675675675347</v>
          </cell>
          <cell r="F713">
            <v>16.222972972973071</v>
          </cell>
          <cell r="G713">
            <v>14.141891891891911</v>
          </cell>
          <cell r="H713">
            <v>14.141891891891911</v>
          </cell>
          <cell r="I713" t="e">
            <v>#N/A</v>
          </cell>
          <cell r="J713" t="e">
            <v>#N/A</v>
          </cell>
          <cell r="K713" t="e">
            <v>#N/A</v>
          </cell>
          <cell r="L713" t="e">
            <v>#N/A</v>
          </cell>
          <cell r="M713" t="e">
            <v>#N/A</v>
          </cell>
          <cell r="N713" t="e">
            <v>#N/A</v>
          </cell>
          <cell r="O713" t="e">
            <v>#N/A</v>
          </cell>
          <cell r="P713">
            <v>14.52</v>
          </cell>
          <cell r="Q713" t="str">
            <v/>
          </cell>
          <cell r="R713" t="e">
            <v>#N/A</v>
          </cell>
        </row>
        <row r="714">
          <cell r="A714">
            <v>41002</v>
          </cell>
          <cell r="B714">
            <v>41002</v>
          </cell>
          <cell r="C714" t="str">
            <v>Future</v>
          </cell>
          <cell r="D714" t="e">
            <v>#N/A</v>
          </cell>
          <cell r="E714">
            <v>5.7621621621621291</v>
          </cell>
          <cell r="F714">
            <v>16.235135135135234</v>
          </cell>
          <cell r="G714">
            <v>14.14054054054056</v>
          </cell>
          <cell r="H714">
            <v>14.14054054054056</v>
          </cell>
          <cell r="I714" t="e">
            <v>#N/A</v>
          </cell>
          <cell r="J714" t="e">
            <v>#N/A</v>
          </cell>
          <cell r="K714" t="e">
            <v>#N/A</v>
          </cell>
          <cell r="L714" t="e">
            <v>#N/A</v>
          </cell>
          <cell r="M714" t="e">
            <v>#N/A</v>
          </cell>
          <cell r="N714" t="e">
            <v>#N/A</v>
          </cell>
          <cell r="O714" t="e">
            <v>#N/A</v>
          </cell>
          <cell r="P714">
            <v>14.52</v>
          </cell>
          <cell r="Q714" t="str">
            <v/>
          </cell>
          <cell r="R714" t="e">
            <v>#N/A</v>
          </cell>
        </row>
        <row r="715">
          <cell r="A715">
            <v>41003</v>
          </cell>
          <cell r="B715">
            <v>41003</v>
          </cell>
          <cell r="C715" t="str">
            <v>Future</v>
          </cell>
          <cell r="D715" t="e">
            <v>#N/A</v>
          </cell>
          <cell r="E715">
            <v>5.7067567567567234</v>
          </cell>
          <cell r="F715">
            <v>16.247297297297397</v>
          </cell>
          <cell r="G715">
            <v>14.139189189189208</v>
          </cell>
          <cell r="H715">
            <v>14.139189189189208</v>
          </cell>
          <cell r="I715" t="e">
            <v>#N/A</v>
          </cell>
          <cell r="J715" t="e">
            <v>#N/A</v>
          </cell>
          <cell r="K715" t="e">
            <v>#N/A</v>
          </cell>
          <cell r="L715" t="e">
            <v>#N/A</v>
          </cell>
          <cell r="M715" t="e">
            <v>#N/A</v>
          </cell>
          <cell r="N715" t="e">
            <v>#N/A</v>
          </cell>
          <cell r="O715" t="e">
            <v>#N/A</v>
          </cell>
          <cell r="P715">
            <v>14.52</v>
          </cell>
          <cell r="Q715" t="str">
            <v/>
          </cell>
          <cell r="R715" t="e">
            <v>#N/A</v>
          </cell>
        </row>
        <row r="716">
          <cell r="A716">
            <v>41004</v>
          </cell>
          <cell r="B716">
            <v>41004</v>
          </cell>
          <cell r="C716" t="str">
            <v>Future</v>
          </cell>
          <cell r="D716" t="e">
            <v>#N/A</v>
          </cell>
          <cell r="E716">
            <v>5.6513513513513178</v>
          </cell>
          <cell r="F716">
            <v>16.25945945945956</v>
          </cell>
          <cell r="G716">
            <v>14.137837837837857</v>
          </cell>
          <cell r="H716">
            <v>14.137837837837857</v>
          </cell>
          <cell r="I716" t="e">
            <v>#N/A</v>
          </cell>
          <cell r="J716" t="e">
            <v>#N/A</v>
          </cell>
          <cell r="K716" t="e">
            <v>#N/A</v>
          </cell>
          <cell r="L716" t="e">
            <v>#N/A</v>
          </cell>
          <cell r="M716" t="e">
            <v>#N/A</v>
          </cell>
          <cell r="N716" t="e">
            <v>#N/A</v>
          </cell>
          <cell r="O716" t="e">
            <v>#N/A</v>
          </cell>
          <cell r="P716">
            <v>14.52</v>
          </cell>
          <cell r="Q716" t="str">
            <v/>
          </cell>
          <cell r="R716" t="e">
            <v>#N/A</v>
          </cell>
        </row>
        <row r="717">
          <cell r="A717">
            <v>41005</v>
          </cell>
          <cell r="B717">
            <v>41005</v>
          </cell>
          <cell r="C717" t="str">
            <v>Future</v>
          </cell>
          <cell r="D717" t="e">
            <v>#N/A</v>
          </cell>
          <cell r="E717">
            <v>5.5959459459459122</v>
          </cell>
          <cell r="F717">
            <v>16.271621621621723</v>
          </cell>
          <cell r="G717">
            <v>14.136486486486506</v>
          </cell>
          <cell r="H717">
            <v>14.136486486486506</v>
          </cell>
          <cell r="I717" t="e">
            <v>#N/A</v>
          </cell>
          <cell r="J717" t="e">
            <v>#N/A</v>
          </cell>
          <cell r="K717" t="e">
            <v>#N/A</v>
          </cell>
          <cell r="L717" t="e">
            <v>#N/A</v>
          </cell>
          <cell r="M717" t="e">
            <v>#N/A</v>
          </cell>
          <cell r="N717" t="e">
            <v>#N/A</v>
          </cell>
          <cell r="O717" t="e">
            <v>#N/A</v>
          </cell>
          <cell r="P717">
            <v>14.52</v>
          </cell>
          <cell r="Q717" t="str">
            <v/>
          </cell>
          <cell r="R717" t="e">
            <v>#N/A</v>
          </cell>
        </row>
        <row r="718">
          <cell r="A718">
            <v>41008</v>
          </cell>
          <cell r="B718">
            <v>41008</v>
          </cell>
          <cell r="C718" t="str">
            <v>Future</v>
          </cell>
          <cell r="D718" t="e">
            <v>#N/A</v>
          </cell>
          <cell r="E718">
            <v>5.5405405405405066</v>
          </cell>
          <cell r="F718">
            <v>16.283783783783885</v>
          </cell>
          <cell r="G718">
            <v>14.135135135135155</v>
          </cell>
          <cell r="H718">
            <v>14.135135135135155</v>
          </cell>
          <cell r="I718" t="e">
            <v>#N/A</v>
          </cell>
          <cell r="J718" t="e">
            <v>#N/A</v>
          </cell>
          <cell r="K718" t="e">
            <v>#N/A</v>
          </cell>
          <cell r="L718" t="e">
            <v>#N/A</v>
          </cell>
          <cell r="M718" t="e">
            <v>#N/A</v>
          </cell>
          <cell r="N718" t="e">
            <v>#N/A</v>
          </cell>
          <cell r="O718" t="e">
            <v>#N/A</v>
          </cell>
          <cell r="P718">
            <v>14.52</v>
          </cell>
          <cell r="Q718" t="str">
            <v/>
          </cell>
          <cell r="R718" t="e">
            <v>#N/A</v>
          </cell>
        </row>
        <row r="719">
          <cell r="A719">
            <v>41009</v>
          </cell>
          <cell r="B719">
            <v>41009</v>
          </cell>
          <cell r="C719" t="str">
            <v>Future</v>
          </cell>
          <cell r="D719" t="e">
            <v>#N/A</v>
          </cell>
          <cell r="E719">
            <v>5.485135135135101</v>
          </cell>
          <cell r="F719">
            <v>16.295945945946048</v>
          </cell>
          <cell r="G719">
            <v>14.133783783783803</v>
          </cell>
          <cell r="H719">
            <v>14.133783783783803</v>
          </cell>
          <cell r="I719" t="e">
            <v>#N/A</v>
          </cell>
          <cell r="J719" t="e">
            <v>#N/A</v>
          </cell>
          <cell r="K719" t="e">
            <v>#N/A</v>
          </cell>
          <cell r="L719" t="e">
            <v>#N/A</v>
          </cell>
          <cell r="M719" t="e">
            <v>#N/A</v>
          </cell>
          <cell r="N719" t="e">
            <v>#N/A</v>
          </cell>
          <cell r="O719" t="e">
            <v>#N/A</v>
          </cell>
          <cell r="P719">
            <v>14.52</v>
          </cell>
          <cell r="Q719" t="str">
            <v/>
          </cell>
          <cell r="R719" t="e">
            <v>#N/A</v>
          </cell>
        </row>
        <row r="720">
          <cell r="A720">
            <v>41010</v>
          </cell>
          <cell r="B720">
            <v>41010</v>
          </cell>
          <cell r="C720" t="str">
            <v>Future</v>
          </cell>
          <cell r="D720" t="e">
            <v>#N/A</v>
          </cell>
          <cell r="E720">
            <v>5.4297297297296954</v>
          </cell>
          <cell r="F720">
            <v>16.308108108108211</v>
          </cell>
          <cell r="G720">
            <v>14.132432432432452</v>
          </cell>
          <cell r="H720">
            <v>14.132432432432452</v>
          </cell>
          <cell r="I720" t="e">
            <v>#N/A</v>
          </cell>
          <cell r="J720" t="e">
            <v>#N/A</v>
          </cell>
          <cell r="K720" t="e">
            <v>#N/A</v>
          </cell>
          <cell r="L720" t="e">
            <v>#N/A</v>
          </cell>
          <cell r="M720" t="e">
            <v>#N/A</v>
          </cell>
          <cell r="N720" t="e">
            <v>#N/A</v>
          </cell>
          <cell r="O720" t="e">
            <v>#N/A</v>
          </cell>
          <cell r="P720">
            <v>14.52</v>
          </cell>
          <cell r="Q720" t="str">
            <v/>
          </cell>
          <cell r="R720" t="e">
            <v>#N/A</v>
          </cell>
        </row>
        <row r="721">
          <cell r="A721">
            <v>41011</v>
          </cell>
          <cell r="B721">
            <v>41011</v>
          </cell>
          <cell r="C721" t="str">
            <v>Future</v>
          </cell>
          <cell r="D721" t="e">
            <v>#N/A</v>
          </cell>
          <cell r="E721">
            <v>5.3743243243242897</v>
          </cell>
          <cell r="F721">
            <v>16.320270270270374</v>
          </cell>
          <cell r="G721">
            <v>14.131081081081101</v>
          </cell>
          <cell r="H721">
            <v>14.131081081081101</v>
          </cell>
          <cell r="I721" t="e">
            <v>#N/A</v>
          </cell>
          <cell r="J721" t="e">
            <v>#N/A</v>
          </cell>
          <cell r="K721" t="e">
            <v>#N/A</v>
          </cell>
          <cell r="L721" t="e">
            <v>#N/A</v>
          </cell>
          <cell r="M721" t="e">
            <v>#N/A</v>
          </cell>
          <cell r="N721" t="e">
            <v>#N/A</v>
          </cell>
          <cell r="O721" t="e">
            <v>#N/A</v>
          </cell>
          <cell r="P721">
            <v>14.52</v>
          </cell>
          <cell r="Q721" t="str">
            <v/>
          </cell>
          <cell r="R721" t="e">
            <v>#N/A</v>
          </cell>
        </row>
        <row r="722">
          <cell r="A722">
            <v>41012</v>
          </cell>
          <cell r="B722">
            <v>41012</v>
          </cell>
          <cell r="C722" t="str">
            <v>Future</v>
          </cell>
          <cell r="D722" t="e">
            <v>#N/A</v>
          </cell>
          <cell r="E722">
            <v>5.3189189189188841</v>
          </cell>
          <cell r="F722">
            <v>16.332432432432537</v>
          </cell>
          <cell r="G722">
            <v>14.12972972972975</v>
          </cell>
          <cell r="H722">
            <v>14.12972972972975</v>
          </cell>
          <cell r="I722" t="e">
            <v>#N/A</v>
          </cell>
          <cell r="J722" t="e">
            <v>#N/A</v>
          </cell>
          <cell r="K722" t="e">
            <v>#N/A</v>
          </cell>
          <cell r="L722" t="e">
            <v>#N/A</v>
          </cell>
          <cell r="M722" t="e">
            <v>#N/A</v>
          </cell>
          <cell r="N722" t="e">
            <v>#N/A</v>
          </cell>
          <cell r="O722" t="e">
            <v>#N/A</v>
          </cell>
          <cell r="P722">
            <v>14.52</v>
          </cell>
          <cell r="Q722" t="str">
            <v/>
          </cell>
          <cell r="R722" t="e">
            <v>#N/A</v>
          </cell>
        </row>
        <row r="723">
          <cell r="A723">
            <v>41015</v>
          </cell>
          <cell r="B723">
            <v>41015</v>
          </cell>
          <cell r="C723" t="str">
            <v>Future</v>
          </cell>
          <cell r="D723" t="e">
            <v>#N/A</v>
          </cell>
          <cell r="E723">
            <v>5.2635135135134785</v>
          </cell>
          <cell r="F723">
            <v>16.3445945945947</v>
          </cell>
          <cell r="G723">
            <v>14.128378378378398</v>
          </cell>
          <cell r="H723">
            <v>14.128378378378398</v>
          </cell>
          <cell r="I723" t="e">
            <v>#N/A</v>
          </cell>
          <cell r="J723" t="e">
            <v>#N/A</v>
          </cell>
          <cell r="K723" t="e">
            <v>#N/A</v>
          </cell>
          <cell r="L723" t="e">
            <v>#N/A</v>
          </cell>
          <cell r="M723" t="e">
            <v>#N/A</v>
          </cell>
          <cell r="N723" t="e">
            <v>#N/A</v>
          </cell>
          <cell r="O723" t="e">
            <v>#N/A</v>
          </cell>
          <cell r="P723">
            <v>14.52</v>
          </cell>
          <cell r="Q723" t="str">
            <v/>
          </cell>
          <cell r="R723" t="e">
            <v>#N/A</v>
          </cell>
        </row>
        <row r="724">
          <cell r="A724">
            <v>41016</v>
          </cell>
          <cell r="B724">
            <v>41016</v>
          </cell>
          <cell r="C724" t="str">
            <v>Future</v>
          </cell>
          <cell r="D724" t="e">
            <v>#N/A</v>
          </cell>
          <cell r="E724">
            <v>5.2081081081080729</v>
          </cell>
          <cell r="F724">
            <v>16.356756756756862</v>
          </cell>
          <cell r="G724">
            <v>14.127027027027047</v>
          </cell>
          <cell r="H724">
            <v>14.127027027027047</v>
          </cell>
          <cell r="I724" t="e">
            <v>#N/A</v>
          </cell>
          <cell r="J724" t="e">
            <v>#N/A</v>
          </cell>
          <cell r="K724" t="e">
            <v>#N/A</v>
          </cell>
          <cell r="L724" t="e">
            <v>#N/A</v>
          </cell>
          <cell r="M724" t="e">
            <v>#N/A</v>
          </cell>
          <cell r="N724" t="e">
            <v>#N/A</v>
          </cell>
          <cell r="O724" t="e">
            <v>#N/A</v>
          </cell>
          <cell r="P724">
            <v>14.52</v>
          </cell>
          <cell r="Q724" t="str">
            <v/>
          </cell>
          <cell r="R724" t="e">
            <v>#N/A</v>
          </cell>
        </row>
        <row r="725">
          <cell r="A725">
            <v>41017</v>
          </cell>
          <cell r="B725">
            <v>41017</v>
          </cell>
          <cell r="C725" t="str">
            <v>Future</v>
          </cell>
          <cell r="D725" t="e">
            <v>#N/A</v>
          </cell>
          <cell r="E725">
            <v>5.1527027027026673</v>
          </cell>
          <cell r="F725">
            <v>16.368918918919025</v>
          </cell>
          <cell r="G725">
            <v>14.125675675675696</v>
          </cell>
          <cell r="H725">
            <v>14.125675675675696</v>
          </cell>
          <cell r="I725" t="e">
            <v>#N/A</v>
          </cell>
          <cell r="J725" t="e">
            <v>#N/A</v>
          </cell>
          <cell r="K725" t="e">
            <v>#N/A</v>
          </cell>
          <cell r="L725" t="e">
            <v>#N/A</v>
          </cell>
          <cell r="M725" t="e">
            <v>#N/A</v>
          </cell>
          <cell r="N725" t="e">
            <v>#N/A</v>
          </cell>
          <cell r="O725" t="e">
            <v>#N/A</v>
          </cell>
          <cell r="P725">
            <v>14.52</v>
          </cell>
          <cell r="Q725" t="str">
            <v/>
          </cell>
          <cell r="R725" t="e">
            <v>#N/A</v>
          </cell>
        </row>
        <row r="726">
          <cell r="A726">
            <v>41018</v>
          </cell>
          <cell r="B726">
            <v>41018</v>
          </cell>
          <cell r="C726" t="str">
            <v>Future</v>
          </cell>
          <cell r="D726" t="e">
            <v>#N/A</v>
          </cell>
          <cell r="E726">
            <v>5.0972972972972617</v>
          </cell>
          <cell r="F726">
            <v>16.381081081081188</v>
          </cell>
          <cell r="G726">
            <v>14.124324324324345</v>
          </cell>
          <cell r="H726">
            <v>14.124324324324345</v>
          </cell>
          <cell r="I726" t="e">
            <v>#N/A</v>
          </cell>
          <cell r="J726" t="e">
            <v>#N/A</v>
          </cell>
          <cell r="K726" t="e">
            <v>#N/A</v>
          </cell>
          <cell r="L726" t="e">
            <v>#N/A</v>
          </cell>
          <cell r="M726" t="e">
            <v>#N/A</v>
          </cell>
          <cell r="N726" t="e">
            <v>#N/A</v>
          </cell>
          <cell r="O726" t="e">
            <v>#N/A</v>
          </cell>
          <cell r="P726">
            <v>14.52</v>
          </cell>
          <cell r="Q726" t="str">
            <v/>
          </cell>
          <cell r="R726" t="e">
            <v>#N/A</v>
          </cell>
        </row>
        <row r="727">
          <cell r="A727">
            <v>41019</v>
          </cell>
          <cell r="B727">
            <v>41019</v>
          </cell>
          <cell r="C727" t="str">
            <v>Future</v>
          </cell>
          <cell r="D727" t="e">
            <v>#N/A</v>
          </cell>
          <cell r="E727">
            <v>5.041891891891856</v>
          </cell>
          <cell r="F727">
            <v>16.393243243243351</v>
          </cell>
          <cell r="G727">
            <v>14.122972972972994</v>
          </cell>
          <cell r="H727">
            <v>14.122972972972994</v>
          </cell>
          <cell r="I727" t="e">
            <v>#N/A</v>
          </cell>
          <cell r="J727" t="e">
            <v>#N/A</v>
          </cell>
          <cell r="K727" t="e">
            <v>#N/A</v>
          </cell>
          <cell r="L727" t="e">
            <v>#N/A</v>
          </cell>
          <cell r="M727" t="e">
            <v>#N/A</v>
          </cell>
          <cell r="N727" t="e">
            <v>#N/A</v>
          </cell>
          <cell r="O727" t="e">
            <v>#N/A</v>
          </cell>
          <cell r="P727">
            <v>14.52</v>
          </cell>
          <cell r="Q727" t="str">
            <v/>
          </cell>
          <cell r="R727" t="e">
            <v>#N/A</v>
          </cell>
        </row>
        <row r="728">
          <cell r="A728">
            <v>41022</v>
          </cell>
          <cell r="B728">
            <v>41022</v>
          </cell>
          <cell r="C728" t="str">
            <v>Future</v>
          </cell>
          <cell r="D728" t="e">
            <v>#N/A</v>
          </cell>
          <cell r="E728">
            <v>4.9864864864864504</v>
          </cell>
          <cell r="F728">
            <v>16.405405405405514</v>
          </cell>
          <cell r="G728">
            <v>14.121621621621642</v>
          </cell>
          <cell r="H728">
            <v>14.121621621621642</v>
          </cell>
          <cell r="I728" t="e">
            <v>#N/A</v>
          </cell>
          <cell r="J728" t="e">
            <v>#N/A</v>
          </cell>
          <cell r="K728" t="e">
            <v>#N/A</v>
          </cell>
          <cell r="L728" t="e">
            <v>#N/A</v>
          </cell>
          <cell r="M728" t="e">
            <v>#N/A</v>
          </cell>
          <cell r="N728" t="e">
            <v>#N/A</v>
          </cell>
          <cell r="O728" t="e">
            <v>#N/A</v>
          </cell>
          <cell r="P728">
            <v>14.52</v>
          </cell>
          <cell r="Q728" t="str">
            <v/>
          </cell>
          <cell r="R728" t="e">
            <v>#N/A</v>
          </cell>
        </row>
        <row r="729">
          <cell r="A729">
            <v>41023</v>
          </cell>
          <cell r="B729">
            <v>41023</v>
          </cell>
          <cell r="C729" t="str">
            <v>Future</v>
          </cell>
          <cell r="D729" t="e">
            <v>#N/A</v>
          </cell>
          <cell r="E729">
            <v>4.9310810810810448</v>
          </cell>
          <cell r="F729">
            <v>16.417567567567676</v>
          </cell>
          <cell r="G729">
            <v>14.120270270270291</v>
          </cell>
          <cell r="H729">
            <v>14.120270270270291</v>
          </cell>
          <cell r="I729" t="e">
            <v>#N/A</v>
          </cell>
          <cell r="J729" t="e">
            <v>#N/A</v>
          </cell>
          <cell r="K729" t="e">
            <v>#N/A</v>
          </cell>
          <cell r="L729" t="e">
            <v>#N/A</v>
          </cell>
          <cell r="M729" t="e">
            <v>#N/A</v>
          </cell>
          <cell r="N729" t="e">
            <v>#N/A</v>
          </cell>
          <cell r="O729" t="e">
            <v>#N/A</v>
          </cell>
          <cell r="P729">
            <v>14.52</v>
          </cell>
          <cell r="Q729" t="str">
            <v/>
          </cell>
          <cell r="R729" t="e">
            <v>#N/A</v>
          </cell>
        </row>
        <row r="730">
          <cell r="A730">
            <v>41024</v>
          </cell>
          <cell r="B730">
            <v>41024</v>
          </cell>
          <cell r="C730" t="str">
            <v>Future</v>
          </cell>
          <cell r="D730" t="e">
            <v>#N/A</v>
          </cell>
          <cell r="E730">
            <v>4.8756756756756392</v>
          </cell>
          <cell r="F730">
            <v>16.429729729729839</v>
          </cell>
          <cell r="G730">
            <v>14.11891891891894</v>
          </cell>
          <cell r="H730">
            <v>14.11891891891894</v>
          </cell>
          <cell r="I730" t="e">
            <v>#N/A</v>
          </cell>
          <cell r="J730" t="e">
            <v>#N/A</v>
          </cell>
          <cell r="K730" t="e">
            <v>#N/A</v>
          </cell>
          <cell r="L730" t="e">
            <v>#N/A</v>
          </cell>
          <cell r="M730" t="e">
            <v>#N/A</v>
          </cell>
          <cell r="N730" t="e">
            <v>#N/A</v>
          </cell>
          <cell r="O730" t="e">
            <v>#N/A</v>
          </cell>
          <cell r="P730">
            <v>14.52</v>
          </cell>
          <cell r="Q730" t="str">
            <v/>
          </cell>
          <cell r="R730" t="e">
            <v>#N/A</v>
          </cell>
        </row>
        <row r="731">
          <cell r="A731">
            <v>41025</v>
          </cell>
          <cell r="B731">
            <v>41025</v>
          </cell>
          <cell r="C731" t="str">
            <v>Future</v>
          </cell>
          <cell r="D731" t="e">
            <v>#N/A</v>
          </cell>
          <cell r="E731">
            <v>4.8202702702702336</v>
          </cell>
          <cell r="F731">
            <v>16.441891891892002</v>
          </cell>
          <cell r="G731">
            <v>14.117567567567589</v>
          </cell>
          <cell r="H731">
            <v>14.117567567567589</v>
          </cell>
          <cell r="I731" t="e">
            <v>#N/A</v>
          </cell>
          <cell r="J731" t="e">
            <v>#N/A</v>
          </cell>
          <cell r="K731" t="e">
            <v>#N/A</v>
          </cell>
          <cell r="L731" t="e">
            <v>#N/A</v>
          </cell>
          <cell r="M731" t="e">
            <v>#N/A</v>
          </cell>
          <cell r="N731" t="e">
            <v>#N/A</v>
          </cell>
          <cell r="O731" t="e">
            <v>#N/A</v>
          </cell>
          <cell r="P731">
            <v>14.52</v>
          </cell>
          <cell r="Q731" t="str">
            <v/>
          </cell>
          <cell r="R731" t="e">
            <v>#N/A</v>
          </cell>
        </row>
        <row r="732">
          <cell r="A732">
            <v>41026</v>
          </cell>
          <cell r="B732">
            <v>41026</v>
          </cell>
          <cell r="C732" t="str">
            <v>Future</v>
          </cell>
          <cell r="D732" t="e">
            <v>#N/A</v>
          </cell>
          <cell r="E732">
            <v>4.764864864864828</v>
          </cell>
          <cell r="F732">
            <v>16.454054054054165</v>
          </cell>
          <cell r="G732">
            <v>14.116216216216237</v>
          </cell>
          <cell r="H732">
            <v>14.116216216216237</v>
          </cell>
          <cell r="I732" t="e">
            <v>#N/A</v>
          </cell>
          <cell r="J732" t="e">
            <v>#N/A</v>
          </cell>
          <cell r="K732" t="e">
            <v>#N/A</v>
          </cell>
          <cell r="L732" t="e">
            <v>#N/A</v>
          </cell>
          <cell r="M732" t="e">
            <v>#N/A</v>
          </cell>
          <cell r="N732" t="e">
            <v>#N/A</v>
          </cell>
          <cell r="O732" t="e">
            <v>#N/A</v>
          </cell>
          <cell r="P732">
            <v>14.52</v>
          </cell>
          <cell r="Q732" t="str">
            <v/>
          </cell>
          <cell r="R732" t="e">
            <v>#N/A</v>
          </cell>
        </row>
        <row r="733">
          <cell r="A733">
            <v>41029</v>
          </cell>
          <cell r="B733">
            <v>41029</v>
          </cell>
          <cell r="C733" t="str">
            <v>Future</v>
          </cell>
          <cell r="D733" t="e">
            <v>#N/A</v>
          </cell>
          <cell r="E733">
            <v>4.7094594594594223</v>
          </cell>
          <cell r="F733">
            <v>16.466216216216328</v>
          </cell>
          <cell r="G733">
            <v>14.114864864864886</v>
          </cell>
          <cell r="H733">
            <v>14.114864864864886</v>
          </cell>
          <cell r="I733" t="e">
            <v>#N/A</v>
          </cell>
          <cell r="J733" t="e">
            <v>#N/A</v>
          </cell>
          <cell r="K733" t="e">
            <v>#N/A</v>
          </cell>
          <cell r="L733" t="e">
            <v>#N/A</v>
          </cell>
          <cell r="M733" t="e">
            <v>#N/A</v>
          </cell>
          <cell r="N733" t="e">
            <v>#N/A</v>
          </cell>
          <cell r="O733" t="e">
            <v>#N/A</v>
          </cell>
          <cell r="P733">
            <v>14.52</v>
          </cell>
          <cell r="Q733" t="str">
            <v/>
          </cell>
          <cell r="R733" t="e">
            <v>#N/A</v>
          </cell>
        </row>
        <row r="734">
          <cell r="A734">
            <v>41030</v>
          </cell>
          <cell r="B734">
            <v>41030</v>
          </cell>
          <cell r="C734" t="str">
            <v>Future</v>
          </cell>
          <cell r="D734" t="e">
            <v>#N/A</v>
          </cell>
          <cell r="E734">
            <v>4.6540540540540167</v>
          </cell>
          <cell r="F734">
            <v>16.478378378378491</v>
          </cell>
          <cell r="G734">
            <v>14.113513513513535</v>
          </cell>
          <cell r="H734">
            <v>14.113513513513535</v>
          </cell>
          <cell r="I734" t="e">
            <v>#N/A</v>
          </cell>
          <cell r="J734" t="e">
            <v>#N/A</v>
          </cell>
          <cell r="K734" t="e">
            <v>#N/A</v>
          </cell>
          <cell r="L734" t="e">
            <v>#N/A</v>
          </cell>
          <cell r="M734" t="e">
            <v>#N/A</v>
          </cell>
          <cell r="N734" t="e">
            <v>#N/A</v>
          </cell>
          <cell r="O734" t="e">
            <v>#N/A</v>
          </cell>
          <cell r="P734">
            <v>14.52</v>
          </cell>
          <cell r="Q734" t="str">
            <v/>
          </cell>
          <cell r="R734" t="e">
            <v>#N/A</v>
          </cell>
        </row>
        <row r="735">
          <cell r="A735">
            <v>41031</v>
          </cell>
          <cell r="B735">
            <v>41031</v>
          </cell>
          <cell r="C735" t="str">
            <v>Future</v>
          </cell>
          <cell r="D735" t="e">
            <v>#N/A</v>
          </cell>
          <cell r="E735">
            <v>4.5986486486486111</v>
          </cell>
          <cell r="F735">
            <v>16.490540540540653</v>
          </cell>
          <cell r="G735">
            <v>14.112162162162184</v>
          </cell>
          <cell r="H735">
            <v>14.112162162162184</v>
          </cell>
          <cell r="I735" t="e">
            <v>#N/A</v>
          </cell>
          <cell r="J735" t="e">
            <v>#N/A</v>
          </cell>
          <cell r="K735" t="e">
            <v>#N/A</v>
          </cell>
          <cell r="L735" t="e">
            <v>#N/A</v>
          </cell>
          <cell r="M735" t="e">
            <v>#N/A</v>
          </cell>
          <cell r="N735" t="e">
            <v>#N/A</v>
          </cell>
          <cell r="O735" t="e">
            <v>#N/A</v>
          </cell>
          <cell r="P735">
            <v>14.52</v>
          </cell>
          <cell r="Q735" t="str">
            <v/>
          </cell>
          <cell r="R735" t="e">
            <v>#N/A</v>
          </cell>
        </row>
        <row r="736">
          <cell r="A736">
            <v>41032</v>
          </cell>
          <cell r="B736">
            <v>41032</v>
          </cell>
          <cell r="C736" t="str">
            <v>Future</v>
          </cell>
          <cell r="D736" t="e">
            <v>#N/A</v>
          </cell>
          <cell r="E736">
            <v>4.5432432432432055</v>
          </cell>
          <cell r="F736">
            <v>16.502702702702816</v>
          </cell>
          <cell r="G736">
            <v>14.110810810810833</v>
          </cell>
          <cell r="H736">
            <v>14.110810810810833</v>
          </cell>
          <cell r="I736" t="e">
            <v>#N/A</v>
          </cell>
          <cell r="J736" t="e">
            <v>#N/A</v>
          </cell>
          <cell r="K736" t="e">
            <v>#N/A</v>
          </cell>
          <cell r="L736" t="e">
            <v>#N/A</v>
          </cell>
          <cell r="M736" t="e">
            <v>#N/A</v>
          </cell>
          <cell r="N736" t="e">
            <v>#N/A</v>
          </cell>
          <cell r="O736" t="e">
            <v>#N/A</v>
          </cell>
          <cell r="P736">
            <v>14.52</v>
          </cell>
          <cell r="Q736" t="str">
            <v/>
          </cell>
          <cell r="R736" t="e">
            <v>#N/A</v>
          </cell>
        </row>
        <row r="737">
          <cell r="A737">
            <v>41033</v>
          </cell>
          <cell r="B737">
            <v>41033</v>
          </cell>
          <cell r="C737" t="str">
            <v>Future</v>
          </cell>
          <cell r="D737" t="e">
            <v>#N/A</v>
          </cell>
          <cell r="E737">
            <v>4.4878378378377999</v>
          </cell>
          <cell r="F737">
            <v>16.514864864864979</v>
          </cell>
          <cell r="G737">
            <v>14.109459459459481</v>
          </cell>
          <cell r="H737">
            <v>14.109459459459481</v>
          </cell>
          <cell r="I737" t="e">
            <v>#N/A</v>
          </cell>
          <cell r="J737" t="e">
            <v>#N/A</v>
          </cell>
          <cell r="K737" t="e">
            <v>#N/A</v>
          </cell>
          <cell r="L737" t="e">
            <v>#N/A</v>
          </cell>
          <cell r="M737" t="e">
            <v>#N/A</v>
          </cell>
          <cell r="N737" t="e">
            <v>#N/A</v>
          </cell>
          <cell r="O737" t="e">
            <v>#N/A</v>
          </cell>
          <cell r="P737">
            <v>14.52</v>
          </cell>
          <cell r="Q737" t="str">
            <v/>
          </cell>
          <cell r="R737" t="e">
            <v>#N/A</v>
          </cell>
        </row>
        <row r="738">
          <cell r="A738">
            <v>41036</v>
          </cell>
          <cell r="B738">
            <v>41036</v>
          </cell>
          <cell r="C738" t="str">
            <v>Future</v>
          </cell>
          <cell r="D738" t="e">
            <v>#N/A</v>
          </cell>
          <cell r="E738">
            <v>4.4324324324323943</v>
          </cell>
          <cell r="F738">
            <v>16.527027027027142</v>
          </cell>
          <cell r="G738">
            <v>14.10810810810813</v>
          </cell>
          <cell r="H738">
            <v>14.10810810810813</v>
          </cell>
          <cell r="I738" t="e">
            <v>#N/A</v>
          </cell>
          <cell r="J738" t="e">
            <v>#N/A</v>
          </cell>
          <cell r="K738" t="e">
            <v>#N/A</v>
          </cell>
          <cell r="L738" t="e">
            <v>#N/A</v>
          </cell>
          <cell r="M738" t="e">
            <v>#N/A</v>
          </cell>
          <cell r="N738" t="e">
            <v>#N/A</v>
          </cell>
          <cell r="O738" t="e">
            <v>#N/A</v>
          </cell>
          <cell r="P738">
            <v>14.52</v>
          </cell>
          <cell r="Q738" t="str">
            <v/>
          </cell>
          <cell r="R738" t="e">
            <v>#N/A</v>
          </cell>
        </row>
        <row r="739">
          <cell r="A739">
            <v>41037</v>
          </cell>
          <cell r="B739">
            <v>41037</v>
          </cell>
          <cell r="C739" t="str">
            <v>Future</v>
          </cell>
          <cell r="D739" t="e">
            <v>#N/A</v>
          </cell>
          <cell r="E739">
            <v>4.3770270270269886</v>
          </cell>
          <cell r="F739">
            <v>16.539189189189305</v>
          </cell>
          <cell r="G739">
            <v>14.106756756756779</v>
          </cell>
          <cell r="H739">
            <v>14.106756756756779</v>
          </cell>
          <cell r="I739" t="e">
            <v>#N/A</v>
          </cell>
          <cell r="J739" t="e">
            <v>#N/A</v>
          </cell>
          <cell r="K739" t="e">
            <v>#N/A</v>
          </cell>
          <cell r="L739" t="e">
            <v>#N/A</v>
          </cell>
          <cell r="M739" t="e">
            <v>#N/A</v>
          </cell>
          <cell r="N739" t="e">
            <v>#N/A</v>
          </cell>
          <cell r="O739" t="e">
            <v>#N/A</v>
          </cell>
          <cell r="P739">
            <v>14.52</v>
          </cell>
          <cell r="Q739" t="str">
            <v/>
          </cell>
          <cell r="R739" t="e">
            <v>#N/A</v>
          </cell>
        </row>
        <row r="740">
          <cell r="A740">
            <v>41038</v>
          </cell>
          <cell r="B740">
            <v>41038</v>
          </cell>
          <cell r="C740" t="str">
            <v>Future</v>
          </cell>
          <cell r="D740" t="e">
            <v>#N/A</v>
          </cell>
          <cell r="E740">
            <v>4.321621621621583</v>
          </cell>
          <cell r="F740">
            <v>16.551351351351467</v>
          </cell>
          <cell r="G740">
            <v>14.105405405405428</v>
          </cell>
          <cell r="H740">
            <v>14.105405405405428</v>
          </cell>
          <cell r="I740" t="e">
            <v>#N/A</v>
          </cell>
          <cell r="J740" t="e">
            <v>#N/A</v>
          </cell>
          <cell r="K740" t="e">
            <v>#N/A</v>
          </cell>
          <cell r="L740" t="e">
            <v>#N/A</v>
          </cell>
          <cell r="M740" t="e">
            <v>#N/A</v>
          </cell>
          <cell r="N740" t="e">
            <v>#N/A</v>
          </cell>
          <cell r="O740" t="e">
            <v>#N/A</v>
          </cell>
          <cell r="P740">
            <v>14.52</v>
          </cell>
          <cell r="Q740" t="str">
            <v/>
          </cell>
          <cell r="R740" t="e">
            <v>#N/A</v>
          </cell>
        </row>
        <row r="741">
          <cell r="A741">
            <v>41039</v>
          </cell>
          <cell r="B741">
            <v>41039</v>
          </cell>
          <cell r="C741" t="str">
            <v>Future</v>
          </cell>
          <cell r="D741" t="e">
            <v>#N/A</v>
          </cell>
          <cell r="E741">
            <v>4.2662162162161774</v>
          </cell>
          <cell r="F741">
            <v>16.56351351351363</v>
          </cell>
          <cell r="G741">
            <v>14.104054054054076</v>
          </cell>
          <cell r="H741">
            <v>14.104054054054076</v>
          </cell>
          <cell r="I741" t="e">
            <v>#N/A</v>
          </cell>
          <cell r="J741" t="e">
            <v>#N/A</v>
          </cell>
          <cell r="K741" t="e">
            <v>#N/A</v>
          </cell>
          <cell r="L741" t="e">
            <v>#N/A</v>
          </cell>
          <cell r="M741" t="e">
            <v>#N/A</v>
          </cell>
          <cell r="N741" t="e">
            <v>#N/A</v>
          </cell>
          <cell r="O741" t="e">
            <v>#N/A</v>
          </cell>
          <cell r="P741">
            <v>14.52</v>
          </cell>
          <cell r="Q741" t="str">
            <v/>
          </cell>
          <cell r="R741" t="e">
            <v>#N/A</v>
          </cell>
        </row>
        <row r="742">
          <cell r="A742">
            <v>41040</v>
          </cell>
          <cell r="B742">
            <v>41040</v>
          </cell>
          <cell r="C742" t="str">
            <v>Future</v>
          </cell>
          <cell r="D742" t="e">
            <v>#N/A</v>
          </cell>
          <cell r="E742">
            <v>4.2108108108107718</v>
          </cell>
          <cell r="F742">
            <v>16.575675675675793</v>
          </cell>
          <cell r="G742">
            <v>14.102702702702725</v>
          </cell>
          <cell r="H742">
            <v>14.102702702702725</v>
          </cell>
          <cell r="I742" t="e">
            <v>#N/A</v>
          </cell>
          <cell r="J742" t="e">
            <v>#N/A</v>
          </cell>
          <cell r="K742" t="e">
            <v>#N/A</v>
          </cell>
          <cell r="L742" t="e">
            <v>#N/A</v>
          </cell>
          <cell r="M742" t="e">
            <v>#N/A</v>
          </cell>
          <cell r="N742" t="e">
            <v>#N/A</v>
          </cell>
          <cell r="O742" t="e">
            <v>#N/A</v>
          </cell>
          <cell r="P742">
            <v>14.52</v>
          </cell>
          <cell r="Q742" t="str">
            <v/>
          </cell>
          <cell r="R742" t="e">
            <v>#N/A</v>
          </cell>
        </row>
        <row r="743">
          <cell r="A743">
            <v>41043</v>
          </cell>
          <cell r="B743">
            <v>41043</v>
          </cell>
          <cell r="C743" t="str">
            <v>Future</v>
          </cell>
          <cell r="D743" t="e">
            <v>#N/A</v>
          </cell>
          <cell r="E743">
            <v>4.1554054054053662</v>
          </cell>
          <cell r="F743">
            <v>16.587837837837956</v>
          </cell>
          <cell r="G743">
            <v>14.101351351351374</v>
          </cell>
          <cell r="H743">
            <v>14.101351351351374</v>
          </cell>
          <cell r="I743" t="e">
            <v>#N/A</v>
          </cell>
          <cell r="J743" t="e">
            <v>#N/A</v>
          </cell>
          <cell r="K743" t="e">
            <v>#N/A</v>
          </cell>
          <cell r="L743" t="e">
            <v>#N/A</v>
          </cell>
          <cell r="M743" t="e">
            <v>#N/A</v>
          </cell>
          <cell r="N743" t="e">
            <v>#N/A</v>
          </cell>
          <cell r="O743" t="e">
            <v>#N/A</v>
          </cell>
          <cell r="P743">
            <v>14.52</v>
          </cell>
          <cell r="Q743" t="str">
            <v/>
          </cell>
          <cell r="R743" t="e">
            <v>#N/A</v>
          </cell>
        </row>
        <row r="744">
          <cell r="A744">
            <v>41044</v>
          </cell>
          <cell r="B744">
            <v>41044</v>
          </cell>
          <cell r="C744" t="str">
            <v>Future</v>
          </cell>
          <cell r="D744" t="e">
            <v>#N/A</v>
          </cell>
          <cell r="E744">
            <v>4.0999999999999606</v>
          </cell>
          <cell r="F744">
            <v>16.600000000000119</v>
          </cell>
          <cell r="G744">
            <v>14.100000000000023</v>
          </cell>
          <cell r="H744">
            <v>14.100000000000023</v>
          </cell>
          <cell r="I744" t="e">
            <v>#N/A</v>
          </cell>
          <cell r="J744" t="e">
            <v>#N/A</v>
          </cell>
          <cell r="K744" t="e">
            <v>#N/A</v>
          </cell>
          <cell r="L744" t="e">
            <v>#N/A</v>
          </cell>
          <cell r="M744" t="e">
            <v>#N/A</v>
          </cell>
          <cell r="N744" t="e">
            <v>#N/A</v>
          </cell>
          <cell r="O744" t="e">
            <v>#N/A</v>
          </cell>
          <cell r="P744">
            <v>14.52</v>
          </cell>
          <cell r="Q744" t="str">
            <v/>
          </cell>
          <cell r="R744" t="e">
            <v>#N/A</v>
          </cell>
        </row>
        <row r="745">
          <cell r="A745">
            <v>41045</v>
          </cell>
          <cell r="B745">
            <v>41045</v>
          </cell>
          <cell r="C745" t="str">
            <v>Future</v>
          </cell>
          <cell r="D745" t="e">
            <v>#N/A</v>
          </cell>
          <cell r="E745">
            <v>4.0445945945945549</v>
          </cell>
          <cell r="F745">
            <v>16.612162162162281</v>
          </cell>
          <cell r="G745">
            <v>14.098648648648672</v>
          </cell>
          <cell r="H745">
            <v>14.098648648648672</v>
          </cell>
          <cell r="I745" t="e">
            <v>#N/A</v>
          </cell>
          <cell r="J745" t="e">
            <v>#N/A</v>
          </cell>
          <cell r="K745" t="e">
            <v>#N/A</v>
          </cell>
          <cell r="L745" t="e">
            <v>#N/A</v>
          </cell>
          <cell r="M745" t="e">
            <v>#N/A</v>
          </cell>
          <cell r="N745" t="e">
            <v>#N/A</v>
          </cell>
          <cell r="O745" t="e">
            <v>#N/A</v>
          </cell>
          <cell r="P745">
            <v>14.52</v>
          </cell>
          <cell r="Q745" t="str">
            <v/>
          </cell>
          <cell r="R745" t="e">
            <v>#N/A</v>
          </cell>
        </row>
        <row r="746">
          <cell r="A746">
            <v>41046</v>
          </cell>
          <cell r="B746">
            <v>41046</v>
          </cell>
          <cell r="C746" t="str">
            <v>Future</v>
          </cell>
          <cell r="D746" t="e">
            <v>#N/A</v>
          </cell>
          <cell r="E746">
            <v>3.9891891891891493</v>
          </cell>
          <cell r="F746">
            <v>16.624324324324444</v>
          </cell>
          <cell r="G746">
            <v>14.09729729729732</v>
          </cell>
          <cell r="H746">
            <v>14.09729729729732</v>
          </cell>
          <cell r="I746" t="e">
            <v>#N/A</v>
          </cell>
          <cell r="J746" t="e">
            <v>#N/A</v>
          </cell>
          <cell r="K746" t="e">
            <v>#N/A</v>
          </cell>
          <cell r="L746" t="e">
            <v>#N/A</v>
          </cell>
          <cell r="M746" t="e">
            <v>#N/A</v>
          </cell>
          <cell r="N746" t="e">
            <v>#N/A</v>
          </cell>
          <cell r="O746" t="e">
            <v>#N/A</v>
          </cell>
          <cell r="P746">
            <v>14.52</v>
          </cell>
          <cell r="Q746" t="str">
            <v/>
          </cell>
          <cell r="R746" t="e">
            <v>#N/A</v>
          </cell>
        </row>
        <row r="747">
          <cell r="A747">
            <v>41047</v>
          </cell>
          <cell r="B747">
            <v>41047</v>
          </cell>
          <cell r="C747" t="str">
            <v>Future</v>
          </cell>
          <cell r="D747" t="e">
            <v>#N/A</v>
          </cell>
          <cell r="E747">
            <v>3.9337837837837437</v>
          </cell>
          <cell r="F747">
            <v>16.636486486486607</v>
          </cell>
          <cell r="G747">
            <v>14.095945945945969</v>
          </cell>
          <cell r="H747">
            <v>14.095945945945969</v>
          </cell>
          <cell r="I747" t="e">
            <v>#N/A</v>
          </cell>
          <cell r="J747" t="e">
            <v>#N/A</v>
          </cell>
          <cell r="K747" t="e">
            <v>#N/A</v>
          </cell>
          <cell r="L747" t="e">
            <v>#N/A</v>
          </cell>
          <cell r="M747" t="e">
            <v>#N/A</v>
          </cell>
          <cell r="N747" t="e">
            <v>#N/A</v>
          </cell>
          <cell r="O747" t="e">
            <v>#N/A</v>
          </cell>
          <cell r="P747">
            <v>14.52</v>
          </cell>
          <cell r="Q747" t="str">
            <v/>
          </cell>
          <cell r="R747" t="e">
            <v>#N/A</v>
          </cell>
        </row>
        <row r="748">
          <cell r="A748">
            <v>41050</v>
          </cell>
          <cell r="B748">
            <v>41050</v>
          </cell>
          <cell r="C748" t="str">
            <v>Future</v>
          </cell>
          <cell r="D748" t="e">
            <v>#N/A</v>
          </cell>
          <cell r="E748">
            <v>3.8783783783783381</v>
          </cell>
          <cell r="F748">
            <v>16.64864864864877</v>
          </cell>
          <cell r="G748">
            <v>14.094594594594618</v>
          </cell>
          <cell r="H748">
            <v>14.094594594594618</v>
          </cell>
          <cell r="I748" t="e">
            <v>#N/A</v>
          </cell>
          <cell r="J748" t="e">
            <v>#N/A</v>
          </cell>
          <cell r="K748" t="e">
            <v>#N/A</v>
          </cell>
          <cell r="L748" t="e">
            <v>#N/A</v>
          </cell>
          <cell r="M748" t="e">
            <v>#N/A</v>
          </cell>
          <cell r="N748" t="e">
            <v>#N/A</v>
          </cell>
          <cell r="O748" t="e">
            <v>#N/A</v>
          </cell>
          <cell r="P748">
            <v>14.52</v>
          </cell>
          <cell r="Q748" t="str">
            <v/>
          </cell>
          <cell r="R748" t="e">
            <v>#N/A</v>
          </cell>
        </row>
        <row r="749">
          <cell r="A749">
            <v>41051</v>
          </cell>
          <cell r="B749">
            <v>41051</v>
          </cell>
          <cell r="C749" t="str">
            <v>Future</v>
          </cell>
          <cell r="D749" t="e">
            <v>#N/A</v>
          </cell>
          <cell r="E749">
            <v>3.8229729729729325</v>
          </cell>
          <cell r="F749">
            <v>16.660810810810933</v>
          </cell>
          <cell r="G749">
            <v>14.093243243243267</v>
          </cell>
          <cell r="H749">
            <v>14.093243243243267</v>
          </cell>
          <cell r="I749" t="e">
            <v>#N/A</v>
          </cell>
          <cell r="J749" t="e">
            <v>#N/A</v>
          </cell>
          <cell r="K749" t="e">
            <v>#N/A</v>
          </cell>
          <cell r="L749" t="e">
            <v>#N/A</v>
          </cell>
          <cell r="M749" t="e">
            <v>#N/A</v>
          </cell>
          <cell r="N749" t="e">
            <v>#N/A</v>
          </cell>
          <cell r="O749" t="e">
            <v>#N/A</v>
          </cell>
          <cell r="P749">
            <v>14.52</v>
          </cell>
          <cell r="Q749" t="str">
            <v/>
          </cell>
          <cell r="R749" t="e">
            <v>#N/A</v>
          </cell>
        </row>
        <row r="750">
          <cell r="A750">
            <v>41052</v>
          </cell>
          <cell r="B750">
            <v>41052</v>
          </cell>
          <cell r="C750" t="str">
            <v>Future</v>
          </cell>
          <cell r="D750" t="e">
            <v>#N/A</v>
          </cell>
          <cell r="E750">
            <v>3.7675675675675269</v>
          </cell>
          <cell r="F750">
            <v>16.672972972973096</v>
          </cell>
          <cell r="G750">
            <v>14.091891891891915</v>
          </cell>
          <cell r="H750">
            <v>14.091891891891915</v>
          </cell>
          <cell r="I750" t="e">
            <v>#N/A</v>
          </cell>
          <cell r="J750" t="e">
            <v>#N/A</v>
          </cell>
          <cell r="K750" t="e">
            <v>#N/A</v>
          </cell>
          <cell r="L750" t="e">
            <v>#N/A</v>
          </cell>
          <cell r="M750" t="e">
            <v>#N/A</v>
          </cell>
          <cell r="N750" t="e">
            <v>#N/A</v>
          </cell>
          <cell r="O750" t="e">
            <v>#N/A</v>
          </cell>
          <cell r="P750">
            <v>14.52</v>
          </cell>
          <cell r="Q750" t="str">
            <v/>
          </cell>
          <cell r="R750" t="e">
            <v>#N/A</v>
          </cell>
        </row>
        <row r="751">
          <cell r="A751">
            <v>41053</v>
          </cell>
          <cell r="B751">
            <v>41053</v>
          </cell>
          <cell r="C751" t="str">
            <v>Future</v>
          </cell>
          <cell r="D751" t="e">
            <v>#N/A</v>
          </cell>
          <cell r="E751">
            <v>3.7121621621621212</v>
          </cell>
          <cell r="F751">
            <v>16.685135135135258</v>
          </cell>
          <cell r="G751">
            <v>14.090540540540564</v>
          </cell>
          <cell r="H751">
            <v>14.090540540540564</v>
          </cell>
          <cell r="I751" t="e">
            <v>#N/A</v>
          </cell>
          <cell r="J751" t="e">
            <v>#N/A</v>
          </cell>
          <cell r="K751" t="e">
            <v>#N/A</v>
          </cell>
          <cell r="L751" t="e">
            <v>#N/A</v>
          </cell>
          <cell r="M751" t="e">
            <v>#N/A</v>
          </cell>
          <cell r="N751" t="e">
            <v>#N/A</v>
          </cell>
          <cell r="O751" t="e">
            <v>#N/A</v>
          </cell>
          <cell r="P751">
            <v>14.52</v>
          </cell>
          <cell r="Q751" t="str">
            <v/>
          </cell>
          <cell r="R751" t="e">
            <v>#N/A</v>
          </cell>
        </row>
        <row r="752">
          <cell r="A752">
            <v>41054</v>
          </cell>
          <cell r="B752">
            <v>41054</v>
          </cell>
          <cell r="C752" t="str">
            <v>Future</v>
          </cell>
          <cell r="D752" t="e">
            <v>#N/A</v>
          </cell>
          <cell r="E752">
            <v>3.6567567567567156</v>
          </cell>
          <cell r="F752">
            <v>16.697297297297421</v>
          </cell>
          <cell r="G752">
            <v>14.089189189189213</v>
          </cell>
          <cell r="H752">
            <v>14.089189189189213</v>
          </cell>
          <cell r="I752" t="e">
            <v>#N/A</v>
          </cell>
          <cell r="J752" t="e">
            <v>#N/A</v>
          </cell>
          <cell r="K752" t="e">
            <v>#N/A</v>
          </cell>
          <cell r="L752" t="e">
            <v>#N/A</v>
          </cell>
          <cell r="M752" t="e">
            <v>#N/A</v>
          </cell>
          <cell r="N752" t="e">
            <v>#N/A</v>
          </cell>
          <cell r="O752" t="e">
            <v>#N/A</v>
          </cell>
          <cell r="P752">
            <v>14.52</v>
          </cell>
          <cell r="Q752" t="str">
            <v/>
          </cell>
          <cell r="R752" t="e">
            <v>#N/A</v>
          </cell>
        </row>
        <row r="753">
          <cell r="A753">
            <v>41057</v>
          </cell>
          <cell r="B753">
            <v>41057</v>
          </cell>
          <cell r="C753" t="str">
            <v>Future</v>
          </cell>
          <cell r="D753" t="e">
            <v>#N/A</v>
          </cell>
          <cell r="E753">
            <v>3.60135135135131</v>
          </cell>
          <cell r="F753">
            <v>16.709459459459584</v>
          </cell>
          <cell r="G753">
            <v>14.087837837837862</v>
          </cell>
          <cell r="H753">
            <v>14.087837837837862</v>
          </cell>
          <cell r="I753" t="e">
            <v>#N/A</v>
          </cell>
          <cell r="J753" t="e">
            <v>#N/A</v>
          </cell>
          <cell r="K753" t="e">
            <v>#N/A</v>
          </cell>
          <cell r="L753" t="e">
            <v>#N/A</v>
          </cell>
          <cell r="M753" t="e">
            <v>#N/A</v>
          </cell>
          <cell r="N753" t="e">
            <v>#N/A</v>
          </cell>
          <cell r="O753" t="e">
            <v>#N/A</v>
          </cell>
          <cell r="P753">
            <v>14.52</v>
          </cell>
          <cell r="Q753" t="str">
            <v/>
          </cell>
          <cell r="R753" t="e">
            <v>#N/A</v>
          </cell>
        </row>
        <row r="754">
          <cell r="A754">
            <v>41058</v>
          </cell>
          <cell r="B754">
            <v>41058</v>
          </cell>
          <cell r="C754" t="str">
            <v>Future</v>
          </cell>
          <cell r="D754" t="e">
            <v>#N/A</v>
          </cell>
          <cell r="E754">
            <v>3.5459459459459044</v>
          </cell>
          <cell r="F754">
            <v>16.721621621621747</v>
          </cell>
          <cell r="G754">
            <v>14.08648648648651</v>
          </cell>
          <cell r="H754">
            <v>14.08648648648651</v>
          </cell>
          <cell r="I754" t="e">
            <v>#N/A</v>
          </cell>
          <cell r="J754" t="e">
            <v>#N/A</v>
          </cell>
          <cell r="K754" t="e">
            <v>#N/A</v>
          </cell>
          <cell r="L754" t="e">
            <v>#N/A</v>
          </cell>
          <cell r="M754" t="e">
            <v>#N/A</v>
          </cell>
          <cell r="N754" t="e">
            <v>#N/A</v>
          </cell>
          <cell r="O754" t="e">
            <v>#N/A</v>
          </cell>
          <cell r="P754">
            <v>14.52</v>
          </cell>
          <cell r="Q754" t="str">
            <v/>
          </cell>
          <cell r="R754" t="e">
            <v>#N/A</v>
          </cell>
        </row>
        <row r="755">
          <cell r="A755">
            <v>41059</v>
          </cell>
          <cell r="B755">
            <v>41059</v>
          </cell>
          <cell r="C755" t="str">
            <v>Future</v>
          </cell>
          <cell r="D755" t="e">
            <v>#N/A</v>
          </cell>
          <cell r="E755">
            <v>3.4905405405404988</v>
          </cell>
          <cell r="F755">
            <v>16.73378378378391</v>
          </cell>
          <cell r="G755">
            <v>14.085135135135159</v>
          </cell>
          <cell r="H755">
            <v>14.085135135135159</v>
          </cell>
          <cell r="I755" t="e">
            <v>#N/A</v>
          </cell>
          <cell r="J755" t="e">
            <v>#N/A</v>
          </cell>
          <cell r="K755" t="e">
            <v>#N/A</v>
          </cell>
          <cell r="L755" t="e">
            <v>#N/A</v>
          </cell>
          <cell r="M755" t="e">
            <v>#N/A</v>
          </cell>
          <cell r="N755" t="e">
            <v>#N/A</v>
          </cell>
          <cell r="O755" t="e">
            <v>#N/A</v>
          </cell>
          <cell r="P755">
            <v>14.52</v>
          </cell>
          <cell r="Q755" t="str">
            <v/>
          </cell>
          <cell r="R755" t="e">
            <v>#N/A</v>
          </cell>
        </row>
        <row r="756">
          <cell r="A756">
            <v>41060</v>
          </cell>
          <cell r="B756">
            <v>41060</v>
          </cell>
          <cell r="C756" t="str">
            <v>Future</v>
          </cell>
          <cell r="D756" t="e">
            <v>#N/A</v>
          </cell>
          <cell r="E756">
            <v>3.4351351351350932</v>
          </cell>
          <cell r="F756">
            <v>16.745945945946072</v>
          </cell>
          <cell r="G756">
            <v>14.083783783783808</v>
          </cell>
          <cell r="H756">
            <v>14.083783783783808</v>
          </cell>
          <cell r="I756" t="e">
            <v>#N/A</v>
          </cell>
          <cell r="J756" t="e">
            <v>#N/A</v>
          </cell>
          <cell r="K756" t="e">
            <v>#N/A</v>
          </cell>
          <cell r="L756" t="e">
            <v>#N/A</v>
          </cell>
          <cell r="M756" t="e">
            <v>#N/A</v>
          </cell>
          <cell r="N756" t="e">
            <v>#N/A</v>
          </cell>
          <cell r="O756" t="e">
            <v>#N/A</v>
          </cell>
          <cell r="P756">
            <v>14.52</v>
          </cell>
          <cell r="Q756" t="str">
            <v/>
          </cell>
          <cell r="R756" t="e">
            <v>#N/A</v>
          </cell>
        </row>
        <row r="757">
          <cell r="A757">
            <v>41061</v>
          </cell>
          <cell r="B757">
            <v>41061</v>
          </cell>
          <cell r="C757" t="str">
            <v>Future</v>
          </cell>
          <cell r="D757" t="e">
            <v>#N/A</v>
          </cell>
          <cell r="E757">
            <v>3.3797297297296875</v>
          </cell>
          <cell r="F757">
            <v>16.758108108108235</v>
          </cell>
          <cell r="G757">
            <v>14.082432432432457</v>
          </cell>
          <cell r="H757">
            <v>14.082432432432457</v>
          </cell>
          <cell r="I757" t="e">
            <v>#N/A</v>
          </cell>
          <cell r="J757" t="e">
            <v>#N/A</v>
          </cell>
          <cell r="K757" t="e">
            <v>#N/A</v>
          </cell>
          <cell r="L757" t="e">
            <v>#N/A</v>
          </cell>
          <cell r="M757" t="e">
            <v>#N/A</v>
          </cell>
          <cell r="N757" t="e">
            <v>#N/A</v>
          </cell>
          <cell r="O757" t="e">
            <v>#N/A</v>
          </cell>
          <cell r="P757">
            <v>14.52</v>
          </cell>
          <cell r="Q757" t="str">
            <v/>
          </cell>
          <cell r="R757" t="e">
            <v>#N/A</v>
          </cell>
        </row>
        <row r="758">
          <cell r="A758">
            <v>41064</v>
          </cell>
          <cell r="B758">
            <v>41064</v>
          </cell>
          <cell r="C758" t="str">
            <v>Future</v>
          </cell>
          <cell r="D758" t="e">
            <v>#N/A</v>
          </cell>
          <cell r="E758">
            <v>3.3243243243242819</v>
          </cell>
          <cell r="F758">
            <v>16.770270270270398</v>
          </cell>
          <cell r="G758">
            <v>14.081081081081106</v>
          </cell>
          <cell r="H758">
            <v>14.081081081081106</v>
          </cell>
          <cell r="I758" t="e">
            <v>#N/A</v>
          </cell>
          <cell r="J758" t="e">
            <v>#N/A</v>
          </cell>
          <cell r="K758" t="e">
            <v>#N/A</v>
          </cell>
          <cell r="L758" t="e">
            <v>#N/A</v>
          </cell>
          <cell r="M758" t="e">
            <v>#N/A</v>
          </cell>
          <cell r="N758" t="e">
            <v>#N/A</v>
          </cell>
          <cell r="O758" t="e">
            <v>#N/A</v>
          </cell>
          <cell r="P758">
            <v>14.52</v>
          </cell>
          <cell r="Q758" t="str">
            <v/>
          </cell>
          <cell r="R758" t="e">
            <v>#N/A</v>
          </cell>
        </row>
        <row r="759">
          <cell r="A759">
            <v>41065</v>
          </cell>
          <cell r="B759">
            <v>41065</v>
          </cell>
          <cell r="C759" t="str">
            <v>Future</v>
          </cell>
          <cell r="D759" t="e">
            <v>#N/A</v>
          </cell>
          <cell r="E759">
            <v>3.2689189189188763</v>
          </cell>
          <cell r="F759">
            <v>16.782432432432561</v>
          </cell>
          <cell r="G759">
            <v>14.079729729729754</v>
          </cell>
          <cell r="H759">
            <v>14.079729729729754</v>
          </cell>
          <cell r="I759" t="e">
            <v>#N/A</v>
          </cell>
          <cell r="J759" t="e">
            <v>#N/A</v>
          </cell>
          <cell r="K759" t="e">
            <v>#N/A</v>
          </cell>
          <cell r="L759" t="e">
            <v>#N/A</v>
          </cell>
          <cell r="M759" t="e">
            <v>#N/A</v>
          </cell>
          <cell r="N759" t="e">
            <v>#N/A</v>
          </cell>
          <cell r="O759" t="e">
            <v>#N/A</v>
          </cell>
          <cell r="P759">
            <v>14.52</v>
          </cell>
          <cell r="Q759" t="str">
            <v/>
          </cell>
          <cell r="R759" t="e">
            <v>#N/A</v>
          </cell>
        </row>
        <row r="760">
          <cell r="A760">
            <v>41066</v>
          </cell>
          <cell r="B760">
            <v>41066</v>
          </cell>
          <cell r="C760" t="str">
            <v>Future</v>
          </cell>
          <cell r="D760" t="e">
            <v>#N/A</v>
          </cell>
          <cell r="E760">
            <v>3.2135135135134707</v>
          </cell>
          <cell r="F760">
            <v>16.794594594594724</v>
          </cell>
          <cell r="G760">
            <v>14.078378378378403</v>
          </cell>
          <cell r="H760">
            <v>14.078378378378403</v>
          </cell>
          <cell r="I760" t="e">
            <v>#N/A</v>
          </cell>
          <cell r="J760" t="e">
            <v>#N/A</v>
          </cell>
          <cell r="K760" t="e">
            <v>#N/A</v>
          </cell>
          <cell r="L760" t="e">
            <v>#N/A</v>
          </cell>
          <cell r="M760" t="e">
            <v>#N/A</v>
          </cell>
          <cell r="N760" t="e">
            <v>#N/A</v>
          </cell>
          <cell r="O760" t="e">
            <v>#N/A</v>
          </cell>
          <cell r="P760">
            <v>14.52</v>
          </cell>
          <cell r="Q760" t="str">
            <v/>
          </cell>
          <cell r="R760" t="e">
            <v>#N/A</v>
          </cell>
        </row>
        <row r="761">
          <cell r="A761">
            <v>41067</v>
          </cell>
          <cell r="B761">
            <v>41067</v>
          </cell>
          <cell r="C761" t="str">
            <v>Future</v>
          </cell>
          <cell r="D761" t="e">
            <v>#N/A</v>
          </cell>
          <cell r="E761">
            <v>3.1581081081080651</v>
          </cell>
          <cell r="F761">
            <v>16.806756756756887</v>
          </cell>
          <cell r="G761">
            <v>14.077027027027052</v>
          </cell>
          <cell r="H761">
            <v>14.077027027027052</v>
          </cell>
          <cell r="I761" t="e">
            <v>#N/A</v>
          </cell>
          <cell r="J761" t="e">
            <v>#N/A</v>
          </cell>
          <cell r="K761" t="e">
            <v>#N/A</v>
          </cell>
          <cell r="L761" t="e">
            <v>#N/A</v>
          </cell>
          <cell r="M761" t="e">
            <v>#N/A</v>
          </cell>
          <cell r="N761" t="e">
            <v>#N/A</v>
          </cell>
          <cell r="O761" t="e">
            <v>#N/A</v>
          </cell>
          <cell r="P761">
            <v>14.52</v>
          </cell>
          <cell r="Q761" t="str">
            <v/>
          </cell>
          <cell r="R761" t="e">
            <v>#N/A</v>
          </cell>
        </row>
        <row r="762">
          <cell r="A762">
            <v>41068</v>
          </cell>
          <cell r="B762">
            <v>41068</v>
          </cell>
          <cell r="C762" t="str">
            <v>Future</v>
          </cell>
          <cell r="D762" t="e">
            <v>#N/A</v>
          </cell>
          <cell r="E762">
            <v>3.1027027027026595</v>
          </cell>
          <cell r="F762">
            <v>16.818918918919049</v>
          </cell>
          <cell r="G762">
            <v>14.075675675675701</v>
          </cell>
          <cell r="H762">
            <v>14.075675675675701</v>
          </cell>
          <cell r="I762" t="e">
            <v>#N/A</v>
          </cell>
          <cell r="J762" t="e">
            <v>#N/A</v>
          </cell>
          <cell r="K762" t="e">
            <v>#N/A</v>
          </cell>
          <cell r="L762" t="e">
            <v>#N/A</v>
          </cell>
          <cell r="M762" t="e">
            <v>#N/A</v>
          </cell>
          <cell r="N762" t="e">
            <v>#N/A</v>
          </cell>
          <cell r="O762" t="e">
            <v>#N/A</v>
          </cell>
          <cell r="P762">
            <v>14.52</v>
          </cell>
          <cell r="Q762" t="str">
            <v/>
          </cell>
          <cell r="R762" t="e">
            <v>#N/A</v>
          </cell>
        </row>
        <row r="763">
          <cell r="A763">
            <v>41071</v>
          </cell>
          <cell r="B763">
            <v>41071</v>
          </cell>
          <cell r="C763" t="str">
            <v>Future</v>
          </cell>
          <cell r="D763" t="e">
            <v>#N/A</v>
          </cell>
          <cell r="E763">
            <v>3.0472972972972538</v>
          </cell>
          <cell r="F763">
            <v>16.831081081081212</v>
          </cell>
          <cell r="G763">
            <v>14.074324324324349</v>
          </cell>
          <cell r="H763">
            <v>14.074324324324349</v>
          </cell>
          <cell r="I763" t="e">
            <v>#N/A</v>
          </cell>
          <cell r="J763" t="e">
            <v>#N/A</v>
          </cell>
          <cell r="K763" t="e">
            <v>#N/A</v>
          </cell>
          <cell r="L763" t="e">
            <v>#N/A</v>
          </cell>
          <cell r="M763" t="e">
            <v>#N/A</v>
          </cell>
          <cell r="N763" t="e">
            <v>#N/A</v>
          </cell>
          <cell r="O763" t="e">
            <v>#N/A</v>
          </cell>
          <cell r="P763">
            <v>14.52</v>
          </cell>
          <cell r="Q763" t="str">
            <v/>
          </cell>
          <cell r="R763" t="e">
            <v>#N/A</v>
          </cell>
        </row>
        <row r="764">
          <cell r="A764">
            <v>41072</v>
          </cell>
          <cell r="B764">
            <v>41072</v>
          </cell>
          <cell r="C764" t="str">
            <v>Future</v>
          </cell>
          <cell r="D764" t="e">
            <v>#N/A</v>
          </cell>
          <cell r="E764">
            <v>2.9918918918918482</v>
          </cell>
          <cell r="F764">
            <v>16.843243243243375</v>
          </cell>
          <cell r="G764">
            <v>14.072972972972998</v>
          </cell>
          <cell r="H764">
            <v>14.072972972972998</v>
          </cell>
          <cell r="I764" t="e">
            <v>#N/A</v>
          </cell>
          <cell r="J764" t="e">
            <v>#N/A</v>
          </cell>
          <cell r="K764" t="e">
            <v>#N/A</v>
          </cell>
          <cell r="L764" t="e">
            <v>#N/A</v>
          </cell>
          <cell r="M764" t="e">
            <v>#N/A</v>
          </cell>
          <cell r="N764" t="e">
            <v>#N/A</v>
          </cell>
          <cell r="O764" t="e">
            <v>#N/A</v>
          </cell>
          <cell r="P764">
            <v>14.52</v>
          </cell>
          <cell r="Q764" t="str">
            <v/>
          </cell>
          <cell r="R764" t="e">
            <v>#N/A</v>
          </cell>
        </row>
        <row r="765">
          <cell r="A765">
            <v>41073</v>
          </cell>
          <cell r="B765">
            <v>41073</v>
          </cell>
          <cell r="C765" t="str">
            <v>Future</v>
          </cell>
          <cell r="D765" t="e">
            <v>#N/A</v>
          </cell>
          <cell r="E765">
            <v>2.9364864864864426</v>
          </cell>
          <cell r="F765">
            <v>16.855405405405538</v>
          </cell>
          <cell r="G765">
            <v>14.071621621621647</v>
          </cell>
          <cell r="H765">
            <v>14.071621621621647</v>
          </cell>
          <cell r="I765" t="e">
            <v>#N/A</v>
          </cell>
          <cell r="J765" t="e">
            <v>#N/A</v>
          </cell>
          <cell r="K765" t="e">
            <v>#N/A</v>
          </cell>
          <cell r="L765" t="e">
            <v>#N/A</v>
          </cell>
          <cell r="M765" t="e">
            <v>#N/A</v>
          </cell>
          <cell r="N765" t="e">
            <v>#N/A</v>
          </cell>
          <cell r="O765" t="e">
            <v>#N/A</v>
          </cell>
          <cell r="P765">
            <v>14.52</v>
          </cell>
          <cell r="Q765" t="str">
            <v/>
          </cell>
          <cell r="R765" t="e">
            <v>#N/A</v>
          </cell>
        </row>
        <row r="766">
          <cell r="A766">
            <v>41074</v>
          </cell>
          <cell r="B766">
            <v>41074</v>
          </cell>
          <cell r="C766" t="str">
            <v>Future</v>
          </cell>
          <cell r="D766" t="e">
            <v>#N/A</v>
          </cell>
          <cell r="E766">
            <v>2.881081081081037</v>
          </cell>
          <cell r="F766">
            <v>16.867567567567701</v>
          </cell>
          <cell r="G766">
            <v>14.070270270270296</v>
          </cell>
          <cell r="H766">
            <v>14.070270270270296</v>
          </cell>
          <cell r="I766" t="e">
            <v>#N/A</v>
          </cell>
          <cell r="J766" t="e">
            <v>#N/A</v>
          </cell>
          <cell r="K766" t="e">
            <v>#N/A</v>
          </cell>
          <cell r="L766" t="e">
            <v>#N/A</v>
          </cell>
          <cell r="M766" t="e">
            <v>#N/A</v>
          </cell>
          <cell r="N766" t="e">
            <v>#N/A</v>
          </cell>
          <cell r="O766" t="e">
            <v>#N/A</v>
          </cell>
          <cell r="P766">
            <v>14.52</v>
          </cell>
          <cell r="Q766" t="str">
            <v/>
          </cell>
          <cell r="R766" t="e">
            <v>#N/A</v>
          </cell>
        </row>
        <row r="767">
          <cell r="A767">
            <v>41075</v>
          </cell>
          <cell r="B767">
            <v>41075</v>
          </cell>
          <cell r="C767" t="str">
            <v>Future</v>
          </cell>
          <cell r="D767" t="e">
            <v>#N/A</v>
          </cell>
          <cell r="E767">
            <v>2.8256756756756314</v>
          </cell>
          <cell r="F767">
            <v>16.879729729729863</v>
          </cell>
          <cell r="G767">
            <v>14.068918918918945</v>
          </cell>
          <cell r="H767">
            <v>14.068918918918945</v>
          </cell>
          <cell r="I767" t="e">
            <v>#N/A</v>
          </cell>
          <cell r="J767" t="e">
            <v>#N/A</v>
          </cell>
          <cell r="K767" t="e">
            <v>#N/A</v>
          </cell>
          <cell r="L767" t="e">
            <v>#N/A</v>
          </cell>
          <cell r="M767" t="e">
            <v>#N/A</v>
          </cell>
          <cell r="N767" t="e">
            <v>#N/A</v>
          </cell>
          <cell r="O767" t="e">
            <v>#N/A</v>
          </cell>
          <cell r="P767">
            <v>14.52</v>
          </cell>
          <cell r="Q767" t="str">
            <v/>
          </cell>
          <cell r="R767" t="e">
            <v>#N/A</v>
          </cell>
        </row>
        <row r="768">
          <cell r="A768">
            <v>41078</v>
          </cell>
          <cell r="B768">
            <v>41078</v>
          </cell>
          <cell r="C768" t="str">
            <v>Future</v>
          </cell>
          <cell r="D768" t="e">
            <v>#N/A</v>
          </cell>
          <cell r="E768">
            <v>2.7702702702702258</v>
          </cell>
          <cell r="F768">
            <v>16.891891891892026</v>
          </cell>
          <cell r="G768">
            <v>14.067567567567593</v>
          </cell>
          <cell r="H768">
            <v>14.067567567567593</v>
          </cell>
          <cell r="I768" t="e">
            <v>#N/A</v>
          </cell>
          <cell r="J768" t="e">
            <v>#N/A</v>
          </cell>
          <cell r="K768" t="e">
            <v>#N/A</v>
          </cell>
          <cell r="L768" t="e">
            <v>#N/A</v>
          </cell>
          <cell r="M768" t="e">
            <v>#N/A</v>
          </cell>
          <cell r="N768" t="e">
            <v>#N/A</v>
          </cell>
          <cell r="O768" t="e">
            <v>#N/A</v>
          </cell>
          <cell r="P768">
            <v>14.52</v>
          </cell>
          <cell r="Q768" t="str">
            <v/>
          </cell>
          <cell r="R768" t="e">
            <v>#N/A</v>
          </cell>
        </row>
        <row r="769">
          <cell r="A769">
            <v>41079</v>
          </cell>
          <cell r="B769">
            <v>41079</v>
          </cell>
          <cell r="C769" t="str">
            <v>Future</v>
          </cell>
          <cell r="D769" t="e">
            <v>#N/A</v>
          </cell>
          <cell r="E769">
            <v>2.7148648648648201</v>
          </cell>
          <cell r="F769">
            <v>16.904054054054189</v>
          </cell>
          <cell r="G769">
            <v>14.066216216216242</v>
          </cell>
          <cell r="H769">
            <v>14.066216216216242</v>
          </cell>
          <cell r="I769" t="e">
            <v>#N/A</v>
          </cell>
          <cell r="J769" t="e">
            <v>#N/A</v>
          </cell>
          <cell r="K769" t="e">
            <v>#N/A</v>
          </cell>
          <cell r="L769" t="e">
            <v>#N/A</v>
          </cell>
          <cell r="M769" t="e">
            <v>#N/A</v>
          </cell>
          <cell r="N769" t="e">
            <v>#N/A</v>
          </cell>
          <cell r="O769" t="e">
            <v>#N/A</v>
          </cell>
          <cell r="P769">
            <v>14.52</v>
          </cell>
          <cell r="Q769" t="str">
            <v/>
          </cell>
          <cell r="R769" t="e">
            <v>#N/A</v>
          </cell>
        </row>
        <row r="770">
          <cell r="A770">
            <v>41080</v>
          </cell>
          <cell r="B770">
            <v>41080</v>
          </cell>
          <cell r="C770" t="str">
            <v>Future</v>
          </cell>
          <cell r="D770" t="e">
            <v>#N/A</v>
          </cell>
          <cell r="E770">
            <v>2.6594594594594145</v>
          </cell>
          <cell r="F770">
            <v>16.916216216216352</v>
          </cell>
          <cell r="G770">
            <v>14.064864864864891</v>
          </cell>
          <cell r="H770">
            <v>14.064864864864891</v>
          </cell>
          <cell r="I770" t="e">
            <v>#N/A</v>
          </cell>
          <cell r="J770" t="e">
            <v>#N/A</v>
          </cell>
          <cell r="K770" t="e">
            <v>#N/A</v>
          </cell>
          <cell r="L770" t="e">
            <v>#N/A</v>
          </cell>
          <cell r="M770" t="e">
            <v>#N/A</v>
          </cell>
          <cell r="N770" t="e">
            <v>#N/A</v>
          </cell>
          <cell r="O770" t="e">
            <v>#N/A</v>
          </cell>
          <cell r="P770">
            <v>14.52</v>
          </cell>
          <cell r="Q770" t="str">
            <v/>
          </cell>
          <cell r="R770" t="e">
            <v>#N/A</v>
          </cell>
        </row>
        <row r="771">
          <cell r="A771">
            <v>41081</v>
          </cell>
          <cell r="B771">
            <v>41081</v>
          </cell>
          <cell r="C771" t="str">
            <v>Future</v>
          </cell>
          <cell r="D771" t="e">
            <v>#N/A</v>
          </cell>
          <cell r="E771">
            <v>2.6040540540540089</v>
          </cell>
          <cell r="F771">
            <v>16.928378378378515</v>
          </cell>
          <cell r="G771">
            <v>14.06351351351354</v>
          </cell>
          <cell r="H771">
            <v>14.06351351351354</v>
          </cell>
          <cell r="I771" t="e">
            <v>#N/A</v>
          </cell>
          <cell r="J771" t="e">
            <v>#N/A</v>
          </cell>
          <cell r="K771" t="e">
            <v>#N/A</v>
          </cell>
          <cell r="L771" t="e">
            <v>#N/A</v>
          </cell>
          <cell r="M771" t="e">
            <v>#N/A</v>
          </cell>
          <cell r="N771" t="e">
            <v>#N/A</v>
          </cell>
          <cell r="O771" t="e">
            <v>#N/A</v>
          </cell>
          <cell r="P771">
            <v>14.52</v>
          </cell>
          <cell r="Q771" t="str">
            <v/>
          </cell>
          <cell r="R771" t="e">
            <v>#N/A</v>
          </cell>
        </row>
        <row r="772">
          <cell r="A772">
            <v>41082</v>
          </cell>
          <cell r="B772">
            <v>41082</v>
          </cell>
          <cell r="C772" t="str">
            <v>Future</v>
          </cell>
          <cell r="D772" t="e">
            <v>#N/A</v>
          </cell>
          <cell r="E772">
            <v>2.5486486486486033</v>
          </cell>
          <cell r="F772">
            <v>16.940540540540677</v>
          </cell>
          <cell r="G772">
            <v>14.062162162162188</v>
          </cell>
          <cell r="H772">
            <v>14.062162162162188</v>
          </cell>
          <cell r="I772" t="e">
            <v>#N/A</v>
          </cell>
          <cell r="J772" t="e">
            <v>#N/A</v>
          </cell>
          <cell r="K772" t="e">
            <v>#N/A</v>
          </cell>
          <cell r="L772" t="e">
            <v>#N/A</v>
          </cell>
          <cell r="M772" t="e">
            <v>#N/A</v>
          </cell>
          <cell r="N772" t="e">
            <v>#N/A</v>
          </cell>
          <cell r="O772" t="e">
            <v>#N/A</v>
          </cell>
          <cell r="P772">
            <v>14.52</v>
          </cell>
          <cell r="Q772" t="str">
            <v/>
          </cell>
          <cell r="R772" t="e">
            <v>#N/A</v>
          </cell>
        </row>
        <row r="773">
          <cell r="A773">
            <v>41085</v>
          </cell>
          <cell r="B773">
            <v>41085</v>
          </cell>
          <cell r="C773" t="str">
            <v>Future</v>
          </cell>
          <cell r="D773" t="e">
            <v>#N/A</v>
          </cell>
          <cell r="E773">
            <v>2.4932432432431977</v>
          </cell>
          <cell r="F773">
            <v>16.95270270270284</v>
          </cell>
          <cell r="G773">
            <v>14.060810810810837</v>
          </cell>
          <cell r="H773">
            <v>14.060810810810837</v>
          </cell>
          <cell r="I773" t="e">
            <v>#N/A</v>
          </cell>
          <cell r="J773" t="e">
            <v>#N/A</v>
          </cell>
          <cell r="K773" t="e">
            <v>#N/A</v>
          </cell>
          <cell r="L773" t="e">
            <v>#N/A</v>
          </cell>
          <cell r="M773" t="e">
            <v>#N/A</v>
          </cell>
          <cell r="N773" t="e">
            <v>#N/A</v>
          </cell>
          <cell r="O773" t="e">
            <v>#N/A</v>
          </cell>
          <cell r="P773">
            <v>14.52</v>
          </cell>
          <cell r="Q773" t="str">
            <v/>
          </cell>
          <cell r="R773" t="e">
            <v>#N/A</v>
          </cell>
        </row>
        <row r="774">
          <cell r="A774">
            <v>41086</v>
          </cell>
          <cell r="B774">
            <v>41086</v>
          </cell>
          <cell r="C774" t="str">
            <v>Future</v>
          </cell>
          <cell r="D774" t="e">
            <v>#N/A</v>
          </cell>
          <cell r="E774">
            <v>2.4378378378377921</v>
          </cell>
          <cell r="F774">
            <v>16.964864864865003</v>
          </cell>
          <cell r="G774">
            <v>14.059459459459486</v>
          </cell>
          <cell r="H774">
            <v>14.059459459459486</v>
          </cell>
          <cell r="I774" t="e">
            <v>#N/A</v>
          </cell>
          <cell r="J774" t="e">
            <v>#N/A</v>
          </cell>
          <cell r="K774" t="e">
            <v>#N/A</v>
          </cell>
          <cell r="L774" t="e">
            <v>#N/A</v>
          </cell>
          <cell r="M774" t="e">
            <v>#N/A</v>
          </cell>
          <cell r="N774" t="e">
            <v>#N/A</v>
          </cell>
          <cell r="O774" t="e">
            <v>#N/A</v>
          </cell>
          <cell r="P774">
            <v>14.52</v>
          </cell>
          <cell r="Q774" t="str">
            <v/>
          </cell>
          <cell r="R774" t="e">
            <v>#N/A</v>
          </cell>
        </row>
        <row r="775">
          <cell r="A775">
            <v>41087</v>
          </cell>
          <cell r="B775">
            <v>41087</v>
          </cell>
          <cell r="C775" t="str">
            <v>Future</v>
          </cell>
          <cell r="D775" t="e">
            <v>#N/A</v>
          </cell>
          <cell r="E775">
            <v>2.3824324324323864</v>
          </cell>
          <cell r="F775">
            <v>16.977027027027166</v>
          </cell>
          <cell r="G775">
            <v>14.058108108108135</v>
          </cell>
          <cell r="H775">
            <v>14.058108108108135</v>
          </cell>
          <cell r="I775" t="e">
            <v>#N/A</v>
          </cell>
          <cell r="J775" t="e">
            <v>#N/A</v>
          </cell>
          <cell r="K775" t="e">
            <v>#N/A</v>
          </cell>
          <cell r="L775" t="e">
            <v>#N/A</v>
          </cell>
          <cell r="M775" t="e">
            <v>#N/A</v>
          </cell>
          <cell r="N775" t="e">
            <v>#N/A</v>
          </cell>
          <cell r="O775" t="e">
            <v>#N/A</v>
          </cell>
          <cell r="P775">
            <v>14.52</v>
          </cell>
          <cell r="Q775" t="str">
            <v/>
          </cell>
          <cell r="R775" t="e">
            <v>#N/A</v>
          </cell>
        </row>
        <row r="776">
          <cell r="A776">
            <v>41088</v>
          </cell>
          <cell r="B776">
            <v>41088</v>
          </cell>
          <cell r="C776" t="str">
            <v>Future</v>
          </cell>
          <cell r="D776" t="e">
            <v>#N/A</v>
          </cell>
          <cell r="E776">
            <v>2.3270270270269808</v>
          </cell>
          <cell r="F776">
            <v>16.989189189189329</v>
          </cell>
          <cell r="G776">
            <v>14.056756756756783</v>
          </cell>
          <cell r="H776">
            <v>14.056756756756783</v>
          </cell>
          <cell r="I776" t="e">
            <v>#N/A</v>
          </cell>
          <cell r="J776" t="e">
            <v>#N/A</v>
          </cell>
          <cell r="K776" t="e">
            <v>#N/A</v>
          </cell>
          <cell r="L776" t="e">
            <v>#N/A</v>
          </cell>
          <cell r="M776" t="e">
            <v>#N/A</v>
          </cell>
          <cell r="N776" t="e">
            <v>#N/A</v>
          </cell>
          <cell r="O776" t="e">
            <v>#N/A</v>
          </cell>
          <cell r="P776">
            <v>14.52</v>
          </cell>
          <cell r="Q776" t="str">
            <v/>
          </cell>
          <cell r="R776" t="e">
            <v>#N/A</v>
          </cell>
        </row>
        <row r="777">
          <cell r="A777">
            <v>41089</v>
          </cell>
          <cell r="B777">
            <v>41089</v>
          </cell>
          <cell r="C777" t="str">
            <v>Future</v>
          </cell>
          <cell r="D777" t="e">
            <v>#N/A</v>
          </cell>
          <cell r="E777">
            <v>2.2716216216215752</v>
          </cell>
          <cell r="F777">
            <v>17.001351351351492</v>
          </cell>
          <cell r="G777">
            <v>14.055405405405432</v>
          </cell>
          <cell r="H777">
            <v>14.055405405405432</v>
          </cell>
          <cell r="I777" t="e">
            <v>#N/A</v>
          </cell>
          <cell r="J777" t="e">
            <v>#N/A</v>
          </cell>
          <cell r="K777" t="e">
            <v>#N/A</v>
          </cell>
          <cell r="L777" t="e">
            <v>#N/A</v>
          </cell>
          <cell r="M777" t="e">
            <v>#N/A</v>
          </cell>
          <cell r="N777" t="e">
            <v>#N/A</v>
          </cell>
          <cell r="O777" t="e">
            <v>#N/A</v>
          </cell>
          <cell r="P777">
            <v>14.52</v>
          </cell>
          <cell r="Q777" t="str">
            <v/>
          </cell>
          <cell r="R777" t="e">
            <v>#N/A</v>
          </cell>
        </row>
        <row r="778">
          <cell r="A778">
            <v>41092</v>
          </cell>
          <cell r="B778">
            <v>41092</v>
          </cell>
          <cell r="C778" t="str">
            <v>Future</v>
          </cell>
          <cell r="D778" t="e">
            <v>#N/A</v>
          </cell>
          <cell r="E778">
            <v>2.2162162162161696</v>
          </cell>
          <cell r="F778">
            <v>17.013513513513654</v>
          </cell>
          <cell r="G778">
            <v>14.054054054054081</v>
          </cell>
          <cell r="H778">
            <v>14.054054054054081</v>
          </cell>
          <cell r="I778" t="e">
            <v>#N/A</v>
          </cell>
          <cell r="J778" t="e">
            <v>#N/A</v>
          </cell>
          <cell r="K778" t="e">
            <v>#N/A</v>
          </cell>
          <cell r="L778" t="e">
            <v>#N/A</v>
          </cell>
          <cell r="M778" t="e">
            <v>#N/A</v>
          </cell>
          <cell r="N778" t="e">
            <v>#N/A</v>
          </cell>
          <cell r="O778" t="e">
            <v>#N/A</v>
          </cell>
          <cell r="P778">
            <v>14.52</v>
          </cell>
          <cell r="Q778" t="str">
            <v/>
          </cell>
          <cell r="R778" t="e">
            <v>#N/A</v>
          </cell>
        </row>
        <row r="779">
          <cell r="A779">
            <v>41093</v>
          </cell>
          <cell r="B779">
            <v>41093</v>
          </cell>
          <cell r="C779" t="str">
            <v>Future</v>
          </cell>
          <cell r="D779" t="e">
            <v>#N/A</v>
          </cell>
          <cell r="E779">
            <v>2.160810810810764</v>
          </cell>
          <cell r="F779">
            <v>17.025675675675817</v>
          </cell>
          <cell r="G779">
            <v>14.05270270270273</v>
          </cell>
          <cell r="H779">
            <v>14.05270270270273</v>
          </cell>
          <cell r="I779" t="e">
            <v>#N/A</v>
          </cell>
          <cell r="J779" t="e">
            <v>#N/A</v>
          </cell>
          <cell r="K779" t="e">
            <v>#N/A</v>
          </cell>
          <cell r="L779" t="e">
            <v>#N/A</v>
          </cell>
          <cell r="M779" t="e">
            <v>#N/A</v>
          </cell>
          <cell r="N779" t="e">
            <v>#N/A</v>
          </cell>
          <cell r="O779" t="e">
            <v>#N/A</v>
          </cell>
          <cell r="P779">
            <v>14.52</v>
          </cell>
          <cell r="Q779" t="str">
            <v/>
          </cell>
          <cell r="R779" t="e">
            <v>#N/A</v>
          </cell>
        </row>
        <row r="780">
          <cell r="A780">
            <v>41094</v>
          </cell>
          <cell r="B780">
            <v>41094</v>
          </cell>
          <cell r="C780" t="str">
            <v>Future</v>
          </cell>
          <cell r="D780" t="e">
            <v>#N/A</v>
          </cell>
          <cell r="E780">
            <v>2.1054054054053584</v>
          </cell>
          <cell r="F780">
            <v>17.03783783783798</v>
          </cell>
          <cell r="G780">
            <v>14.051351351351379</v>
          </cell>
          <cell r="H780">
            <v>14.051351351351379</v>
          </cell>
          <cell r="I780" t="e">
            <v>#N/A</v>
          </cell>
          <cell r="J780" t="e">
            <v>#N/A</v>
          </cell>
          <cell r="K780" t="e">
            <v>#N/A</v>
          </cell>
          <cell r="L780" t="e">
            <v>#N/A</v>
          </cell>
          <cell r="M780" t="e">
            <v>#N/A</v>
          </cell>
          <cell r="N780" t="e">
            <v>#N/A</v>
          </cell>
          <cell r="O780" t="e">
            <v>#N/A</v>
          </cell>
          <cell r="P780">
            <v>14.52</v>
          </cell>
          <cell r="Q780" t="str">
            <v/>
          </cell>
          <cell r="R780" t="e">
            <v>#N/A</v>
          </cell>
        </row>
        <row r="781">
          <cell r="A781">
            <v>41095</v>
          </cell>
          <cell r="B781">
            <v>41095</v>
          </cell>
          <cell r="C781" t="str">
            <v>Future</v>
          </cell>
          <cell r="D781" t="e">
            <v>#N/A</v>
          </cell>
          <cell r="E781">
            <v>2.0499999999999527</v>
          </cell>
          <cell r="F781">
            <v>17.050000000000143</v>
          </cell>
          <cell r="G781">
            <v>14.050000000000027</v>
          </cell>
          <cell r="H781">
            <v>14.050000000000027</v>
          </cell>
          <cell r="I781" t="e">
            <v>#N/A</v>
          </cell>
          <cell r="J781" t="e">
            <v>#N/A</v>
          </cell>
          <cell r="K781" t="e">
            <v>#N/A</v>
          </cell>
          <cell r="L781" t="e">
            <v>#N/A</v>
          </cell>
          <cell r="M781" t="e">
            <v>#N/A</v>
          </cell>
          <cell r="N781" t="e">
            <v>#N/A</v>
          </cell>
          <cell r="O781" t="e">
            <v>#N/A</v>
          </cell>
          <cell r="P781">
            <v>14.52</v>
          </cell>
          <cell r="Q781" t="str">
            <v/>
          </cell>
          <cell r="R781" t="e">
            <v>#N/A</v>
          </cell>
        </row>
        <row r="782">
          <cell r="A782">
            <v>41096</v>
          </cell>
          <cell r="B782">
            <v>41096</v>
          </cell>
          <cell r="C782" t="str">
            <v>Future</v>
          </cell>
          <cell r="D782" t="e">
            <v>#N/A</v>
          </cell>
          <cell r="E782">
            <v>1.9945945945945474</v>
          </cell>
          <cell r="F782">
            <v>17.062162162162306</v>
          </cell>
          <cell r="G782">
            <v>14.048648648648676</v>
          </cell>
          <cell r="H782">
            <v>14.048648648648676</v>
          </cell>
          <cell r="I782" t="e">
            <v>#N/A</v>
          </cell>
          <cell r="J782" t="e">
            <v>#N/A</v>
          </cell>
          <cell r="K782" t="e">
            <v>#N/A</v>
          </cell>
          <cell r="L782" t="e">
            <v>#N/A</v>
          </cell>
          <cell r="M782" t="e">
            <v>#N/A</v>
          </cell>
          <cell r="N782" t="e">
            <v>#N/A</v>
          </cell>
          <cell r="O782" t="e">
            <v>#N/A</v>
          </cell>
          <cell r="P782">
            <v>14.52</v>
          </cell>
          <cell r="Q782" t="str">
            <v/>
          </cell>
          <cell r="R782" t="e">
            <v>#N/A</v>
          </cell>
        </row>
        <row r="783">
          <cell r="A783">
            <v>41099</v>
          </cell>
          <cell r="B783">
            <v>41099</v>
          </cell>
          <cell r="C783" t="str">
            <v>Future</v>
          </cell>
          <cell r="D783" t="e">
            <v>#N/A</v>
          </cell>
          <cell r="E783">
            <v>1.939189189189142</v>
          </cell>
          <cell r="F783">
            <v>17.074324324324468</v>
          </cell>
          <cell r="G783">
            <v>14.047297297297325</v>
          </cell>
          <cell r="H783">
            <v>14.047297297297325</v>
          </cell>
          <cell r="I783" t="e">
            <v>#N/A</v>
          </cell>
          <cell r="J783" t="e">
            <v>#N/A</v>
          </cell>
          <cell r="K783" t="e">
            <v>#N/A</v>
          </cell>
          <cell r="L783" t="e">
            <v>#N/A</v>
          </cell>
          <cell r="M783" t="e">
            <v>#N/A</v>
          </cell>
          <cell r="N783" t="e">
            <v>#N/A</v>
          </cell>
          <cell r="O783" t="e">
            <v>#N/A</v>
          </cell>
          <cell r="P783">
            <v>14.52</v>
          </cell>
          <cell r="Q783" t="str">
            <v/>
          </cell>
          <cell r="R783" t="e">
            <v>#N/A</v>
          </cell>
        </row>
        <row r="784">
          <cell r="A784">
            <v>41100</v>
          </cell>
          <cell r="B784">
            <v>41100</v>
          </cell>
          <cell r="C784" t="str">
            <v>Future</v>
          </cell>
          <cell r="D784" t="e">
            <v>#N/A</v>
          </cell>
          <cell r="E784">
            <v>1.8837837837837366</v>
          </cell>
          <cell r="F784">
            <v>17.086486486486631</v>
          </cell>
          <cell r="G784">
            <v>14.045945945945974</v>
          </cell>
          <cell r="H784">
            <v>14.045945945945974</v>
          </cell>
          <cell r="I784" t="e">
            <v>#N/A</v>
          </cell>
          <cell r="J784" t="e">
            <v>#N/A</v>
          </cell>
          <cell r="K784" t="e">
            <v>#N/A</v>
          </cell>
          <cell r="L784" t="e">
            <v>#N/A</v>
          </cell>
          <cell r="M784" t="e">
            <v>#N/A</v>
          </cell>
          <cell r="N784" t="e">
            <v>#N/A</v>
          </cell>
          <cell r="O784" t="e">
            <v>#N/A</v>
          </cell>
          <cell r="P784">
            <v>14.52</v>
          </cell>
          <cell r="Q784" t="str">
            <v/>
          </cell>
          <cell r="R784" t="e">
            <v>#N/A</v>
          </cell>
        </row>
        <row r="785">
          <cell r="A785">
            <v>41101</v>
          </cell>
          <cell r="B785">
            <v>41101</v>
          </cell>
          <cell r="C785" t="str">
            <v>Future</v>
          </cell>
          <cell r="D785" t="e">
            <v>#N/A</v>
          </cell>
          <cell r="E785">
            <v>1.8283783783783312</v>
          </cell>
          <cell r="F785">
            <v>17.098648648648794</v>
          </cell>
          <cell r="G785">
            <v>14.044594594594622</v>
          </cell>
          <cell r="H785">
            <v>14.044594594594622</v>
          </cell>
          <cell r="I785" t="e">
            <v>#N/A</v>
          </cell>
          <cell r="J785" t="e">
            <v>#N/A</v>
          </cell>
          <cell r="K785" t="e">
            <v>#N/A</v>
          </cell>
          <cell r="L785" t="e">
            <v>#N/A</v>
          </cell>
          <cell r="M785" t="e">
            <v>#N/A</v>
          </cell>
          <cell r="N785" t="e">
            <v>#N/A</v>
          </cell>
          <cell r="O785" t="e">
            <v>#N/A</v>
          </cell>
          <cell r="P785">
            <v>14.52</v>
          </cell>
          <cell r="Q785" t="str">
            <v/>
          </cell>
          <cell r="R785" t="e">
            <v>#N/A</v>
          </cell>
        </row>
        <row r="786">
          <cell r="A786">
            <v>41102</v>
          </cell>
          <cell r="B786">
            <v>41102</v>
          </cell>
          <cell r="C786" t="str">
            <v>Future</v>
          </cell>
          <cell r="D786" t="e">
            <v>#N/A</v>
          </cell>
          <cell r="E786">
            <v>1.7729729729729258</v>
          </cell>
          <cell r="F786">
            <v>17.110810810810957</v>
          </cell>
          <cell r="G786">
            <v>14.043243243243271</v>
          </cell>
          <cell r="H786">
            <v>14.043243243243271</v>
          </cell>
          <cell r="I786" t="e">
            <v>#N/A</v>
          </cell>
          <cell r="J786" t="e">
            <v>#N/A</v>
          </cell>
          <cell r="K786" t="e">
            <v>#N/A</v>
          </cell>
          <cell r="L786" t="e">
            <v>#N/A</v>
          </cell>
          <cell r="M786" t="e">
            <v>#N/A</v>
          </cell>
          <cell r="N786" t="e">
            <v>#N/A</v>
          </cell>
          <cell r="O786" t="e">
            <v>#N/A</v>
          </cell>
          <cell r="P786">
            <v>14.52</v>
          </cell>
          <cell r="Q786" t="str">
            <v/>
          </cell>
          <cell r="R786" t="e">
            <v>#N/A</v>
          </cell>
        </row>
        <row r="787">
          <cell r="A787">
            <v>41103</v>
          </cell>
          <cell r="B787">
            <v>41103</v>
          </cell>
          <cell r="C787" t="str">
            <v>Future</v>
          </cell>
          <cell r="D787" t="e">
            <v>#N/A</v>
          </cell>
          <cell r="E787">
            <v>1.7175675675675204</v>
          </cell>
          <cell r="F787">
            <v>17.12297297297312</v>
          </cell>
          <cell r="G787">
            <v>14.04189189189192</v>
          </cell>
          <cell r="H787">
            <v>14.04189189189192</v>
          </cell>
          <cell r="I787" t="e">
            <v>#N/A</v>
          </cell>
          <cell r="J787" t="e">
            <v>#N/A</v>
          </cell>
          <cell r="K787" t="e">
            <v>#N/A</v>
          </cell>
          <cell r="L787" t="e">
            <v>#N/A</v>
          </cell>
          <cell r="M787" t="e">
            <v>#N/A</v>
          </cell>
          <cell r="N787" t="e">
            <v>#N/A</v>
          </cell>
          <cell r="O787" t="e">
            <v>#N/A</v>
          </cell>
          <cell r="P787">
            <v>14.52</v>
          </cell>
          <cell r="Q787" t="str">
            <v/>
          </cell>
          <cell r="R787" t="e">
            <v>#N/A</v>
          </cell>
        </row>
        <row r="788">
          <cell r="A788">
            <v>41106</v>
          </cell>
          <cell r="B788">
            <v>41106</v>
          </cell>
          <cell r="C788" t="str">
            <v>Future</v>
          </cell>
          <cell r="D788" t="e">
            <v>#N/A</v>
          </cell>
          <cell r="E788">
            <v>1.662162162162115</v>
          </cell>
          <cell r="F788">
            <v>17.135135135135283</v>
          </cell>
          <cell r="G788">
            <v>14.040540540540569</v>
          </cell>
          <cell r="H788">
            <v>14.040540540540569</v>
          </cell>
          <cell r="I788" t="e">
            <v>#N/A</v>
          </cell>
          <cell r="J788" t="e">
            <v>#N/A</v>
          </cell>
          <cell r="K788" t="e">
            <v>#N/A</v>
          </cell>
          <cell r="L788" t="e">
            <v>#N/A</v>
          </cell>
          <cell r="M788" t="e">
            <v>#N/A</v>
          </cell>
          <cell r="N788" t="e">
            <v>#N/A</v>
          </cell>
          <cell r="O788" t="e">
            <v>#N/A</v>
          </cell>
          <cell r="P788">
            <v>14.52</v>
          </cell>
          <cell r="Q788" t="str">
            <v/>
          </cell>
          <cell r="R788" t="e">
            <v>#N/A</v>
          </cell>
        </row>
        <row r="789">
          <cell r="A789">
            <v>41107</v>
          </cell>
          <cell r="B789">
            <v>41107</v>
          </cell>
          <cell r="C789" t="str">
            <v>Future</v>
          </cell>
          <cell r="D789" t="e">
            <v>#N/A</v>
          </cell>
          <cell r="E789">
            <v>1.6067567567567096</v>
          </cell>
          <cell r="F789">
            <v>17.147297297297445</v>
          </cell>
          <cell r="G789">
            <v>14.039189189189218</v>
          </cell>
          <cell r="H789">
            <v>14.039189189189218</v>
          </cell>
          <cell r="I789" t="e">
            <v>#N/A</v>
          </cell>
          <cell r="J789" t="e">
            <v>#N/A</v>
          </cell>
          <cell r="K789" t="e">
            <v>#N/A</v>
          </cell>
          <cell r="L789" t="e">
            <v>#N/A</v>
          </cell>
          <cell r="M789" t="e">
            <v>#N/A</v>
          </cell>
          <cell r="N789" t="e">
            <v>#N/A</v>
          </cell>
          <cell r="O789" t="e">
            <v>#N/A</v>
          </cell>
          <cell r="P789">
            <v>14.52</v>
          </cell>
          <cell r="Q789" t="str">
            <v/>
          </cell>
          <cell r="R789" t="e">
            <v>#N/A</v>
          </cell>
        </row>
        <row r="790">
          <cell r="A790">
            <v>41108</v>
          </cell>
          <cell r="B790">
            <v>41108</v>
          </cell>
          <cell r="C790" t="str">
            <v>Future</v>
          </cell>
          <cell r="D790" t="e">
            <v>#N/A</v>
          </cell>
          <cell r="E790">
            <v>1.5513513513513042</v>
          </cell>
          <cell r="F790">
            <v>17.159459459459608</v>
          </cell>
          <cell r="G790">
            <v>14.037837837837866</v>
          </cell>
          <cell r="H790">
            <v>14.037837837837866</v>
          </cell>
          <cell r="I790" t="e">
            <v>#N/A</v>
          </cell>
          <cell r="J790" t="e">
            <v>#N/A</v>
          </cell>
          <cell r="K790" t="e">
            <v>#N/A</v>
          </cell>
          <cell r="L790" t="e">
            <v>#N/A</v>
          </cell>
          <cell r="M790" t="e">
            <v>#N/A</v>
          </cell>
          <cell r="N790" t="e">
            <v>#N/A</v>
          </cell>
          <cell r="O790" t="e">
            <v>#N/A</v>
          </cell>
          <cell r="P790">
            <v>14.52</v>
          </cell>
          <cell r="Q790" t="str">
            <v/>
          </cell>
          <cell r="R790" t="e">
            <v>#N/A</v>
          </cell>
        </row>
        <row r="791">
          <cell r="A791">
            <v>41109</v>
          </cell>
          <cell r="B791">
            <v>41109</v>
          </cell>
          <cell r="C791" t="str">
            <v>Future</v>
          </cell>
          <cell r="D791" t="e">
            <v>#N/A</v>
          </cell>
          <cell r="E791">
            <v>1.4959459459458988</v>
          </cell>
          <cell r="F791">
            <v>17.171621621621771</v>
          </cell>
          <cell r="G791">
            <v>14.036486486486515</v>
          </cell>
          <cell r="H791">
            <v>14.036486486486515</v>
          </cell>
          <cell r="I791" t="e">
            <v>#N/A</v>
          </cell>
          <cell r="J791" t="e">
            <v>#N/A</v>
          </cell>
          <cell r="K791" t="e">
            <v>#N/A</v>
          </cell>
          <cell r="L791" t="e">
            <v>#N/A</v>
          </cell>
          <cell r="M791" t="e">
            <v>#N/A</v>
          </cell>
          <cell r="N791" t="e">
            <v>#N/A</v>
          </cell>
          <cell r="O791" t="e">
            <v>#N/A</v>
          </cell>
          <cell r="P791">
            <v>14.52</v>
          </cell>
          <cell r="Q791" t="str">
            <v/>
          </cell>
          <cell r="R791" t="e">
            <v>#N/A</v>
          </cell>
        </row>
        <row r="792">
          <cell r="A792">
            <v>41110</v>
          </cell>
          <cell r="B792">
            <v>41110</v>
          </cell>
          <cell r="C792" t="str">
            <v>Future</v>
          </cell>
          <cell r="D792" t="e">
            <v>#N/A</v>
          </cell>
          <cell r="E792">
            <v>1.4405405405404934</v>
          </cell>
          <cell r="F792">
            <v>17.183783783783934</v>
          </cell>
          <cell r="G792">
            <v>14.035135135135164</v>
          </cell>
          <cell r="H792">
            <v>14.035135135135164</v>
          </cell>
          <cell r="I792" t="e">
            <v>#N/A</v>
          </cell>
          <cell r="J792" t="e">
            <v>#N/A</v>
          </cell>
          <cell r="K792" t="e">
            <v>#N/A</v>
          </cell>
          <cell r="L792" t="e">
            <v>#N/A</v>
          </cell>
          <cell r="M792" t="e">
            <v>#N/A</v>
          </cell>
          <cell r="N792" t="e">
            <v>#N/A</v>
          </cell>
          <cell r="O792" t="e">
            <v>#N/A</v>
          </cell>
          <cell r="P792">
            <v>14.52</v>
          </cell>
          <cell r="Q792" t="str">
            <v/>
          </cell>
          <cell r="R792" t="e">
            <v>#N/A</v>
          </cell>
        </row>
        <row r="793">
          <cell r="A793">
            <v>41113</v>
          </cell>
          <cell r="B793">
            <v>41113</v>
          </cell>
          <cell r="C793" t="str">
            <v>Future</v>
          </cell>
          <cell r="D793" t="e">
            <v>#N/A</v>
          </cell>
          <cell r="E793">
            <v>1.385135135135088</v>
          </cell>
          <cell r="F793">
            <v>17.195945945946097</v>
          </cell>
          <cell r="G793">
            <v>14.033783783783813</v>
          </cell>
          <cell r="H793">
            <v>14.033783783783813</v>
          </cell>
          <cell r="I793" t="e">
            <v>#N/A</v>
          </cell>
          <cell r="J793" t="e">
            <v>#N/A</v>
          </cell>
          <cell r="K793" t="e">
            <v>#N/A</v>
          </cell>
          <cell r="L793" t="e">
            <v>#N/A</v>
          </cell>
          <cell r="M793" t="e">
            <v>#N/A</v>
          </cell>
          <cell r="N793" t="e">
            <v>#N/A</v>
          </cell>
          <cell r="O793" t="e">
            <v>#N/A</v>
          </cell>
          <cell r="P793">
            <v>14.52</v>
          </cell>
          <cell r="Q793" t="str">
            <v/>
          </cell>
          <cell r="R793" t="e">
            <v>#N/A</v>
          </cell>
        </row>
        <row r="794">
          <cell r="A794">
            <v>41114</v>
          </cell>
          <cell r="B794">
            <v>41114</v>
          </cell>
          <cell r="C794" t="str">
            <v>Future</v>
          </cell>
          <cell r="D794" t="e">
            <v>#N/A</v>
          </cell>
          <cell r="E794">
            <v>1.3297297297296826</v>
          </cell>
          <cell r="F794">
            <v>17.208108108108259</v>
          </cell>
          <cell r="G794">
            <v>14.032432432432461</v>
          </cell>
          <cell r="H794">
            <v>14.032432432432461</v>
          </cell>
          <cell r="I794" t="e">
            <v>#N/A</v>
          </cell>
          <cell r="J794" t="e">
            <v>#N/A</v>
          </cell>
          <cell r="K794" t="e">
            <v>#N/A</v>
          </cell>
          <cell r="L794" t="e">
            <v>#N/A</v>
          </cell>
          <cell r="M794" t="e">
            <v>#N/A</v>
          </cell>
          <cell r="N794" t="e">
            <v>#N/A</v>
          </cell>
          <cell r="O794" t="e">
            <v>#N/A</v>
          </cell>
          <cell r="P794">
            <v>14.52</v>
          </cell>
          <cell r="Q794" t="str">
            <v/>
          </cell>
          <cell r="R794" t="e">
            <v>#N/A</v>
          </cell>
        </row>
        <row r="795">
          <cell r="A795">
            <v>41115</v>
          </cell>
          <cell r="B795">
            <v>41115</v>
          </cell>
          <cell r="C795" t="str">
            <v>Future</v>
          </cell>
          <cell r="D795" t="e">
            <v>#N/A</v>
          </cell>
          <cell r="E795">
            <v>1.2743243243242772</v>
          </cell>
          <cell r="F795">
            <v>17.220270270270422</v>
          </cell>
          <cell r="G795">
            <v>14.03108108108111</v>
          </cell>
          <cell r="H795">
            <v>14.03108108108111</v>
          </cell>
          <cell r="I795" t="e">
            <v>#N/A</v>
          </cell>
          <cell r="J795" t="e">
            <v>#N/A</v>
          </cell>
          <cell r="K795" t="e">
            <v>#N/A</v>
          </cell>
          <cell r="L795" t="e">
            <v>#N/A</v>
          </cell>
          <cell r="M795" t="e">
            <v>#N/A</v>
          </cell>
          <cell r="N795" t="e">
            <v>#N/A</v>
          </cell>
          <cell r="O795" t="e">
            <v>#N/A</v>
          </cell>
          <cell r="P795">
            <v>14.52</v>
          </cell>
          <cell r="Q795" t="str">
            <v/>
          </cell>
          <cell r="R795" t="e">
            <v>#N/A</v>
          </cell>
        </row>
        <row r="796">
          <cell r="A796">
            <v>41116</v>
          </cell>
          <cell r="B796">
            <v>41116</v>
          </cell>
          <cell r="C796" t="str">
            <v>Future</v>
          </cell>
          <cell r="D796" t="e">
            <v>#N/A</v>
          </cell>
          <cell r="E796">
            <v>1.2189189189188718</v>
          </cell>
          <cell r="F796">
            <v>17.232432432432585</v>
          </cell>
          <cell r="G796">
            <v>14.029729729729759</v>
          </cell>
          <cell r="H796">
            <v>14.029729729729759</v>
          </cell>
          <cell r="I796" t="e">
            <v>#N/A</v>
          </cell>
          <cell r="J796" t="e">
            <v>#N/A</v>
          </cell>
          <cell r="K796" t="e">
            <v>#N/A</v>
          </cell>
          <cell r="L796" t="e">
            <v>#N/A</v>
          </cell>
          <cell r="M796" t="e">
            <v>#N/A</v>
          </cell>
          <cell r="N796" t="e">
            <v>#N/A</v>
          </cell>
          <cell r="O796" t="e">
            <v>#N/A</v>
          </cell>
          <cell r="P796">
            <v>14.52</v>
          </cell>
          <cell r="Q796" t="str">
            <v/>
          </cell>
          <cell r="R796" t="e">
            <v>#N/A</v>
          </cell>
        </row>
        <row r="797">
          <cell r="A797">
            <v>41117</v>
          </cell>
          <cell r="B797">
            <v>41117</v>
          </cell>
          <cell r="C797" t="str">
            <v>Future</v>
          </cell>
          <cell r="D797" t="e">
            <v>#N/A</v>
          </cell>
          <cell r="E797">
            <v>1.1635135135134664</v>
          </cell>
          <cell r="F797">
            <v>17.244594594594748</v>
          </cell>
          <cell r="G797">
            <v>14.028378378378408</v>
          </cell>
          <cell r="H797">
            <v>14.028378378378408</v>
          </cell>
          <cell r="I797" t="e">
            <v>#N/A</v>
          </cell>
          <cell r="J797" t="e">
            <v>#N/A</v>
          </cell>
          <cell r="K797" t="e">
            <v>#N/A</v>
          </cell>
          <cell r="L797" t="e">
            <v>#N/A</v>
          </cell>
          <cell r="M797" t="e">
            <v>#N/A</v>
          </cell>
          <cell r="N797" t="e">
            <v>#N/A</v>
          </cell>
          <cell r="O797" t="e">
            <v>#N/A</v>
          </cell>
          <cell r="P797">
            <v>14.52</v>
          </cell>
          <cell r="Q797" t="str">
            <v/>
          </cell>
          <cell r="R797" t="e">
            <v>#N/A</v>
          </cell>
        </row>
        <row r="798">
          <cell r="A798">
            <v>41120</v>
          </cell>
          <cell r="B798">
            <v>41120</v>
          </cell>
          <cell r="C798" t="str">
            <v>Future</v>
          </cell>
          <cell r="D798" t="e">
            <v>#N/A</v>
          </cell>
          <cell r="E798">
            <v>1.108108108108061</v>
          </cell>
          <cell r="F798">
            <v>17.256756756756911</v>
          </cell>
          <cell r="G798">
            <v>14.027027027027057</v>
          </cell>
          <cell r="H798">
            <v>14.027027027027057</v>
          </cell>
          <cell r="I798" t="e">
            <v>#N/A</v>
          </cell>
          <cell r="J798" t="e">
            <v>#N/A</v>
          </cell>
          <cell r="K798" t="e">
            <v>#N/A</v>
          </cell>
          <cell r="L798" t="e">
            <v>#N/A</v>
          </cell>
          <cell r="M798" t="e">
            <v>#N/A</v>
          </cell>
          <cell r="N798" t="e">
            <v>#N/A</v>
          </cell>
          <cell r="O798" t="e">
            <v>#N/A</v>
          </cell>
          <cell r="P798">
            <v>14.52</v>
          </cell>
          <cell r="Q798" t="str">
            <v/>
          </cell>
          <cell r="R798" t="e">
            <v>#N/A</v>
          </cell>
        </row>
        <row r="799">
          <cell r="A799">
            <v>41121</v>
          </cell>
          <cell r="B799">
            <v>41121</v>
          </cell>
          <cell r="C799" t="str">
            <v>Future</v>
          </cell>
          <cell r="D799" t="e">
            <v>#N/A</v>
          </cell>
          <cell r="E799">
            <v>1.0527027027026556</v>
          </cell>
          <cell r="F799">
            <v>17.268918918919073</v>
          </cell>
          <cell r="G799">
            <v>14.025675675675705</v>
          </cell>
          <cell r="H799">
            <v>14.025675675675705</v>
          </cell>
          <cell r="I799" t="e">
            <v>#N/A</v>
          </cell>
          <cell r="J799" t="e">
            <v>#N/A</v>
          </cell>
          <cell r="K799" t="e">
            <v>#N/A</v>
          </cell>
          <cell r="L799" t="e">
            <v>#N/A</v>
          </cell>
          <cell r="M799" t="e">
            <v>#N/A</v>
          </cell>
          <cell r="N799" t="e">
            <v>#N/A</v>
          </cell>
          <cell r="O799" t="e">
            <v>#N/A</v>
          </cell>
          <cell r="P799">
            <v>14.52</v>
          </cell>
          <cell r="Q799" t="str">
            <v/>
          </cell>
          <cell r="R799" t="e">
            <v>#N/A</v>
          </cell>
        </row>
        <row r="800">
          <cell r="A800">
            <v>41122</v>
          </cell>
          <cell r="B800">
            <v>41122</v>
          </cell>
          <cell r="C800" t="str">
            <v>Future</v>
          </cell>
          <cell r="D800" t="e">
            <v>#N/A</v>
          </cell>
          <cell r="E800">
            <v>0.99729729729725025</v>
          </cell>
          <cell r="F800">
            <v>17.281081081081236</v>
          </cell>
          <cell r="G800">
            <v>14.024324324324354</v>
          </cell>
          <cell r="H800">
            <v>14.024324324324354</v>
          </cell>
          <cell r="I800" t="e">
            <v>#N/A</v>
          </cell>
          <cell r="J800" t="e">
            <v>#N/A</v>
          </cell>
          <cell r="K800" t="e">
            <v>#N/A</v>
          </cell>
          <cell r="L800" t="e">
            <v>#N/A</v>
          </cell>
          <cell r="M800" t="e">
            <v>#N/A</v>
          </cell>
          <cell r="N800" t="e">
            <v>#N/A</v>
          </cell>
          <cell r="O800" t="e">
            <v>#N/A</v>
          </cell>
          <cell r="P800">
            <v>14.52</v>
          </cell>
          <cell r="Q800" t="str">
            <v/>
          </cell>
          <cell r="R800" t="e">
            <v>#N/A</v>
          </cell>
        </row>
        <row r="801">
          <cell r="A801">
            <v>41123</v>
          </cell>
          <cell r="B801">
            <v>41123</v>
          </cell>
          <cell r="C801" t="str">
            <v>Future</v>
          </cell>
          <cell r="D801" t="e">
            <v>#N/A</v>
          </cell>
          <cell r="E801">
            <v>0.94189189189184486</v>
          </cell>
          <cell r="F801">
            <v>17.293243243243399</v>
          </cell>
          <cell r="G801">
            <v>14.022972972973003</v>
          </cell>
          <cell r="H801">
            <v>14.022972972973003</v>
          </cell>
          <cell r="I801" t="e">
            <v>#N/A</v>
          </cell>
          <cell r="J801" t="e">
            <v>#N/A</v>
          </cell>
          <cell r="K801" t="e">
            <v>#N/A</v>
          </cell>
          <cell r="L801" t="e">
            <v>#N/A</v>
          </cell>
          <cell r="M801" t="e">
            <v>#N/A</v>
          </cell>
          <cell r="N801" t="e">
            <v>#N/A</v>
          </cell>
          <cell r="O801" t="e">
            <v>#N/A</v>
          </cell>
          <cell r="P801">
            <v>14.52</v>
          </cell>
          <cell r="Q801" t="str">
            <v/>
          </cell>
          <cell r="R801" t="e">
            <v>#N/A</v>
          </cell>
        </row>
        <row r="802">
          <cell r="A802">
            <v>41124</v>
          </cell>
          <cell r="B802">
            <v>41124</v>
          </cell>
          <cell r="C802" t="str">
            <v>Future</v>
          </cell>
          <cell r="D802" t="e">
            <v>#N/A</v>
          </cell>
          <cell r="E802">
            <v>0.88648648648643946</v>
          </cell>
          <cell r="F802">
            <v>17.305405405405562</v>
          </cell>
          <cell r="G802">
            <v>14.021621621621652</v>
          </cell>
          <cell r="H802">
            <v>14.021621621621652</v>
          </cell>
          <cell r="I802" t="e">
            <v>#N/A</v>
          </cell>
          <cell r="J802" t="e">
            <v>#N/A</v>
          </cell>
          <cell r="K802" t="e">
            <v>#N/A</v>
          </cell>
          <cell r="L802" t="e">
            <v>#N/A</v>
          </cell>
          <cell r="M802" t="e">
            <v>#N/A</v>
          </cell>
          <cell r="N802" t="e">
            <v>#N/A</v>
          </cell>
          <cell r="O802" t="e">
            <v>#N/A</v>
          </cell>
          <cell r="P802">
            <v>14.52</v>
          </cell>
          <cell r="Q802" t="str">
            <v/>
          </cell>
          <cell r="R802" t="e">
            <v>#N/A</v>
          </cell>
        </row>
        <row r="803">
          <cell r="A803">
            <v>41127</v>
          </cell>
          <cell r="B803">
            <v>41127</v>
          </cell>
          <cell r="C803" t="str">
            <v>Future</v>
          </cell>
          <cell r="D803" t="e">
            <v>#N/A</v>
          </cell>
          <cell r="E803">
            <v>0.83108108108103407</v>
          </cell>
          <cell r="F803">
            <v>17.317567567567725</v>
          </cell>
          <cell r="G803">
            <v>14.0202702702703</v>
          </cell>
          <cell r="H803">
            <v>14.0202702702703</v>
          </cell>
          <cell r="I803" t="e">
            <v>#N/A</v>
          </cell>
          <cell r="J803" t="e">
            <v>#N/A</v>
          </cell>
          <cell r="K803" t="e">
            <v>#N/A</v>
          </cell>
          <cell r="L803" t="e">
            <v>#N/A</v>
          </cell>
          <cell r="M803" t="e">
            <v>#N/A</v>
          </cell>
          <cell r="N803" t="e">
            <v>#N/A</v>
          </cell>
          <cell r="O803" t="e">
            <v>#N/A</v>
          </cell>
          <cell r="P803">
            <v>14.52</v>
          </cell>
          <cell r="Q803" t="str">
            <v/>
          </cell>
          <cell r="R803" t="e">
            <v>#N/A</v>
          </cell>
        </row>
        <row r="804">
          <cell r="A804">
            <v>41128</v>
          </cell>
          <cell r="B804">
            <v>41128</v>
          </cell>
          <cell r="C804" t="str">
            <v>Future</v>
          </cell>
          <cell r="D804" t="e">
            <v>#N/A</v>
          </cell>
          <cell r="E804">
            <v>0.77567567567562867</v>
          </cell>
          <cell r="F804">
            <v>17.329729729729888</v>
          </cell>
          <cell r="G804">
            <v>14.018918918918949</v>
          </cell>
          <cell r="H804">
            <v>14.018918918918949</v>
          </cell>
          <cell r="I804" t="e">
            <v>#N/A</v>
          </cell>
          <cell r="J804" t="e">
            <v>#N/A</v>
          </cell>
          <cell r="K804" t="e">
            <v>#N/A</v>
          </cell>
          <cell r="L804" t="e">
            <v>#N/A</v>
          </cell>
          <cell r="M804" t="e">
            <v>#N/A</v>
          </cell>
          <cell r="N804" t="e">
            <v>#N/A</v>
          </cell>
          <cell r="O804" t="e">
            <v>#N/A</v>
          </cell>
          <cell r="P804">
            <v>14.52</v>
          </cell>
          <cell r="Q804" t="str">
            <v/>
          </cell>
          <cell r="R804" t="e">
            <v>#N/A</v>
          </cell>
        </row>
        <row r="805">
          <cell r="A805">
            <v>41129</v>
          </cell>
          <cell r="B805">
            <v>41129</v>
          </cell>
          <cell r="C805" t="str">
            <v>Future</v>
          </cell>
          <cell r="D805" t="e">
            <v>#N/A</v>
          </cell>
          <cell r="E805">
            <v>0.72027027027022328</v>
          </cell>
          <cell r="F805">
            <v>17.34189189189205</v>
          </cell>
          <cell r="G805">
            <v>14.017567567567598</v>
          </cell>
          <cell r="H805">
            <v>14.017567567567598</v>
          </cell>
          <cell r="I805" t="e">
            <v>#N/A</v>
          </cell>
          <cell r="J805" t="e">
            <v>#N/A</v>
          </cell>
          <cell r="K805" t="e">
            <v>#N/A</v>
          </cell>
          <cell r="L805" t="e">
            <v>#N/A</v>
          </cell>
          <cell r="M805" t="e">
            <v>#N/A</v>
          </cell>
          <cell r="N805" t="e">
            <v>#N/A</v>
          </cell>
          <cell r="O805" t="e">
            <v>#N/A</v>
          </cell>
          <cell r="P805">
            <v>14.52</v>
          </cell>
          <cell r="Q805" t="str">
            <v/>
          </cell>
          <cell r="R805" t="e">
            <v>#N/A</v>
          </cell>
        </row>
        <row r="806">
          <cell r="A806">
            <v>41130</v>
          </cell>
          <cell r="B806">
            <v>41130</v>
          </cell>
          <cell r="C806" t="str">
            <v>Future</v>
          </cell>
          <cell r="D806" t="e">
            <v>#N/A</v>
          </cell>
          <cell r="E806">
            <v>0.66486486486481788</v>
          </cell>
          <cell r="F806">
            <v>17.354054054054213</v>
          </cell>
          <cell r="G806">
            <v>14.016216216216247</v>
          </cell>
          <cell r="H806">
            <v>14.016216216216247</v>
          </cell>
          <cell r="I806" t="e">
            <v>#N/A</v>
          </cell>
          <cell r="J806" t="e">
            <v>#N/A</v>
          </cell>
          <cell r="K806" t="e">
            <v>#N/A</v>
          </cell>
          <cell r="L806" t="e">
            <v>#N/A</v>
          </cell>
          <cell r="M806" t="e">
            <v>#N/A</v>
          </cell>
          <cell r="N806" t="e">
            <v>#N/A</v>
          </cell>
          <cell r="O806" t="e">
            <v>#N/A</v>
          </cell>
          <cell r="P806">
            <v>14.52</v>
          </cell>
          <cell r="Q806" t="str">
            <v/>
          </cell>
          <cell r="R806" t="e">
            <v>#N/A</v>
          </cell>
        </row>
        <row r="807">
          <cell r="A807">
            <v>41131</v>
          </cell>
          <cell r="B807">
            <v>41131</v>
          </cell>
          <cell r="C807" t="str">
            <v>Future</v>
          </cell>
          <cell r="D807" t="e">
            <v>#N/A</v>
          </cell>
          <cell r="E807">
            <v>0.60945945945941249</v>
          </cell>
          <cell r="F807">
            <v>17.366216216216376</v>
          </cell>
          <cell r="G807">
            <v>14.014864864864895</v>
          </cell>
          <cell r="H807">
            <v>14.014864864864895</v>
          </cell>
          <cell r="I807" t="e">
            <v>#N/A</v>
          </cell>
          <cell r="J807" t="e">
            <v>#N/A</v>
          </cell>
          <cell r="K807" t="e">
            <v>#N/A</v>
          </cell>
          <cell r="L807" t="e">
            <v>#N/A</v>
          </cell>
          <cell r="M807" t="e">
            <v>#N/A</v>
          </cell>
          <cell r="N807" t="e">
            <v>#N/A</v>
          </cell>
          <cell r="O807" t="e">
            <v>#N/A</v>
          </cell>
          <cell r="P807">
            <v>14.52</v>
          </cell>
          <cell r="Q807" t="str">
            <v/>
          </cell>
          <cell r="R807" t="e">
            <v>#N/A</v>
          </cell>
        </row>
        <row r="808">
          <cell r="A808">
            <v>41134</v>
          </cell>
          <cell r="B808">
            <v>41134</v>
          </cell>
          <cell r="C808" t="str">
            <v>Future</v>
          </cell>
          <cell r="D808" t="e">
            <v>#N/A</v>
          </cell>
          <cell r="E808">
            <v>0.55405405405400709</v>
          </cell>
          <cell r="F808">
            <v>17.378378378378539</v>
          </cell>
          <cell r="G808">
            <v>14.013513513513544</v>
          </cell>
          <cell r="H808">
            <v>14.013513513513544</v>
          </cell>
          <cell r="I808" t="e">
            <v>#N/A</v>
          </cell>
          <cell r="J808" t="e">
            <v>#N/A</v>
          </cell>
          <cell r="K808" t="e">
            <v>#N/A</v>
          </cell>
          <cell r="L808" t="e">
            <v>#N/A</v>
          </cell>
          <cell r="M808" t="e">
            <v>#N/A</v>
          </cell>
          <cell r="N808" t="e">
            <v>#N/A</v>
          </cell>
          <cell r="O808" t="e">
            <v>#N/A</v>
          </cell>
          <cell r="P808">
            <v>14.52</v>
          </cell>
          <cell r="Q808" t="str">
            <v/>
          </cell>
          <cell r="R808" t="e">
            <v>#N/A</v>
          </cell>
        </row>
        <row r="809">
          <cell r="A809">
            <v>41135</v>
          </cell>
          <cell r="B809">
            <v>41135</v>
          </cell>
          <cell r="C809" t="str">
            <v>Future</v>
          </cell>
          <cell r="D809" t="e">
            <v>#N/A</v>
          </cell>
          <cell r="E809">
            <v>0.4986486486486017</v>
          </cell>
          <cell r="F809">
            <v>17.390540540540702</v>
          </cell>
          <cell r="G809">
            <v>14.012162162162193</v>
          </cell>
          <cell r="H809">
            <v>14.012162162162193</v>
          </cell>
          <cell r="I809" t="e">
            <v>#N/A</v>
          </cell>
          <cell r="J809" t="e">
            <v>#N/A</v>
          </cell>
          <cell r="K809" t="e">
            <v>#N/A</v>
          </cell>
          <cell r="L809" t="e">
            <v>#N/A</v>
          </cell>
          <cell r="M809" t="e">
            <v>#N/A</v>
          </cell>
          <cell r="N809" t="e">
            <v>#N/A</v>
          </cell>
          <cell r="O809" t="e">
            <v>#N/A</v>
          </cell>
          <cell r="P809">
            <v>14.52</v>
          </cell>
          <cell r="Q809" t="str">
            <v/>
          </cell>
          <cell r="R809" t="e">
            <v>#N/A</v>
          </cell>
        </row>
        <row r="810">
          <cell r="A810">
            <v>41136</v>
          </cell>
          <cell r="B810">
            <v>41136</v>
          </cell>
          <cell r="C810" t="str">
            <v>Future</v>
          </cell>
          <cell r="D810" t="e">
            <v>#N/A</v>
          </cell>
          <cell r="E810">
            <v>0.44324324324319631</v>
          </cell>
          <cell r="F810">
            <v>17.402702702702864</v>
          </cell>
          <cell r="G810">
            <v>14.010810810810842</v>
          </cell>
          <cell r="H810">
            <v>14.010810810810842</v>
          </cell>
          <cell r="I810" t="e">
            <v>#N/A</v>
          </cell>
          <cell r="J810" t="e">
            <v>#N/A</v>
          </cell>
          <cell r="K810" t="e">
            <v>#N/A</v>
          </cell>
          <cell r="L810" t="e">
            <v>#N/A</v>
          </cell>
          <cell r="M810" t="e">
            <v>#N/A</v>
          </cell>
          <cell r="N810" t="e">
            <v>#N/A</v>
          </cell>
          <cell r="O810" t="e">
            <v>#N/A</v>
          </cell>
          <cell r="P810">
            <v>14.52</v>
          </cell>
          <cell r="Q810" t="str">
            <v/>
          </cell>
          <cell r="R810" t="e">
            <v>#N/A</v>
          </cell>
        </row>
        <row r="811">
          <cell r="A811">
            <v>41137</v>
          </cell>
          <cell r="B811">
            <v>41137</v>
          </cell>
          <cell r="C811" t="str">
            <v>Future</v>
          </cell>
          <cell r="D811" t="e">
            <v>#N/A</v>
          </cell>
          <cell r="E811">
            <v>0.38783783783779091</v>
          </cell>
          <cell r="F811">
            <v>17.414864864865027</v>
          </cell>
          <cell r="G811">
            <v>14.009459459459491</v>
          </cell>
          <cell r="H811">
            <v>14.009459459459491</v>
          </cell>
          <cell r="I811" t="e">
            <v>#N/A</v>
          </cell>
          <cell r="J811" t="e">
            <v>#N/A</v>
          </cell>
          <cell r="K811" t="e">
            <v>#N/A</v>
          </cell>
          <cell r="L811" t="e">
            <v>#N/A</v>
          </cell>
          <cell r="M811" t="e">
            <v>#N/A</v>
          </cell>
          <cell r="N811" t="e">
            <v>#N/A</v>
          </cell>
          <cell r="O811" t="e">
            <v>#N/A</v>
          </cell>
          <cell r="P811">
            <v>14.52</v>
          </cell>
          <cell r="Q811" t="str">
            <v/>
          </cell>
          <cell r="R811" t="e">
            <v>#N/A</v>
          </cell>
        </row>
        <row r="812">
          <cell r="A812">
            <v>41138</v>
          </cell>
          <cell r="B812">
            <v>41138</v>
          </cell>
          <cell r="C812" t="str">
            <v>Future</v>
          </cell>
          <cell r="D812" t="e">
            <v>#N/A</v>
          </cell>
          <cell r="E812">
            <v>0.33243243243238552</v>
          </cell>
          <cell r="F812">
            <v>17.42702702702719</v>
          </cell>
          <cell r="G812">
            <v>14.008108108108139</v>
          </cell>
          <cell r="H812">
            <v>14.008108108108139</v>
          </cell>
          <cell r="I812" t="e">
            <v>#N/A</v>
          </cell>
          <cell r="J812" t="e">
            <v>#N/A</v>
          </cell>
          <cell r="K812" t="e">
            <v>#N/A</v>
          </cell>
          <cell r="L812" t="e">
            <v>#N/A</v>
          </cell>
          <cell r="M812" t="e">
            <v>#N/A</v>
          </cell>
          <cell r="N812" t="e">
            <v>#N/A</v>
          </cell>
          <cell r="O812" t="e">
            <v>#N/A</v>
          </cell>
          <cell r="P812">
            <v>14.52</v>
          </cell>
          <cell r="Q812" t="str">
            <v/>
          </cell>
          <cell r="R812" t="e">
            <v>#N/A</v>
          </cell>
        </row>
        <row r="813">
          <cell r="A813">
            <v>41141</v>
          </cell>
          <cell r="B813">
            <v>41141</v>
          </cell>
          <cell r="C813" t="str">
            <v>Future</v>
          </cell>
          <cell r="D813" t="e">
            <v>#N/A</v>
          </cell>
          <cell r="E813">
            <v>0.27702702702698012</v>
          </cell>
          <cell r="F813">
            <v>17.439189189189353</v>
          </cell>
          <cell r="G813">
            <v>14.006756756756788</v>
          </cell>
          <cell r="H813">
            <v>14.006756756756788</v>
          </cell>
          <cell r="I813" t="e">
            <v>#N/A</v>
          </cell>
          <cell r="J813" t="e">
            <v>#N/A</v>
          </cell>
          <cell r="K813" t="e">
            <v>#N/A</v>
          </cell>
          <cell r="L813" t="e">
            <v>#N/A</v>
          </cell>
          <cell r="M813" t="e">
            <v>#N/A</v>
          </cell>
          <cell r="N813" t="e">
            <v>#N/A</v>
          </cell>
          <cell r="O813" t="e">
            <v>#N/A</v>
          </cell>
          <cell r="P813">
            <v>14.52</v>
          </cell>
          <cell r="Q813" t="str">
            <v/>
          </cell>
          <cell r="R813" t="e">
            <v>#N/A</v>
          </cell>
        </row>
        <row r="814">
          <cell r="A814">
            <v>41142</v>
          </cell>
          <cell r="B814">
            <v>41142</v>
          </cell>
          <cell r="C814" t="str">
            <v>Future</v>
          </cell>
          <cell r="D814" t="e">
            <v>#N/A</v>
          </cell>
          <cell r="E814">
            <v>0.22162162162157473</v>
          </cell>
          <cell r="F814">
            <v>17.451351351351516</v>
          </cell>
          <cell r="G814">
            <v>14.005405405405437</v>
          </cell>
          <cell r="H814">
            <v>14.005405405405437</v>
          </cell>
          <cell r="I814" t="e">
            <v>#N/A</v>
          </cell>
          <cell r="J814" t="e">
            <v>#N/A</v>
          </cell>
          <cell r="K814" t="e">
            <v>#N/A</v>
          </cell>
          <cell r="L814" t="e">
            <v>#N/A</v>
          </cell>
          <cell r="M814" t="e">
            <v>#N/A</v>
          </cell>
          <cell r="N814" t="e">
            <v>#N/A</v>
          </cell>
          <cell r="O814" t="e">
            <v>#N/A</v>
          </cell>
          <cell r="P814">
            <v>14.52</v>
          </cell>
          <cell r="Q814" t="str">
            <v/>
          </cell>
          <cell r="R814" t="e">
            <v>#N/A</v>
          </cell>
        </row>
        <row r="815">
          <cell r="A815">
            <v>41143</v>
          </cell>
          <cell r="B815">
            <v>41143</v>
          </cell>
          <cell r="C815" t="str">
            <v>Future</v>
          </cell>
          <cell r="D815" t="e">
            <v>#N/A</v>
          </cell>
          <cell r="E815">
            <v>0.16621621621616933</v>
          </cell>
          <cell r="F815">
            <v>17.463513513513679</v>
          </cell>
          <cell r="G815">
            <v>14.004054054054086</v>
          </cell>
          <cell r="H815">
            <v>14.004054054054086</v>
          </cell>
          <cell r="I815" t="e">
            <v>#N/A</v>
          </cell>
          <cell r="J815" t="e">
            <v>#N/A</v>
          </cell>
          <cell r="K815" t="e">
            <v>#N/A</v>
          </cell>
          <cell r="L815" t="e">
            <v>#N/A</v>
          </cell>
          <cell r="M815" t="e">
            <v>#N/A</v>
          </cell>
          <cell r="N815" t="e">
            <v>#N/A</v>
          </cell>
          <cell r="O815" t="e">
            <v>#N/A</v>
          </cell>
          <cell r="P815">
            <v>14.52</v>
          </cell>
          <cell r="Q815" t="str">
            <v/>
          </cell>
          <cell r="R815" t="e">
            <v>#N/A</v>
          </cell>
        </row>
        <row r="816">
          <cell r="A816">
            <v>41144</v>
          </cell>
          <cell r="B816">
            <v>41144</v>
          </cell>
          <cell r="C816" t="str">
            <v>Future</v>
          </cell>
          <cell r="D816" t="e">
            <v>#N/A</v>
          </cell>
          <cell r="E816">
            <v>0.11081081081076394</v>
          </cell>
          <cell r="F816">
            <v>17.475675675675841</v>
          </cell>
          <cell r="G816">
            <v>14.002702702702734</v>
          </cell>
          <cell r="H816">
            <v>14.002702702702734</v>
          </cell>
          <cell r="I816" t="e">
            <v>#N/A</v>
          </cell>
          <cell r="J816" t="e">
            <v>#N/A</v>
          </cell>
          <cell r="K816" t="e">
            <v>#N/A</v>
          </cell>
          <cell r="L816" t="e">
            <v>#N/A</v>
          </cell>
          <cell r="M816" t="e">
            <v>#N/A</v>
          </cell>
          <cell r="N816" t="e">
            <v>#N/A</v>
          </cell>
          <cell r="O816" t="e">
            <v>#N/A</v>
          </cell>
          <cell r="P816">
            <v>14.52</v>
          </cell>
          <cell r="Q816" t="str">
            <v/>
          </cell>
          <cell r="R816" t="e">
            <v>#N/A</v>
          </cell>
        </row>
        <row r="817">
          <cell r="A817">
            <v>41145</v>
          </cell>
          <cell r="B817">
            <v>41145</v>
          </cell>
          <cell r="C817" t="str">
            <v>Future</v>
          </cell>
          <cell r="D817" t="e">
            <v>#N/A</v>
          </cell>
          <cell r="E817">
            <v>5.5405405405358536E-2</v>
          </cell>
          <cell r="F817">
            <v>17.487837837838004</v>
          </cell>
          <cell r="G817">
            <v>14.001351351351383</v>
          </cell>
          <cell r="H817">
            <v>14.001351351351383</v>
          </cell>
          <cell r="I817" t="e">
            <v>#N/A</v>
          </cell>
          <cell r="J817" t="e">
            <v>#N/A</v>
          </cell>
          <cell r="K817">
            <v>17.5</v>
          </cell>
          <cell r="L817">
            <v>14</v>
          </cell>
          <cell r="M817" t="e">
            <v>#N/A</v>
          </cell>
          <cell r="N817">
            <v>16.5</v>
          </cell>
          <cell r="O817" t="e">
            <v>#N/A</v>
          </cell>
          <cell r="P817">
            <v>14.52</v>
          </cell>
          <cell r="Q817" t="str">
            <v/>
          </cell>
          <cell r="R817">
            <v>16.5</v>
          </cell>
        </row>
        <row r="818">
          <cell r="A818" t="str">
            <v/>
          </cell>
          <cell r="B818" t="str">
            <v/>
          </cell>
          <cell r="C818" t="str">
            <v>Future</v>
          </cell>
          <cell r="D818" t="e">
            <v>#N/A</v>
          </cell>
          <cell r="E818">
            <v>-4.686528942698942E-14</v>
          </cell>
          <cell r="F818">
            <v>17.500000000000167</v>
          </cell>
          <cell r="G818">
            <v>14.000000000000032</v>
          </cell>
          <cell r="H818">
            <v>14.000000000000032</v>
          </cell>
          <cell r="I818" t="e">
            <v>#N/A</v>
          </cell>
          <cell r="J818" t="e">
            <v>#N/A</v>
          </cell>
          <cell r="K818">
            <v>17.5</v>
          </cell>
          <cell r="L818">
            <v>14</v>
          </cell>
          <cell r="M818" t="e">
            <v>#N/A</v>
          </cell>
          <cell r="N818">
            <v>16.5</v>
          </cell>
          <cell r="O818" t="e">
            <v>#N/A</v>
          </cell>
          <cell r="P818" t="str">
            <v/>
          </cell>
          <cell r="Q818" t="str">
            <v/>
          </cell>
          <cell r="R818">
            <v>16.5</v>
          </cell>
        </row>
        <row r="819">
          <cell r="A819" t="str">
            <v/>
          </cell>
          <cell r="B819" t="str">
            <v/>
          </cell>
          <cell r="C819" t="str">
            <v>Future</v>
          </cell>
          <cell r="D819" t="e">
            <v>#N/A</v>
          </cell>
          <cell r="E819">
            <v>-5.5405405405452267E-2</v>
          </cell>
          <cell r="F819">
            <v>17.51216216216233</v>
          </cell>
          <cell r="G819">
            <v>13.998648648648681</v>
          </cell>
          <cell r="H819">
            <v>13.998648648648681</v>
          </cell>
          <cell r="I819" t="e">
            <v>#N/A</v>
          </cell>
          <cell r="J819" t="e">
            <v>#N/A</v>
          </cell>
          <cell r="K819">
            <v>17.5</v>
          </cell>
          <cell r="L819">
            <v>14</v>
          </cell>
          <cell r="M819" t="e">
            <v>#N/A</v>
          </cell>
          <cell r="N819">
            <v>16.5</v>
          </cell>
          <cell r="O819" t="e">
            <v>#N/A</v>
          </cell>
          <cell r="P819" t="str">
            <v/>
          </cell>
          <cell r="Q819" t="str">
            <v/>
          </cell>
          <cell r="R819">
            <v>16.5</v>
          </cell>
        </row>
        <row r="820">
          <cell r="A820" t="str">
            <v/>
          </cell>
          <cell r="B820" t="str">
            <v/>
          </cell>
          <cell r="C820" t="str">
            <v>Future</v>
          </cell>
          <cell r="D820" t="e">
            <v>#N/A</v>
          </cell>
          <cell r="E820">
            <v>-0.11081081081085767</v>
          </cell>
          <cell r="F820">
            <v>17.524324324324493</v>
          </cell>
          <cell r="G820">
            <v>13.99729729729733</v>
          </cell>
          <cell r="H820">
            <v>13.99729729729733</v>
          </cell>
          <cell r="I820" t="e">
            <v>#N/A</v>
          </cell>
          <cell r="J820" t="e">
            <v>#N/A</v>
          </cell>
          <cell r="K820">
            <v>17.5</v>
          </cell>
          <cell r="L820">
            <v>14</v>
          </cell>
          <cell r="M820" t="e">
            <v>#N/A</v>
          </cell>
          <cell r="N820">
            <v>16.5</v>
          </cell>
          <cell r="O820" t="e">
            <v>#N/A</v>
          </cell>
          <cell r="P820" t="str">
            <v/>
          </cell>
          <cell r="Q820" t="str">
            <v/>
          </cell>
          <cell r="R820">
            <v>16.5</v>
          </cell>
        </row>
        <row r="821">
          <cell r="A821" t="str">
            <v/>
          </cell>
          <cell r="B821" t="str">
            <v/>
          </cell>
          <cell r="C821" t="str">
            <v>Future</v>
          </cell>
          <cell r="D821" t="e">
            <v>#N/A</v>
          </cell>
          <cell r="E821">
            <v>-0.16621621621626306</v>
          </cell>
          <cell r="F821">
            <v>17.536486486486655</v>
          </cell>
          <cell r="G821">
            <v>13.995945945945978</v>
          </cell>
          <cell r="H821">
            <v>13.995945945945978</v>
          </cell>
          <cell r="I821" t="e">
            <v>#N/A</v>
          </cell>
          <cell r="J821" t="e">
            <v>#N/A</v>
          </cell>
          <cell r="K821">
            <v>17.5</v>
          </cell>
          <cell r="L821">
            <v>14</v>
          </cell>
          <cell r="M821" t="e">
            <v>#N/A</v>
          </cell>
          <cell r="N821">
            <v>16.5</v>
          </cell>
          <cell r="O821" t="e">
            <v>#N/A</v>
          </cell>
          <cell r="P821" t="str">
            <v/>
          </cell>
          <cell r="Q821" t="str">
            <v/>
          </cell>
          <cell r="R821">
            <v>16.5</v>
          </cell>
        </row>
        <row r="822">
          <cell r="A822" t="str">
            <v/>
          </cell>
          <cell r="B822" t="str">
            <v/>
          </cell>
          <cell r="C822" t="str">
            <v>Future</v>
          </cell>
          <cell r="D822" t="e">
            <v>#N/A</v>
          </cell>
          <cell r="E822">
            <v>-0.22162162162166846</v>
          </cell>
          <cell r="F822">
            <v>17.548648648648818</v>
          </cell>
          <cell r="G822">
            <v>13.994594594594627</v>
          </cell>
          <cell r="H822">
            <v>13.994594594594627</v>
          </cell>
          <cell r="I822" t="e">
            <v>#N/A</v>
          </cell>
          <cell r="J822" t="e">
            <v>#N/A</v>
          </cell>
          <cell r="K822">
            <v>17.5</v>
          </cell>
          <cell r="L822">
            <v>14</v>
          </cell>
          <cell r="M822" t="e">
            <v>#N/A</v>
          </cell>
          <cell r="N822">
            <v>16.5</v>
          </cell>
          <cell r="O822" t="e">
            <v>#N/A</v>
          </cell>
          <cell r="P822" t="str">
            <v/>
          </cell>
          <cell r="Q822" t="str">
            <v/>
          </cell>
          <cell r="R822">
            <v>16.5</v>
          </cell>
        </row>
        <row r="823">
          <cell r="A823" t="str">
            <v/>
          </cell>
          <cell r="B823" t="str">
            <v/>
          </cell>
          <cell r="C823" t="str">
            <v>Future</v>
          </cell>
          <cell r="D823" t="e">
            <v>#N/A</v>
          </cell>
          <cell r="E823">
            <v>-0.27702702702707388</v>
          </cell>
          <cell r="F823">
            <v>17.560810810810981</v>
          </cell>
          <cell r="G823">
            <v>13.993243243243276</v>
          </cell>
          <cell r="H823">
            <v>13.993243243243276</v>
          </cell>
          <cell r="I823" t="e">
            <v>#N/A</v>
          </cell>
          <cell r="J823" t="e">
            <v>#N/A</v>
          </cell>
          <cell r="K823">
            <v>17.5</v>
          </cell>
          <cell r="L823">
            <v>14</v>
          </cell>
          <cell r="M823" t="e">
            <v>#N/A</v>
          </cell>
          <cell r="N823">
            <v>16.5</v>
          </cell>
          <cell r="O823" t="e">
            <v>#N/A</v>
          </cell>
          <cell r="P823" t="str">
            <v/>
          </cell>
          <cell r="Q823" t="str">
            <v/>
          </cell>
          <cell r="R823">
            <v>16.5</v>
          </cell>
        </row>
        <row r="824">
          <cell r="A824" t="str">
            <v/>
          </cell>
          <cell r="B824" t="str">
            <v/>
          </cell>
          <cell r="C824" t="str">
            <v>Future</v>
          </cell>
          <cell r="D824" t="e">
            <v>#N/A</v>
          </cell>
          <cell r="E824">
            <v>-0.33243243243247927</v>
          </cell>
          <cell r="F824">
            <v>17.572972972973144</v>
          </cell>
          <cell r="G824">
            <v>13.991891891891925</v>
          </cell>
          <cell r="H824">
            <v>13.991891891891925</v>
          </cell>
          <cell r="I824" t="e">
            <v>#N/A</v>
          </cell>
          <cell r="J824" t="e">
            <v>#N/A</v>
          </cell>
          <cell r="K824">
            <v>17.5</v>
          </cell>
          <cell r="L824">
            <v>14</v>
          </cell>
          <cell r="M824" t="e">
            <v>#N/A</v>
          </cell>
          <cell r="N824">
            <v>16.5</v>
          </cell>
          <cell r="O824" t="e">
            <v>#N/A</v>
          </cell>
          <cell r="P824" t="str">
            <v/>
          </cell>
          <cell r="Q824" t="str">
            <v/>
          </cell>
          <cell r="R824">
            <v>16.5</v>
          </cell>
        </row>
        <row r="825">
          <cell r="A825" t="str">
            <v/>
          </cell>
          <cell r="B825" t="str">
            <v/>
          </cell>
          <cell r="C825" t="str">
            <v>Future</v>
          </cell>
          <cell r="D825" t="e">
            <v>#N/A</v>
          </cell>
          <cell r="E825">
            <v>-0.38783783783788467</v>
          </cell>
          <cell r="F825">
            <v>17.585135135135307</v>
          </cell>
          <cell r="G825">
            <v>13.990540540540573</v>
          </cell>
          <cell r="H825">
            <v>13.990540540540573</v>
          </cell>
          <cell r="I825" t="e">
            <v>#N/A</v>
          </cell>
          <cell r="J825" t="e">
            <v>#N/A</v>
          </cell>
          <cell r="K825">
            <v>17.5</v>
          </cell>
          <cell r="L825">
            <v>14</v>
          </cell>
          <cell r="M825" t="e">
            <v>#N/A</v>
          </cell>
          <cell r="N825">
            <v>16.5</v>
          </cell>
          <cell r="O825" t="e">
            <v>#N/A</v>
          </cell>
          <cell r="P825" t="str">
            <v/>
          </cell>
          <cell r="Q825" t="str">
            <v/>
          </cell>
          <cell r="R825">
            <v>16.5</v>
          </cell>
        </row>
        <row r="826">
          <cell r="A826" t="str">
            <v/>
          </cell>
          <cell r="B826" t="str">
            <v/>
          </cell>
          <cell r="C826" t="str">
            <v>Future</v>
          </cell>
          <cell r="D826" t="e">
            <v>#N/A</v>
          </cell>
          <cell r="E826">
            <v>-0.44324324324329006</v>
          </cell>
          <cell r="F826">
            <v>17.597297297297469</v>
          </cell>
          <cell r="G826">
            <v>13.989189189189222</v>
          </cell>
          <cell r="H826">
            <v>13.989189189189222</v>
          </cell>
          <cell r="I826" t="e">
            <v>#N/A</v>
          </cell>
          <cell r="J826" t="e">
            <v>#N/A</v>
          </cell>
          <cell r="K826">
            <v>17.5</v>
          </cell>
          <cell r="L826">
            <v>14</v>
          </cell>
          <cell r="M826" t="e">
            <v>#N/A</v>
          </cell>
          <cell r="N826">
            <v>16.5</v>
          </cell>
          <cell r="O826" t="e">
            <v>#N/A</v>
          </cell>
          <cell r="P826" t="str">
            <v/>
          </cell>
          <cell r="Q826" t="str">
            <v/>
          </cell>
          <cell r="R826">
            <v>16.5</v>
          </cell>
        </row>
        <row r="827">
          <cell r="A827" t="str">
            <v/>
          </cell>
          <cell r="B827" t="str">
            <v/>
          </cell>
          <cell r="C827" t="str">
            <v>Future</v>
          </cell>
          <cell r="D827" t="e">
            <v>#N/A</v>
          </cell>
          <cell r="E827">
            <v>-0.49864864864869546</v>
          </cell>
          <cell r="F827">
            <v>17.609459459459632</v>
          </cell>
          <cell r="G827">
            <v>13.987837837837871</v>
          </cell>
          <cell r="H827">
            <v>13.987837837837871</v>
          </cell>
          <cell r="I827" t="e">
            <v>#N/A</v>
          </cell>
          <cell r="J827" t="e">
            <v>#N/A</v>
          </cell>
          <cell r="K827">
            <v>17.5</v>
          </cell>
          <cell r="L827">
            <v>14</v>
          </cell>
          <cell r="M827" t="e">
            <v>#N/A</v>
          </cell>
          <cell r="N827">
            <v>16.5</v>
          </cell>
          <cell r="O827" t="e">
            <v>#N/A</v>
          </cell>
          <cell r="P827" t="str">
            <v/>
          </cell>
          <cell r="Q827" t="str">
            <v/>
          </cell>
          <cell r="R827">
            <v>16.5</v>
          </cell>
        </row>
        <row r="828">
          <cell r="A828" t="str">
            <v/>
          </cell>
          <cell r="B828" t="str">
            <v/>
          </cell>
          <cell r="C828" t="str">
            <v>Future</v>
          </cell>
          <cell r="D828" t="e">
            <v>#N/A</v>
          </cell>
          <cell r="E828">
            <v>-0.55405405405410091</v>
          </cell>
          <cell r="F828">
            <v>17.621621621621795</v>
          </cell>
          <cell r="G828">
            <v>13.98648648648652</v>
          </cell>
          <cell r="H828">
            <v>13.98648648648652</v>
          </cell>
          <cell r="I828" t="e">
            <v>#N/A</v>
          </cell>
          <cell r="J828" t="e">
            <v>#N/A</v>
          </cell>
          <cell r="K828">
            <v>17.5</v>
          </cell>
          <cell r="L828">
            <v>14</v>
          </cell>
          <cell r="M828" t="e">
            <v>#N/A</v>
          </cell>
          <cell r="N828">
            <v>16.5</v>
          </cell>
          <cell r="O828" t="e">
            <v>#N/A</v>
          </cell>
          <cell r="P828" t="str">
            <v/>
          </cell>
          <cell r="Q828" t="str">
            <v/>
          </cell>
          <cell r="R828">
            <v>16.5</v>
          </cell>
        </row>
        <row r="829">
          <cell r="A829" t="str">
            <v/>
          </cell>
          <cell r="B829" t="str">
            <v/>
          </cell>
          <cell r="C829" t="str">
            <v>Future</v>
          </cell>
          <cell r="D829" t="e">
            <v>#N/A</v>
          </cell>
          <cell r="E829">
            <v>-0.6094594594595063</v>
          </cell>
          <cell r="F829">
            <v>17.633783783783958</v>
          </cell>
          <cell r="G829">
            <v>13.985135135135168</v>
          </cell>
          <cell r="H829">
            <v>13.985135135135168</v>
          </cell>
          <cell r="I829" t="e">
            <v>#N/A</v>
          </cell>
          <cell r="J829" t="e">
            <v>#N/A</v>
          </cell>
          <cell r="K829">
            <v>17.5</v>
          </cell>
          <cell r="L829">
            <v>14</v>
          </cell>
          <cell r="M829" t="e">
            <v>#N/A</v>
          </cell>
          <cell r="N829">
            <v>16.5</v>
          </cell>
          <cell r="O829" t="e">
            <v>#N/A</v>
          </cell>
          <cell r="P829" t="str">
            <v/>
          </cell>
          <cell r="Q829" t="str">
            <v/>
          </cell>
          <cell r="R829">
            <v>16.5</v>
          </cell>
        </row>
        <row r="830">
          <cell r="A830" t="str">
            <v/>
          </cell>
          <cell r="B830" t="str">
            <v/>
          </cell>
          <cell r="C830" t="str">
            <v>Future</v>
          </cell>
          <cell r="D830" t="e">
            <v>#N/A</v>
          </cell>
          <cell r="E830">
            <v>-0.6648648648649117</v>
          </cell>
          <cell r="F830">
            <v>17.645945945946121</v>
          </cell>
          <cell r="G830">
            <v>13.983783783783817</v>
          </cell>
          <cell r="H830">
            <v>13.983783783783817</v>
          </cell>
          <cell r="I830" t="e">
            <v>#N/A</v>
          </cell>
          <cell r="J830" t="e">
            <v>#N/A</v>
          </cell>
          <cell r="K830">
            <v>17.5</v>
          </cell>
          <cell r="L830">
            <v>14</v>
          </cell>
          <cell r="M830" t="e">
            <v>#N/A</v>
          </cell>
          <cell r="N830">
            <v>16.5</v>
          </cell>
          <cell r="O830" t="e">
            <v>#N/A</v>
          </cell>
          <cell r="P830" t="str">
            <v/>
          </cell>
          <cell r="Q830" t="str">
            <v/>
          </cell>
          <cell r="R830">
            <v>16.5</v>
          </cell>
        </row>
        <row r="831">
          <cell r="A831" t="str">
            <v/>
          </cell>
          <cell r="B831" t="str">
            <v/>
          </cell>
          <cell r="C831" t="str">
            <v>Future</v>
          </cell>
          <cell r="D831" t="e">
            <v>#N/A</v>
          </cell>
          <cell r="E831">
            <v>-0.72027027027031709</v>
          </cell>
          <cell r="F831">
            <v>17.658108108108284</v>
          </cell>
          <cell r="G831">
            <v>13.982432432432466</v>
          </cell>
          <cell r="H831">
            <v>13.982432432432466</v>
          </cell>
          <cell r="I831" t="e">
            <v>#N/A</v>
          </cell>
          <cell r="J831" t="e">
            <v>#N/A</v>
          </cell>
          <cell r="K831">
            <v>17.5</v>
          </cell>
          <cell r="L831">
            <v>14</v>
          </cell>
          <cell r="M831" t="e">
            <v>#N/A</v>
          </cell>
          <cell r="N831">
            <v>16.5</v>
          </cell>
          <cell r="O831" t="e">
            <v>#N/A</v>
          </cell>
          <cell r="P831" t="str">
            <v/>
          </cell>
          <cell r="Q831" t="str">
            <v/>
          </cell>
          <cell r="R831">
            <v>16.5</v>
          </cell>
        </row>
        <row r="832">
          <cell r="A832" t="str">
            <v/>
          </cell>
          <cell r="B832" t="str">
            <v/>
          </cell>
          <cell r="C832" t="str">
            <v>Future</v>
          </cell>
          <cell r="D832" t="e">
            <v>#N/A</v>
          </cell>
          <cell r="E832">
            <v>-0.77567567567572249</v>
          </cell>
          <cell r="F832">
            <v>17.670270270270446</v>
          </cell>
          <cell r="G832">
            <v>13.981081081081115</v>
          </cell>
          <cell r="H832">
            <v>13.981081081081115</v>
          </cell>
          <cell r="I832" t="e">
            <v>#N/A</v>
          </cell>
          <cell r="J832" t="e">
            <v>#N/A</v>
          </cell>
          <cell r="K832">
            <v>17.5</v>
          </cell>
          <cell r="L832">
            <v>14</v>
          </cell>
          <cell r="M832" t="e">
            <v>#N/A</v>
          </cell>
          <cell r="N832">
            <v>16.5</v>
          </cell>
          <cell r="O832" t="e">
            <v>#N/A</v>
          </cell>
          <cell r="P832" t="str">
            <v/>
          </cell>
          <cell r="Q832" t="str">
            <v/>
          </cell>
          <cell r="R832">
            <v>16.5</v>
          </cell>
        </row>
        <row r="833">
          <cell r="A833" t="str">
            <v/>
          </cell>
          <cell r="B833" t="str">
            <v/>
          </cell>
          <cell r="C833" t="str">
            <v>Future</v>
          </cell>
          <cell r="D833" t="e">
            <v>#N/A</v>
          </cell>
          <cell r="E833">
            <v>-0.83108108108112788</v>
          </cell>
          <cell r="F833">
            <v>17.682432432432609</v>
          </cell>
          <cell r="G833">
            <v>13.979729729729764</v>
          </cell>
          <cell r="H833">
            <v>13.979729729729764</v>
          </cell>
          <cell r="I833" t="e">
            <v>#N/A</v>
          </cell>
          <cell r="J833" t="e">
            <v>#N/A</v>
          </cell>
          <cell r="K833">
            <v>17.5</v>
          </cell>
          <cell r="L833">
            <v>14</v>
          </cell>
          <cell r="M833" t="e">
            <v>#N/A</v>
          </cell>
          <cell r="N833">
            <v>16.5</v>
          </cell>
          <cell r="O833" t="e">
            <v>#N/A</v>
          </cell>
          <cell r="P833" t="str">
            <v/>
          </cell>
          <cell r="Q833" t="str">
            <v/>
          </cell>
          <cell r="R833">
            <v>16.5</v>
          </cell>
        </row>
        <row r="834">
          <cell r="A834" t="str">
            <v/>
          </cell>
          <cell r="B834" t="str">
            <v/>
          </cell>
          <cell r="C834" t="str">
            <v>Future</v>
          </cell>
          <cell r="D834" t="e">
            <v>#N/A</v>
          </cell>
          <cell r="E834">
            <v>-0.88648648648653328</v>
          </cell>
          <cell r="F834">
            <v>17.694594594594772</v>
          </cell>
          <cell r="G834">
            <v>13.978378378378412</v>
          </cell>
          <cell r="H834">
            <v>13.978378378378412</v>
          </cell>
          <cell r="I834" t="e">
            <v>#N/A</v>
          </cell>
          <cell r="J834" t="e">
            <v>#N/A</v>
          </cell>
          <cell r="K834">
            <v>17.5</v>
          </cell>
          <cell r="L834">
            <v>14</v>
          </cell>
          <cell r="M834" t="e">
            <v>#N/A</v>
          </cell>
          <cell r="N834">
            <v>16.5</v>
          </cell>
          <cell r="O834" t="e">
            <v>#N/A</v>
          </cell>
          <cell r="P834" t="str">
            <v/>
          </cell>
          <cell r="Q834" t="str">
            <v/>
          </cell>
          <cell r="R834">
            <v>16.5</v>
          </cell>
        </row>
        <row r="835">
          <cell r="A835" t="str">
            <v/>
          </cell>
          <cell r="B835" t="str">
            <v/>
          </cell>
          <cell r="C835" t="str">
            <v>Future</v>
          </cell>
          <cell r="D835" t="e">
            <v>#N/A</v>
          </cell>
          <cell r="E835">
            <v>-0.94189189189193867</v>
          </cell>
          <cell r="F835">
            <v>17.706756756756935</v>
          </cell>
          <cell r="G835">
            <v>13.977027027027061</v>
          </cell>
          <cell r="H835">
            <v>13.977027027027061</v>
          </cell>
          <cell r="I835" t="e">
            <v>#N/A</v>
          </cell>
          <cell r="J835" t="e">
            <v>#N/A</v>
          </cell>
          <cell r="K835">
            <v>17.5</v>
          </cell>
          <cell r="L835">
            <v>14</v>
          </cell>
          <cell r="M835" t="e">
            <v>#N/A</v>
          </cell>
          <cell r="N835">
            <v>16.5</v>
          </cell>
          <cell r="O835" t="e">
            <v>#N/A</v>
          </cell>
          <cell r="P835" t="str">
            <v/>
          </cell>
          <cell r="Q835" t="str">
            <v/>
          </cell>
          <cell r="R835">
            <v>16.5</v>
          </cell>
        </row>
        <row r="836">
          <cell r="A836" t="str">
            <v/>
          </cell>
          <cell r="B836" t="str">
            <v/>
          </cell>
          <cell r="C836" t="str">
            <v>Future</v>
          </cell>
          <cell r="D836" t="e">
            <v>#N/A</v>
          </cell>
          <cell r="E836">
            <v>-0.99729729729734407</v>
          </cell>
          <cell r="F836">
            <v>17.718918918919098</v>
          </cell>
          <cell r="G836">
            <v>13.97567567567571</v>
          </cell>
          <cell r="H836">
            <v>13.97567567567571</v>
          </cell>
          <cell r="I836" t="e">
            <v>#N/A</v>
          </cell>
          <cell r="J836" t="e">
            <v>#N/A</v>
          </cell>
          <cell r="K836">
            <v>17.5</v>
          </cell>
          <cell r="L836">
            <v>14</v>
          </cell>
          <cell r="M836" t="e">
            <v>#N/A</v>
          </cell>
          <cell r="N836">
            <v>16.5</v>
          </cell>
          <cell r="O836" t="e">
            <v>#N/A</v>
          </cell>
          <cell r="P836" t="str">
            <v/>
          </cell>
          <cell r="Q836" t="str">
            <v/>
          </cell>
          <cell r="R836">
            <v>16.5</v>
          </cell>
        </row>
        <row r="837">
          <cell r="A837" t="str">
            <v/>
          </cell>
          <cell r="B837" t="str">
            <v/>
          </cell>
          <cell r="C837" t="str">
            <v>Future</v>
          </cell>
          <cell r="D837" t="e">
            <v>#N/A</v>
          </cell>
          <cell r="E837">
            <v>-1.0527027027027496</v>
          </cell>
          <cell r="F837">
            <v>17.73108108108126</v>
          </cell>
          <cell r="G837">
            <v>13.974324324324359</v>
          </cell>
          <cell r="H837">
            <v>13.974324324324359</v>
          </cell>
          <cell r="I837" t="e">
            <v>#N/A</v>
          </cell>
          <cell r="J837" t="e">
            <v>#N/A</v>
          </cell>
          <cell r="K837">
            <v>17.5</v>
          </cell>
          <cell r="L837">
            <v>14</v>
          </cell>
          <cell r="M837" t="e">
            <v>#N/A</v>
          </cell>
          <cell r="N837">
            <v>16.5</v>
          </cell>
          <cell r="O837" t="e">
            <v>#N/A</v>
          </cell>
          <cell r="P837" t="str">
            <v/>
          </cell>
          <cell r="Q837" t="str">
            <v/>
          </cell>
          <cell r="R837">
            <v>16.5</v>
          </cell>
        </row>
        <row r="838">
          <cell r="A838" t="str">
            <v/>
          </cell>
          <cell r="B838" t="str">
            <v/>
          </cell>
          <cell r="C838" t="str">
            <v>Future</v>
          </cell>
          <cell r="D838" t="e">
            <v>#N/A</v>
          </cell>
          <cell r="E838">
            <v>-1.108108108108155</v>
          </cell>
          <cell r="F838">
            <v>17.743243243243423</v>
          </cell>
          <cell r="G838">
            <v>13.972972972973007</v>
          </cell>
          <cell r="H838">
            <v>13.972972972973007</v>
          </cell>
          <cell r="I838" t="e">
            <v>#N/A</v>
          </cell>
          <cell r="J838" t="e">
            <v>#N/A</v>
          </cell>
          <cell r="K838">
            <v>17.5</v>
          </cell>
          <cell r="L838">
            <v>14</v>
          </cell>
          <cell r="M838" t="e">
            <v>#N/A</v>
          </cell>
          <cell r="N838">
            <v>16.5</v>
          </cell>
          <cell r="O838" t="e">
            <v>#N/A</v>
          </cell>
          <cell r="P838" t="str">
            <v/>
          </cell>
          <cell r="Q838" t="str">
            <v/>
          </cell>
          <cell r="R838">
            <v>16.5</v>
          </cell>
        </row>
        <row r="839">
          <cell r="A839" t="str">
            <v/>
          </cell>
          <cell r="B839" t="str">
            <v/>
          </cell>
          <cell r="C839" t="str">
            <v>Future</v>
          </cell>
          <cell r="D839" t="e">
            <v>#N/A</v>
          </cell>
          <cell r="E839">
            <v>-1.1635135135135604</v>
          </cell>
          <cell r="F839">
            <v>17.755405405405586</v>
          </cell>
          <cell r="G839">
            <v>13.971621621621656</v>
          </cell>
          <cell r="H839">
            <v>13.971621621621656</v>
          </cell>
          <cell r="I839" t="e">
            <v>#N/A</v>
          </cell>
          <cell r="J839" t="e">
            <v>#N/A</v>
          </cell>
          <cell r="K839">
            <v>17.5</v>
          </cell>
          <cell r="L839">
            <v>14</v>
          </cell>
          <cell r="M839" t="e">
            <v>#N/A</v>
          </cell>
          <cell r="N839">
            <v>16.5</v>
          </cell>
          <cell r="O839" t="e">
            <v>#N/A</v>
          </cell>
          <cell r="P839" t="str">
            <v/>
          </cell>
          <cell r="Q839" t="str">
            <v/>
          </cell>
          <cell r="R839">
            <v>16.5</v>
          </cell>
        </row>
        <row r="840">
          <cell r="A840" t="str">
            <v/>
          </cell>
          <cell r="B840" t="str">
            <v/>
          </cell>
          <cell r="C840" t="str">
            <v>Future</v>
          </cell>
          <cell r="D840" t="e">
            <v>#N/A</v>
          </cell>
          <cell r="E840">
            <v>-1.2189189189189658</v>
          </cell>
          <cell r="F840">
            <v>17.767567567567749</v>
          </cell>
          <cell r="G840">
            <v>13.970270270270305</v>
          </cell>
          <cell r="H840">
            <v>13.970270270270305</v>
          </cell>
          <cell r="I840" t="e">
            <v>#N/A</v>
          </cell>
          <cell r="J840" t="e">
            <v>#N/A</v>
          </cell>
          <cell r="K840">
            <v>17.5</v>
          </cell>
          <cell r="L840">
            <v>14</v>
          </cell>
          <cell r="M840" t="e">
            <v>#N/A</v>
          </cell>
          <cell r="N840">
            <v>16.5</v>
          </cell>
          <cell r="O840" t="e">
            <v>#N/A</v>
          </cell>
          <cell r="P840" t="str">
            <v/>
          </cell>
          <cell r="Q840" t="str">
            <v/>
          </cell>
          <cell r="R840">
            <v>16.5</v>
          </cell>
        </row>
        <row r="841">
          <cell r="A841" t="str">
            <v/>
          </cell>
          <cell r="B841" t="str">
            <v/>
          </cell>
          <cell r="C841" t="str">
            <v>Future</v>
          </cell>
          <cell r="D841" t="e">
            <v>#N/A</v>
          </cell>
          <cell r="E841">
            <v>-1.2743243243243711</v>
          </cell>
          <cell r="F841">
            <v>17.779729729729912</v>
          </cell>
          <cell r="G841">
            <v>13.968918918918954</v>
          </cell>
          <cell r="H841">
            <v>13.968918918918954</v>
          </cell>
          <cell r="I841" t="e">
            <v>#N/A</v>
          </cell>
          <cell r="J841" t="e">
            <v>#N/A</v>
          </cell>
          <cell r="K841">
            <v>17.5</v>
          </cell>
          <cell r="L841">
            <v>14</v>
          </cell>
          <cell r="M841" t="e">
            <v>#N/A</v>
          </cell>
          <cell r="N841">
            <v>16.5</v>
          </cell>
          <cell r="O841" t="e">
            <v>#N/A</v>
          </cell>
          <cell r="P841" t="str">
            <v/>
          </cell>
          <cell r="Q841" t="str">
            <v/>
          </cell>
          <cell r="R841">
            <v>16.5</v>
          </cell>
        </row>
        <row r="842">
          <cell r="A842" t="str">
            <v/>
          </cell>
          <cell r="B842" t="str">
            <v/>
          </cell>
          <cell r="C842" t="str">
            <v>Future</v>
          </cell>
          <cell r="D842" t="e">
            <v>#N/A</v>
          </cell>
          <cell r="E842">
            <v>-1.3297297297297765</v>
          </cell>
          <cell r="F842">
            <v>17.791891891892075</v>
          </cell>
          <cell r="G842">
            <v>13.967567567567603</v>
          </cell>
          <cell r="H842">
            <v>13.967567567567603</v>
          </cell>
          <cell r="I842" t="e">
            <v>#N/A</v>
          </cell>
          <cell r="J842" t="e">
            <v>#N/A</v>
          </cell>
          <cell r="K842">
            <v>17.5</v>
          </cell>
          <cell r="L842">
            <v>14</v>
          </cell>
          <cell r="M842" t="e">
            <v>#N/A</v>
          </cell>
          <cell r="N842">
            <v>16.5</v>
          </cell>
          <cell r="O842" t="e">
            <v>#N/A</v>
          </cell>
          <cell r="P842" t="str">
            <v/>
          </cell>
          <cell r="Q842" t="str">
            <v/>
          </cell>
          <cell r="R842">
            <v>16.5</v>
          </cell>
        </row>
        <row r="843">
          <cell r="A843" t="str">
            <v/>
          </cell>
          <cell r="B843" t="str">
            <v/>
          </cell>
          <cell r="C843" t="str">
            <v>Future</v>
          </cell>
          <cell r="D843" t="e">
            <v>#N/A</v>
          </cell>
          <cell r="E843">
            <v>-1.3851351351351819</v>
          </cell>
          <cell r="F843">
            <v>17.804054054054237</v>
          </cell>
          <cell r="G843">
            <v>13.966216216216251</v>
          </cell>
          <cell r="H843">
            <v>13.966216216216251</v>
          </cell>
          <cell r="I843" t="e">
            <v>#N/A</v>
          </cell>
          <cell r="J843" t="e">
            <v>#N/A</v>
          </cell>
          <cell r="K843">
            <v>17.5</v>
          </cell>
          <cell r="L843">
            <v>14</v>
          </cell>
          <cell r="M843" t="e">
            <v>#N/A</v>
          </cell>
          <cell r="N843">
            <v>16.5</v>
          </cell>
          <cell r="O843" t="e">
            <v>#N/A</v>
          </cell>
          <cell r="P843" t="str">
            <v/>
          </cell>
          <cell r="Q843" t="str">
            <v/>
          </cell>
          <cell r="R843">
            <v>16.5</v>
          </cell>
        </row>
        <row r="844">
          <cell r="A844" t="str">
            <v/>
          </cell>
          <cell r="B844" t="str">
            <v/>
          </cell>
          <cell r="C844" t="str">
            <v>Future</v>
          </cell>
          <cell r="D844" t="e">
            <v>#N/A</v>
          </cell>
          <cell r="E844">
            <v>-1.4405405405405873</v>
          </cell>
          <cell r="F844">
            <v>17.8162162162164</v>
          </cell>
          <cell r="G844">
            <v>13.9648648648649</v>
          </cell>
          <cell r="H844">
            <v>13.9648648648649</v>
          </cell>
          <cell r="I844" t="e">
            <v>#N/A</v>
          </cell>
          <cell r="J844" t="e">
            <v>#N/A</v>
          </cell>
          <cell r="K844">
            <v>17.5</v>
          </cell>
          <cell r="L844">
            <v>14</v>
          </cell>
          <cell r="M844" t="e">
            <v>#N/A</v>
          </cell>
          <cell r="N844">
            <v>16.5</v>
          </cell>
          <cell r="O844" t="e">
            <v>#N/A</v>
          </cell>
          <cell r="P844" t="str">
            <v/>
          </cell>
          <cell r="Q844" t="str">
            <v/>
          </cell>
          <cell r="R844">
            <v>16.5</v>
          </cell>
        </row>
        <row r="845">
          <cell r="A845" t="str">
            <v/>
          </cell>
          <cell r="B845" t="str">
            <v/>
          </cell>
          <cell r="C845" t="str">
            <v>Future</v>
          </cell>
          <cell r="D845" t="e">
            <v>#N/A</v>
          </cell>
          <cell r="E845">
            <v>-1.4959459459459927</v>
          </cell>
          <cell r="F845">
            <v>17.828378378378563</v>
          </cell>
          <cell r="G845">
            <v>13.963513513513549</v>
          </cell>
          <cell r="H845">
            <v>13.963513513513549</v>
          </cell>
          <cell r="I845" t="e">
            <v>#N/A</v>
          </cell>
          <cell r="J845" t="e">
            <v>#N/A</v>
          </cell>
          <cell r="K845">
            <v>17.5</v>
          </cell>
          <cell r="L845">
            <v>14</v>
          </cell>
          <cell r="M845" t="e">
            <v>#N/A</v>
          </cell>
          <cell r="N845">
            <v>16.5</v>
          </cell>
          <cell r="O845" t="e">
            <v>#N/A</v>
          </cell>
          <cell r="P845" t="str">
            <v/>
          </cell>
          <cell r="Q845" t="str">
            <v/>
          </cell>
          <cell r="R845">
            <v>16.5</v>
          </cell>
        </row>
        <row r="846">
          <cell r="A846" t="str">
            <v/>
          </cell>
          <cell r="B846" t="str">
            <v/>
          </cell>
          <cell r="C846" t="str">
            <v>Future</v>
          </cell>
          <cell r="D846" t="e">
            <v>#N/A</v>
          </cell>
          <cell r="E846">
            <v>-1.5513513513513981</v>
          </cell>
          <cell r="F846">
            <v>17.840540540540726</v>
          </cell>
          <cell r="G846">
            <v>13.962162162162198</v>
          </cell>
          <cell r="H846">
            <v>13.962162162162198</v>
          </cell>
          <cell r="I846" t="e">
            <v>#N/A</v>
          </cell>
          <cell r="J846" t="e">
            <v>#N/A</v>
          </cell>
          <cell r="K846">
            <v>17.5</v>
          </cell>
          <cell r="L846">
            <v>14</v>
          </cell>
          <cell r="M846" t="e">
            <v>#N/A</v>
          </cell>
          <cell r="N846">
            <v>16.5</v>
          </cell>
          <cell r="O846" t="e">
            <v>#N/A</v>
          </cell>
          <cell r="P846" t="str">
            <v/>
          </cell>
          <cell r="Q846" t="str">
            <v/>
          </cell>
          <cell r="R846">
            <v>16.5</v>
          </cell>
        </row>
        <row r="847">
          <cell r="A847" t="str">
            <v/>
          </cell>
          <cell r="B847" t="str">
            <v/>
          </cell>
          <cell r="C847" t="str">
            <v>Future</v>
          </cell>
          <cell r="D847" t="e">
            <v>#N/A</v>
          </cell>
          <cell r="E847">
            <v>-1.6067567567568035</v>
          </cell>
          <cell r="F847">
            <v>17.852702702702889</v>
          </cell>
          <cell r="G847">
            <v>13.960810810810846</v>
          </cell>
          <cell r="H847">
            <v>13.960810810810846</v>
          </cell>
          <cell r="I847" t="e">
            <v>#N/A</v>
          </cell>
          <cell r="J847" t="e">
            <v>#N/A</v>
          </cell>
          <cell r="K847">
            <v>17.5</v>
          </cell>
          <cell r="L847">
            <v>14</v>
          </cell>
          <cell r="M847" t="e">
            <v>#N/A</v>
          </cell>
          <cell r="N847">
            <v>16.5</v>
          </cell>
          <cell r="O847" t="e">
            <v>#N/A</v>
          </cell>
          <cell r="P847" t="str">
            <v/>
          </cell>
          <cell r="Q847" t="str">
            <v/>
          </cell>
          <cell r="R847">
            <v>16.5</v>
          </cell>
        </row>
        <row r="848">
          <cell r="A848" t="str">
            <v/>
          </cell>
          <cell r="B848" t="str">
            <v/>
          </cell>
          <cell r="C848" t="str">
            <v>Future</v>
          </cell>
          <cell r="D848" t="e">
            <v>#N/A</v>
          </cell>
          <cell r="E848">
            <v>-1.6621621621622089</v>
          </cell>
          <cell r="F848">
            <v>17.864864864865051</v>
          </cell>
          <cell r="G848">
            <v>13.959459459459495</v>
          </cell>
          <cell r="H848">
            <v>13.959459459459495</v>
          </cell>
          <cell r="I848" t="e">
            <v>#N/A</v>
          </cell>
          <cell r="J848" t="e">
            <v>#N/A</v>
          </cell>
          <cell r="K848">
            <v>17.5</v>
          </cell>
          <cell r="L848">
            <v>14</v>
          </cell>
          <cell r="M848" t="e">
            <v>#N/A</v>
          </cell>
          <cell r="N848">
            <v>16.5</v>
          </cell>
          <cell r="O848" t="e">
            <v>#N/A</v>
          </cell>
          <cell r="P848" t="str">
            <v/>
          </cell>
          <cell r="Q848" t="str">
            <v/>
          </cell>
          <cell r="R848">
            <v>16.5</v>
          </cell>
        </row>
        <row r="849">
          <cell r="A849" t="str">
            <v/>
          </cell>
          <cell r="B849" t="str">
            <v/>
          </cell>
          <cell r="C849" t="str">
            <v>Future</v>
          </cell>
          <cell r="D849" t="e">
            <v>#N/A</v>
          </cell>
          <cell r="E849">
            <v>-1.7175675675676143</v>
          </cell>
          <cell r="F849">
            <v>17.877027027027214</v>
          </cell>
          <cell r="G849">
            <v>13.958108108108144</v>
          </cell>
          <cell r="H849">
            <v>13.958108108108144</v>
          </cell>
          <cell r="I849" t="e">
            <v>#N/A</v>
          </cell>
          <cell r="J849" t="e">
            <v>#N/A</v>
          </cell>
          <cell r="K849">
            <v>17.5</v>
          </cell>
          <cell r="L849">
            <v>14</v>
          </cell>
          <cell r="M849" t="e">
            <v>#N/A</v>
          </cell>
          <cell r="N849">
            <v>16.5</v>
          </cell>
          <cell r="O849" t="e">
            <v>#N/A</v>
          </cell>
          <cell r="P849" t="str">
            <v/>
          </cell>
          <cell r="Q849" t="str">
            <v/>
          </cell>
          <cell r="R849">
            <v>16.5</v>
          </cell>
        </row>
        <row r="850">
          <cell r="A850" t="str">
            <v/>
          </cell>
          <cell r="B850" t="str">
            <v/>
          </cell>
          <cell r="C850" t="str">
            <v>Future</v>
          </cell>
          <cell r="D850" t="e">
            <v>#N/A</v>
          </cell>
          <cell r="E850">
            <v>-1.7729729729730197</v>
          </cell>
          <cell r="F850">
            <v>17.889189189189377</v>
          </cell>
          <cell r="G850">
            <v>13.956756756756793</v>
          </cell>
          <cell r="H850">
            <v>13.956756756756793</v>
          </cell>
          <cell r="I850" t="e">
            <v>#N/A</v>
          </cell>
          <cell r="J850" t="e">
            <v>#N/A</v>
          </cell>
          <cell r="K850">
            <v>17.5</v>
          </cell>
          <cell r="L850">
            <v>14</v>
          </cell>
          <cell r="M850" t="e">
            <v>#N/A</v>
          </cell>
          <cell r="N850">
            <v>16.5</v>
          </cell>
          <cell r="O850" t="e">
            <v>#N/A</v>
          </cell>
          <cell r="P850" t="str">
            <v/>
          </cell>
          <cell r="Q850" t="str">
            <v/>
          </cell>
          <cell r="R850">
            <v>16.5</v>
          </cell>
        </row>
        <row r="851">
          <cell r="A851" t="str">
            <v/>
          </cell>
          <cell r="B851" t="str">
            <v/>
          </cell>
          <cell r="C851" t="str">
            <v>Future</v>
          </cell>
          <cell r="D851" t="e">
            <v>#N/A</v>
          </cell>
          <cell r="E851">
            <v>-1.8283783783784251</v>
          </cell>
          <cell r="F851">
            <v>17.90135135135154</v>
          </cell>
          <cell r="G851">
            <v>13.955405405405441</v>
          </cell>
          <cell r="H851">
            <v>13.955405405405441</v>
          </cell>
          <cell r="I851" t="e">
            <v>#N/A</v>
          </cell>
          <cell r="J851" t="e">
            <v>#N/A</v>
          </cell>
          <cell r="K851">
            <v>17.5</v>
          </cell>
          <cell r="L851">
            <v>14</v>
          </cell>
          <cell r="M851" t="e">
            <v>#N/A</v>
          </cell>
          <cell r="N851">
            <v>16.5</v>
          </cell>
          <cell r="O851" t="e">
            <v>#N/A</v>
          </cell>
          <cell r="P851" t="str">
            <v/>
          </cell>
          <cell r="Q851" t="str">
            <v/>
          </cell>
          <cell r="R851">
            <v>16.5</v>
          </cell>
        </row>
        <row r="852">
          <cell r="A852" t="str">
            <v/>
          </cell>
          <cell r="B852" t="str">
            <v/>
          </cell>
          <cell r="C852" t="str">
            <v>Future</v>
          </cell>
          <cell r="D852" t="e">
            <v>#N/A</v>
          </cell>
          <cell r="E852">
            <v>-1.8837837837838305</v>
          </cell>
          <cell r="F852">
            <v>17.913513513513703</v>
          </cell>
          <cell r="G852">
            <v>13.95405405405409</v>
          </cell>
          <cell r="H852">
            <v>13.95405405405409</v>
          </cell>
          <cell r="I852" t="e">
            <v>#N/A</v>
          </cell>
          <cell r="J852" t="e">
            <v>#N/A</v>
          </cell>
          <cell r="K852">
            <v>17.5</v>
          </cell>
          <cell r="L852">
            <v>14</v>
          </cell>
          <cell r="M852" t="e">
            <v>#N/A</v>
          </cell>
          <cell r="N852">
            <v>16.5</v>
          </cell>
          <cell r="O852" t="e">
            <v>#N/A</v>
          </cell>
          <cell r="P852" t="str">
            <v/>
          </cell>
          <cell r="Q852" t="str">
            <v/>
          </cell>
          <cell r="R852">
            <v>16.5</v>
          </cell>
        </row>
        <row r="853">
          <cell r="A853" t="str">
            <v/>
          </cell>
          <cell r="B853" t="str">
            <v/>
          </cell>
          <cell r="C853" t="str">
            <v>Future</v>
          </cell>
          <cell r="D853" t="e">
            <v>#N/A</v>
          </cell>
          <cell r="E853">
            <v>-1.9391891891892359</v>
          </cell>
          <cell r="F853">
            <v>17.925675675675866</v>
          </cell>
          <cell r="G853">
            <v>13.952702702702739</v>
          </cell>
          <cell r="H853">
            <v>13.952702702702739</v>
          </cell>
          <cell r="I853" t="e">
            <v>#N/A</v>
          </cell>
          <cell r="J853" t="e">
            <v>#N/A</v>
          </cell>
          <cell r="K853">
            <v>17.5</v>
          </cell>
          <cell r="L853">
            <v>14</v>
          </cell>
          <cell r="M853" t="e">
            <v>#N/A</v>
          </cell>
          <cell r="N853">
            <v>16.5</v>
          </cell>
          <cell r="O853" t="e">
            <v>#N/A</v>
          </cell>
          <cell r="P853" t="str">
            <v/>
          </cell>
          <cell r="Q853" t="str">
            <v/>
          </cell>
          <cell r="R853">
            <v>16.5</v>
          </cell>
        </row>
        <row r="854">
          <cell r="A854" t="str">
            <v/>
          </cell>
          <cell r="B854" t="str">
            <v/>
          </cell>
          <cell r="C854" t="str">
            <v>Future</v>
          </cell>
          <cell r="D854" t="e">
            <v>#N/A</v>
          </cell>
          <cell r="E854">
            <v>-1.9945945945946413</v>
          </cell>
          <cell r="F854">
            <v>17.937837837838028</v>
          </cell>
          <cell r="G854">
            <v>13.951351351351388</v>
          </cell>
          <cell r="H854">
            <v>13.951351351351388</v>
          </cell>
          <cell r="I854" t="e">
            <v>#N/A</v>
          </cell>
          <cell r="J854" t="e">
            <v>#N/A</v>
          </cell>
          <cell r="K854">
            <v>17.5</v>
          </cell>
          <cell r="L854">
            <v>14</v>
          </cell>
          <cell r="M854" t="e">
            <v>#N/A</v>
          </cell>
          <cell r="N854">
            <v>16.5</v>
          </cell>
          <cell r="O854" t="e">
            <v>#N/A</v>
          </cell>
          <cell r="P854" t="str">
            <v/>
          </cell>
          <cell r="Q854" t="str">
            <v/>
          </cell>
          <cell r="R854">
            <v>16.5</v>
          </cell>
        </row>
        <row r="855">
          <cell r="A855" t="str">
            <v/>
          </cell>
          <cell r="B855" t="str">
            <v/>
          </cell>
          <cell r="C855" t="str">
            <v>Future</v>
          </cell>
          <cell r="D855" t="e">
            <v>#N/A</v>
          </cell>
          <cell r="E855">
            <v>-2.0500000000000469</v>
          </cell>
          <cell r="F855">
            <v>17.950000000000191</v>
          </cell>
          <cell r="G855">
            <v>13.950000000000037</v>
          </cell>
          <cell r="H855">
            <v>13.950000000000037</v>
          </cell>
          <cell r="I855" t="e">
            <v>#N/A</v>
          </cell>
          <cell r="J855" t="e">
            <v>#N/A</v>
          </cell>
          <cell r="K855">
            <v>17.5</v>
          </cell>
          <cell r="L855">
            <v>14</v>
          </cell>
          <cell r="M855" t="e">
            <v>#N/A</v>
          </cell>
          <cell r="N855">
            <v>16.5</v>
          </cell>
          <cell r="O855" t="e">
            <v>#N/A</v>
          </cell>
          <cell r="P855" t="str">
            <v/>
          </cell>
          <cell r="Q855" t="str">
            <v/>
          </cell>
          <cell r="R855">
            <v>16.5</v>
          </cell>
        </row>
        <row r="856">
          <cell r="A856" t="str">
            <v/>
          </cell>
          <cell r="B856" t="str">
            <v/>
          </cell>
          <cell r="C856" t="str">
            <v>Future</v>
          </cell>
          <cell r="D856" t="e">
            <v>#N/A</v>
          </cell>
          <cell r="E856">
            <v>-2.1054054054054525</v>
          </cell>
          <cell r="F856">
            <v>17.962162162162354</v>
          </cell>
          <cell r="G856">
            <v>13.948648648648685</v>
          </cell>
          <cell r="H856">
            <v>13.948648648648685</v>
          </cell>
          <cell r="I856" t="e">
            <v>#N/A</v>
          </cell>
          <cell r="J856" t="e">
            <v>#N/A</v>
          </cell>
          <cell r="K856">
            <v>17.5</v>
          </cell>
          <cell r="L856">
            <v>14</v>
          </cell>
          <cell r="M856" t="e">
            <v>#N/A</v>
          </cell>
          <cell r="N856">
            <v>16.5</v>
          </cell>
          <cell r="O856" t="e">
            <v>#N/A</v>
          </cell>
          <cell r="P856" t="str">
            <v/>
          </cell>
          <cell r="Q856" t="str">
            <v/>
          </cell>
          <cell r="R856">
            <v>16.5</v>
          </cell>
        </row>
        <row r="857">
          <cell r="A857" t="str">
            <v/>
          </cell>
          <cell r="B857" t="str">
            <v/>
          </cell>
          <cell r="C857" t="str">
            <v>Future</v>
          </cell>
          <cell r="D857" t="e">
            <v>#N/A</v>
          </cell>
          <cell r="E857">
            <v>-2.1608108108108581</v>
          </cell>
          <cell r="F857">
            <v>17.974324324324517</v>
          </cell>
          <cell r="G857">
            <v>13.947297297297334</v>
          </cell>
          <cell r="H857">
            <v>13.947297297297334</v>
          </cell>
          <cell r="I857" t="e">
            <v>#N/A</v>
          </cell>
          <cell r="J857" t="e">
            <v>#N/A</v>
          </cell>
          <cell r="K857">
            <v>17.5</v>
          </cell>
          <cell r="L857">
            <v>14</v>
          </cell>
          <cell r="M857" t="e">
            <v>#N/A</v>
          </cell>
          <cell r="N857">
            <v>16.5</v>
          </cell>
          <cell r="O857" t="e">
            <v>#N/A</v>
          </cell>
          <cell r="P857" t="str">
            <v/>
          </cell>
          <cell r="Q857" t="str">
            <v/>
          </cell>
          <cell r="R857">
            <v>16.5</v>
          </cell>
        </row>
        <row r="858">
          <cell r="A858" t="str">
            <v/>
          </cell>
          <cell r="B858" t="str">
            <v/>
          </cell>
          <cell r="C858" t="str">
            <v>Future</v>
          </cell>
          <cell r="D858" t="e">
            <v>#N/A</v>
          </cell>
          <cell r="E858">
            <v>-2.2162162162162637</v>
          </cell>
          <cell r="F858">
            <v>17.98648648648668</v>
          </cell>
          <cell r="G858">
            <v>13.945945945945983</v>
          </cell>
          <cell r="H858">
            <v>13.945945945945983</v>
          </cell>
          <cell r="I858" t="e">
            <v>#N/A</v>
          </cell>
          <cell r="J858" t="e">
            <v>#N/A</v>
          </cell>
          <cell r="K858">
            <v>17.5</v>
          </cell>
          <cell r="L858">
            <v>14</v>
          </cell>
          <cell r="M858" t="e">
            <v>#N/A</v>
          </cell>
          <cell r="N858">
            <v>16.5</v>
          </cell>
          <cell r="O858" t="e">
            <v>#N/A</v>
          </cell>
          <cell r="P858" t="str">
            <v/>
          </cell>
          <cell r="Q858" t="str">
            <v/>
          </cell>
          <cell r="R858">
            <v>16.5</v>
          </cell>
        </row>
        <row r="859">
          <cell r="A859" t="str">
            <v/>
          </cell>
          <cell r="B859" t="str">
            <v/>
          </cell>
          <cell r="C859" t="str">
            <v>Future</v>
          </cell>
          <cell r="D859" t="e">
            <v>#N/A</v>
          </cell>
          <cell r="E859">
            <v>-2.2716216216216694</v>
          </cell>
          <cell r="F859">
            <v>17.998648648648842</v>
          </cell>
          <cell r="G859">
            <v>13.944594594594632</v>
          </cell>
          <cell r="H859">
            <v>13.944594594594632</v>
          </cell>
          <cell r="I859" t="e">
            <v>#N/A</v>
          </cell>
          <cell r="J859" t="e">
            <v>#N/A</v>
          </cell>
          <cell r="K859">
            <v>17.5</v>
          </cell>
          <cell r="L859">
            <v>14</v>
          </cell>
          <cell r="M859" t="e">
            <v>#N/A</v>
          </cell>
          <cell r="N859">
            <v>16.5</v>
          </cell>
          <cell r="O859" t="e">
            <v>#N/A</v>
          </cell>
          <cell r="P859" t="str">
            <v/>
          </cell>
          <cell r="Q859" t="str">
            <v/>
          </cell>
          <cell r="R859">
            <v>16.5</v>
          </cell>
        </row>
        <row r="860">
          <cell r="A860" t="str">
            <v/>
          </cell>
          <cell r="B860" t="str">
            <v/>
          </cell>
          <cell r="C860" t="str">
            <v>Future</v>
          </cell>
          <cell r="D860" t="e">
            <v>#N/A</v>
          </cell>
          <cell r="E860">
            <v>-2.327027027027075</v>
          </cell>
          <cell r="F860">
            <v>18.010810810811005</v>
          </cell>
          <cell r="G860">
            <v>13.94324324324328</v>
          </cell>
          <cell r="H860">
            <v>13.94324324324328</v>
          </cell>
          <cell r="I860" t="e">
            <v>#N/A</v>
          </cell>
          <cell r="J860" t="e">
            <v>#N/A</v>
          </cell>
          <cell r="K860">
            <v>17.5</v>
          </cell>
          <cell r="L860">
            <v>14</v>
          </cell>
          <cell r="M860" t="e">
            <v>#N/A</v>
          </cell>
          <cell r="N860">
            <v>16.5</v>
          </cell>
          <cell r="O860" t="e">
            <v>#N/A</v>
          </cell>
          <cell r="P860" t="str">
            <v/>
          </cell>
          <cell r="Q860" t="str">
            <v/>
          </cell>
          <cell r="R860">
            <v>16.5</v>
          </cell>
        </row>
        <row r="861">
          <cell r="A861" t="str">
            <v/>
          </cell>
          <cell r="B861" t="str">
            <v/>
          </cell>
          <cell r="C861" t="str">
            <v>Future</v>
          </cell>
          <cell r="D861" t="e">
            <v>#N/A</v>
          </cell>
          <cell r="E861">
            <v>-2.3824324324324806</v>
          </cell>
          <cell r="F861">
            <v>18.022972972973168</v>
          </cell>
          <cell r="G861">
            <v>13.941891891891929</v>
          </cell>
          <cell r="H861">
            <v>13.941891891891929</v>
          </cell>
          <cell r="I861" t="e">
            <v>#N/A</v>
          </cell>
          <cell r="J861" t="e">
            <v>#N/A</v>
          </cell>
          <cell r="K861">
            <v>17.5</v>
          </cell>
          <cell r="L861">
            <v>14</v>
          </cell>
          <cell r="M861" t="e">
            <v>#N/A</v>
          </cell>
          <cell r="N861">
            <v>16.5</v>
          </cell>
          <cell r="O861" t="e">
            <v>#N/A</v>
          </cell>
          <cell r="P861" t="str">
            <v/>
          </cell>
          <cell r="Q861" t="str">
            <v/>
          </cell>
          <cell r="R861">
            <v>16.5</v>
          </cell>
        </row>
        <row r="862">
          <cell r="A862" t="str">
            <v/>
          </cell>
          <cell r="B862" t="str">
            <v/>
          </cell>
          <cell r="C862" t="str">
            <v>Future</v>
          </cell>
          <cell r="D862" t="e">
            <v>#N/A</v>
          </cell>
          <cell r="E862">
            <v>-2.4378378378378862</v>
          </cell>
          <cell r="F862">
            <v>18.035135135135331</v>
          </cell>
          <cell r="G862">
            <v>13.940540540540578</v>
          </cell>
          <cell r="H862">
            <v>13.940540540540578</v>
          </cell>
          <cell r="I862" t="e">
            <v>#N/A</v>
          </cell>
          <cell r="J862" t="e">
            <v>#N/A</v>
          </cell>
          <cell r="K862">
            <v>17.5</v>
          </cell>
          <cell r="L862">
            <v>14</v>
          </cell>
          <cell r="M862" t="e">
            <v>#N/A</v>
          </cell>
          <cell r="N862">
            <v>16.5</v>
          </cell>
          <cell r="O862" t="e">
            <v>#N/A</v>
          </cell>
          <cell r="P862" t="str">
            <v/>
          </cell>
          <cell r="Q862" t="str">
            <v/>
          </cell>
          <cell r="R862">
            <v>16.5</v>
          </cell>
        </row>
        <row r="863">
          <cell r="A863" t="str">
            <v/>
          </cell>
          <cell r="B863" t="str">
            <v/>
          </cell>
          <cell r="C863" t="str">
            <v>Future</v>
          </cell>
          <cell r="D863" t="e">
            <v>#N/A</v>
          </cell>
          <cell r="E863">
            <v>-2.4932432432432918</v>
          </cell>
          <cell r="F863">
            <v>18.047297297297494</v>
          </cell>
          <cell r="G863">
            <v>13.939189189189227</v>
          </cell>
          <cell r="H863">
            <v>13.939189189189227</v>
          </cell>
          <cell r="I863" t="e">
            <v>#N/A</v>
          </cell>
          <cell r="J863" t="e">
            <v>#N/A</v>
          </cell>
          <cell r="K863">
            <v>17.5</v>
          </cell>
          <cell r="L863">
            <v>14</v>
          </cell>
          <cell r="M863" t="e">
            <v>#N/A</v>
          </cell>
          <cell r="N863">
            <v>16.5</v>
          </cell>
          <cell r="O863" t="e">
            <v>#N/A</v>
          </cell>
          <cell r="P863" t="str">
            <v/>
          </cell>
          <cell r="Q863" t="str">
            <v/>
          </cell>
          <cell r="R863">
            <v>16.5</v>
          </cell>
        </row>
        <row r="864">
          <cell r="A864" t="str">
            <v/>
          </cell>
          <cell r="B864" t="str">
            <v/>
          </cell>
          <cell r="C864" t="str">
            <v>Future</v>
          </cell>
          <cell r="D864" t="e">
            <v>#N/A</v>
          </cell>
          <cell r="E864">
            <v>-2.5486486486486974</v>
          </cell>
          <cell r="F864">
            <v>18.059459459459656</v>
          </cell>
          <cell r="G864">
            <v>13.937837837837876</v>
          </cell>
          <cell r="H864">
            <v>13.937837837837876</v>
          </cell>
          <cell r="I864" t="e">
            <v>#N/A</v>
          </cell>
          <cell r="J864" t="e">
            <v>#N/A</v>
          </cell>
          <cell r="K864">
            <v>17.5</v>
          </cell>
          <cell r="L864">
            <v>14</v>
          </cell>
          <cell r="M864" t="e">
            <v>#N/A</v>
          </cell>
          <cell r="N864">
            <v>16.5</v>
          </cell>
          <cell r="O864" t="e">
            <v>#N/A</v>
          </cell>
          <cell r="P864" t="str">
            <v/>
          </cell>
          <cell r="Q864" t="str">
            <v/>
          </cell>
          <cell r="R864">
            <v>16.5</v>
          </cell>
        </row>
        <row r="865">
          <cell r="A865" t="str">
            <v/>
          </cell>
          <cell r="B865" t="str">
            <v/>
          </cell>
          <cell r="C865" t="str">
            <v>Future</v>
          </cell>
          <cell r="D865" t="e">
            <v>#N/A</v>
          </cell>
          <cell r="E865">
            <v>-2.6040540540541031</v>
          </cell>
          <cell r="F865">
            <v>18.071621621621819</v>
          </cell>
          <cell r="G865">
            <v>13.936486486486524</v>
          </cell>
          <cell r="H865">
            <v>13.936486486486524</v>
          </cell>
          <cell r="I865" t="e">
            <v>#N/A</v>
          </cell>
          <cell r="J865" t="e">
            <v>#N/A</v>
          </cell>
          <cell r="K865">
            <v>17.5</v>
          </cell>
          <cell r="L865">
            <v>14</v>
          </cell>
          <cell r="M865" t="e">
            <v>#N/A</v>
          </cell>
          <cell r="N865">
            <v>16.5</v>
          </cell>
          <cell r="O865" t="e">
            <v>#N/A</v>
          </cell>
          <cell r="P865" t="str">
            <v/>
          </cell>
          <cell r="Q865" t="str">
            <v/>
          </cell>
          <cell r="R865">
            <v>16.5</v>
          </cell>
        </row>
        <row r="866">
          <cell r="A866" t="str">
            <v/>
          </cell>
          <cell r="B866" t="str">
            <v/>
          </cell>
          <cell r="C866" t="str">
            <v>Future</v>
          </cell>
          <cell r="D866" t="e">
            <v>#N/A</v>
          </cell>
          <cell r="E866">
            <v>-2.6594594594595087</v>
          </cell>
          <cell r="F866">
            <v>18.083783783783982</v>
          </cell>
          <cell r="G866">
            <v>13.935135135135173</v>
          </cell>
          <cell r="H866">
            <v>13.935135135135173</v>
          </cell>
          <cell r="I866" t="e">
            <v>#N/A</v>
          </cell>
          <cell r="J866" t="e">
            <v>#N/A</v>
          </cell>
          <cell r="K866">
            <v>17.5</v>
          </cell>
          <cell r="L866">
            <v>14</v>
          </cell>
          <cell r="M866" t="e">
            <v>#N/A</v>
          </cell>
          <cell r="N866">
            <v>16.5</v>
          </cell>
          <cell r="O866" t="e">
            <v>#N/A</v>
          </cell>
          <cell r="P866" t="str">
            <v/>
          </cell>
          <cell r="Q866" t="str">
            <v/>
          </cell>
          <cell r="R866">
            <v>16.5</v>
          </cell>
        </row>
        <row r="867">
          <cell r="A867" t="str">
            <v/>
          </cell>
          <cell r="B867" t="str">
            <v/>
          </cell>
          <cell r="C867" t="str">
            <v>Future</v>
          </cell>
          <cell r="D867" t="e">
            <v>#N/A</v>
          </cell>
          <cell r="E867">
            <v>-2.7148648648649143</v>
          </cell>
          <cell r="F867">
            <v>18.095945945946145</v>
          </cell>
          <cell r="G867">
            <v>13.933783783783822</v>
          </cell>
          <cell r="H867">
            <v>13.933783783783822</v>
          </cell>
          <cell r="I867" t="e">
            <v>#N/A</v>
          </cell>
          <cell r="J867" t="e">
            <v>#N/A</v>
          </cell>
          <cell r="K867">
            <v>17.5</v>
          </cell>
          <cell r="L867">
            <v>14</v>
          </cell>
          <cell r="M867" t="e">
            <v>#N/A</v>
          </cell>
          <cell r="N867">
            <v>16.5</v>
          </cell>
          <cell r="O867" t="e">
            <v>#N/A</v>
          </cell>
          <cell r="P867" t="str">
            <v/>
          </cell>
          <cell r="Q867" t="str">
            <v/>
          </cell>
          <cell r="R867">
            <v>16.5</v>
          </cell>
        </row>
        <row r="868">
          <cell r="A868" t="str">
            <v/>
          </cell>
          <cell r="B868" t="str">
            <v/>
          </cell>
          <cell r="C868" t="str">
            <v>Future</v>
          </cell>
          <cell r="D868" t="e">
            <v>#N/A</v>
          </cell>
          <cell r="E868">
            <v>-2.7702702702703199</v>
          </cell>
          <cell r="F868">
            <v>18.108108108108308</v>
          </cell>
          <cell r="G868">
            <v>13.932432432432471</v>
          </cell>
          <cell r="H868">
            <v>13.932432432432471</v>
          </cell>
          <cell r="I868" t="e">
            <v>#N/A</v>
          </cell>
          <cell r="J868" t="e">
            <v>#N/A</v>
          </cell>
          <cell r="K868">
            <v>17.5</v>
          </cell>
          <cell r="L868">
            <v>14</v>
          </cell>
          <cell r="M868" t="e">
            <v>#N/A</v>
          </cell>
          <cell r="N868">
            <v>16.5</v>
          </cell>
          <cell r="O868" t="e">
            <v>#N/A</v>
          </cell>
          <cell r="P868" t="str">
            <v/>
          </cell>
          <cell r="Q868" t="str">
            <v/>
          </cell>
          <cell r="R868">
            <v>16.5</v>
          </cell>
        </row>
        <row r="869">
          <cell r="A869" t="str">
            <v/>
          </cell>
          <cell r="B869" t="str">
            <v/>
          </cell>
          <cell r="C869" t="str">
            <v>Future</v>
          </cell>
          <cell r="D869" t="e">
            <v>#N/A</v>
          </cell>
          <cell r="E869">
            <v>-2.8256756756757255</v>
          </cell>
          <cell r="F869">
            <v>18.120270270270471</v>
          </cell>
          <cell r="G869">
            <v>13.931081081081119</v>
          </cell>
          <cell r="H869">
            <v>13.931081081081119</v>
          </cell>
          <cell r="I869" t="e">
            <v>#N/A</v>
          </cell>
          <cell r="J869" t="e">
            <v>#N/A</v>
          </cell>
          <cell r="K869">
            <v>17.5</v>
          </cell>
          <cell r="L869">
            <v>14</v>
          </cell>
          <cell r="M869" t="e">
            <v>#N/A</v>
          </cell>
          <cell r="N869">
            <v>16.5</v>
          </cell>
          <cell r="O869" t="e">
            <v>#N/A</v>
          </cell>
          <cell r="P869" t="str">
            <v/>
          </cell>
          <cell r="Q869" t="str">
            <v/>
          </cell>
          <cell r="R869">
            <v>16.5</v>
          </cell>
        </row>
        <row r="870">
          <cell r="A870" t="str">
            <v/>
          </cell>
          <cell r="B870" t="str">
            <v/>
          </cell>
          <cell r="C870" t="str">
            <v>Future</v>
          </cell>
          <cell r="D870" t="e">
            <v>#N/A</v>
          </cell>
          <cell r="E870">
            <v>-2.8810810810811311</v>
          </cell>
          <cell r="F870">
            <v>18.132432432432633</v>
          </cell>
          <cell r="G870">
            <v>13.929729729729768</v>
          </cell>
          <cell r="H870">
            <v>13.929729729729768</v>
          </cell>
          <cell r="I870" t="e">
            <v>#N/A</v>
          </cell>
          <cell r="J870" t="e">
            <v>#N/A</v>
          </cell>
          <cell r="K870">
            <v>17.5</v>
          </cell>
          <cell r="L870">
            <v>14</v>
          </cell>
          <cell r="M870" t="e">
            <v>#N/A</v>
          </cell>
          <cell r="N870">
            <v>16.5</v>
          </cell>
          <cell r="O870" t="e">
            <v>#N/A</v>
          </cell>
          <cell r="P870" t="str">
            <v/>
          </cell>
          <cell r="Q870" t="str">
            <v/>
          </cell>
          <cell r="R870">
            <v>16.5</v>
          </cell>
        </row>
        <row r="871">
          <cell r="A871" t="str">
            <v/>
          </cell>
          <cell r="B871" t="str">
            <v/>
          </cell>
          <cell r="C871" t="str">
            <v>Future</v>
          </cell>
          <cell r="D871" t="e">
            <v>#N/A</v>
          </cell>
          <cell r="E871">
            <v>-2.9364864864865368</v>
          </cell>
          <cell r="F871">
            <v>18.144594594594796</v>
          </cell>
          <cell r="G871">
            <v>13.928378378378417</v>
          </cell>
          <cell r="H871">
            <v>13.928378378378417</v>
          </cell>
          <cell r="I871" t="e">
            <v>#N/A</v>
          </cell>
          <cell r="J871" t="e">
            <v>#N/A</v>
          </cell>
          <cell r="K871">
            <v>17.5</v>
          </cell>
          <cell r="L871">
            <v>14</v>
          </cell>
          <cell r="M871" t="e">
            <v>#N/A</v>
          </cell>
          <cell r="N871">
            <v>16.5</v>
          </cell>
          <cell r="O871" t="e">
            <v>#N/A</v>
          </cell>
          <cell r="P871" t="str">
            <v/>
          </cell>
          <cell r="Q871" t="str">
            <v/>
          </cell>
          <cell r="R871">
            <v>16.5</v>
          </cell>
        </row>
        <row r="872">
          <cell r="A872" t="str">
            <v/>
          </cell>
          <cell r="B872" t="str">
            <v/>
          </cell>
          <cell r="C872" t="str">
            <v>Future</v>
          </cell>
          <cell r="D872" t="e">
            <v>#N/A</v>
          </cell>
          <cell r="E872">
            <v>-2.9918918918919424</v>
          </cell>
          <cell r="F872">
            <v>18.156756756756959</v>
          </cell>
          <cell r="G872">
            <v>13.927027027027066</v>
          </cell>
          <cell r="H872">
            <v>13.927027027027066</v>
          </cell>
          <cell r="I872" t="e">
            <v>#N/A</v>
          </cell>
          <cell r="J872" t="e">
            <v>#N/A</v>
          </cell>
          <cell r="K872">
            <v>17.5</v>
          </cell>
          <cell r="L872">
            <v>14</v>
          </cell>
          <cell r="M872" t="e">
            <v>#N/A</v>
          </cell>
          <cell r="N872">
            <v>16.5</v>
          </cell>
          <cell r="O872" t="e">
            <v>#N/A</v>
          </cell>
          <cell r="P872" t="str">
            <v/>
          </cell>
          <cell r="Q872" t="str">
            <v/>
          </cell>
          <cell r="R872">
            <v>16.5</v>
          </cell>
        </row>
        <row r="873">
          <cell r="A873" t="str">
            <v/>
          </cell>
          <cell r="B873" t="str">
            <v/>
          </cell>
          <cell r="C873" t="str">
            <v>Future</v>
          </cell>
          <cell r="D873" t="e">
            <v>#N/A</v>
          </cell>
          <cell r="E873">
            <v>-3.047297297297348</v>
          </cell>
          <cell r="F873">
            <v>18.168918918919122</v>
          </cell>
          <cell r="G873">
            <v>13.925675675675715</v>
          </cell>
          <cell r="H873">
            <v>13.925675675675715</v>
          </cell>
          <cell r="I873" t="e">
            <v>#N/A</v>
          </cell>
          <cell r="J873" t="e">
            <v>#N/A</v>
          </cell>
          <cell r="K873">
            <v>17.5</v>
          </cell>
          <cell r="L873">
            <v>14</v>
          </cell>
          <cell r="M873" t="e">
            <v>#N/A</v>
          </cell>
          <cell r="N873">
            <v>16.5</v>
          </cell>
          <cell r="O873" t="e">
            <v>#N/A</v>
          </cell>
          <cell r="P873" t="str">
            <v/>
          </cell>
          <cell r="Q873" t="str">
            <v/>
          </cell>
          <cell r="R873">
            <v>16.5</v>
          </cell>
        </row>
        <row r="874">
          <cell r="A874" t="str">
            <v/>
          </cell>
          <cell r="B874" t="str">
            <v/>
          </cell>
          <cell r="C874" t="str">
            <v>Future</v>
          </cell>
          <cell r="D874" t="e">
            <v>#N/A</v>
          </cell>
          <cell r="E874">
            <v>-3.1027027027027536</v>
          </cell>
          <cell r="F874">
            <v>18.181081081081285</v>
          </cell>
          <cell r="G874">
            <v>13.924324324324363</v>
          </cell>
          <cell r="H874">
            <v>13.924324324324363</v>
          </cell>
          <cell r="I874" t="e">
            <v>#N/A</v>
          </cell>
          <cell r="J874" t="e">
            <v>#N/A</v>
          </cell>
          <cell r="K874">
            <v>17.5</v>
          </cell>
          <cell r="L874">
            <v>14</v>
          </cell>
          <cell r="M874" t="e">
            <v>#N/A</v>
          </cell>
          <cell r="N874">
            <v>16.5</v>
          </cell>
          <cell r="O874" t="e">
            <v>#N/A</v>
          </cell>
          <cell r="P874" t="str">
            <v/>
          </cell>
          <cell r="Q874" t="str">
            <v/>
          </cell>
          <cell r="R874">
            <v>16.5</v>
          </cell>
        </row>
        <row r="875">
          <cell r="A875" t="str">
            <v/>
          </cell>
          <cell r="B875" t="str">
            <v/>
          </cell>
          <cell r="C875" t="str">
            <v>Future</v>
          </cell>
          <cell r="D875" t="e">
            <v>#N/A</v>
          </cell>
          <cell r="E875">
            <v>-3.1581081081081592</v>
          </cell>
          <cell r="F875">
            <v>18.193243243243447</v>
          </cell>
          <cell r="G875">
            <v>13.922972972973012</v>
          </cell>
          <cell r="H875">
            <v>13.922972972973012</v>
          </cell>
          <cell r="I875" t="e">
            <v>#N/A</v>
          </cell>
          <cell r="J875" t="e">
            <v>#N/A</v>
          </cell>
          <cell r="K875">
            <v>17.5</v>
          </cell>
          <cell r="L875">
            <v>14</v>
          </cell>
          <cell r="M875" t="e">
            <v>#N/A</v>
          </cell>
          <cell r="N875">
            <v>16.5</v>
          </cell>
          <cell r="O875" t="e">
            <v>#N/A</v>
          </cell>
          <cell r="P875" t="str">
            <v/>
          </cell>
          <cell r="Q875" t="str">
            <v/>
          </cell>
          <cell r="R875">
            <v>16.5</v>
          </cell>
        </row>
        <row r="876">
          <cell r="A876" t="str">
            <v/>
          </cell>
          <cell r="B876" t="str">
            <v/>
          </cell>
          <cell r="C876" t="str">
            <v>Future</v>
          </cell>
          <cell r="D876" t="e">
            <v>#N/A</v>
          </cell>
          <cell r="E876">
            <v>-3.2135135135135648</v>
          </cell>
          <cell r="F876">
            <v>18.20540540540561</v>
          </cell>
          <cell r="G876">
            <v>13.921621621621661</v>
          </cell>
          <cell r="H876">
            <v>13.921621621621661</v>
          </cell>
          <cell r="I876" t="e">
            <v>#N/A</v>
          </cell>
          <cell r="J876" t="e">
            <v>#N/A</v>
          </cell>
          <cell r="K876">
            <v>17.5</v>
          </cell>
          <cell r="L876">
            <v>14</v>
          </cell>
          <cell r="M876" t="e">
            <v>#N/A</v>
          </cell>
          <cell r="N876">
            <v>16.5</v>
          </cell>
          <cell r="O876" t="e">
            <v>#N/A</v>
          </cell>
          <cell r="P876" t="str">
            <v/>
          </cell>
          <cell r="Q876" t="str">
            <v/>
          </cell>
          <cell r="R876">
            <v>16.5</v>
          </cell>
        </row>
        <row r="877">
          <cell r="A877" t="str">
            <v/>
          </cell>
          <cell r="B877" t="str">
            <v/>
          </cell>
          <cell r="C877" t="str">
            <v>Future</v>
          </cell>
          <cell r="D877" t="e">
            <v>#N/A</v>
          </cell>
          <cell r="E877">
            <v>-3.2689189189189705</v>
          </cell>
          <cell r="F877">
            <v>18.217567567567773</v>
          </cell>
          <cell r="G877">
            <v>13.92027027027031</v>
          </cell>
          <cell r="H877">
            <v>13.92027027027031</v>
          </cell>
          <cell r="I877" t="e">
            <v>#N/A</v>
          </cell>
          <cell r="J877" t="e">
            <v>#N/A</v>
          </cell>
          <cell r="K877">
            <v>17.5</v>
          </cell>
          <cell r="L877">
            <v>14</v>
          </cell>
          <cell r="M877" t="e">
            <v>#N/A</v>
          </cell>
          <cell r="N877">
            <v>16.5</v>
          </cell>
          <cell r="O877" t="e">
            <v>#N/A</v>
          </cell>
          <cell r="P877" t="str">
            <v/>
          </cell>
          <cell r="Q877" t="str">
            <v/>
          </cell>
          <cell r="R877">
            <v>16.5</v>
          </cell>
        </row>
        <row r="878">
          <cell r="A878" t="str">
            <v/>
          </cell>
          <cell r="B878" t="str">
            <v/>
          </cell>
          <cell r="C878" t="str">
            <v>Future</v>
          </cell>
          <cell r="D878" t="e">
            <v>#N/A</v>
          </cell>
          <cell r="E878">
            <v>-3.3243243243243761</v>
          </cell>
          <cell r="F878">
            <v>18.229729729729936</v>
          </cell>
          <cell r="G878">
            <v>13.918918918918958</v>
          </cell>
          <cell r="H878">
            <v>13.918918918918958</v>
          </cell>
          <cell r="I878" t="e">
            <v>#N/A</v>
          </cell>
          <cell r="J878" t="e">
            <v>#N/A</v>
          </cell>
          <cell r="K878">
            <v>17.5</v>
          </cell>
          <cell r="L878">
            <v>14</v>
          </cell>
          <cell r="M878" t="e">
            <v>#N/A</v>
          </cell>
          <cell r="N878">
            <v>16.5</v>
          </cell>
          <cell r="O878" t="e">
            <v>#N/A</v>
          </cell>
          <cell r="P878" t="str">
            <v/>
          </cell>
          <cell r="Q878" t="str">
            <v/>
          </cell>
          <cell r="R878">
            <v>16.5</v>
          </cell>
        </row>
        <row r="879">
          <cell r="A879" t="str">
            <v/>
          </cell>
          <cell r="B879" t="str">
            <v/>
          </cell>
          <cell r="C879" t="str">
            <v>Future</v>
          </cell>
          <cell r="D879" t="e">
            <v>#N/A</v>
          </cell>
          <cell r="E879">
            <v>-3.3797297297297817</v>
          </cell>
          <cell r="F879">
            <v>18.241891891892099</v>
          </cell>
          <cell r="G879">
            <v>13.917567567567607</v>
          </cell>
          <cell r="H879">
            <v>13.917567567567607</v>
          </cell>
          <cell r="I879" t="e">
            <v>#N/A</v>
          </cell>
          <cell r="J879" t="e">
            <v>#N/A</v>
          </cell>
          <cell r="K879">
            <v>17.5</v>
          </cell>
          <cell r="L879">
            <v>14</v>
          </cell>
          <cell r="M879" t="e">
            <v>#N/A</v>
          </cell>
          <cell r="N879">
            <v>16.5</v>
          </cell>
          <cell r="O879" t="e">
            <v>#N/A</v>
          </cell>
          <cell r="P879" t="str">
            <v/>
          </cell>
          <cell r="Q879" t="str">
            <v/>
          </cell>
          <cell r="R879">
            <v>16.5</v>
          </cell>
        </row>
        <row r="880">
          <cell r="A880" t="str">
            <v/>
          </cell>
          <cell r="B880" t="str">
            <v/>
          </cell>
          <cell r="C880" t="str">
            <v>Future</v>
          </cell>
          <cell r="D880" t="e">
            <v>#N/A</v>
          </cell>
          <cell r="E880">
            <v>-3.4351351351351873</v>
          </cell>
          <cell r="F880">
            <v>18.254054054054262</v>
          </cell>
          <cell r="G880">
            <v>13.916216216216256</v>
          </cell>
          <cell r="H880">
            <v>13.916216216216256</v>
          </cell>
          <cell r="I880" t="e">
            <v>#N/A</v>
          </cell>
          <cell r="J880" t="e">
            <v>#N/A</v>
          </cell>
          <cell r="K880">
            <v>17.5</v>
          </cell>
          <cell r="L880">
            <v>14</v>
          </cell>
          <cell r="M880" t="e">
            <v>#N/A</v>
          </cell>
          <cell r="N880">
            <v>16.5</v>
          </cell>
          <cell r="O880" t="e">
            <v>#N/A</v>
          </cell>
          <cell r="P880" t="str">
            <v/>
          </cell>
          <cell r="Q880" t="str">
            <v/>
          </cell>
          <cell r="R880">
            <v>16.5</v>
          </cell>
        </row>
        <row r="881">
          <cell r="A881" t="str">
            <v/>
          </cell>
          <cell r="B881" t="str">
            <v/>
          </cell>
          <cell r="C881" t="str">
            <v>Future</v>
          </cell>
          <cell r="D881" t="e">
            <v>#N/A</v>
          </cell>
          <cell r="E881">
            <v>-3.4905405405405929</v>
          </cell>
          <cell r="F881">
            <v>18.266216216216424</v>
          </cell>
          <cell r="G881">
            <v>13.914864864864905</v>
          </cell>
          <cell r="H881">
            <v>13.914864864864905</v>
          </cell>
          <cell r="I881" t="e">
            <v>#N/A</v>
          </cell>
          <cell r="J881" t="e">
            <v>#N/A</v>
          </cell>
          <cell r="K881">
            <v>17.5</v>
          </cell>
          <cell r="L881">
            <v>14</v>
          </cell>
          <cell r="M881" t="e">
            <v>#N/A</v>
          </cell>
          <cell r="N881">
            <v>16.5</v>
          </cell>
          <cell r="O881" t="e">
            <v>#N/A</v>
          </cell>
          <cell r="P881" t="str">
            <v/>
          </cell>
          <cell r="Q881" t="str">
            <v/>
          </cell>
          <cell r="R881">
            <v>16.5</v>
          </cell>
        </row>
        <row r="882">
          <cell r="A882" t="str">
            <v/>
          </cell>
          <cell r="B882" t="str">
            <v/>
          </cell>
          <cell r="C882" t="str">
            <v>Future</v>
          </cell>
          <cell r="D882" t="e">
            <v>#N/A</v>
          </cell>
          <cell r="E882">
            <v>-3.5459459459459985</v>
          </cell>
          <cell r="F882">
            <v>18.278378378378587</v>
          </cell>
          <cell r="G882">
            <v>13.913513513513553</v>
          </cell>
          <cell r="H882">
            <v>13.913513513513553</v>
          </cell>
          <cell r="I882" t="e">
            <v>#N/A</v>
          </cell>
          <cell r="J882" t="e">
            <v>#N/A</v>
          </cell>
          <cell r="K882">
            <v>17.5</v>
          </cell>
          <cell r="L882">
            <v>14</v>
          </cell>
          <cell r="M882" t="e">
            <v>#N/A</v>
          </cell>
          <cell r="N882">
            <v>16.5</v>
          </cell>
          <cell r="O882" t="e">
            <v>#N/A</v>
          </cell>
          <cell r="P882" t="str">
            <v/>
          </cell>
          <cell r="Q882" t="str">
            <v/>
          </cell>
          <cell r="R882">
            <v>16.5</v>
          </cell>
        </row>
        <row r="883">
          <cell r="A883" t="str">
            <v/>
          </cell>
          <cell r="B883" t="str">
            <v/>
          </cell>
          <cell r="C883" t="str">
            <v>Future</v>
          </cell>
          <cell r="D883" t="e">
            <v>#N/A</v>
          </cell>
          <cell r="E883">
            <v>-3.6013513513514042</v>
          </cell>
          <cell r="F883">
            <v>18.29054054054075</v>
          </cell>
          <cell r="G883">
            <v>13.912162162162202</v>
          </cell>
          <cell r="H883">
            <v>13.912162162162202</v>
          </cell>
          <cell r="I883" t="e">
            <v>#N/A</v>
          </cell>
          <cell r="J883" t="e">
            <v>#N/A</v>
          </cell>
          <cell r="K883">
            <v>17.5</v>
          </cell>
          <cell r="L883">
            <v>14</v>
          </cell>
          <cell r="M883" t="e">
            <v>#N/A</v>
          </cell>
          <cell r="N883">
            <v>16.5</v>
          </cell>
          <cell r="O883" t="e">
            <v>#N/A</v>
          </cell>
          <cell r="P883" t="str">
            <v/>
          </cell>
          <cell r="Q883" t="str">
            <v/>
          </cell>
          <cell r="R883">
            <v>16.5</v>
          </cell>
        </row>
        <row r="884">
          <cell r="A884" t="str">
            <v/>
          </cell>
          <cell r="B884" t="str">
            <v/>
          </cell>
          <cell r="C884" t="str">
            <v>Future</v>
          </cell>
          <cell r="D884" t="e">
            <v>#N/A</v>
          </cell>
          <cell r="E884">
            <v>-3.6567567567568098</v>
          </cell>
          <cell r="F884">
            <v>18.302702702702913</v>
          </cell>
          <cell r="G884">
            <v>13.910810810810851</v>
          </cell>
          <cell r="H884">
            <v>13.910810810810851</v>
          </cell>
          <cell r="I884" t="e">
            <v>#N/A</v>
          </cell>
          <cell r="J884" t="e">
            <v>#N/A</v>
          </cell>
          <cell r="K884">
            <v>17.5</v>
          </cell>
          <cell r="L884">
            <v>14</v>
          </cell>
          <cell r="M884" t="e">
            <v>#N/A</v>
          </cell>
          <cell r="N884">
            <v>16.5</v>
          </cell>
          <cell r="O884" t="e">
            <v>#N/A</v>
          </cell>
          <cell r="P884" t="str">
            <v/>
          </cell>
          <cell r="Q884" t="str">
            <v/>
          </cell>
          <cell r="R884">
            <v>16.5</v>
          </cell>
        </row>
        <row r="885">
          <cell r="A885" t="str">
            <v/>
          </cell>
          <cell r="B885" t="str">
            <v/>
          </cell>
          <cell r="C885" t="str">
            <v>Future</v>
          </cell>
          <cell r="D885" t="e">
            <v>#N/A</v>
          </cell>
          <cell r="E885">
            <v>-3.7121621621622154</v>
          </cell>
          <cell r="F885">
            <v>18.314864864865076</v>
          </cell>
          <cell r="G885">
            <v>13.9094594594595</v>
          </cell>
          <cell r="H885">
            <v>13.9094594594595</v>
          </cell>
          <cell r="I885" t="e">
            <v>#N/A</v>
          </cell>
          <cell r="J885" t="e">
            <v>#N/A</v>
          </cell>
          <cell r="K885">
            <v>17.5</v>
          </cell>
          <cell r="L885">
            <v>14</v>
          </cell>
          <cell r="M885" t="e">
            <v>#N/A</v>
          </cell>
          <cell r="N885">
            <v>16.5</v>
          </cell>
          <cell r="O885" t="e">
            <v>#N/A</v>
          </cell>
          <cell r="P885" t="str">
            <v/>
          </cell>
          <cell r="Q885" t="str">
            <v/>
          </cell>
          <cell r="R885">
            <v>16.5</v>
          </cell>
        </row>
        <row r="886">
          <cell r="A886" t="str">
            <v/>
          </cell>
          <cell r="B886" t="str">
            <v/>
          </cell>
          <cell r="C886" t="str">
            <v>Future</v>
          </cell>
          <cell r="D886" t="e">
            <v>#N/A</v>
          </cell>
          <cell r="E886">
            <v>-3.767567567567621</v>
          </cell>
          <cell r="F886">
            <v>18.327027027027238</v>
          </cell>
          <cell r="G886">
            <v>13.908108108108149</v>
          </cell>
          <cell r="H886">
            <v>13.908108108108149</v>
          </cell>
          <cell r="I886" t="e">
            <v>#N/A</v>
          </cell>
          <cell r="J886" t="e">
            <v>#N/A</v>
          </cell>
          <cell r="K886">
            <v>17.5</v>
          </cell>
          <cell r="L886">
            <v>14</v>
          </cell>
          <cell r="M886" t="e">
            <v>#N/A</v>
          </cell>
          <cell r="N886">
            <v>16.5</v>
          </cell>
          <cell r="O886" t="e">
            <v>#N/A</v>
          </cell>
          <cell r="P886" t="str">
            <v/>
          </cell>
          <cell r="Q886" t="str">
            <v/>
          </cell>
          <cell r="R886">
            <v>16.5</v>
          </cell>
        </row>
        <row r="887">
          <cell r="A887" t="str">
            <v/>
          </cell>
          <cell r="B887" t="str">
            <v/>
          </cell>
          <cell r="C887" t="str">
            <v>Future</v>
          </cell>
          <cell r="D887" t="e">
            <v>#N/A</v>
          </cell>
          <cell r="E887">
            <v>-3.8229729729730266</v>
          </cell>
          <cell r="F887">
            <v>18.339189189189401</v>
          </cell>
          <cell r="G887">
            <v>13.906756756756797</v>
          </cell>
          <cell r="H887">
            <v>13.906756756756797</v>
          </cell>
          <cell r="I887" t="e">
            <v>#N/A</v>
          </cell>
          <cell r="J887" t="e">
            <v>#N/A</v>
          </cell>
          <cell r="K887">
            <v>17.5</v>
          </cell>
          <cell r="L887">
            <v>14</v>
          </cell>
          <cell r="M887" t="e">
            <v>#N/A</v>
          </cell>
          <cell r="N887">
            <v>16.5</v>
          </cell>
          <cell r="O887" t="e">
            <v>#N/A</v>
          </cell>
          <cell r="P887" t="str">
            <v/>
          </cell>
          <cell r="Q887" t="str">
            <v/>
          </cell>
          <cell r="R887">
            <v>16.5</v>
          </cell>
        </row>
        <row r="888">
          <cell r="A888" t="str">
            <v/>
          </cell>
          <cell r="B888" t="str">
            <v/>
          </cell>
          <cell r="C888" t="str">
            <v>Future</v>
          </cell>
          <cell r="D888" t="e">
            <v>#N/A</v>
          </cell>
          <cell r="E888">
            <v>-3.8783783783784322</v>
          </cell>
          <cell r="F888">
            <v>18.351351351351564</v>
          </cell>
          <cell r="G888">
            <v>13.905405405405446</v>
          </cell>
          <cell r="H888">
            <v>13.905405405405446</v>
          </cell>
          <cell r="I888" t="e">
            <v>#N/A</v>
          </cell>
          <cell r="J888" t="e">
            <v>#N/A</v>
          </cell>
          <cell r="K888">
            <v>17.5</v>
          </cell>
          <cell r="L888">
            <v>14</v>
          </cell>
          <cell r="M888" t="e">
            <v>#N/A</v>
          </cell>
          <cell r="N888">
            <v>16.5</v>
          </cell>
          <cell r="O888" t="e">
            <v>#N/A</v>
          </cell>
          <cell r="P888" t="str">
            <v/>
          </cell>
          <cell r="Q888" t="str">
            <v/>
          </cell>
          <cell r="R888">
            <v>16.5</v>
          </cell>
        </row>
        <row r="889">
          <cell r="A889" t="str">
            <v/>
          </cell>
          <cell r="B889" t="str">
            <v/>
          </cell>
          <cell r="C889" t="str">
            <v>Future</v>
          </cell>
          <cell r="D889" t="e">
            <v>#N/A</v>
          </cell>
          <cell r="E889">
            <v>-3.9337837837838379</v>
          </cell>
          <cell r="F889">
            <v>18.363513513513727</v>
          </cell>
          <cell r="G889">
            <v>13.904054054054095</v>
          </cell>
          <cell r="H889">
            <v>13.904054054054095</v>
          </cell>
          <cell r="I889" t="e">
            <v>#N/A</v>
          </cell>
          <cell r="J889" t="e">
            <v>#N/A</v>
          </cell>
          <cell r="K889">
            <v>17.5</v>
          </cell>
          <cell r="L889">
            <v>14</v>
          </cell>
          <cell r="M889" t="e">
            <v>#N/A</v>
          </cell>
          <cell r="N889">
            <v>16.5</v>
          </cell>
          <cell r="O889" t="e">
            <v>#N/A</v>
          </cell>
          <cell r="P889" t="str">
            <v/>
          </cell>
          <cell r="Q889" t="str">
            <v/>
          </cell>
          <cell r="R889">
            <v>16.5</v>
          </cell>
        </row>
        <row r="890">
          <cell r="A890" t="str">
            <v/>
          </cell>
          <cell r="B890" t="str">
            <v/>
          </cell>
          <cell r="C890" t="str">
            <v>Future</v>
          </cell>
          <cell r="D890" t="e">
            <v>#N/A</v>
          </cell>
          <cell r="E890">
            <v>-3.9891891891892435</v>
          </cell>
          <cell r="F890">
            <v>18.37567567567589</v>
          </cell>
          <cell r="G890">
            <v>13.902702702702744</v>
          </cell>
          <cell r="H890">
            <v>13.902702702702744</v>
          </cell>
          <cell r="I890" t="e">
            <v>#N/A</v>
          </cell>
          <cell r="J890" t="e">
            <v>#N/A</v>
          </cell>
          <cell r="K890">
            <v>17.5</v>
          </cell>
          <cell r="L890">
            <v>14</v>
          </cell>
          <cell r="M890" t="e">
            <v>#N/A</v>
          </cell>
          <cell r="N890">
            <v>16.5</v>
          </cell>
          <cell r="O890" t="e">
            <v>#N/A</v>
          </cell>
          <cell r="P890" t="str">
            <v/>
          </cell>
          <cell r="Q890" t="str">
            <v/>
          </cell>
          <cell r="R890">
            <v>16.5</v>
          </cell>
        </row>
        <row r="891">
          <cell r="A891" t="str">
            <v/>
          </cell>
          <cell r="B891" t="str">
            <v/>
          </cell>
          <cell r="C891" t="str">
            <v>Future</v>
          </cell>
          <cell r="D891" t="e">
            <v>#N/A</v>
          </cell>
          <cell r="E891">
            <v>-4.0445945945946491</v>
          </cell>
          <cell r="F891">
            <v>18.387837837838052</v>
          </cell>
          <cell r="G891">
            <v>13.901351351351392</v>
          </cell>
          <cell r="H891">
            <v>13.901351351351392</v>
          </cell>
          <cell r="I891" t="e">
            <v>#N/A</v>
          </cell>
          <cell r="J891" t="e">
            <v>#N/A</v>
          </cell>
          <cell r="K891">
            <v>17.5</v>
          </cell>
          <cell r="L891">
            <v>14</v>
          </cell>
          <cell r="M891" t="e">
            <v>#N/A</v>
          </cell>
          <cell r="N891">
            <v>16.5</v>
          </cell>
          <cell r="O891" t="e">
            <v>#N/A</v>
          </cell>
          <cell r="P891" t="str">
            <v/>
          </cell>
          <cell r="Q891" t="str">
            <v/>
          </cell>
          <cell r="R891">
            <v>16.5</v>
          </cell>
        </row>
        <row r="892">
          <cell r="A892" t="str">
            <v/>
          </cell>
          <cell r="B892" t="str">
            <v/>
          </cell>
          <cell r="C892" t="str">
            <v>Future</v>
          </cell>
          <cell r="D892" t="e">
            <v>#N/A</v>
          </cell>
          <cell r="E892">
            <v>-4.1000000000000547</v>
          </cell>
          <cell r="F892">
            <v>18.400000000000215</v>
          </cell>
          <cell r="G892">
            <v>13.900000000000041</v>
          </cell>
          <cell r="H892">
            <v>13.900000000000041</v>
          </cell>
          <cell r="I892" t="e">
            <v>#N/A</v>
          </cell>
          <cell r="J892" t="e">
            <v>#N/A</v>
          </cell>
          <cell r="K892">
            <v>17.5</v>
          </cell>
          <cell r="L892">
            <v>14</v>
          </cell>
          <cell r="M892" t="e">
            <v>#N/A</v>
          </cell>
          <cell r="N892">
            <v>16.5</v>
          </cell>
          <cell r="O892" t="e">
            <v>#N/A</v>
          </cell>
          <cell r="P892" t="str">
            <v/>
          </cell>
          <cell r="Q892" t="str">
            <v/>
          </cell>
          <cell r="R892">
            <v>16.5</v>
          </cell>
        </row>
        <row r="893">
          <cell r="A893" t="str">
            <v/>
          </cell>
          <cell r="B893" t="str">
            <v/>
          </cell>
          <cell r="C893" t="str">
            <v>Future</v>
          </cell>
          <cell r="D893" t="e">
            <v>#N/A</v>
          </cell>
          <cell r="E893">
            <v>-4.1554054054054603</v>
          </cell>
          <cell r="F893">
            <v>18.412162162162378</v>
          </cell>
          <cell r="G893">
            <v>13.89864864864869</v>
          </cell>
          <cell r="H893">
            <v>13.89864864864869</v>
          </cell>
          <cell r="I893" t="e">
            <v>#N/A</v>
          </cell>
          <cell r="J893" t="e">
            <v>#N/A</v>
          </cell>
          <cell r="K893">
            <v>17.5</v>
          </cell>
          <cell r="L893">
            <v>14</v>
          </cell>
          <cell r="M893" t="e">
            <v>#N/A</v>
          </cell>
          <cell r="N893">
            <v>16.5</v>
          </cell>
          <cell r="O893" t="e">
            <v>#N/A</v>
          </cell>
          <cell r="P893" t="str">
            <v/>
          </cell>
          <cell r="Q893" t="str">
            <v/>
          </cell>
          <cell r="R893">
            <v>16.5</v>
          </cell>
        </row>
        <row r="894">
          <cell r="A894" t="str">
            <v/>
          </cell>
          <cell r="B894" t="str">
            <v/>
          </cell>
          <cell r="C894" t="str">
            <v>Future</v>
          </cell>
          <cell r="D894" t="e">
            <v>#N/A</v>
          </cell>
          <cell r="E894">
            <v>-4.2108108108108659</v>
          </cell>
          <cell r="F894">
            <v>18.424324324324541</v>
          </cell>
          <cell r="G894">
            <v>13.897297297297339</v>
          </cell>
          <cell r="H894">
            <v>13.897297297297339</v>
          </cell>
          <cell r="I894" t="e">
            <v>#N/A</v>
          </cell>
          <cell r="J894" t="e">
            <v>#N/A</v>
          </cell>
          <cell r="K894">
            <v>17.5</v>
          </cell>
          <cell r="L894">
            <v>14</v>
          </cell>
          <cell r="M894" t="e">
            <v>#N/A</v>
          </cell>
          <cell r="N894">
            <v>16.5</v>
          </cell>
          <cell r="O894" t="e">
            <v>#N/A</v>
          </cell>
          <cell r="P894" t="str">
            <v/>
          </cell>
          <cell r="Q894" t="str">
            <v/>
          </cell>
          <cell r="R894">
            <v>16.5</v>
          </cell>
        </row>
        <row r="895">
          <cell r="A895" t="str">
            <v/>
          </cell>
          <cell r="B895" t="str">
            <v/>
          </cell>
          <cell r="C895" t="str">
            <v>Future</v>
          </cell>
          <cell r="D895" t="e">
            <v>#N/A</v>
          </cell>
          <cell r="E895">
            <v>-4.2662162162162716</v>
          </cell>
          <cell r="F895">
            <v>18.436486486486704</v>
          </cell>
          <cell r="G895">
            <v>13.895945945945988</v>
          </cell>
          <cell r="H895">
            <v>13.895945945945988</v>
          </cell>
          <cell r="I895" t="e">
            <v>#N/A</v>
          </cell>
          <cell r="J895" t="e">
            <v>#N/A</v>
          </cell>
          <cell r="K895">
            <v>17.5</v>
          </cell>
          <cell r="L895">
            <v>14</v>
          </cell>
          <cell r="M895" t="e">
            <v>#N/A</v>
          </cell>
          <cell r="N895">
            <v>16.5</v>
          </cell>
          <cell r="O895" t="e">
            <v>#N/A</v>
          </cell>
          <cell r="P895" t="str">
            <v/>
          </cell>
          <cell r="Q895" t="str">
            <v/>
          </cell>
          <cell r="R895">
            <v>16.5</v>
          </cell>
        </row>
        <row r="896">
          <cell r="A896" t="str">
            <v/>
          </cell>
          <cell r="B896" t="str">
            <v/>
          </cell>
          <cell r="C896" t="str">
            <v>Future</v>
          </cell>
          <cell r="D896" t="e">
            <v>#N/A</v>
          </cell>
          <cell r="E896">
            <v>-4.3216216216216772</v>
          </cell>
          <cell r="F896">
            <v>18.448648648648867</v>
          </cell>
          <cell r="G896">
            <v>13.894594594594636</v>
          </cell>
          <cell r="H896">
            <v>13.894594594594636</v>
          </cell>
          <cell r="I896" t="e">
            <v>#N/A</v>
          </cell>
          <cell r="J896" t="e">
            <v>#N/A</v>
          </cell>
          <cell r="K896">
            <v>17.5</v>
          </cell>
          <cell r="L896">
            <v>14</v>
          </cell>
          <cell r="M896" t="e">
            <v>#N/A</v>
          </cell>
          <cell r="N896">
            <v>16.5</v>
          </cell>
          <cell r="O896" t="e">
            <v>#N/A</v>
          </cell>
          <cell r="P896" t="str">
            <v/>
          </cell>
          <cell r="Q896" t="str">
            <v/>
          </cell>
          <cell r="R896">
            <v>16.5</v>
          </cell>
        </row>
        <row r="897">
          <cell r="A897" t="str">
            <v/>
          </cell>
          <cell r="B897" t="str">
            <v/>
          </cell>
          <cell r="C897" t="str">
            <v>Future</v>
          </cell>
          <cell r="D897" t="e">
            <v>#N/A</v>
          </cell>
          <cell r="E897">
            <v>-4.3770270270270828</v>
          </cell>
          <cell r="F897">
            <v>18.460810810811029</v>
          </cell>
          <cell r="G897">
            <v>13.893243243243285</v>
          </cell>
          <cell r="H897">
            <v>13.893243243243285</v>
          </cell>
          <cell r="I897" t="e">
            <v>#N/A</v>
          </cell>
          <cell r="J897" t="e">
            <v>#N/A</v>
          </cell>
          <cell r="K897">
            <v>17.5</v>
          </cell>
          <cell r="L897">
            <v>14</v>
          </cell>
          <cell r="M897" t="e">
            <v>#N/A</v>
          </cell>
          <cell r="N897">
            <v>16.5</v>
          </cell>
          <cell r="O897" t="e">
            <v>#N/A</v>
          </cell>
          <cell r="P897" t="str">
            <v/>
          </cell>
          <cell r="Q897" t="str">
            <v/>
          </cell>
          <cell r="R897">
            <v>16.5</v>
          </cell>
        </row>
        <row r="898">
          <cell r="A898" t="str">
            <v/>
          </cell>
          <cell r="B898" t="str">
            <v/>
          </cell>
          <cell r="C898" t="str">
            <v>Future</v>
          </cell>
          <cell r="D898" t="e">
            <v>#N/A</v>
          </cell>
          <cell r="E898">
            <v>-4.4324324324324884</v>
          </cell>
          <cell r="F898">
            <v>18.472972972973192</v>
          </cell>
          <cell r="G898">
            <v>13.891891891891934</v>
          </cell>
          <cell r="H898">
            <v>13.891891891891934</v>
          </cell>
          <cell r="I898" t="e">
            <v>#N/A</v>
          </cell>
          <cell r="J898" t="e">
            <v>#N/A</v>
          </cell>
          <cell r="K898">
            <v>17.5</v>
          </cell>
          <cell r="L898">
            <v>14</v>
          </cell>
          <cell r="M898" t="e">
            <v>#N/A</v>
          </cell>
          <cell r="N898">
            <v>16.5</v>
          </cell>
          <cell r="O898" t="e">
            <v>#N/A</v>
          </cell>
          <cell r="P898" t="str">
            <v/>
          </cell>
          <cell r="Q898" t="str">
            <v/>
          </cell>
          <cell r="R898">
            <v>16.5</v>
          </cell>
        </row>
        <row r="899">
          <cell r="A899" t="str">
            <v/>
          </cell>
          <cell r="B899" t="str">
            <v/>
          </cell>
          <cell r="C899" t="str">
            <v>Future</v>
          </cell>
          <cell r="D899" t="e">
            <v>#N/A</v>
          </cell>
          <cell r="E899">
            <v>-4.487837837837894</v>
          </cell>
          <cell r="F899">
            <v>18.485135135135355</v>
          </cell>
          <cell r="G899">
            <v>13.890540540540583</v>
          </cell>
          <cell r="H899">
            <v>13.890540540540583</v>
          </cell>
          <cell r="I899" t="e">
            <v>#N/A</v>
          </cell>
          <cell r="J899" t="e">
            <v>#N/A</v>
          </cell>
          <cell r="K899">
            <v>17.5</v>
          </cell>
          <cell r="L899">
            <v>14</v>
          </cell>
          <cell r="M899" t="e">
            <v>#N/A</v>
          </cell>
          <cell r="N899">
            <v>16.5</v>
          </cell>
          <cell r="O899" t="e">
            <v>#N/A</v>
          </cell>
          <cell r="P899" t="str">
            <v/>
          </cell>
          <cell r="Q899" t="str">
            <v/>
          </cell>
          <cell r="R899">
            <v>16.5</v>
          </cell>
        </row>
        <row r="900">
          <cell r="A900" t="str">
            <v/>
          </cell>
          <cell r="B900" t="str">
            <v/>
          </cell>
          <cell r="C900" t="str">
            <v>Future</v>
          </cell>
          <cell r="D900" t="e">
            <v>#N/A</v>
          </cell>
          <cell r="E900">
            <v>-4.5432432432432996</v>
          </cell>
          <cell r="F900">
            <v>18.497297297297518</v>
          </cell>
          <cell r="G900">
            <v>13.889189189189231</v>
          </cell>
          <cell r="H900">
            <v>13.889189189189231</v>
          </cell>
          <cell r="I900" t="e">
            <v>#N/A</v>
          </cell>
          <cell r="J900" t="e">
            <v>#N/A</v>
          </cell>
          <cell r="K900">
            <v>17.5</v>
          </cell>
          <cell r="L900">
            <v>14</v>
          </cell>
          <cell r="M900" t="e">
            <v>#N/A</v>
          </cell>
          <cell r="N900">
            <v>16.5</v>
          </cell>
          <cell r="O900" t="e">
            <v>#N/A</v>
          </cell>
          <cell r="P900" t="str">
            <v/>
          </cell>
          <cell r="Q900" t="str">
            <v/>
          </cell>
          <cell r="R900">
            <v>16.5</v>
          </cell>
        </row>
        <row r="901">
          <cell r="A901" t="str">
            <v/>
          </cell>
          <cell r="B901" t="str">
            <v/>
          </cell>
          <cell r="C901" t="str">
            <v>Future</v>
          </cell>
          <cell r="D901" t="e">
            <v>#N/A</v>
          </cell>
          <cell r="E901">
            <v>-4.5986486486487053</v>
          </cell>
          <cell r="F901">
            <v>18.509459459459681</v>
          </cell>
          <cell r="G901">
            <v>13.88783783783788</v>
          </cell>
          <cell r="H901">
            <v>13.88783783783788</v>
          </cell>
          <cell r="I901" t="e">
            <v>#N/A</v>
          </cell>
          <cell r="J901" t="e">
            <v>#N/A</v>
          </cell>
          <cell r="K901">
            <v>17.5</v>
          </cell>
          <cell r="L901">
            <v>14</v>
          </cell>
          <cell r="M901" t="e">
            <v>#N/A</v>
          </cell>
          <cell r="N901">
            <v>16.5</v>
          </cell>
          <cell r="O901" t="e">
            <v>#N/A</v>
          </cell>
          <cell r="P901" t="str">
            <v/>
          </cell>
          <cell r="Q901" t="str">
            <v/>
          </cell>
          <cell r="R901">
            <v>16.5</v>
          </cell>
        </row>
        <row r="902">
          <cell r="A902" t="str">
            <v/>
          </cell>
          <cell r="B902" t="str">
            <v/>
          </cell>
          <cell r="C902" t="str">
            <v>Future</v>
          </cell>
          <cell r="D902" t="e">
            <v>#N/A</v>
          </cell>
          <cell r="E902">
            <v>-4.6540540540541109</v>
          </cell>
          <cell r="F902">
            <v>18.521621621621843</v>
          </cell>
          <cell r="G902">
            <v>13.886486486486529</v>
          </cell>
          <cell r="H902">
            <v>13.886486486486529</v>
          </cell>
          <cell r="I902" t="e">
            <v>#N/A</v>
          </cell>
          <cell r="J902" t="e">
            <v>#N/A</v>
          </cell>
          <cell r="K902">
            <v>17.5</v>
          </cell>
          <cell r="L902">
            <v>14</v>
          </cell>
          <cell r="M902" t="e">
            <v>#N/A</v>
          </cell>
          <cell r="N902">
            <v>16.5</v>
          </cell>
          <cell r="O902" t="e">
            <v>#N/A</v>
          </cell>
          <cell r="P902" t="str">
            <v/>
          </cell>
          <cell r="Q902" t="str">
            <v/>
          </cell>
          <cell r="R902">
            <v>16.5</v>
          </cell>
        </row>
        <row r="903">
          <cell r="A903" t="str">
            <v/>
          </cell>
          <cell r="B903" t="str">
            <v/>
          </cell>
          <cell r="C903" t="str">
            <v>Future</v>
          </cell>
          <cell r="D903" t="e">
            <v>#N/A</v>
          </cell>
          <cell r="E903">
            <v>-4.7094594594595165</v>
          </cell>
          <cell r="F903">
            <v>18.533783783784006</v>
          </cell>
          <cell r="G903">
            <v>13.885135135135178</v>
          </cell>
          <cell r="H903">
            <v>13.885135135135178</v>
          </cell>
          <cell r="I903" t="e">
            <v>#N/A</v>
          </cell>
          <cell r="J903" t="e">
            <v>#N/A</v>
          </cell>
          <cell r="K903">
            <v>17.5</v>
          </cell>
          <cell r="L903">
            <v>14</v>
          </cell>
          <cell r="M903" t="e">
            <v>#N/A</v>
          </cell>
          <cell r="N903">
            <v>16.5</v>
          </cell>
          <cell r="O903" t="e">
            <v>#N/A</v>
          </cell>
          <cell r="P903" t="str">
            <v/>
          </cell>
          <cell r="Q903" t="str">
            <v/>
          </cell>
          <cell r="R903">
            <v>16.5</v>
          </cell>
        </row>
        <row r="904">
          <cell r="A904" t="str">
            <v/>
          </cell>
          <cell r="B904" t="str">
            <v/>
          </cell>
          <cell r="C904" t="str">
            <v>Future</v>
          </cell>
          <cell r="D904" t="e">
            <v>#N/A</v>
          </cell>
          <cell r="E904">
            <v>-4.7648648648649221</v>
          </cell>
          <cell r="F904">
            <v>18.545945945946169</v>
          </cell>
          <cell r="G904">
            <v>13.883783783783826</v>
          </cell>
          <cell r="H904">
            <v>13.883783783783826</v>
          </cell>
          <cell r="I904" t="e">
            <v>#N/A</v>
          </cell>
          <cell r="J904" t="e">
            <v>#N/A</v>
          </cell>
          <cell r="K904">
            <v>17.5</v>
          </cell>
          <cell r="L904">
            <v>14</v>
          </cell>
          <cell r="M904" t="e">
            <v>#N/A</v>
          </cell>
          <cell r="N904">
            <v>16.5</v>
          </cell>
          <cell r="O904" t="e">
            <v>#N/A</v>
          </cell>
          <cell r="P904" t="str">
            <v/>
          </cell>
          <cell r="Q904" t="str">
            <v/>
          </cell>
          <cell r="R904">
            <v>16.5</v>
          </cell>
        </row>
        <row r="905">
          <cell r="A905" t="str">
            <v/>
          </cell>
          <cell r="B905" t="str">
            <v/>
          </cell>
          <cell r="C905" t="str">
            <v>Future</v>
          </cell>
          <cell r="D905" t="e">
            <v>#N/A</v>
          </cell>
          <cell r="E905">
            <v>-4.8202702702703277</v>
          </cell>
          <cell r="F905">
            <v>18.558108108108332</v>
          </cell>
          <cell r="G905">
            <v>13.882432432432475</v>
          </cell>
          <cell r="H905">
            <v>13.882432432432475</v>
          </cell>
          <cell r="I905" t="e">
            <v>#N/A</v>
          </cell>
          <cell r="J905" t="e">
            <v>#N/A</v>
          </cell>
          <cell r="K905">
            <v>17.5</v>
          </cell>
          <cell r="L905">
            <v>14</v>
          </cell>
          <cell r="M905" t="e">
            <v>#N/A</v>
          </cell>
          <cell r="N905">
            <v>16.5</v>
          </cell>
          <cell r="O905" t="e">
            <v>#N/A</v>
          </cell>
          <cell r="P905" t="str">
            <v/>
          </cell>
          <cell r="Q905" t="str">
            <v/>
          </cell>
          <cell r="R905">
            <v>16.5</v>
          </cell>
        </row>
        <row r="906">
          <cell r="A906" t="str">
            <v/>
          </cell>
          <cell r="B906" t="str">
            <v/>
          </cell>
          <cell r="C906" t="str">
            <v>Future</v>
          </cell>
          <cell r="D906" t="e">
            <v>#N/A</v>
          </cell>
          <cell r="E906">
            <v>-4.8756756756757333</v>
          </cell>
          <cell r="F906">
            <v>18.570270270270495</v>
          </cell>
          <cell r="G906">
            <v>13.881081081081124</v>
          </cell>
          <cell r="H906">
            <v>13.881081081081124</v>
          </cell>
          <cell r="I906" t="e">
            <v>#N/A</v>
          </cell>
          <cell r="J906" t="e">
            <v>#N/A</v>
          </cell>
          <cell r="K906">
            <v>17.5</v>
          </cell>
          <cell r="L906">
            <v>14</v>
          </cell>
          <cell r="M906" t="e">
            <v>#N/A</v>
          </cell>
          <cell r="N906">
            <v>16.5</v>
          </cell>
          <cell r="O906" t="e">
            <v>#N/A</v>
          </cell>
          <cell r="P906" t="str">
            <v/>
          </cell>
          <cell r="Q906" t="str">
            <v/>
          </cell>
          <cell r="R906">
            <v>16.5</v>
          </cell>
        </row>
        <row r="907">
          <cell r="A907" t="str">
            <v/>
          </cell>
          <cell r="B907" t="str">
            <v/>
          </cell>
          <cell r="C907" t="str">
            <v>Future</v>
          </cell>
          <cell r="D907" t="e">
            <v>#N/A</v>
          </cell>
          <cell r="E907">
            <v>-4.931081081081139</v>
          </cell>
          <cell r="F907">
            <v>18.582432432432658</v>
          </cell>
          <cell r="G907">
            <v>13.879729729729773</v>
          </cell>
          <cell r="H907">
            <v>13.879729729729773</v>
          </cell>
          <cell r="I907" t="e">
            <v>#N/A</v>
          </cell>
          <cell r="J907" t="e">
            <v>#N/A</v>
          </cell>
          <cell r="K907">
            <v>17.5</v>
          </cell>
          <cell r="L907">
            <v>14</v>
          </cell>
          <cell r="M907" t="e">
            <v>#N/A</v>
          </cell>
          <cell r="N907">
            <v>16.5</v>
          </cell>
          <cell r="O907" t="e">
            <v>#N/A</v>
          </cell>
          <cell r="P907" t="str">
            <v/>
          </cell>
          <cell r="Q907" t="str">
            <v/>
          </cell>
          <cell r="R907">
            <v>16.5</v>
          </cell>
        </row>
        <row r="908">
          <cell r="A908" t="str">
            <v/>
          </cell>
          <cell r="B908" t="str">
            <v/>
          </cell>
          <cell r="C908" t="str">
            <v>Future</v>
          </cell>
          <cell r="D908" t="e">
            <v>#N/A</v>
          </cell>
          <cell r="E908">
            <v>-4.9864864864865446</v>
          </cell>
          <cell r="F908">
            <v>18.59459459459482</v>
          </cell>
          <cell r="G908">
            <v>13.878378378378422</v>
          </cell>
          <cell r="H908">
            <v>13.878378378378422</v>
          </cell>
          <cell r="I908" t="e">
            <v>#N/A</v>
          </cell>
          <cell r="J908" t="e">
            <v>#N/A</v>
          </cell>
          <cell r="K908">
            <v>17.5</v>
          </cell>
          <cell r="L908">
            <v>14</v>
          </cell>
          <cell r="M908" t="e">
            <v>#N/A</v>
          </cell>
          <cell r="N908">
            <v>16.5</v>
          </cell>
          <cell r="O908" t="e">
            <v>#N/A</v>
          </cell>
          <cell r="P908" t="str">
            <v/>
          </cell>
          <cell r="Q908" t="str">
            <v/>
          </cell>
          <cell r="R908">
            <v>16.5</v>
          </cell>
        </row>
        <row r="909">
          <cell r="A909" t="str">
            <v/>
          </cell>
          <cell r="B909" t="str">
            <v/>
          </cell>
          <cell r="C909" t="str">
            <v>Future</v>
          </cell>
          <cell r="D909" t="e">
            <v>#N/A</v>
          </cell>
          <cell r="E909">
            <v>-5.0418918918919502</v>
          </cell>
          <cell r="F909">
            <v>18.606756756756983</v>
          </cell>
          <cell r="G909">
            <v>13.87702702702707</v>
          </cell>
          <cell r="H909">
            <v>13.87702702702707</v>
          </cell>
          <cell r="I909" t="e">
            <v>#N/A</v>
          </cell>
          <cell r="J909" t="e">
            <v>#N/A</v>
          </cell>
          <cell r="K909">
            <v>17.5</v>
          </cell>
          <cell r="L909">
            <v>14</v>
          </cell>
          <cell r="M909" t="e">
            <v>#N/A</v>
          </cell>
          <cell r="N909">
            <v>16.5</v>
          </cell>
          <cell r="O909" t="e">
            <v>#N/A</v>
          </cell>
          <cell r="P909" t="str">
            <v/>
          </cell>
          <cell r="Q909" t="str">
            <v/>
          </cell>
          <cell r="R909">
            <v>16.5</v>
          </cell>
        </row>
        <row r="910">
          <cell r="A910" t="str">
            <v/>
          </cell>
          <cell r="B910" t="str">
            <v/>
          </cell>
          <cell r="C910" t="str">
            <v>Future</v>
          </cell>
          <cell r="D910" t="e">
            <v>#N/A</v>
          </cell>
          <cell r="E910">
            <v>-5.0972972972973558</v>
          </cell>
          <cell r="F910">
            <v>18.618918918919146</v>
          </cell>
          <cell r="G910">
            <v>13.875675675675719</v>
          </cell>
          <cell r="H910">
            <v>13.875675675675719</v>
          </cell>
          <cell r="I910" t="e">
            <v>#N/A</v>
          </cell>
          <cell r="J910" t="e">
            <v>#N/A</v>
          </cell>
          <cell r="K910">
            <v>17.5</v>
          </cell>
          <cell r="L910">
            <v>14</v>
          </cell>
          <cell r="M910" t="e">
            <v>#N/A</v>
          </cell>
          <cell r="N910">
            <v>16.5</v>
          </cell>
          <cell r="O910" t="e">
            <v>#N/A</v>
          </cell>
          <cell r="P910" t="str">
            <v/>
          </cell>
          <cell r="Q910" t="str">
            <v/>
          </cell>
          <cell r="R910">
            <v>16.5</v>
          </cell>
        </row>
        <row r="911">
          <cell r="A911" t="str">
            <v/>
          </cell>
          <cell r="B911" t="str">
            <v/>
          </cell>
          <cell r="C911" t="str">
            <v>Future</v>
          </cell>
          <cell r="D911" t="e">
            <v>#N/A</v>
          </cell>
          <cell r="E911">
            <v>-5.1527027027027614</v>
          </cell>
          <cell r="F911">
            <v>18.631081081081309</v>
          </cell>
          <cell r="G911">
            <v>13.874324324324368</v>
          </cell>
          <cell r="H911">
            <v>13.874324324324368</v>
          </cell>
          <cell r="I911" t="e">
            <v>#N/A</v>
          </cell>
          <cell r="J911" t="e">
            <v>#N/A</v>
          </cell>
          <cell r="K911">
            <v>17.5</v>
          </cell>
          <cell r="L911">
            <v>14</v>
          </cell>
          <cell r="M911" t="e">
            <v>#N/A</v>
          </cell>
          <cell r="N911">
            <v>16.5</v>
          </cell>
          <cell r="O911" t="e">
            <v>#N/A</v>
          </cell>
          <cell r="P911" t="str">
            <v/>
          </cell>
          <cell r="Q911" t="str">
            <v/>
          </cell>
          <cell r="R911">
            <v>16.5</v>
          </cell>
        </row>
        <row r="912">
          <cell r="A912" t="str">
            <v/>
          </cell>
          <cell r="B912" t="str">
            <v/>
          </cell>
          <cell r="C912" t="str">
            <v>Future</v>
          </cell>
          <cell r="D912" t="e">
            <v>#N/A</v>
          </cell>
          <cell r="E912">
            <v>-5.208108108108167</v>
          </cell>
          <cell r="F912">
            <v>18.643243243243472</v>
          </cell>
          <cell r="G912">
            <v>13.872972972973017</v>
          </cell>
          <cell r="H912">
            <v>13.872972972973017</v>
          </cell>
          <cell r="I912" t="e">
            <v>#N/A</v>
          </cell>
          <cell r="J912" t="e">
            <v>#N/A</v>
          </cell>
          <cell r="K912">
            <v>17.5</v>
          </cell>
          <cell r="L912">
            <v>14</v>
          </cell>
          <cell r="M912" t="e">
            <v>#N/A</v>
          </cell>
          <cell r="N912">
            <v>16.5</v>
          </cell>
          <cell r="O912" t="e">
            <v>#N/A</v>
          </cell>
          <cell r="P912" t="str">
            <v/>
          </cell>
          <cell r="Q912" t="str">
            <v/>
          </cell>
          <cell r="R912">
            <v>16.5</v>
          </cell>
        </row>
        <row r="913">
          <cell r="A913" t="str">
            <v/>
          </cell>
          <cell r="B913" t="str">
            <v/>
          </cell>
          <cell r="C913" t="str">
            <v>Future</v>
          </cell>
          <cell r="D913" t="e">
            <v>#N/A</v>
          </cell>
          <cell r="E913">
            <v>-5.2635135135135727</v>
          </cell>
          <cell r="F913">
            <v>18.655405405405634</v>
          </cell>
          <cell r="G913">
            <v>13.871621621621665</v>
          </cell>
          <cell r="H913">
            <v>13.871621621621665</v>
          </cell>
          <cell r="I913" t="e">
            <v>#N/A</v>
          </cell>
          <cell r="J913" t="e">
            <v>#N/A</v>
          </cell>
          <cell r="K913">
            <v>17.5</v>
          </cell>
          <cell r="L913">
            <v>14</v>
          </cell>
          <cell r="M913" t="e">
            <v>#N/A</v>
          </cell>
          <cell r="N913">
            <v>16.5</v>
          </cell>
          <cell r="O913" t="e">
            <v>#N/A</v>
          </cell>
          <cell r="P913" t="str">
            <v/>
          </cell>
          <cell r="Q913" t="str">
            <v/>
          </cell>
          <cell r="R913">
            <v>16.5</v>
          </cell>
        </row>
        <row r="914">
          <cell r="A914" t="str">
            <v/>
          </cell>
          <cell r="B914" t="str">
            <v/>
          </cell>
          <cell r="C914" t="str">
            <v>Future</v>
          </cell>
          <cell r="D914" t="e">
            <v>#N/A</v>
          </cell>
          <cell r="E914">
            <v>-5.3189189189189783</v>
          </cell>
          <cell r="F914">
            <v>18.667567567567797</v>
          </cell>
          <cell r="G914">
            <v>13.870270270270314</v>
          </cell>
          <cell r="H914">
            <v>13.870270270270314</v>
          </cell>
          <cell r="I914" t="e">
            <v>#N/A</v>
          </cell>
          <cell r="J914" t="e">
            <v>#N/A</v>
          </cell>
          <cell r="K914">
            <v>17.5</v>
          </cell>
          <cell r="L914">
            <v>14</v>
          </cell>
          <cell r="M914" t="e">
            <v>#N/A</v>
          </cell>
          <cell r="N914">
            <v>16.5</v>
          </cell>
          <cell r="O914" t="e">
            <v>#N/A</v>
          </cell>
          <cell r="P914" t="str">
            <v/>
          </cell>
          <cell r="Q914" t="str">
            <v/>
          </cell>
          <cell r="R914">
            <v>16.5</v>
          </cell>
        </row>
        <row r="915">
          <cell r="A915" t="str">
            <v/>
          </cell>
          <cell r="B915" t="str">
            <v/>
          </cell>
          <cell r="C915" t="str">
            <v>Future</v>
          </cell>
          <cell r="D915" t="e">
            <v>#N/A</v>
          </cell>
          <cell r="E915">
            <v>-5.3743243243243839</v>
          </cell>
          <cell r="F915">
            <v>18.67972972972996</v>
          </cell>
          <cell r="G915">
            <v>13.868918918918963</v>
          </cell>
          <cell r="H915">
            <v>13.868918918918963</v>
          </cell>
          <cell r="I915" t="e">
            <v>#N/A</v>
          </cell>
          <cell r="J915" t="e">
            <v>#N/A</v>
          </cell>
          <cell r="K915">
            <v>17.5</v>
          </cell>
          <cell r="L915">
            <v>14</v>
          </cell>
          <cell r="M915" t="e">
            <v>#N/A</v>
          </cell>
          <cell r="N915">
            <v>16.5</v>
          </cell>
          <cell r="O915" t="e">
            <v>#N/A</v>
          </cell>
          <cell r="P915" t="str">
            <v/>
          </cell>
          <cell r="Q915" t="str">
            <v/>
          </cell>
          <cell r="R915">
            <v>16.5</v>
          </cell>
        </row>
        <row r="916">
          <cell r="A916" t="str">
            <v/>
          </cell>
          <cell r="B916" t="str">
            <v/>
          </cell>
          <cell r="C916" t="str">
            <v>Future</v>
          </cell>
          <cell r="D916" t="e">
            <v>#N/A</v>
          </cell>
          <cell r="E916">
            <v>-5.4297297297297895</v>
          </cell>
          <cell r="F916">
            <v>18.691891891892123</v>
          </cell>
          <cell r="G916">
            <v>13.867567567567612</v>
          </cell>
          <cell r="H916">
            <v>13.867567567567612</v>
          </cell>
          <cell r="I916" t="e">
            <v>#N/A</v>
          </cell>
          <cell r="J916" t="e">
            <v>#N/A</v>
          </cell>
          <cell r="K916">
            <v>17.5</v>
          </cell>
          <cell r="L916">
            <v>14</v>
          </cell>
          <cell r="M916" t="e">
            <v>#N/A</v>
          </cell>
          <cell r="N916">
            <v>16.5</v>
          </cell>
          <cell r="O916" t="e">
            <v>#N/A</v>
          </cell>
          <cell r="P916" t="str">
            <v/>
          </cell>
          <cell r="Q916" t="str">
            <v/>
          </cell>
          <cell r="R916">
            <v>16.5</v>
          </cell>
        </row>
        <row r="917">
          <cell r="A917" t="str">
            <v/>
          </cell>
          <cell r="B917" t="str">
            <v/>
          </cell>
          <cell r="C917" t="str">
            <v>Future</v>
          </cell>
          <cell r="D917" t="e">
            <v>#N/A</v>
          </cell>
          <cell r="E917">
            <v>-5.4851351351351951</v>
          </cell>
          <cell r="F917">
            <v>18.704054054054286</v>
          </cell>
          <cell r="G917">
            <v>13.866216216216261</v>
          </cell>
          <cell r="H917">
            <v>13.866216216216261</v>
          </cell>
          <cell r="I917" t="e">
            <v>#N/A</v>
          </cell>
          <cell r="J917" t="e">
            <v>#N/A</v>
          </cell>
          <cell r="K917">
            <v>17.5</v>
          </cell>
          <cell r="L917">
            <v>14</v>
          </cell>
          <cell r="M917" t="e">
            <v>#N/A</v>
          </cell>
          <cell r="N917">
            <v>16.5</v>
          </cell>
          <cell r="O917" t="e">
            <v>#N/A</v>
          </cell>
          <cell r="P917" t="str">
            <v/>
          </cell>
          <cell r="Q917" t="str">
            <v/>
          </cell>
          <cell r="R917">
            <v>16.5</v>
          </cell>
        </row>
        <row r="918">
          <cell r="A918" t="str">
            <v/>
          </cell>
          <cell r="B918" t="str">
            <v/>
          </cell>
          <cell r="C918" t="str">
            <v>Future</v>
          </cell>
          <cell r="D918" t="e">
            <v>#N/A</v>
          </cell>
          <cell r="E918">
            <v>-5.5405405405406007</v>
          </cell>
          <cell r="F918">
            <v>18.716216216216448</v>
          </cell>
          <cell r="G918">
            <v>13.864864864864909</v>
          </cell>
          <cell r="H918">
            <v>13.864864864864909</v>
          </cell>
          <cell r="I918" t="e">
            <v>#N/A</v>
          </cell>
          <cell r="J918" t="e">
            <v>#N/A</v>
          </cell>
          <cell r="K918">
            <v>17.5</v>
          </cell>
          <cell r="L918">
            <v>14</v>
          </cell>
          <cell r="M918" t="e">
            <v>#N/A</v>
          </cell>
          <cell r="N918">
            <v>16.5</v>
          </cell>
          <cell r="O918" t="e">
            <v>#N/A</v>
          </cell>
          <cell r="P918" t="str">
            <v/>
          </cell>
          <cell r="Q918" t="str">
            <v/>
          </cell>
          <cell r="R918">
            <v>16.5</v>
          </cell>
        </row>
        <row r="919">
          <cell r="A919" t="str">
            <v/>
          </cell>
          <cell r="B919" t="str">
            <v/>
          </cell>
          <cell r="C919" t="str">
            <v>Future</v>
          </cell>
          <cell r="D919" t="e">
            <v>#N/A</v>
          </cell>
          <cell r="E919">
            <v>-5.5959459459460064</v>
          </cell>
          <cell r="F919">
            <v>18.728378378378611</v>
          </cell>
          <cell r="G919">
            <v>13.863513513513558</v>
          </cell>
          <cell r="H919">
            <v>13.863513513513558</v>
          </cell>
          <cell r="I919" t="e">
            <v>#N/A</v>
          </cell>
          <cell r="J919" t="e">
            <v>#N/A</v>
          </cell>
          <cell r="K919">
            <v>17.5</v>
          </cell>
          <cell r="L919">
            <v>14</v>
          </cell>
          <cell r="M919" t="e">
            <v>#N/A</v>
          </cell>
          <cell r="N919">
            <v>16.5</v>
          </cell>
          <cell r="O919" t="e">
            <v>#N/A</v>
          </cell>
          <cell r="P919" t="str">
            <v/>
          </cell>
          <cell r="Q919" t="str">
            <v/>
          </cell>
          <cell r="R919">
            <v>16.5</v>
          </cell>
        </row>
        <row r="920">
          <cell r="A920" t="str">
            <v/>
          </cell>
          <cell r="B920" t="str">
            <v/>
          </cell>
          <cell r="C920" t="str">
            <v>Future</v>
          </cell>
          <cell r="D920" t="e">
            <v>#N/A</v>
          </cell>
          <cell r="E920">
            <v>-5.651351351351412</v>
          </cell>
          <cell r="F920">
            <v>18.740540540540774</v>
          </cell>
          <cell r="G920">
            <v>13.862162162162207</v>
          </cell>
          <cell r="H920">
            <v>13.862162162162207</v>
          </cell>
          <cell r="I920" t="e">
            <v>#N/A</v>
          </cell>
          <cell r="J920" t="e">
            <v>#N/A</v>
          </cell>
          <cell r="K920">
            <v>17.5</v>
          </cell>
          <cell r="L920">
            <v>14</v>
          </cell>
          <cell r="M920" t="e">
            <v>#N/A</v>
          </cell>
          <cell r="N920">
            <v>16.5</v>
          </cell>
          <cell r="O920" t="e">
            <v>#N/A</v>
          </cell>
          <cell r="P920" t="str">
            <v/>
          </cell>
          <cell r="Q920" t="str">
            <v/>
          </cell>
          <cell r="R920">
            <v>16.5</v>
          </cell>
        </row>
        <row r="921">
          <cell r="A921" t="str">
            <v/>
          </cell>
          <cell r="B921" t="str">
            <v/>
          </cell>
          <cell r="C921" t="str">
            <v>Future</v>
          </cell>
          <cell r="D921" t="e">
            <v>#N/A</v>
          </cell>
          <cell r="E921">
            <v>-5.7067567567568176</v>
          </cell>
          <cell r="F921">
            <v>18.752702702702937</v>
          </cell>
          <cell r="G921">
            <v>13.860810810810856</v>
          </cell>
          <cell r="H921">
            <v>13.860810810810856</v>
          </cell>
          <cell r="I921" t="e">
            <v>#N/A</v>
          </cell>
          <cell r="J921" t="e">
            <v>#N/A</v>
          </cell>
          <cell r="K921">
            <v>17.5</v>
          </cell>
          <cell r="L921">
            <v>14</v>
          </cell>
          <cell r="M921" t="e">
            <v>#N/A</v>
          </cell>
          <cell r="N921">
            <v>16.5</v>
          </cell>
          <cell r="O921" t="e">
            <v>#N/A</v>
          </cell>
          <cell r="P921" t="str">
            <v/>
          </cell>
          <cell r="Q921" t="str">
            <v/>
          </cell>
          <cell r="R921">
            <v>16.5</v>
          </cell>
        </row>
        <row r="922">
          <cell r="A922" t="str">
            <v/>
          </cell>
          <cell r="B922" t="str">
            <v/>
          </cell>
          <cell r="C922" t="str">
            <v>Future</v>
          </cell>
          <cell r="D922" t="e">
            <v>#N/A</v>
          </cell>
          <cell r="E922">
            <v>-5.7621621621622232</v>
          </cell>
          <cell r="F922">
            <v>18.7648648648651</v>
          </cell>
          <cell r="G922">
            <v>13.859459459459504</v>
          </cell>
          <cell r="H922">
            <v>13.859459459459504</v>
          </cell>
          <cell r="I922" t="e">
            <v>#N/A</v>
          </cell>
          <cell r="J922" t="e">
            <v>#N/A</v>
          </cell>
          <cell r="K922">
            <v>17.5</v>
          </cell>
          <cell r="L922">
            <v>14</v>
          </cell>
          <cell r="M922" t="e">
            <v>#N/A</v>
          </cell>
          <cell r="N922">
            <v>16.5</v>
          </cell>
          <cell r="O922" t="e">
            <v>#N/A</v>
          </cell>
          <cell r="P922" t="str">
            <v/>
          </cell>
          <cell r="Q922" t="str">
            <v/>
          </cell>
          <cell r="R922">
            <v>16.5</v>
          </cell>
        </row>
        <row r="923">
          <cell r="A923" t="str">
            <v/>
          </cell>
          <cell r="B923" t="str">
            <v/>
          </cell>
          <cell r="C923" t="str">
            <v>Future</v>
          </cell>
          <cell r="D923" t="e">
            <v>#N/A</v>
          </cell>
          <cell r="E923">
            <v>-5.8175675675676288</v>
          </cell>
          <cell r="F923">
            <v>18.777027027027263</v>
          </cell>
          <cell r="G923">
            <v>13.858108108108153</v>
          </cell>
          <cell r="H923">
            <v>13.858108108108153</v>
          </cell>
          <cell r="I923" t="e">
            <v>#N/A</v>
          </cell>
          <cell r="J923" t="e">
            <v>#N/A</v>
          </cell>
          <cell r="K923">
            <v>17.5</v>
          </cell>
          <cell r="L923">
            <v>14</v>
          </cell>
          <cell r="M923" t="e">
            <v>#N/A</v>
          </cell>
          <cell r="N923">
            <v>16.5</v>
          </cell>
          <cell r="O923" t="e">
            <v>#N/A</v>
          </cell>
          <cell r="P923" t="str">
            <v/>
          </cell>
          <cell r="Q923" t="str">
            <v/>
          </cell>
          <cell r="R923">
            <v>16.5</v>
          </cell>
        </row>
        <row r="924">
          <cell r="A924" t="str">
            <v/>
          </cell>
          <cell r="B924" t="str">
            <v/>
          </cell>
          <cell r="C924" t="str">
            <v>Future</v>
          </cell>
          <cell r="D924" t="e">
            <v>#N/A</v>
          </cell>
          <cell r="E924">
            <v>-5.8729729729730344</v>
          </cell>
          <cell r="F924">
            <v>18.789189189189425</v>
          </cell>
          <cell r="G924">
            <v>13.856756756756802</v>
          </cell>
          <cell r="H924">
            <v>13.856756756756802</v>
          </cell>
          <cell r="I924" t="e">
            <v>#N/A</v>
          </cell>
          <cell r="J924" t="e">
            <v>#N/A</v>
          </cell>
          <cell r="K924">
            <v>17.5</v>
          </cell>
          <cell r="L924">
            <v>14</v>
          </cell>
          <cell r="M924" t="e">
            <v>#N/A</v>
          </cell>
          <cell r="N924">
            <v>16.5</v>
          </cell>
          <cell r="O924" t="e">
            <v>#N/A</v>
          </cell>
          <cell r="P924" t="str">
            <v/>
          </cell>
          <cell r="Q924" t="str">
            <v/>
          </cell>
          <cell r="R924">
            <v>16.5</v>
          </cell>
        </row>
        <row r="925">
          <cell r="A925" t="str">
            <v/>
          </cell>
          <cell r="B925" t="str">
            <v/>
          </cell>
          <cell r="C925" t="str">
            <v>Future</v>
          </cell>
          <cell r="D925" t="e">
            <v>#N/A</v>
          </cell>
          <cell r="E925">
            <v>-5.9283783783784401</v>
          </cell>
          <cell r="F925">
            <v>18.801351351351588</v>
          </cell>
          <cell r="G925">
            <v>13.855405405405451</v>
          </cell>
          <cell r="H925">
            <v>13.855405405405451</v>
          </cell>
          <cell r="I925" t="e">
            <v>#N/A</v>
          </cell>
          <cell r="J925" t="e">
            <v>#N/A</v>
          </cell>
          <cell r="K925">
            <v>17.5</v>
          </cell>
          <cell r="L925">
            <v>14</v>
          </cell>
          <cell r="M925" t="e">
            <v>#N/A</v>
          </cell>
          <cell r="N925">
            <v>16.5</v>
          </cell>
          <cell r="O925" t="e">
            <v>#N/A</v>
          </cell>
          <cell r="P925" t="str">
            <v/>
          </cell>
          <cell r="Q925" t="str">
            <v/>
          </cell>
          <cell r="R925">
            <v>16.5</v>
          </cell>
        </row>
        <row r="926">
          <cell r="A926" t="str">
            <v/>
          </cell>
          <cell r="B926" t="str">
            <v/>
          </cell>
          <cell r="C926" t="str">
            <v>Future</v>
          </cell>
          <cell r="D926" t="e">
            <v>#N/A</v>
          </cell>
          <cell r="E926">
            <v>-5.9837837837838457</v>
          </cell>
          <cell r="F926">
            <v>18.813513513513751</v>
          </cell>
          <cell r="G926">
            <v>13.8540540540541</v>
          </cell>
          <cell r="H926">
            <v>13.8540540540541</v>
          </cell>
          <cell r="I926" t="e">
            <v>#N/A</v>
          </cell>
          <cell r="J926" t="e">
            <v>#N/A</v>
          </cell>
          <cell r="K926">
            <v>17.5</v>
          </cell>
          <cell r="L926">
            <v>14</v>
          </cell>
          <cell r="M926" t="e">
            <v>#N/A</v>
          </cell>
          <cell r="N926">
            <v>16.5</v>
          </cell>
          <cell r="O926" t="e">
            <v>#N/A</v>
          </cell>
          <cell r="P926" t="str">
            <v/>
          </cell>
          <cell r="Q926" t="str">
            <v/>
          </cell>
          <cell r="R926">
            <v>16.5</v>
          </cell>
        </row>
        <row r="927">
          <cell r="A927" t="str">
            <v/>
          </cell>
          <cell r="B927" t="str">
            <v/>
          </cell>
          <cell r="C927" t="str">
            <v>Future</v>
          </cell>
          <cell r="D927" t="e">
            <v>#N/A</v>
          </cell>
          <cell r="E927">
            <v>-6.0391891891892513</v>
          </cell>
          <cell r="F927">
            <v>18.825675675675914</v>
          </cell>
          <cell r="G927">
            <v>13.852702702702748</v>
          </cell>
          <cell r="H927">
            <v>13.852702702702748</v>
          </cell>
          <cell r="I927" t="e">
            <v>#N/A</v>
          </cell>
          <cell r="J927" t="e">
            <v>#N/A</v>
          </cell>
          <cell r="K927">
            <v>17.5</v>
          </cell>
          <cell r="L927">
            <v>14</v>
          </cell>
          <cell r="M927" t="e">
            <v>#N/A</v>
          </cell>
          <cell r="N927">
            <v>16.5</v>
          </cell>
          <cell r="O927" t="e">
            <v>#N/A</v>
          </cell>
          <cell r="P927" t="str">
            <v/>
          </cell>
          <cell r="Q927" t="str">
            <v/>
          </cell>
          <cell r="R927">
            <v>16.5</v>
          </cell>
        </row>
        <row r="928">
          <cell r="A928" t="str">
            <v/>
          </cell>
          <cell r="B928" t="str">
            <v/>
          </cell>
          <cell r="C928" t="str">
            <v>Future</v>
          </cell>
          <cell r="D928" t="e">
            <v>#N/A</v>
          </cell>
          <cell r="E928">
            <v>-6.0945945945946569</v>
          </cell>
          <cell r="F928">
            <v>18.837837837838077</v>
          </cell>
          <cell r="G928">
            <v>13.851351351351397</v>
          </cell>
          <cell r="H928">
            <v>13.851351351351397</v>
          </cell>
          <cell r="I928" t="e">
            <v>#N/A</v>
          </cell>
          <cell r="J928" t="e">
            <v>#N/A</v>
          </cell>
          <cell r="K928">
            <v>17.5</v>
          </cell>
          <cell r="L928">
            <v>14</v>
          </cell>
          <cell r="M928" t="e">
            <v>#N/A</v>
          </cell>
          <cell r="N928">
            <v>16.5</v>
          </cell>
          <cell r="O928" t="e">
            <v>#N/A</v>
          </cell>
          <cell r="P928" t="str">
            <v/>
          </cell>
          <cell r="Q928" t="str">
            <v/>
          </cell>
          <cell r="R928">
            <v>16.5</v>
          </cell>
        </row>
        <row r="929">
          <cell r="A929" t="str">
            <v/>
          </cell>
          <cell r="B929" t="str">
            <v/>
          </cell>
          <cell r="C929" t="str">
            <v>Future</v>
          </cell>
          <cell r="D929" t="e">
            <v>#N/A</v>
          </cell>
          <cell r="E929">
            <v>-6.1500000000000625</v>
          </cell>
          <cell r="F929">
            <v>18.850000000000239</v>
          </cell>
          <cell r="G929">
            <v>13.850000000000046</v>
          </cell>
          <cell r="H929">
            <v>13.850000000000046</v>
          </cell>
          <cell r="I929" t="e">
            <v>#N/A</v>
          </cell>
          <cell r="J929" t="e">
            <v>#N/A</v>
          </cell>
          <cell r="K929">
            <v>17.5</v>
          </cell>
          <cell r="L929">
            <v>14</v>
          </cell>
          <cell r="M929" t="e">
            <v>#N/A</v>
          </cell>
          <cell r="N929">
            <v>16.5</v>
          </cell>
          <cell r="O929" t="e">
            <v>#N/A</v>
          </cell>
          <cell r="P929" t="str">
            <v/>
          </cell>
          <cell r="Q929" t="str">
            <v/>
          </cell>
          <cell r="R929">
            <v>16.5</v>
          </cell>
        </row>
        <row r="930">
          <cell r="A930" t="str">
            <v/>
          </cell>
          <cell r="B930" t="str">
            <v/>
          </cell>
          <cell r="C930" t="str">
            <v>Future</v>
          </cell>
          <cell r="D930" t="e">
            <v>#N/A</v>
          </cell>
          <cell r="E930">
            <v>-6.2054054054054681</v>
          </cell>
          <cell r="F930">
            <v>18.862162162162402</v>
          </cell>
          <cell r="G930">
            <v>13.848648648648695</v>
          </cell>
          <cell r="H930">
            <v>13.848648648648695</v>
          </cell>
          <cell r="I930" t="e">
            <v>#N/A</v>
          </cell>
          <cell r="J930" t="e">
            <v>#N/A</v>
          </cell>
          <cell r="K930">
            <v>17.5</v>
          </cell>
          <cell r="L930">
            <v>14</v>
          </cell>
          <cell r="M930" t="e">
            <v>#N/A</v>
          </cell>
          <cell r="N930">
            <v>16.5</v>
          </cell>
          <cell r="O930" t="e">
            <v>#N/A</v>
          </cell>
          <cell r="P930" t="str">
            <v/>
          </cell>
          <cell r="Q930" t="str">
            <v/>
          </cell>
          <cell r="R930">
            <v>16.5</v>
          </cell>
        </row>
        <row r="931">
          <cell r="A931" t="str">
            <v/>
          </cell>
          <cell r="B931" t="str">
            <v/>
          </cell>
          <cell r="C931" t="str">
            <v>Future</v>
          </cell>
          <cell r="D931" t="e">
            <v>#N/A</v>
          </cell>
          <cell r="E931">
            <v>-6.2608108108108738</v>
          </cell>
          <cell r="F931">
            <v>18.874324324324565</v>
          </cell>
          <cell r="G931">
            <v>13.847297297297343</v>
          </cell>
          <cell r="H931">
            <v>13.847297297297343</v>
          </cell>
          <cell r="I931" t="e">
            <v>#N/A</v>
          </cell>
          <cell r="J931" t="e">
            <v>#N/A</v>
          </cell>
          <cell r="K931">
            <v>17.5</v>
          </cell>
          <cell r="L931">
            <v>14</v>
          </cell>
          <cell r="M931" t="e">
            <v>#N/A</v>
          </cell>
          <cell r="N931">
            <v>16.5</v>
          </cell>
          <cell r="O931" t="e">
            <v>#N/A</v>
          </cell>
          <cell r="P931" t="str">
            <v/>
          </cell>
          <cell r="Q931" t="str">
            <v/>
          </cell>
          <cell r="R931">
            <v>16.5</v>
          </cell>
        </row>
        <row r="932">
          <cell r="A932" t="str">
            <v/>
          </cell>
          <cell r="B932" t="str">
            <v/>
          </cell>
          <cell r="C932" t="str">
            <v>Future</v>
          </cell>
          <cell r="D932" t="e">
            <v>#N/A</v>
          </cell>
          <cell r="E932">
            <v>-6.3162162162162794</v>
          </cell>
          <cell r="F932">
            <v>18.886486486486728</v>
          </cell>
          <cell r="G932">
            <v>13.845945945945992</v>
          </cell>
          <cell r="H932">
            <v>13.845945945945992</v>
          </cell>
          <cell r="I932" t="e">
            <v>#N/A</v>
          </cell>
          <cell r="J932" t="e">
            <v>#N/A</v>
          </cell>
          <cell r="K932">
            <v>17.5</v>
          </cell>
          <cell r="L932">
            <v>14</v>
          </cell>
          <cell r="M932" t="e">
            <v>#N/A</v>
          </cell>
          <cell r="N932">
            <v>16.5</v>
          </cell>
          <cell r="O932" t="e">
            <v>#N/A</v>
          </cell>
          <cell r="P932" t="str">
            <v/>
          </cell>
          <cell r="Q932" t="str">
            <v/>
          </cell>
          <cell r="R932">
            <v>16.5</v>
          </cell>
        </row>
        <row r="933">
          <cell r="A933" t="str">
            <v/>
          </cell>
          <cell r="B933" t="str">
            <v/>
          </cell>
          <cell r="C933" t="str">
            <v>Future</v>
          </cell>
          <cell r="D933" t="e">
            <v>#N/A</v>
          </cell>
          <cell r="E933">
            <v>-6.371621621621685</v>
          </cell>
          <cell r="F933">
            <v>18.898648648648891</v>
          </cell>
          <cell r="G933">
            <v>13.844594594594641</v>
          </cell>
          <cell r="H933">
            <v>13.844594594594641</v>
          </cell>
          <cell r="I933" t="e">
            <v>#N/A</v>
          </cell>
          <cell r="J933" t="e">
            <v>#N/A</v>
          </cell>
          <cell r="K933">
            <v>17.5</v>
          </cell>
          <cell r="L933">
            <v>14</v>
          </cell>
          <cell r="M933" t="e">
            <v>#N/A</v>
          </cell>
          <cell r="N933">
            <v>16.5</v>
          </cell>
          <cell r="O933" t="e">
            <v>#N/A</v>
          </cell>
          <cell r="P933" t="str">
            <v/>
          </cell>
          <cell r="Q933" t="str">
            <v/>
          </cell>
          <cell r="R933">
            <v>16.5</v>
          </cell>
        </row>
        <row r="934">
          <cell r="A934" t="str">
            <v/>
          </cell>
          <cell r="B934" t="str">
            <v/>
          </cell>
          <cell r="C934" t="str">
            <v>Future</v>
          </cell>
          <cell r="D934" t="e">
            <v>#N/A</v>
          </cell>
          <cell r="E934">
            <v>-6.4270270270270906</v>
          </cell>
          <cell r="F934">
            <v>18.910810810811054</v>
          </cell>
          <cell r="G934">
            <v>13.84324324324329</v>
          </cell>
          <cell r="H934">
            <v>13.84324324324329</v>
          </cell>
          <cell r="I934" t="e">
            <v>#N/A</v>
          </cell>
          <cell r="J934" t="e">
            <v>#N/A</v>
          </cell>
          <cell r="K934">
            <v>17.5</v>
          </cell>
          <cell r="L934">
            <v>14</v>
          </cell>
          <cell r="M934" t="e">
            <v>#N/A</v>
          </cell>
          <cell r="N934">
            <v>16.5</v>
          </cell>
          <cell r="O934" t="e">
            <v>#N/A</v>
          </cell>
          <cell r="P934" t="str">
            <v/>
          </cell>
          <cell r="Q934" t="str">
            <v/>
          </cell>
          <cell r="R934">
            <v>16.5</v>
          </cell>
        </row>
        <row r="935">
          <cell r="A935" t="str">
            <v/>
          </cell>
          <cell r="B935" t="str">
            <v/>
          </cell>
          <cell r="C935" t="str">
            <v>Future</v>
          </cell>
          <cell r="D935" t="e">
            <v>#N/A</v>
          </cell>
          <cell r="E935">
            <v>-6.4824324324324962</v>
          </cell>
          <cell r="F935">
            <v>18.922972972973216</v>
          </cell>
          <cell r="G935">
            <v>13.841891891891938</v>
          </cell>
          <cell r="H935">
            <v>13.841891891891938</v>
          </cell>
          <cell r="I935" t="e">
            <v>#N/A</v>
          </cell>
          <cell r="J935" t="e">
            <v>#N/A</v>
          </cell>
          <cell r="K935">
            <v>17.5</v>
          </cell>
          <cell r="L935">
            <v>14</v>
          </cell>
          <cell r="M935" t="e">
            <v>#N/A</v>
          </cell>
          <cell r="N935">
            <v>16.5</v>
          </cell>
          <cell r="O935" t="e">
            <v>#N/A</v>
          </cell>
          <cell r="P935" t="str">
            <v/>
          </cell>
          <cell r="Q935" t="str">
            <v/>
          </cell>
          <cell r="R935">
            <v>16.5</v>
          </cell>
        </row>
        <row r="936">
          <cell r="A936" t="str">
            <v/>
          </cell>
          <cell r="B936" t="str">
            <v/>
          </cell>
          <cell r="C936" t="str">
            <v>Future</v>
          </cell>
          <cell r="D936" t="e">
            <v>#N/A</v>
          </cell>
          <cell r="E936">
            <v>-6.5378378378379018</v>
          </cell>
          <cell r="F936">
            <v>18.935135135135379</v>
          </cell>
          <cell r="G936">
            <v>13.840540540540587</v>
          </cell>
          <cell r="H936">
            <v>13.840540540540587</v>
          </cell>
          <cell r="I936" t="e">
            <v>#N/A</v>
          </cell>
          <cell r="J936" t="e">
            <v>#N/A</v>
          </cell>
          <cell r="K936">
            <v>17.5</v>
          </cell>
          <cell r="L936">
            <v>14</v>
          </cell>
          <cell r="M936" t="e">
            <v>#N/A</v>
          </cell>
          <cell r="N936">
            <v>16.5</v>
          </cell>
          <cell r="O936" t="e">
            <v>#N/A</v>
          </cell>
          <cell r="P936" t="str">
            <v/>
          </cell>
          <cell r="Q936" t="str">
            <v/>
          </cell>
          <cell r="R936">
            <v>16.5</v>
          </cell>
        </row>
        <row r="937">
          <cell r="A937" t="str">
            <v/>
          </cell>
          <cell r="B937" t="str">
            <v/>
          </cell>
          <cell r="C937" t="str">
            <v>Future</v>
          </cell>
          <cell r="D937" t="e">
            <v>#N/A</v>
          </cell>
          <cell r="E937">
            <v>-6.5932432432433075</v>
          </cell>
          <cell r="F937">
            <v>18.947297297297542</v>
          </cell>
          <cell r="G937">
            <v>13.839189189189236</v>
          </cell>
          <cell r="H937">
            <v>13.839189189189236</v>
          </cell>
          <cell r="I937" t="e">
            <v>#N/A</v>
          </cell>
          <cell r="J937" t="e">
            <v>#N/A</v>
          </cell>
          <cell r="K937">
            <v>17.5</v>
          </cell>
          <cell r="L937">
            <v>14</v>
          </cell>
          <cell r="M937" t="e">
            <v>#N/A</v>
          </cell>
          <cell r="N937">
            <v>16.5</v>
          </cell>
          <cell r="O937" t="e">
            <v>#N/A</v>
          </cell>
          <cell r="P937" t="str">
            <v/>
          </cell>
          <cell r="Q937" t="str">
            <v/>
          </cell>
          <cell r="R937">
            <v>16.5</v>
          </cell>
        </row>
        <row r="938">
          <cell r="A938" t="str">
            <v/>
          </cell>
          <cell r="B938" t="str">
            <v/>
          </cell>
          <cell r="C938" t="str">
            <v>Future</v>
          </cell>
          <cell r="D938" t="e">
            <v>#N/A</v>
          </cell>
          <cell r="E938">
            <v>-6.6486486486487131</v>
          </cell>
          <cell r="F938">
            <v>18.959459459459705</v>
          </cell>
          <cell r="G938">
            <v>13.837837837837885</v>
          </cell>
          <cell r="H938">
            <v>13.837837837837885</v>
          </cell>
          <cell r="I938" t="e">
            <v>#N/A</v>
          </cell>
          <cell r="J938" t="e">
            <v>#N/A</v>
          </cell>
          <cell r="K938">
            <v>17.5</v>
          </cell>
          <cell r="L938">
            <v>14</v>
          </cell>
          <cell r="M938" t="e">
            <v>#N/A</v>
          </cell>
          <cell r="N938">
            <v>16.5</v>
          </cell>
          <cell r="O938" t="e">
            <v>#N/A</v>
          </cell>
          <cell r="P938" t="str">
            <v/>
          </cell>
          <cell r="Q938" t="str">
            <v/>
          </cell>
          <cell r="R938">
            <v>16.5</v>
          </cell>
        </row>
        <row r="939">
          <cell r="A939" t="str">
            <v/>
          </cell>
          <cell r="B939" t="str">
            <v/>
          </cell>
          <cell r="C939" t="str">
            <v>Future</v>
          </cell>
          <cell r="D939" t="e">
            <v>#N/A</v>
          </cell>
          <cell r="E939">
            <v>-6.7040540540541187</v>
          </cell>
          <cell r="F939">
            <v>18.971621621621868</v>
          </cell>
          <cell r="G939">
            <v>13.836486486486534</v>
          </cell>
          <cell r="H939">
            <v>13.836486486486534</v>
          </cell>
          <cell r="I939" t="e">
            <v>#N/A</v>
          </cell>
          <cell r="J939" t="e">
            <v>#N/A</v>
          </cell>
          <cell r="K939">
            <v>17.5</v>
          </cell>
          <cell r="L939">
            <v>14</v>
          </cell>
          <cell r="M939" t="e">
            <v>#N/A</v>
          </cell>
          <cell r="N939">
            <v>16.5</v>
          </cell>
          <cell r="O939" t="e">
            <v>#N/A</v>
          </cell>
          <cell r="P939" t="str">
            <v/>
          </cell>
          <cell r="Q939" t="str">
            <v/>
          </cell>
          <cell r="R939">
            <v>16.5</v>
          </cell>
        </row>
        <row r="940">
          <cell r="A940" t="str">
            <v/>
          </cell>
          <cell r="B940" t="str">
            <v/>
          </cell>
          <cell r="C940" t="str">
            <v>Future</v>
          </cell>
          <cell r="D940" t="e">
            <v>#N/A</v>
          </cell>
          <cell r="E940">
            <v>-6.7594594594595243</v>
          </cell>
          <cell r="F940">
            <v>18.98378378378403</v>
          </cell>
          <cell r="G940">
            <v>13.835135135135182</v>
          </cell>
          <cell r="H940">
            <v>13.835135135135182</v>
          </cell>
          <cell r="I940" t="e">
            <v>#N/A</v>
          </cell>
          <cell r="J940" t="e">
            <v>#N/A</v>
          </cell>
          <cell r="K940">
            <v>17.5</v>
          </cell>
          <cell r="L940">
            <v>14</v>
          </cell>
          <cell r="M940" t="e">
            <v>#N/A</v>
          </cell>
          <cell r="N940">
            <v>16.5</v>
          </cell>
          <cell r="O940" t="e">
            <v>#N/A</v>
          </cell>
          <cell r="P940" t="str">
            <v/>
          </cell>
          <cell r="Q940" t="str">
            <v/>
          </cell>
          <cell r="R940">
            <v>16.5</v>
          </cell>
        </row>
        <row r="941">
          <cell r="A941" t="str">
            <v/>
          </cell>
          <cell r="B941" t="str">
            <v/>
          </cell>
          <cell r="C941" t="str">
            <v>Future</v>
          </cell>
          <cell r="D941" t="e">
            <v>#N/A</v>
          </cell>
          <cell r="E941">
            <v>-6.8148648648649299</v>
          </cell>
          <cell r="F941">
            <v>18.995945945946193</v>
          </cell>
          <cell r="G941">
            <v>13.833783783783831</v>
          </cell>
          <cell r="H941">
            <v>13.833783783783831</v>
          </cell>
          <cell r="I941" t="e">
            <v>#N/A</v>
          </cell>
          <cell r="J941" t="e">
            <v>#N/A</v>
          </cell>
          <cell r="K941">
            <v>17.5</v>
          </cell>
          <cell r="L941">
            <v>14</v>
          </cell>
          <cell r="M941" t="e">
            <v>#N/A</v>
          </cell>
          <cell r="N941">
            <v>16.5</v>
          </cell>
          <cell r="O941" t="e">
            <v>#N/A</v>
          </cell>
          <cell r="P941" t="str">
            <v/>
          </cell>
          <cell r="Q941" t="str">
            <v/>
          </cell>
          <cell r="R941">
            <v>16.5</v>
          </cell>
        </row>
        <row r="942">
          <cell r="A942" t="str">
            <v/>
          </cell>
          <cell r="B942" t="str">
            <v/>
          </cell>
          <cell r="C942" t="str">
            <v>Future</v>
          </cell>
          <cell r="D942" t="e">
            <v>#N/A</v>
          </cell>
          <cell r="E942">
            <v>-6.8702702702703355</v>
          </cell>
          <cell r="F942">
            <v>19.008108108108356</v>
          </cell>
          <cell r="G942">
            <v>13.83243243243248</v>
          </cell>
          <cell r="H942">
            <v>13.83243243243248</v>
          </cell>
          <cell r="I942" t="e">
            <v>#N/A</v>
          </cell>
          <cell r="J942" t="e">
            <v>#N/A</v>
          </cell>
          <cell r="K942">
            <v>17.5</v>
          </cell>
          <cell r="L942">
            <v>14</v>
          </cell>
          <cell r="M942" t="e">
            <v>#N/A</v>
          </cell>
          <cell r="N942">
            <v>16.5</v>
          </cell>
          <cell r="O942" t="e">
            <v>#N/A</v>
          </cell>
          <cell r="P942" t="str">
            <v/>
          </cell>
          <cell r="Q942" t="str">
            <v/>
          </cell>
          <cell r="R942">
            <v>16.5</v>
          </cell>
        </row>
        <row r="943">
          <cell r="A943" t="str">
            <v/>
          </cell>
          <cell r="B943" t="str">
            <v/>
          </cell>
          <cell r="C943" t="str">
            <v>Future</v>
          </cell>
          <cell r="D943" t="e">
            <v>#N/A</v>
          </cell>
          <cell r="E943">
            <v>-6.9256756756757412</v>
          </cell>
          <cell r="F943">
            <v>19.020270270270519</v>
          </cell>
          <cell r="G943">
            <v>13.831081081081129</v>
          </cell>
          <cell r="H943">
            <v>13.831081081081129</v>
          </cell>
          <cell r="I943" t="e">
            <v>#N/A</v>
          </cell>
          <cell r="J943" t="e">
            <v>#N/A</v>
          </cell>
          <cell r="K943">
            <v>17.5</v>
          </cell>
          <cell r="L943">
            <v>14</v>
          </cell>
          <cell r="M943" t="e">
            <v>#N/A</v>
          </cell>
          <cell r="N943">
            <v>16.5</v>
          </cell>
          <cell r="O943" t="e">
            <v>#N/A</v>
          </cell>
          <cell r="P943" t="str">
            <v/>
          </cell>
          <cell r="Q943" t="str">
            <v/>
          </cell>
          <cell r="R943">
            <v>16.5</v>
          </cell>
        </row>
        <row r="944">
          <cell r="A944" t="str">
            <v/>
          </cell>
          <cell r="B944" t="str">
            <v/>
          </cell>
          <cell r="C944" t="str">
            <v>Future</v>
          </cell>
          <cell r="D944" t="e">
            <v>#N/A</v>
          </cell>
          <cell r="E944">
            <v>-6.9810810810811468</v>
          </cell>
          <cell r="F944">
            <v>19.032432432432682</v>
          </cell>
          <cell r="G944">
            <v>13.829729729729777</v>
          </cell>
          <cell r="H944">
            <v>13.829729729729777</v>
          </cell>
          <cell r="I944" t="e">
            <v>#N/A</v>
          </cell>
          <cell r="J944" t="e">
            <v>#N/A</v>
          </cell>
          <cell r="K944">
            <v>17.5</v>
          </cell>
          <cell r="L944">
            <v>14</v>
          </cell>
          <cell r="M944" t="e">
            <v>#N/A</v>
          </cell>
          <cell r="N944">
            <v>16.5</v>
          </cell>
          <cell r="O944" t="e">
            <v>#N/A</v>
          </cell>
          <cell r="P944" t="str">
            <v/>
          </cell>
          <cell r="Q944" t="str">
            <v/>
          </cell>
          <cell r="R944">
            <v>16.5</v>
          </cell>
        </row>
        <row r="945">
          <cell r="A945" t="str">
            <v/>
          </cell>
          <cell r="B945" t="str">
            <v/>
          </cell>
          <cell r="C945" t="str">
            <v>Future</v>
          </cell>
          <cell r="D945" t="e">
            <v>#N/A</v>
          </cell>
          <cell r="E945">
            <v>-7.0364864864865524</v>
          </cell>
          <cell r="F945">
            <v>19.044594594594844</v>
          </cell>
          <cell r="G945">
            <v>13.828378378378426</v>
          </cell>
          <cell r="H945">
            <v>13.828378378378426</v>
          </cell>
          <cell r="I945" t="e">
            <v>#N/A</v>
          </cell>
          <cell r="J945" t="e">
            <v>#N/A</v>
          </cell>
          <cell r="K945">
            <v>17.5</v>
          </cell>
          <cell r="L945">
            <v>14</v>
          </cell>
          <cell r="M945" t="e">
            <v>#N/A</v>
          </cell>
          <cell r="N945">
            <v>16.5</v>
          </cell>
          <cell r="O945" t="e">
            <v>#N/A</v>
          </cell>
          <cell r="P945" t="str">
            <v/>
          </cell>
          <cell r="Q945" t="str">
            <v/>
          </cell>
          <cell r="R945">
            <v>16.5</v>
          </cell>
        </row>
        <row r="946">
          <cell r="A946" t="str">
            <v/>
          </cell>
          <cell r="B946" t="str">
            <v/>
          </cell>
          <cell r="C946" t="str">
            <v>Future</v>
          </cell>
          <cell r="D946" t="e">
            <v>#N/A</v>
          </cell>
          <cell r="E946">
            <v>-7.091891891891958</v>
          </cell>
          <cell r="F946">
            <v>19.056756756757007</v>
          </cell>
          <cell r="G946">
            <v>13.827027027027075</v>
          </cell>
          <cell r="H946">
            <v>13.827027027027075</v>
          </cell>
          <cell r="I946" t="e">
            <v>#N/A</v>
          </cell>
          <cell r="J946" t="e">
            <v>#N/A</v>
          </cell>
          <cell r="K946">
            <v>17.5</v>
          </cell>
          <cell r="L946">
            <v>14</v>
          </cell>
          <cell r="M946" t="e">
            <v>#N/A</v>
          </cell>
          <cell r="N946">
            <v>16.5</v>
          </cell>
          <cell r="O946" t="e">
            <v>#N/A</v>
          </cell>
          <cell r="P946" t="str">
            <v/>
          </cell>
          <cell r="Q946" t="str">
            <v/>
          </cell>
          <cell r="R946">
            <v>16.5</v>
          </cell>
        </row>
        <row r="947">
          <cell r="A947" t="str">
            <v/>
          </cell>
          <cell r="B947" t="str">
            <v/>
          </cell>
          <cell r="C947" t="str">
            <v>Future</v>
          </cell>
          <cell r="D947" t="e">
            <v>#N/A</v>
          </cell>
          <cell r="E947">
            <v>-7.1472972972973636</v>
          </cell>
          <cell r="F947">
            <v>19.06891891891917</v>
          </cell>
          <cell r="G947">
            <v>13.825675675675724</v>
          </cell>
          <cell r="H947">
            <v>13.825675675675724</v>
          </cell>
          <cell r="I947" t="e">
            <v>#N/A</v>
          </cell>
          <cell r="J947" t="e">
            <v>#N/A</v>
          </cell>
          <cell r="K947">
            <v>17.5</v>
          </cell>
          <cell r="L947">
            <v>14</v>
          </cell>
          <cell r="M947" t="e">
            <v>#N/A</v>
          </cell>
          <cell r="N947">
            <v>16.5</v>
          </cell>
          <cell r="O947" t="e">
            <v>#N/A</v>
          </cell>
          <cell r="P947" t="str">
            <v/>
          </cell>
          <cell r="Q947" t="str">
            <v/>
          </cell>
          <cell r="R947">
            <v>16.5</v>
          </cell>
        </row>
        <row r="948">
          <cell r="A948" t="str">
            <v/>
          </cell>
          <cell r="B948" t="str">
            <v/>
          </cell>
          <cell r="C948" t="str">
            <v>Future</v>
          </cell>
          <cell r="D948" t="e">
            <v>#N/A</v>
          </cell>
          <cell r="E948">
            <v>-7.2027027027027692</v>
          </cell>
          <cell r="F948">
            <v>19.081081081081333</v>
          </cell>
          <cell r="G948">
            <v>13.824324324324373</v>
          </cell>
          <cell r="H948">
            <v>13.824324324324373</v>
          </cell>
          <cell r="I948" t="e">
            <v>#N/A</v>
          </cell>
          <cell r="J948" t="e">
            <v>#N/A</v>
          </cell>
          <cell r="K948">
            <v>17.5</v>
          </cell>
          <cell r="L948">
            <v>14</v>
          </cell>
          <cell r="M948" t="e">
            <v>#N/A</v>
          </cell>
          <cell r="N948">
            <v>16.5</v>
          </cell>
          <cell r="O948" t="e">
            <v>#N/A</v>
          </cell>
          <cell r="P948" t="str">
            <v/>
          </cell>
          <cell r="Q948" t="str">
            <v/>
          </cell>
          <cell r="R948">
            <v>16.5</v>
          </cell>
        </row>
        <row r="949">
          <cell r="A949" t="str">
            <v/>
          </cell>
          <cell r="B949" t="str">
            <v/>
          </cell>
          <cell r="C949" t="str">
            <v>Future</v>
          </cell>
          <cell r="D949" t="e">
            <v>#N/A</v>
          </cell>
          <cell r="E949">
            <v>-7.2581081081081749</v>
          </cell>
          <cell r="F949">
            <v>19.093243243243496</v>
          </cell>
          <cell r="G949">
            <v>13.822972972973021</v>
          </cell>
          <cell r="H949">
            <v>13.822972972973021</v>
          </cell>
          <cell r="I949" t="e">
            <v>#N/A</v>
          </cell>
          <cell r="J949" t="e">
            <v>#N/A</v>
          </cell>
          <cell r="K949">
            <v>17.5</v>
          </cell>
          <cell r="L949">
            <v>14</v>
          </cell>
          <cell r="M949" t="e">
            <v>#N/A</v>
          </cell>
          <cell r="N949">
            <v>16.5</v>
          </cell>
          <cell r="O949" t="e">
            <v>#N/A</v>
          </cell>
          <cell r="P949" t="str">
            <v/>
          </cell>
          <cell r="Q949" t="str">
            <v/>
          </cell>
          <cell r="R949">
            <v>16.5</v>
          </cell>
        </row>
        <row r="950">
          <cell r="A950" t="str">
            <v/>
          </cell>
          <cell r="B950" t="str">
            <v/>
          </cell>
          <cell r="C950" t="str">
            <v>Future</v>
          </cell>
          <cell r="D950" t="e">
            <v>#N/A</v>
          </cell>
          <cell r="E950">
            <v>-7.3135135135135805</v>
          </cell>
          <cell r="F950">
            <v>19.105405405405659</v>
          </cell>
          <cell r="G950">
            <v>13.82162162162167</v>
          </cell>
          <cell r="H950">
            <v>13.82162162162167</v>
          </cell>
          <cell r="I950" t="e">
            <v>#N/A</v>
          </cell>
          <cell r="J950" t="e">
            <v>#N/A</v>
          </cell>
          <cell r="K950">
            <v>17.5</v>
          </cell>
          <cell r="L950">
            <v>14</v>
          </cell>
          <cell r="M950" t="e">
            <v>#N/A</v>
          </cell>
          <cell r="N950">
            <v>16.5</v>
          </cell>
          <cell r="O950" t="e">
            <v>#N/A</v>
          </cell>
          <cell r="P950" t="str">
            <v/>
          </cell>
          <cell r="Q950" t="str">
            <v/>
          </cell>
          <cell r="R950">
            <v>16.5</v>
          </cell>
        </row>
        <row r="951">
          <cell r="A951" t="str">
            <v/>
          </cell>
          <cell r="B951" t="str">
            <v/>
          </cell>
          <cell r="C951" t="str">
            <v>Future</v>
          </cell>
          <cell r="D951" t="e">
            <v>#N/A</v>
          </cell>
          <cell r="E951">
            <v>-7.3689189189189861</v>
          </cell>
          <cell r="F951">
            <v>19.117567567567821</v>
          </cell>
          <cell r="G951">
            <v>13.820270270270319</v>
          </cell>
          <cell r="H951">
            <v>13.820270270270319</v>
          </cell>
          <cell r="I951" t="e">
            <v>#N/A</v>
          </cell>
          <cell r="J951" t="e">
            <v>#N/A</v>
          </cell>
          <cell r="K951">
            <v>17.5</v>
          </cell>
          <cell r="L951">
            <v>14</v>
          </cell>
          <cell r="M951" t="e">
            <v>#N/A</v>
          </cell>
          <cell r="N951">
            <v>16.5</v>
          </cell>
          <cell r="O951" t="e">
            <v>#N/A</v>
          </cell>
          <cell r="P951" t="str">
            <v/>
          </cell>
          <cell r="Q951" t="str">
            <v/>
          </cell>
          <cell r="R951">
            <v>16.5</v>
          </cell>
        </row>
        <row r="952">
          <cell r="A952" t="str">
            <v/>
          </cell>
          <cell r="B952" t="str">
            <v/>
          </cell>
          <cell r="C952" t="str">
            <v>Future</v>
          </cell>
          <cell r="D952" t="e">
            <v>#N/A</v>
          </cell>
          <cell r="E952">
            <v>-7.4243243243243917</v>
          </cell>
          <cell r="F952">
            <v>19.129729729729984</v>
          </cell>
          <cell r="G952">
            <v>13.818918918918968</v>
          </cell>
          <cell r="H952">
            <v>13.818918918918968</v>
          </cell>
          <cell r="I952" t="e">
            <v>#N/A</v>
          </cell>
          <cell r="J952" t="e">
            <v>#N/A</v>
          </cell>
          <cell r="K952">
            <v>17.5</v>
          </cell>
          <cell r="L952">
            <v>14</v>
          </cell>
          <cell r="M952" t="e">
            <v>#N/A</v>
          </cell>
          <cell r="N952">
            <v>16.5</v>
          </cell>
          <cell r="O952" t="e">
            <v>#N/A</v>
          </cell>
          <cell r="P952" t="str">
            <v/>
          </cell>
          <cell r="Q952" t="str">
            <v/>
          </cell>
          <cell r="R952">
            <v>16.5</v>
          </cell>
        </row>
        <row r="953">
          <cell r="A953" t="str">
            <v/>
          </cell>
          <cell r="B953" t="str">
            <v/>
          </cell>
          <cell r="C953" t="str">
            <v>Future</v>
          </cell>
          <cell r="D953" t="e">
            <v>#N/A</v>
          </cell>
          <cell r="E953">
            <v>-7.4797297297297973</v>
          </cell>
          <cell r="F953">
            <v>19.141891891892147</v>
          </cell>
          <cell r="G953">
            <v>13.817567567567616</v>
          </cell>
          <cell r="H953">
            <v>13.817567567567616</v>
          </cell>
          <cell r="I953" t="e">
            <v>#N/A</v>
          </cell>
          <cell r="J953" t="e">
            <v>#N/A</v>
          </cell>
          <cell r="K953">
            <v>17.5</v>
          </cell>
          <cell r="L953">
            <v>14</v>
          </cell>
          <cell r="M953" t="e">
            <v>#N/A</v>
          </cell>
          <cell r="N953">
            <v>16.5</v>
          </cell>
          <cell r="O953" t="e">
            <v>#N/A</v>
          </cell>
          <cell r="P953" t="str">
            <v/>
          </cell>
          <cell r="Q953" t="str">
            <v/>
          </cell>
          <cell r="R953">
            <v>16.5</v>
          </cell>
        </row>
        <row r="954">
          <cell r="A954" t="str">
            <v/>
          </cell>
          <cell r="B954" t="str">
            <v/>
          </cell>
          <cell r="C954" t="str">
            <v>Future</v>
          </cell>
          <cell r="D954" t="e">
            <v>#N/A</v>
          </cell>
          <cell r="E954">
            <v>-7.5351351351352029</v>
          </cell>
          <cell r="F954">
            <v>19.15405405405431</v>
          </cell>
          <cell r="G954">
            <v>13.816216216216265</v>
          </cell>
          <cell r="H954">
            <v>13.816216216216265</v>
          </cell>
          <cell r="I954" t="e">
            <v>#N/A</v>
          </cell>
          <cell r="J954" t="e">
            <v>#N/A</v>
          </cell>
          <cell r="K954">
            <v>17.5</v>
          </cell>
          <cell r="L954">
            <v>14</v>
          </cell>
          <cell r="M954" t="e">
            <v>#N/A</v>
          </cell>
          <cell r="N954">
            <v>16.5</v>
          </cell>
          <cell r="O954" t="e">
            <v>#N/A</v>
          </cell>
          <cell r="P954" t="str">
            <v/>
          </cell>
          <cell r="Q954" t="str">
            <v/>
          </cell>
          <cell r="R954">
            <v>16.5</v>
          </cell>
        </row>
        <row r="955">
          <cell r="A955" t="str">
            <v/>
          </cell>
          <cell r="B955" t="str">
            <v/>
          </cell>
          <cell r="C955" t="str">
            <v>Future</v>
          </cell>
          <cell r="D955" t="e">
            <v>#N/A</v>
          </cell>
          <cell r="E955">
            <v>-7.5905405405406086</v>
          </cell>
          <cell r="F955">
            <v>19.166216216216473</v>
          </cell>
          <cell r="G955">
            <v>13.814864864864914</v>
          </cell>
          <cell r="H955">
            <v>13.814864864864914</v>
          </cell>
          <cell r="I955" t="e">
            <v>#N/A</v>
          </cell>
          <cell r="J955" t="e">
            <v>#N/A</v>
          </cell>
          <cell r="K955">
            <v>17.5</v>
          </cell>
          <cell r="L955">
            <v>14</v>
          </cell>
          <cell r="M955" t="e">
            <v>#N/A</v>
          </cell>
          <cell r="N955">
            <v>16.5</v>
          </cell>
          <cell r="O955" t="e">
            <v>#N/A</v>
          </cell>
          <cell r="P955" t="str">
            <v/>
          </cell>
          <cell r="Q955" t="str">
            <v/>
          </cell>
          <cell r="R955">
            <v>16.5</v>
          </cell>
        </row>
        <row r="956">
          <cell r="A956" t="str">
            <v/>
          </cell>
          <cell r="B956" t="str">
            <v/>
          </cell>
          <cell r="C956" t="str">
            <v>Future</v>
          </cell>
          <cell r="D956" t="e">
            <v>#N/A</v>
          </cell>
          <cell r="E956">
            <v>-7.6459459459460142</v>
          </cell>
          <cell r="F956">
            <v>19.178378378378635</v>
          </cell>
          <cell r="G956">
            <v>13.813513513513563</v>
          </cell>
          <cell r="H956">
            <v>13.813513513513563</v>
          </cell>
          <cell r="I956" t="e">
            <v>#N/A</v>
          </cell>
          <cell r="J956" t="e">
            <v>#N/A</v>
          </cell>
          <cell r="K956">
            <v>17.5</v>
          </cell>
          <cell r="L956">
            <v>14</v>
          </cell>
          <cell r="M956" t="e">
            <v>#N/A</v>
          </cell>
          <cell r="N956">
            <v>16.5</v>
          </cell>
          <cell r="O956" t="e">
            <v>#N/A</v>
          </cell>
          <cell r="P956" t="str">
            <v/>
          </cell>
          <cell r="Q956" t="str">
            <v/>
          </cell>
          <cell r="R956">
            <v>16.5</v>
          </cell>
        </row>
        <row r="957">
          <cell r="A957" t="str">
            <v/>
          </cell>
          <cell r="B957" t="str">
            <v/>
          </cell>
          <cell r="C957" t="str">
            <v>Future</v>
          </cell>
          <cell r="D957" t="e">
            <v>#N/A</v>
          </cell>
          <cell r="E957">
            <v>-7.7013513513514198</v>
          </cell>
          <cell r="F957">
            <v>19.190540540540798</v>
          </cell>
          <cell r="G957">
            <v>13.812162162162211</v>
          </cell>
          <cell r="H957">
            <v>13.812162162162211</v>
          </cell>
          <cell r="I957" t="e">
            <v>#N/A</v>
          </cell>
          <cell r="J957" t="e">
            <v>#N/A</v>
          </cell>
          <cell r="K957">
            <v>17.5</v>
          </cell>
          <cell r="L957">
            <v>14</v>
          </cell>
          <cell r="M957" t="e">
            <v>#N/A</v>
          </cell>
          <cell r="N957">
            <v>16.5</v>
          </cell>
          <cell r="O957" t="e">
            <v>#N/A</v>
          </cell>
          <cell r="P957" t="str">
            <v/>
          </cell>
          <cell r="Q957" t="str">
            <v/>
          </cell>
          <cell r="R957">
            <v>16.5</v>
          </cell>
        </row>
        <row r="958">
          <cell r="A958" t="str">
            <v/>
          </cell>
          <cell r="B958" t="str">
            <v/>
          </cell>
          <cell r="C958" t="str">
            <v>Future</v>
          </cell>
          <cell r="D958" t="e">
            <v>#N/A</v>
          </cell>
          <cell r="E958">
            <v>-7.7567567567568254</v>
          </cell>
          <cell r="F958">
            <v>19.202702702702961</v>
          </cell>
          <cell r="G958">
            <v>13.81081081081086</v>
          </cell>
          <cell r="H958">
            <v>13.81081081081086</v>
          </cell>
          <cell r="I958" t="e">
            <v>#N/A</v>
          </cell>
          <cell r="J958" t="e">
            <v>#N/A</v>
          </cell>
          <cell r="K958">
            <v>17.5</v>
          </cell>
          <cell r="L958">
            <v>14</v>
          </cell>
          <cell r="M958" t="e">
            <v>#N/A</v>
          </cell>
          <cell r="N958">
            <v>16.5</v>
          </cell>
          <cell r="O958" t="e">
            <v>#N/A</v>
          </cell>
          <cell r="P958" t="str">
            <v/>
          </cell>
          <cell r="Q958" t="str">
            <v/>
          </cell>
          <cell r="R958">
            <v>16.5</v>
          </cell>
        </row>
        <row r="959">
          <cell r="A959" t="str">
            <v/>
          </cell>
          <cell r="B959" t="str">
            <v/>
          </cell>
          <cell r="C959" t="str">
            <v>Future</v>
          </cell>
          <cell r="D959" t="e">
            <v>#N/A</v>
          </cell>
          <cell r="E959">
            <v>-7.812162162162231</v>
          </cell>
          <cell r="F959">
            <v>19.214864864865124</v>
          </cell>
          <cell r="G959">
            <v>13.809459459459509</v>
          </cell>
          <cell r="H959">
            <v>13.809459459459509</v>
          </cell>
          <cell r="I959" t="e">
            <v>#N/A</v>
          </cell>
          <cell r="J959" t="e">
            <v>#N/A</v>
          </cell>
          <cell r="K959">
            <v>17.5</v>
          </cell>
          <cell r="L959">
            <v>14</v>
          </cell>
          <cell r="M959" t="e">
            <v>#N/A</v>
          </cell>
          <cell r="N959">
            <v>16.5</v>
          </cell>
          <cell r="O959" t="e">
            <v>#N/A</v>
          </cell>
          <cell r="P959" t="str">
            <v/>
          </cell>
          <cell r="Q959" t="str">
            <v/>
          </cell>
          <cell r="R959">
            <v>16.5</v>
          </cell>
        </row>
        <row r="960">
          <cell r="A960" t="str">
            <v/>
          </cell>
          <cell r="B960" t="str">
            <v/>
          </cell>
          <cell r="C960" t="str">
            <v>Future</v>
          </cell>
          <cell r="D960" t="e">
            <v>#N/A</v>
          </cell>
          <cell r="E960">
            <v>-7.8675675675676366</v>
          </cell>
          <cell r="F960">
            <v>19.227027027027287</v>
          </cell>
          <cell r="G960">
            <v>13.808108108108158</v>
          </cell>
          <cell r="H960">
            <v>13.808108108108158</v>
          </cell>
          <cell r="I960" t="e">
            <v>#N/A</v>
          </cell>
          <cell r="J960" t="e">
            <v>#N/A</v>
          </cell>
          <cell r="K960">
            <v>17.5</v>
          </cell>
          <cell r="L960">
            <v>14</v>
          </cell>
          <cell r="M960" t="e">
            <v>#N/A</v>
          </cell>
          <cell r="N960">
            <v>16.5</v>
          </cell>
          <cell r="O960" t="e">
            <v>#N/A</v>
          </cell>
          <cell r="P960" t="str">
            <v/>
          </cell>
          <cell r="Q960" t="str">
            <v/>
          </cell>
          <cell r="R960">
            <v>16.5</v>
          </cell>
        </row>
        <row r="961">
          <cell r="A961" t="str">
            <v/>
          </cell>
          <cell r="B961" t="str">
            <v/>
          </cell>
          <cell r="C961" t="str">
            <v>Future</v>
          </cell>
          <cell r="D961" t="e">
            <v>#N/A</v>
          </cell>
          <cell r="E961">
            <v>-7.9229729729730423</v>
          </cell>
          <cell r="F961">
            <v>19.23918918918945</v>
          </cell>
          <cell r="G961">
            <v>13.806756756756807</v>
          </cell>
          <cell r="H961">
            <v>13.806756756756807</v>
          </cell>
          <cell r="I961" t="e">
            <v>#N/A</v>
          </cell>
          <cell r="J961" t="e">
            <v>#N/A</v>
          </cell>
          <cell r="K961">
            <v>17.5</v>
          </cell>
          <cell r="L961">
            <v>14</v>
          </cell>
          <cell r="M961" t="e">
            <v>#N/A</v>
          </cell>
          <cell r="N961">
            <v>16.5</v>
          </cell>
          <cell r="O961" t="e">
            <v>#N/A</v>
          </cell>
          <cell r="P961" t="str">
            <v/>
          </cell>
          <cell r="Q961" t="str">
            <v/>
          </cell>
          <cell r="R961">
            <v>16.5</v>
          </cell>
        </row>
        <row r="962">
          <cell r="A962" t="str">
            <v/>
          </cell>
          <cell r="B962" t="str">
            <v/>
          </cell>
          <cell r="C962" t="str">
            <v>Future</v>
          </cell>
          <cell r="D962" t="e">
            <v>#N/A</v>
          </cell>
          <cell r="E962">
            <v>-7.9783783783784479</v>
          </cell>
          <cell r="F962">
            <v>19.251351351351612</v>
          </cell>
          <cell r="G962">
            <v>13.805405405405455</v>
          </cell>
          <cell r="H962">
            <v>13.805405405405455</v>
          </cell>
          <cell r="I962" t="e">
            <v>#N/A</v>
          </cell>
          <cell r="J962" t="e">
            <v>#N/A</v>
          </cell>
          <cell r="K962">
            <v>17.5</v>
          </cell>
          <cell r="L962">
            <v>14</v>
          </cell>
          <cell r="M962" t="e">
            <v>#N/A</v>
          </cell>
          <cell r="N962">
            <v>16.5</v>
          </cell>
          <cell r="O962" t="e">
            <v>#N/A</v>
          </cell>
          <cell r="P962" t="str">
            <v/>
          </cell>
          <cell r="Q962" t="str">
            <v/>
          </cell>
          <cell r="R962">
            <v>16.5</v>
          </cell>
        </row>
        <row r="963">
          <cell r="A963" t="str">
            <v/>
          </cell>
          <cell r="B963" t="str">
            <v/>
          </cell>
          <cell r="C963" t="str">
            <v>Future</v>
          </cell>
          <cell r="D963" t="e">
            <v>#N/A</v>
          </cell>
          <cell r="E963">
            <v>-8.0337837837838535</v>
          </cell>
          <cell r="F963">
            <v>19.263513513513775</v>
          </cell>
          <cell r="G963">
            <v>13.804054054054104</v>
          </cell>
          <cell r="H963">
            <v>13.804054054054104</v>
          </cell>
          <cell r="I963" t="e">
            <v>#N/A</v>
          </cell>
          <cell r="J963" t="e">
            <v>#N/A</v>
          </cell>
          <cell r="K963">
            <v>17.5</v>
          </cell>
          <cell r="L963">
            <v>14</v>
          </cell>
          <cell r="M963" t="e">
            <v>#N/A</v>
          </cell>
          <cell r="N963">
            <v>16.5</v>
          </cell>
          <cell r="O963" t="e">
            <v>#N/A</v>
          </cell>
          <cell r="P963" t="str">
            <v/>
          </cell>
          <cell r="Q963" t="str">
            <v/>
          </cell>
          <cell r="R963">
            <v>16.5</v>
          </cell>
        </row>
        <row r="964">
          <cell r="A964" t="str">
            <v/>
          </cell>
          <cell r="B964" t="str">
            <v/>
          </cell>
          <cell r="C964" t="str">
            <v>Future</v>
          </cell>
          <cell r="D964" t="e">
            <v>#N/A</v>
          </cell>
          <cell r="E964">
            <v>-8.0891891891892591</v>
          </cell>
          <cell r="F964">
            <v>19.275675675675938</v>
          </cell>
          <cell r="G964">
            <v>13.802702702702753</v>
          </cell>
          <cell r="H964">
            <v>13.802702702702753</v>
          </cell>
          <cell r="I964" t="e">
            <v>#N/A</v>
          </cell>
          <cell r="J964" t="e">
            <v>#N/A</v>
          </cell>
          <cell r="K964">
            <v>17.5</v>
          </cell>
          <cell r="L964">
            <v>14</v>
          </cell>
          <cell r="M964" t="e">
            <v>#N/A</v>
          </cell>
          <cell r="N964">
            <v>16.5</v>
          </cell>
          <cell r="O964" t="e">
            <v>#N/A</v>
          </cell>
          <cell r="P964" t="str">
            <v/>
          </cell>
          <cell r="Q964" t="str">
            <v/>
          </cell>
          <cell r="R964">
            <v>16.5</v>
          </cell>
        </row>
        <row r="965">
          <cell r="A965" t="str">
            <v/>
          </cell>
          <cell r="B965" t="str">
            <v/>
          </cell>
          <cell r="C965" t="str">
            <v>Future</v>
          </cell>
          <cell r="D965" t="e">
            <v>#N/A</v>
          </cell>
          <cell r="E965">
            <v>-8.1445945945946647</v>
          </cell>
          <cell r="F965">
            <v>19.287837837838101</v>
          </cell>
          <cell r="G965">
            <v>13.801351351351402</v>
          </cell>
          <cell r="H965">
            <v>13.801351351351402</v>
          </cell>
          <cell r="I965" t="e">
            <v>#N/A</v>
          </cell>
          <cell r="J965" t="e">
            <v>#N/A</v>
          </cell>
          <cell r="K965">
            <v>17.5</v>
          </cell>
          <cell r="L965">
            <v>14</v>
          </cell>
          <cell r="M965" t="e">
            <v>#N/A</v>
          </cell>
          <cell r="N965">
            <v>16.5</v>
          </cell>
          <cell r="O965" t="e">
            <v>#N/A</v>
          </cell>
          <cell r="P965" t="str">
            <v/>
          </cell>
          <cell r="Q965" t="str">
            <v/>
          </cell>
          <cell r="R965">
            <v>16.5</v>
          </cell>
        </row>
        <row r="966">
          <cell r="A966" t="str">
            <v/>
          </cell>
          <cell r="B966" t="str">
            <v/>
          </cell>
          <cell r="C966" t="str">
            <v>Future</v>
          </cell>
          <cell r="D966" t="e">
            <v>#N/A</v>
          </cell>
          <cell r="E966">
            <v>-8.2000000000000703</v>
          </cell>
          <cell r="F966">
            <v>19.300000000000264</v>
          </cell>
          <cell r="G966">
            <v>13.80000000000005</v>
          </cell>
          <cell r="H966">
            <v>13.80000000000005</v>
          </cell>
          <cell r="I966" t="e">
            <v>#N/A</v>
          </cell>
          <cell r="J966" t="e">
            <v>#N/A</v>
          </cell>
          <cell r="K966">
            <v>17.5</v>
          </cell>
          <cell r="L966">
            <v>14</v>
          </cell>
          <cell r="M966" t="e">
            <v>#N/A</v>
          </cell>
          <cell r="N966">
            <v>16.5</v>
          </cell>
          <cell r="O966" t="e">
            <v>#N/A</v>
          </cell>
          <cell r="P966" t="str">
            <v/>
          </cell>
          <cell r="Q966" t="str">
            <v/>
          </cell>
          <cell r="R966">
            <v>16.5</v>
          </cell>
        </row>
        <row r="967">
          <cell r="A967" t="str">
            <v/>
          </cell>
          <cell r="B967" t="str">
            <v/>
          </cell>
          <cell r="C967" t="str">
            <v>Future</v>
          </cell>
          <cell r="D967" t="e">
            <v>#N/A</v>
          </cell>
          <cell r="E967">
            <v>-8.255405405405476</v>
          </cell>
          <cell r="F967">
            <v>19.312162162162426</v>
          </cell>
          <cell r="G967">
            <v>13.798648648648699</v>
          </cell>
          <cell r="H967">
            <v>13.798648648648699</v>
          </cell>
          <cell r="I967" t="e">
            <v>#N/A</v>
          </cell>
          <cell r="J967" t="e">
            <v>#N/A</v>
          </cell>
          <cell r="K967">
            <v>17.5</v>
          </cell>
          <cell r="L967">
            <v>14</v>
          </cell>
          <cell r="M967" t="e">
            <v>#N/A</v>
          </cell>
          <cell r="N967">
            <v>16.5</v>
          </cell>
          <cell r="O967" t="e">
            <v>#N/A</v>
          </cell>
          <cell r="P967" t="str">
            <v/>
          </cell>
          <cell r="Q967" t="str">
            <v/>
          </cell>
          <cell r="R967">
            <v>16.5</v>
          </cell>
        </row>
        <row r="968">
          <cell r="A968" t="str">
            <v/>
          </cell>
          <cell r="B968" t="str">
            <v/>
          </cell>
          <cell r="C968" t="str">
            <v>Future</v>
          </cell>
          <cell r="D968" t="e">
            <v>#N/A</v>
          </cell>
          <cell r="E968">
            <v>-8.3108108108108816</v>
          </cell>
          <cell r="F968">
            <v>19.324324324324589</v>
          </cell>
          <cell r="G968">
            <v>13.797297297297348</v>
          </cell>
          <cell r="H968">
            <v>13.797297297297348</v>
          </cell>
          <cell r="I968" t="e">
            <v>#N/A</v>
          </cell>
          <cell r="J968" t="e">
            <v>#N/A</v>
          </cell>
          <cell r="K968">
            <v>17.5</v>
          </cell>
          <cell r="L968">
            <v>14</v>
          </cell>
          <cell r="M968" t="e">
            <v>#N/A</v>
          </cell>
          <cell r="N968">
            <v>16.5</v>
          </cell>
          <cell r="O968" t="e">
            <v>#N/A</v>
          </cell>
          <cell r="P968" t="str">
            <v/>
          </cell>
          <cell r="Q968" t="str">
            <v/>
          </cell>
          <cell r="R968">
            <v>16.5</v>
          </cell>
        </row>
        <row r="969">
          <cell r="A969" t="str">
            <v/>
          </cell>
          <cell r="B969" t="str">
            <v/>
          </cell>
          <cell r="C969" t="str">
            <v>Future</v>
          </cell>
          <cell r="D969" t="e">
            <v>#N/A</v>
          </cell>
          <cell r="E969">
            <v>-8.3662162162162872</v>
          </cell>
          <cell r="F969">
            <v>19.336486486486752</v>
          </cell>
          <cell r="G969">
            <v>13.795945945945997</v>
          </cell>
          <cell r="H969">
            <v>13.795945945945997</v>
          </cell>
          <cell r="I969" t="e">
            <v>#N/A</v>
          </cell>
          <cell r="J969" t="e">
            <v>#N/A</v>
          </cell>
          <cell r="K969">
            <v>17.5</v>
          </cell>
          <cell r="L969">
            <v>14</v>
          </cell>
          <cell r="M969" t="e">
            <v>#N/A</v>
          </cell>
          <cell r="N969">
            <v>16.5</v>
          </cell>
          <cell r="O969" t="e">
            <v>#N/A</v>
          </cell>
          <cell r="P969" t="str">
            <v/>
          </cell>
          <cell r="Q969" t="str">
            <v/>
          </cell>
          <cell r="R969">
            <v>16.5</v>
          </cell>
        </row>
        <row r="970">
          <cell r="A970" t="str">
            <v/>
          </cell>
          <cell r="B970" t="str">
            <v/>
          </cell>
          <cell r="C970" t="str">
            <v>Future</v>
          </cell>
          <cell r="D970" t="e">
            <v>#N/A</v>
          </cell>
          <cell r="E970">
            <v>-8.4216216216216928</v>
          </cell>
          <cell r="F970">
            <v>19.348648648648915</v>
          </cell>
          <cell r="G970">
            <v>13.794594594594646</v>
          </cell>
          <cell r="H970">
            <v>13.794594594594646</v>
          </cell>
          <cell r="I970" t="e">
            <v>#N/A</v>
          </cell>
          <cell r="J970" t="e">
            <v>#N/A</v>
          </cell>
          <cell r="K970">
            <v>17.5</v>
          </cell>
          <cell r="L970">
            <v>14</v>
          </cell>
          <cell r="M970" t="e">
            <v>#N/A</v>
          </cell>
          <cell r="N970">
            <v>16.5</v>
          </cell>
          <cell r="O970" t="e">
            <v>#N/A</v>
          </cell>
          <cell r="P970" t="str">
            <v/>
          </cell>
          <cell r="Q970" t="str">
            <v/>
          </cell>
          <cell r="R970">
            <v>16.5</v>
          </cell>
        </row>
        <row r="971">
          <cell r="A971" t="str">
            <v/>
          </cell>
          <cell r="B971" t="str">
            <v/>
          </cell>
          <cell r="C971" t="str">
            <v>Future</v>
          </cell>
          <cell r="D971" t="e">
            <v>#N/A</v>
          </cell>
          <cell r="E971">
            <v>-8.4770270270270984</v>
          </cell>
          <cell r="F971">
            <v>19.360810810811078</v>
          </cell>
          <cell r="G971">
            <v>13.793243243243294</v>
          </cell>
          <cell r="H971">
            <v>13.793243243243294</v>
          </cell>
          <cell r="I971" t="e">
            <v>#N/A</v>
          </cell>
          <cell r="J971" t="e">
            <v>#N/A</v>
          </cell>
          <cell r="K971">
            <v>17.5</v>
          </cell>
          <cell r="L971">
            <v>14</v>
          </cell>
          <cell r="M971" t="e">
            <v>#N/A</v>
          </cell>
          <cell r="N971">
            <v>16.5</v>
          </cell>
          <cell r="O971" t="e">
            <v>#N/A</v>
          </cell>
          <cell r="P971" t="str">
            <v/>
          </cell>
          <cell r="Q971" t="str">
            <v/>
          </cell>
          <cell r="R971">
            <v>16.5</v>
          </cell>
        </row>
        <row r="972">
          <cell r="A972" t="str">
            <v/>
          </cell>
          <cell r="B972" t="str">
            <v/>
          </cell>
          <cell r="C972" t="str">
            <v>Future</v>
          </cell>
          <cell r="D972" t="e">
            <v>#N/A</v>
          </cell>
          <cell r="E972">
            <v>-8.532432432432504</v>
          </cell>
          <cell r="F972">
            <v>19.372972972973241</v>
          </cell>
          <cell r="G972">
            <v>13.791891891891943</v>
          </cell>
          <cell r="H972">
            <v>13.791891891891943</v>
          </cell>
          <cell r="I972" t="e">
            <v>#N/A</v>
          </cell>
          <cell r="J972" t="e">
            <v>#N/A</v>
          </cell>
          <cell r="K972">
            <v>17.5</v>
          </cell>
          <cell r="L972">
            <v>14</v>
          </cell>
          <cell r="M972" t="e">
            <v>#N/A</v>
          </cell>
          <cell r="N972">
            <v>16.5</v>
          </cell>
          <cell r="O972" t="e">
            <v>#N/A</v>
          </cell>
          <cell r="P972" t="str">
            <v/>
          </cell>
          <cell r="Q972" t="str">
            <v/>
          </cell>
          <cell r="R972">
            <v>16.5</v>
          </cell>
        </row>
        <row r="973">
          <cell r="A973" t="str">
            <v/>
          </cell>
          <cell r="B973" t="str">
            <v/>
          </cell>
          <cell r="C973" t="str">
            <v>Future</v>
          </cell>
          <cell r="D973" t="e">
            <v>#N/A</v>
          </cell>
          <cell r="E973">
            <v>-8.5878378378379097</v>
          </cell>
          <cell r="F973">
            <v>19.385135135135403</v>
          </cell>
          <cell r="G973">
            <v>13.790540540540592</v>
          </cell>
          <cell r="H973">
            <v>13.790540540540592</v>
          </cell>
          <cell r="I973" t="e">
            <v>#N/A</v>
          </cell>
          <cell r="J973" t="e">
            <v>#N/A</v>
          </cell>
          <cell r="K973">
            <v>17.5</v>
          </cell>
          <cell r="L973">
            <v>14</v>
          </cell>
          <cell r="M973" t="e">
            <v>#N/A</v>
          </cell>
          <cell r="N973">
            <v>16.5</v>
          </cell>
          <cell r="O973" t="e">
            <v>#N/A</v>
          </cell>
          <cell r="P973" t="str">
            <v/>
          </cell>
          <cell r="Q973" t="str">
            <v/>
          </cell>
          <cell r="R973">
            <v>16.5</v>
          </cell>
        </row>
        <row r="974">
          <cell r="A974" t="str">
            <v/>
          </cell>
          <cell r="B974" t="str">
            <v/>
          </cell>
          <cell r="C974" t="str">
            <v>Future</v>
          </cell>
          <cell r="D974" t="e">
            <v>#N/A</v>
          </cell>
          <cell r="E974">
            <v>-8.6432432432433153</v>
          </cell>
          <cell r="F974">
            <v>19.397297297297566</v>
          </cell>
          <cell r="G974">
            <v>13.789189189189241</v>
          </cell>
          <cell r="H974">
            <v>13.789189189189241</v>
          </cell>
          <cell r="I974" t="e">
            <v>#N/A</v>
          </cell>
          <cell r="J974" t="e">
            <v>#N/A</v>
          </cell>
          <cell r="K974">
            <v>17.5</v>
          </cell>
          <cell r="L974">
            <v>14</v>
          </cell>
          <cell r="M974" t="e">
            <v>#N/A</v>
          </cell>
          <cell r="N974">
            <v>16.5</v>
          </cell>
          <cell r="O974" t="e">
            <v>#N/A</v>
          </cell>
          <cell r="P974" t="str">
            <v/>
          </cell>
          <cell r="Q974" t="str">
            <v/>
          </cell>
          <cell r="R974">
            <v>16.5</v>
          </cell>
        </row>
        <row r="975">
          <cell r="A975" t="str">
            <v/>
          </cell>
          <cell r="B975" t="str">
            <v/>
          </cell>
          <cell r="C975" t="str">
            <v>Future</v>
          </cell>
          <cell r="D975" t="e">
            <v>#N/A</v>
          </cell>
          <cell r="E975">
            <v>-8.6986486486487209</v>
          </cell>
          <cell r="F975">
            <v>19.409459459459729</v>
          </cell>
          <cell r="G975">
            <v>13.787837837837889</v>
          </cell>
          <cell r="H975">
            <v>13.787837837837889</v>
          </cell>
          <cell r="I975" t="e">
            <v>#N/A</v>
          </cell>
          <cell r="J975" t="e">
            <v>#N/A</v>
          </cell>
          <cell r="K975">
            <v>17.5</v>
          </cell>
          <cell r="L975">
            <v>14</v>
          </cell>
          <cell r="M975" t="e">
            <v>#N/A</v>
          </cell>
          <cell r="N975">
            <v>16.5</v>
          </cell>
          <cell r="O975" t="e">
            <v>#N/A</v>
          </cell>
          <cell r="P975" t="str">
            <v/>
          </cell>
          <cell r="Q975" t="str">
            <v/>
          </cell>
          <cell r="R975">
            <v>16.5</v>
          </cell>
        </row>
        <row r="976">
          <cell r="A976" t="str">
            <v/>
          </cell>
          <cell r="B976" t="str">
            <v/>
          </cell>
          <cell r="C976" t="str">
            <v>Future</v>
          </cell>
          <cell r="D976" t="e">
            <v>#N/A</v>
          </cell>
          <cell r="E976">
            <v>-8.7540540540541265</v>
          </cell>
          <cell r="F976">
            <v>19.421621621621892</v>
          </cell>
          <cell r="G976">
            <v>13.786486486486538</v>
          </cell>
          <cell r="H976">
            <v>13.786486486486538</v>
          </cell>
          <cell r="I976" t="e">
            <v>#N/A</v>
          </cell>
          <cell r="J976" t="e">
            <v>#N/A</v>
          </cell>
          <cell r="K976">
            <v>17.5</v>
          </cell>
          <cell r="L976">
            <v>14</v>
          </cell>
          <cell r="M976" t="e">
            <v>#N/A</v>
          </cell>
          <cell r="N976">
            <v>16.5</v>
          </cell>
          <cell r="O976" t="e">
            <v>#N/A</v>
          </cell>
          <cell r="P976" t="str">
            <v/>
          </cell>
          <cell r="Q976" t="str">
            <v/>
          </cell>
          <cell r="R976">
            <v>16.5</v>
          </cell>
        </row>
        <row r="977">
          <cell r="A977" t="str">
            <v/>
          </cell>
          <cell r="B977" t="str">
            <v/>
          </cell>
          <cell r="C977" t="str">
            <v>Future</v>
          </cell>
          <cell r="D977" t="e">
            <v>#N/A</v>
          </cell>
          <cell r="E977">
            <v>-8.8094594594595321</v>
          </cell>
          <cell r="F977">
            <v>19.433783783784055</v>
          </cell>
          <cell r="G977">
            <v>13.785135135135187</v>
          </cell>
          <cell r="H977">
            <v>13.785135135135187</v>
          </cell>
          <cell r="I977" t="e">
            <v>#N/A</v>
          </cell>
          <cell r="J977" t="e">
            <v>#N/A</v>
          </cell>
          <cell r="K977">
            <v>17.5</v>
          </cell>
          <cell r="L977">
            <v>14</v>
          </cell>
          <cell r="M977" t="e">
            <v>#N/A</v>
          </cell>
          <cell r="N977">
            <v>16.5</v>
          </cell>
          <cell r="O977" t="e">
            <v>#N/A</v>
          </cell>
          <cell r="P977" t="str">
            <v/>
          </cell>
          <cell r="Q977" t="str">
            <v/>
          </cell>
          <cell r="R977">
            <v>16.5</v>
          </cell>
        </row>
        <row r="978">
          <cell r="A978" t="str">
            <v/>
          </cell>
          <cell r="B978" t="str">
            <v/>
          </cell>
          <cell r="C978" t="str">
            <v>Future</v>
          </cell>
          <cell r="D978" t="e">
            <v>#N/A</v>
          </cell>
          <cell r="E978">
            <v>-8.8648648648649377</v>
          </cell>
          <cell r="F978">
            <v>19.445945945946217</v>
          </cell>
          <cell r="G978">
            <v>13.783783783783836</v>
          </cell>
          <cell r="H978">
            <v>13.783783783783836</v>
          </cell>
          <cell r="I978" t="e">
            <v>#N/A</v>
          </cell>
          <cell r="J978" t="e">
            <v>#N/A</v>
          </cell>
          <cell r="K978">
            <v>17.5</v>
          </cell>
          <cell r="L978">
            <v>14</v>
          </cell>
          <cell r="M978" t="e">
            <v>#N/A</v>
          </cell>
          <cell r="N978">
            <v>16.5</v>
          </cell>
          <cell r="O978" t="e">
            <v>#N/A</v>
          </cell>
          <cell r="P978" t="str">
            <v/>
          </cell>
          <cell r="Q978" t="str">
            <v/>
          </cell>
          <cell r="R978">
            <v>16.5</v>
          </cell>
        </row>
        <row r="979">
          <cell r="A979" t="str">
            <v/>
          </cell>
          <cell r="B979" t="str">
            <v/>
          </cell>
          <cell r="C979" t="str">
            <v>Future</v>
          </cell>
          <cell r="D979" t="e">
            <v>#N/A</v>
          </cell>
          <cell r="E979">
            <v>-8.9202702702703434</v>
          </cell>
          <cell r="F979">
            <v>19.45810810810838</v>
          </cell>
          <cell r="G979">
            <v>13.782432432432485</v>
          </cell>
          <cell r="H979">
            <v>13.782432432432485</v>
          </cell>
          <cell r="I979" t="e">
            <v>#N/A</v>
          </cell>
          <cell r="J979" t="e">
            <v>#N/A</v>
          </cell>
          <cell r="K979">
            <v>17.5</v>
          </cell>
          <cell r="L979">
            <v>14</v>
          </cell>
          <cell r="M979" t="e">
            <v>#N/A</v>
          </cell>
          <cell r="N979">
            <v>16.5</v>
          </cell>
          <cell r="O979" t="e">
            <v>#N/A</v>
          </cell>
          <cell r="P979" t="str">
            <v/>
          </cell>
          <cell r="Q979" t="str">
            <v/>
          </cell>
          <cell r="R979">
            <v>16.5</v>
          </cell>
        </row>
        <row r="980">
          <cell r="A980" t="str">
            <v/>
          </cell>
          <cell r="B980" t="str">
            <v/>
          </cell>
          <cell r="C980" t="str">
            <v>Future</v>
          </cell>
          <cell r="D980" t="e">
            <v>#N/A</v>
          </cell>
          <cell r="E980">
            <v>-8.975675675675749</v>
          </cell>
          <cell r="F980">
            <v>19.470270270270543</v>
          </cell>
          <cell r="G980">
            <v>13.781081081081133</v>
          </cell>
          <cell r="H980">
            <v>13.781081081081133</v>
          </cell>
          <cell r="I980" t="e">
            <v>#N/A</v>
          </cell>
          <cell r="J980" t="e">
            <v>#N/A</v>
          </cell>
          <cell r="K980">
            <v>17.5</v>
          </cell>
          <cell r="L980">
            <v>14</v>
          </cell>
          <cell r="M980" t="e">
            <v>#N/A</v>
          </cell>
          <cell r="N980">
            <v>16.5</v>
          </cell>
          <cell r="O980" t="e">
            <v>#N/A</v>
          </cell>
          <cell r="P980" t="str">
            <v/>
          </cell>
          <cell r="Q980" t="str">
            <v/>
          </cell>
          <cell r="R980">
            <v>16.5</v>
          </cell>
        </row>
        <row r="981">
          <cell r="A981" t="str">
            <v/>
          </cell>
          <cell r="B981" t="str">
            <v/>
          </cell>
          <cell r="C981" t="str">
            <v>Future</v>
          </cell>
          <cell r="D981" t="e">
            <v>#N/A</v>
          </cell>
          <cell r="E981">
            <v>-9.0310810810811546</v>
          </cell>
          <cell r="F981">
            <v>19.482432432432706</v>
          </cell>
          <cell r="G981">
            <v>13.779729729729782</v>
          </cell>
          <cell r="H981">
            <v>13.779729729729782</v>
          </cell>
          <cell r="I981" t="e">
            <v>#N/A</v>
          </cell>
          <cell r="J981" t="e">
            <v>#N/A</v>
          </cell>
          <cell r="K981">
            <v>17.5</v>
          </cell>
          <cell r="L981">
            <v>14</v>
          </cell>
          <cell r="M981" t="e">
            <v>#N/A</v>
          </cell>
          <cell r="N981">
            <v>16.5</v>
          </cell>
          <cell r="O981" t="e">
            <v>#N/A</v>
          </cell>
          <cell r="P981" t="str">
            <v/>
          </cell>
          <cell r="Q981" t="str">
            <v/>
          </cell>
          <cell r="R981">
            <v>16.5</v>
          </cell>
        </row>
        <row r="982">
          <cell r="A982" t="str">
            <v/>
          </cell>
          <cell r="B982" t="str">
            <v/>
          </cell>
          <cell r="C982" t="str">
            <v>Future</v>
          </cell>
          <cell r="D982" t="e">
            <v>#N/A</v>
          </cell>
          <cell r="E982">
            <v>-9.0864864864865602</v>
          </cell>
          <cell r="F982">
            <v>19.494594594594869</v>
          </cell>
          <cell r="G982">
            <v>13.778378378378431</v>
          </cell>
          <cell r="H982">
            <v>13.778378378378431</v>
          </cell>
          <cell r="I982" t="e">
            <v>#N/A</v>
          </cell>
          <cell r="J982" t="e">
            <v>#N/A</v>
          </cell>
          <cell r="K982">
            <v>17.5</v>
          </cell>
          <cell r="L982">
            <v>14</v>
          </cell>
          <cell r="M982" t="e">
            <v>#N/A</v>
          </cell>
          <cell r="N982">
            <v>16.5</v>
          </cell>
          <cell r="O982" t="e">
            <v>#N/A</v>
          </cell>
          <cell r="P982" t="str">
            <v/>
          </cell>
          <cell r="Q982" t="str">
            <v/>
          </cell>
          <cell r="R982">
            <v>16.5</v>
          </cell>
        </row>
        <row r="983">
          <cell r="A983" t="str">
            <v/>
          </cell>
          <cell r="B983" t="str">
            <v/>
          </cell>
          <cell r="C983" t="str">
            <v>Future</v>
          </cell>
          <cell r="D983" t="e">
            <v>#N/A</v>
          </cell>
          <cell r="E983">
            <v>-9.1418918918919658</v>
          </cell>
          <cell r="F983">
            <v>19.506756756757031</v>
          </cell>
          <cell r="G983">
            <v>13.77702702702708</v>
          </cell>
          <cell r="H983">
            <v>13.77702702702708</v>
          </cell>
          <cell r="I983" t="e">
            <v>#N/A</v>
          </cell>
          <cell r="J983" t="e">
            <v>#N/A</v>
          </cell>
          <cell r="K983">
            <v>17.5</v>
          </cell>
          <cell r="L983">
            <v>14</v>
          </cell>
          <cell r="M983" t="e">
            <v>#N/A</v>
          </cell>
          <cell r="N983">
            <v>16.5</v>
          </cell>
          <cell r="O983" t="e">
            <v>#N/A</v>
          </cell>
          <cell r="P983" t="str">
            <v/>
          </cell>
          <cell r="Q983" t="str">
            <v/>
          </cell>
          <cell r="R983">
            <v>16.5</v>
          </cell>
        </row>
        <row r="984">
          <cell r="A984" t="str">
            <v/>
          </cell>
          <cell r="B984" t="str">
            <v/>
          </cell>
          <cell r="C984" t="str">
            <v>Future</v>
          </cell>
          <cell r="D984" t="e">
            <v>#N/A</v>
          </cell>
          <cell r="E984">
            <v>-9.1972972972973714</v>
          </cell>
          <cell r="F984">
            <v>19.518918918919194</v>
          </cell>
          <cell r="G984">
            <v>13.775675675675728</v>
          </cell>
          <cell r="H984">
            <v>13.775675675675728</v>
          </cell>
          <cell r="I984" t="e">
            <v>#N/A</v>
          </cell>
          <cell r="J984" t="e">
            <v>#N/A</v>
          </cell>
          <cell r="K984">
            <v>17.5</v>
          </cell>
          <cell r="L984">
            <v>14</v>
          </cell>
          <cell r="M984" t="e">
            <v>#N/A</v>
          </cell>
          <cell r="N984">
            <v>16.5</v>
          </cell>
          <cell r="O984" t="e">
            <v>#N/A</v>
          </cell>
          <cell r="P984" t="str">
            <v/>
          </cell>
          <cell r="Q984" t="str">
            <v/>
          </cell>
          <cell r="R984">
            <v>16.5</v>
          </cell>
        </row>
        <row r="985">
          <cell r="A985" t="str">
            <v/>
          </cell>
          <cell r="B985" t="str">
            <v/>
          </cell>
          <cell r="C985" t="str">
            <v>Future</v>
          </cell>
          <cell r="D985" t="e">
            <v>#N/A</v>
          </cell>
          <cell r="E985">
            <v>-9.2527027027027771</v>
          </cell>
          <cell r="F985">
            <v>19.531081081081357</v>
          </cell>
          <cell r="G985">
            <v>13.774324324324377</v>
          </cell>
          <cell r="H985">
            <v>13.774324324324377</v>
          </cell>
          <cell r="I985" t="e">
            <v>#N/A</v>
          </cell>
          <cell r="J985" t="e">
            <v>#N/A</v>
          </cell>
          <cell r="K985">
            <v>17.5</v>
          </cell>
          <cell r="L985">
            <v>14</v>
          </cell>
          <cell r="M985" t="e">
            <v>#N/A</v>
          </cell>
          <cell r="N985">
            <v>16.5</v>
          </cell>
          <cell r="O985" t="e">
            <v>#N/A</v>
          </cell>
          <cell r="P985" t="str">
            <v/>
          </cell>
          <cell r="Q985" t="str">
            <v/>
          </cell>
          <cell r="R985">
            <v>16.5</v>
          </cell>
        </row>
        <row r="986">
          <cell r="A986" t="str">
            <v/>
          </cell>
          <cell r="B986" t="str">
            <v/>
          </cell>
          <cell r="C986" t="str">
            <v>Future</v>
          </cell>
          <cell r="D986" t="e">
            <v>#N/A</v>
          </cell>
          <cell r="E986">
            <v>-9.3081081081081827</v>
          </cell>
          <cell r="F986">
            <v>19.54324324324352</v>
          </cell>
          <cell r="G986">
            <v>13.772972972973026</v>
          </cell>
          <cell r="H986">
            <v>13.772972972973026</v>
          </cell>
          <cell r="I986" t="e">
            <v>#N/A</v>
          </cell>
          <cell r="J986" t="e">
            <v>#N/A</v>
          </cell>
          <cell r="K986">
            <v>17.5</v>
          </cell>
          <cell r="L986">
            <v>14</v>
          </cell>
          <cell r="M986" t="e">
            <v>#N/A</v>
          </cell>
          <cell r="N986">
            <v>16.5</v>
          </cell>
          <cell r="O986" t="e">
            <v>#N/A</v>
          </cell>
          <cell r="P986" t="str">
            <v/>
          </cell>
          <cell r="Q986" t="str">
            <v/>
          </cell>
          <cell r="R986">
            <v>16.5</v>
          </cell>
        </row>
        <row r="987">
          <cell r="A987" t="str">
            <v/>
          </cell>
          <cell r="B987" t="str">
            <v/>
          </cell>
          <cell r="C987" t="str">
            <v>Future</v>
          </cell>
          <cell r="D987" t="e">
            <v>#N/A</v>
          </cell>
          <cell r="E987">
            <v>-9.3635135135135883</v>
          </cell>
          <cell r="F987">
            <v>19.555405405405683</v>
          </cell>
          <cell r="G987">
            <v>13.771621621621675</v>
          </cell>
          <cell r="H987">
            <v>13.771621621621675</v>
          </cell>
          <cell r="I987" t="e">
            <v>#N/A</v>
          </cell>
          <cell r="J987" t="e">
            <v>#N/A</v>
          </cell>
          <cell r="K987">
            <v>17.5</v>
          </cell>
          <cell r="L987">
            <v>14</v>
          </cell>
          <cell r="M987" t="e">
            <v>#N/A</v>
          </cell>
          <cell r="N987">
            <v>16.5</v>
          </cell>
          <cell r="O987" t="e">
            <v>#N/A</v>
          </cell>
          <cell r="P987" t="str">
            <v/>
          </cell>
          <cell r="Q987" t="str">
            <v/>
          </cell>
          <cell r="R987">
            <v>16.5</v>
          </cell>
        </row>
        <row r="988">
          <cell r="A988" t="str">
            <v/>
          </cell>
          <cell r="B988" t="str">
            <v/>
          </cell>
          <cell r="C988" t="str">
            <v>Future</v>
          </cell>
          <cell r="D988" t="e">
            <v>#N/A</v>
          </cell>
          <cell r="E988">
            <v>-9.4189189189189939</v>
          </cell>
          <cell r="F988">
            <v>19.567567567567846</v>
          </cell>
          <cell r="G988">
            <v>13.770270270270323</v>
          </cell>
          <cell r="H988">
            <v>13.770270270270323</v>
          </cell>
          <cell r="I988" t="e">
            <v>#N/A</v>
          </cell>
          <cell r="J988" t="e">
            <v>#N/A</v>
          </cell>
          <cell r="K988">
            <v>17.5</v>
          </cell>
          <cell r="L988">
            <v>14</v>
          </cell>
          <cell r="M988" t="e">
            <v>#N/A</v>
          </cell>
          <cell r="N988">
            <v>16.5</v>
          </cell>
          <cell r="O988" t="e">
            <v>#N/A</v>
          </cell>
          <cell r="P988" t="str">
            <v/>
          </cell>
          <cell r="Q988" t="str">
            <v/>
          </cell>
          <cell r="R988">
            <v>16.5</v>
          </cell>
        </row>
        <row r="989">
          <cell r="A989" t="str">
            <v/>
          </cell>
          <cell r="B989" t="str">
            <v/>
          </cell>
          <cell r="C989" t="str">
            <v>Future</v>
          </cell>
          <cell r="D989" t="e">
            <v>#N/A</v>
          </cell>
          <cell r="E989">
            <v>-9.4743243243243995</v>
          </cell>
          <cell r="F989">
            <v>19.579729729730008</v>
          </cell>
          <cell r="G989">
            <v>13.768918918918972</v>
          </cell>
          <cell r="H989">
            <v>13.768918918918972</v>
          </cell>
          <cell r="I989" t="e">
            <v>#N/A</v>
          </cell>
          <cell r="J989" t="e">
            <v>#N/A</v>
          </cell>
          <cell r="K989">
            <v>17.5</v>
          </cell>
          <cell r="L989">
            <v>14</v>
          </cell>
          <cell r="M989" t="e">
            <v>#N/A</v>
          </cell>
          <cell r="N989">
            <v>16.5</v>
          </cell>
          <cell r="O989" t="e">
            <v>#N/A</v>
          </cell>
          <cell r="P989" t="str">
            <v/>
          </cell>
          <cell r="Q989" t="str">
            <v/>
          </cell>
          <cell r="R989">
            <v>16.5</v>
          </cell>
        </row>
        <row r="990">
          <cell r="A990" t="str">
            <v/>
          </cell>
          <cell r="B990" t="str">
            <v/>
          </cell>
          <cell r="C990" t="str">
            <v>Future</v>
          </cell>
          <cell r="D990" t="e">
            <v>#N/A</v>
          </cell>
          <cell r="E990">
            <v>-9.5297297297298051</v>
          </cell>
          <cell r="F990">
            <v>19.591891891892171</v>
          </cell>
          <cell r="G990">
            <v>13.767567567567621</v>
          </cell>
          <cell r="H990">
            <v>13.767567567567621</v>
          </cell>
          <cell r="I990" t="e">
            <v>#N/A</v>
          </cell>
          <cell r="J990" t="e">
            <v>#N/A</v>
          </cell>
          <cell r="K990">
            <v>17.5</v>
          </cell>
          <cell r="L990">
            <v>14</v>
          </cell>
          <cell r="M990" t="e">
            <v>#N/A</v>
          </cell>
          <cell r="N990">
            <v>16.5</v>
          </cell>
          <cell r="O990" t="e">
            <v>#N/A</v>
          </cell>
          <cell r="P990" t="str">
            <v/>
          </cell>
          <cell r="Q990" t="str">
            <v/>
          </cell>
          <cell r="R990">
            <v>16.5</v>
          </cell>
        </row>
        <row r="991">
          <cell r="A991" t="str">
            <v/>
          </cell>
          <cell r="B991" t="str">
            <v/>
          </cell>
          <cell r="C991" t="str">
            <v>Future</v>
          </cell>
          <cell r="D991" t="e">
            <v>#N/A</v>
          </cell>
          <cell r="E991">
            <v>-9.5851351351352108</v>
          </cell>
          <cell r="F991">
            <v>19.604054054054334</v>
          </cell>
          <cell r="G991">
            <v>13.76621621621627</v>
          </cell>
          <cell r="H991">
            <v>13.76621621621627</v>
          </cell>
          <cell r="I991" t="e">
            <v>#N/A</v>
          </cell>
          <cell r="J991" t="e">
            <v>#N/A</v>
          </cell>
          <cell r="K991">
            <v>17.5</v>
          </cell>
          <cell r="L991">
            <v>14</v>
          </cell>
          <cell r="M991" t="e">
            <v>#N/A</v>
          </cell>
          <cell r="N991">
            <v>16.5</v>
          </cell>
          <cell r="O991" t="e">
            <v>#N/A</v>
          </cell>
          <cell r="P991" t="str">
            <v/>
          </cell>
          <cell r="Q991" t="str">
            <v/>
          </cell>
          <cell r="R991">
            <v>16.5</v>
          </cell>
        </row>
        <row r="992">
          <cell r="A992" t="str">
            <v/>
          </cell>
          <cell r="B992" t="str">
            <v/>
          </cell>
          <cell r="C992" t="str">
            <v>Future</v>
          </cell>
          <cell r="D992" t="e">
            <v>#N/A</v>
          </cell>
          <cell r="E992">
            <v>-9.6405405405406164</v>
          </cell>
          <cell r="F992">
            <v>19.616216216216497</v>
          </cell>
          <cell r="G992">
            <v>13.764864864864919</v>
          </cell>
          <cell r="H992">
            <v>13.764864864864919</v>
          </cell>
          <cell r="I992" t="e">
            <v>#N/A</v>
          </cell>
          <cell r="J992" t="e">
            <v>#N/A</v>
          </cell>
          <cell r="K992">
            <v>17.5</v>
          </cell>
          <cell r="L992">
            <v>14</v>
          </cell>
          <cell r="M992" t="e">
            <v>#N/A</v>
          </cell>
          <cell r="N992">
            <v>16.5</v>
          </cell>
          <cell r="O992" t="e">
            <v>#N/A</v>
          </cell>
          <cell r="P992" t="str">
            <v/>
          </cell>
          <cell r="Q992" t="str">
            <v/>
          </cell>
          <cell r="R992">
            <v>16.5</v>
          </cell>
        </row>
        <row r="993">
          <cell r="A993" t="str">
            <v/>
          </cell>
          <cell r="B993" t="str">
            <v/>
          </cell>
          <cell r="C993" t="str">
            <v>Future</v>
          </cell>
          <cell r="D993" t="e">
            <v>#N/A</v>
          </cell>
          <cell r="E993">
            <v>-9.695945945946022</v>
          </cell>
          <cell r="F993">
            <v>19.62837837837866</v>
          </cell>
          <cell r="G993">
            <v>13.763513513513567</v>
          </cell>
          <cell r="H993">
            <v>13.763513513513567</v>
          </cell>
          <cell r="I993" t="e">
            <v>#N/A</v>
          </cell>
          <cell r="J993" t="e">
            <v>#N/A</v>
          </cell>
          <cell r="K993">
            <v>17.5</v>
          </cell>
          <cell r="L993">
            <v>14</v>
          </cell>
          <cell r="M993" t="e">
            <v>#N/A</v>
          </cell>
          <cell r="N993">
            <v>16.5</v>
          </cell>
          <cell r="O993" t="e">
            <v>#N/A</v>
          </cell>
          <cell r="P993" t="str">
            <v/>
          </cell>
          <cell r="Q993" t="str">
            <v/>
          </cell>
          <cell r="R993">
            <v>16.5</v>
          </cell>
        </row>
        <row r="994">
          <cell r="A994" t="str">
            <v/>
          </cell>
          <cell r="B994" t="str">
            <v/>
          </cell>
          <cell r="C994" t="str">
            <v>Future</v>
          </cell>
          <cell r="D994" t="e">
            <v>#N/A</v>
          </cell>
          <cell r="E994">
            <v>-9.7513513513514276</v>
          </cell>
          <cell r="F994">
            <v>19.640540540540822</v>
          </cell>
          <cell r="G994">
            <v>13.762162162162216</v>
          </cell>
          <cell r="H994">
            <v>13.762162162162216</v>
          </cell>
          <cell r="I994" t="e">
            <v>#N/A</v>
          </cell>
          <cell r="J994" t="e">
            <v>#N/A</v>
          </cell>
          <cell r="K994">
            <v>17.5</v>
          </cell>
          <cell r="L994">
            <v>14</v>
          </cell>
          <cell r="M994" t="e">
            <v>#N/A</v>
          </cell>
          <cell r="N994">
            <v>16.5</v>
          </cell>
          <cell r="O994" t="e">
            <v>#N/A</v>
          </cell>
          <cell r="P994" t="str">
            <v/>
          </cell>
          <cell r="Q994" t="str">
            <v/>
          </cell>
          <cell r="R994">
            <v>16.5</v>
          </cell>
        </row>
        <row r="995">
          <cell r="A995" t="str">
            <v/>
          </cell>
          <cell r="B995" t="str">
            <v/>
          </cell>
          <cell r="C995" t="str">
            <v>Future</v>
          </cell>
          <cell r="D995" t="e">
            <v>#N/A</v>
          </cell>
          <cell r="E995">
            <v>-9.8067567567568332</v>
          </cell>
          <cell r="F995">
            <v>19.652702702702985</v>
          </cell>
          <cell r="G995">
            <v>13.760810810810865</v>
          </cell>
          <cell r="H995">
            <v>13.760810810810865</v>
          </cell>
          <cell r="I995" t="e">
            <v>#N/A</v>
          </cell>
          <cell r="J995" t="e">
            <v>#N/A</v>
          </cell>
          <cell r="K995">
            <v>17.5</v>
          </cell>
          <cell r="L995">
            <v>14</v>
          </cell>
          <cell r="M995" t="e">
            <v>#N/A</v>
          </cell>
          <cell r="N995">
            <v>16.5</v>
          </cell>
          <cell r="O995" t="e">
            <v>#N/A</v>
          </cell>
          <cell r="P995" t="str">
            <v/>
          </cell>
          <cell r="Q995" t="str">
            <v/>
          </cell>
          <cell r="R995">
            <v>16.5</v>
          </cell>
        </row>
        <row r="996">
          <cell r="A996" t="str">
            <v/>
          </cell>
          <cell r="B996" t="str">
            <v/>
          </cell>
          <cell r="C996" t="str">
            <v>Future</v>
          </cell>
          <cell r="D996" t="e">
            <v>#N/A</v>
          </cell>
          <cell r="E996">
            <v>-9.8621621621622388</v>
          </cell>
          <cell r="F996">
            <v>19.664864864865148</v>
          </cell>
          <cell r="G996">
            <v>13.759459459459514</v>
          </cell>
          <cell r="H996">
            <v>13.759459459459514</v>
          </cell>
          <cell r="I996" t="e">
            <v>#N/A</v>
          </cell>
          <cell r="J996" t="e">
            <v>#N/A</v>
          </cell>
          <cell r="K996">
            <v>17.5</v>
          </cell>
          <cell r="L996">
            <v>14</v>
          </cell>
          <cell r="M996" t="e">
            <v>#N/A</v>
          </cell>
          <cell r="N996">
            <v>16.5</v>
          </cell>
          <cell r="O996" t="e">
            <v>#N/A</v>
          </cell>
          <cell r="P996" t="str">
            <v/>
          </cell>
          <cell r="Q996" t="str">
            <v/>
          </cell>
          <cell r="R996">
            <v>16.5</v>
          </cell>
        </row>
        <row r="997">
          <cell r="A997" t="str">
            <v/>
          </cell>
          <cell r="B997" t="str">
            <v/>
          </cell>
          <cell r="C997" t="str">
            <v>Future</v>
          </cell>
          <cell r="D997" t="e">
            <v>#N/A</v>
          </cell>
          <cell r="E997">
            <v>-9.9175675675676445</v>
          </cell>
          <cell r="F997">
            <v>19.677027027027311</v>
          </cell>
          <cell r="G997">
            <v>13.758108108108162</v>
          </cell>
          <cell r="H997">
            <v>13.758108108108162</v>
          </cell>
          <cell r="I997" t="e">
            <v>#N/A</v>
          </cell>
          <cell r="J997" t="e">
            <v>#N/A</v>
          </cell>
          <cell r="K997">
            <v>17.5</v>
          </cell>
          <cell r="L997">
            <v>14</v>
          </cell>
          <cell r="M997" t="e">
            <v>#N/A</v>
          </cell>
          <cell r="N997">
            <v>16.5</v>
          </cell>
          <cell r="O997" t="e">
            <v>#N/A</v>
          </cell>
          <cell r="P997" t="str">
            <v/>
          </cell>
          <cell r="Q997" t="str">
            <v/>
          </cell>
          <cell r="R997">
            <v>16.5</v>
          </cell>
        </row>
        <row r="998">
          <cell r="A998" t="str">
            <v/>
          </cell>
          <cell r="B998" t="str">
            <v/>
          </cell>
          <cell r="C998" t="str">
            <v>Future</v>
          </cell>
          <cell r="D998" t="e">
            <v>#N/A</v>
          </cell>
          <cell r="E998">
            <v>-9.9729729729730501</v>
          </cell>
          <cell r="F998">
            <v>19.689189189189474</v>
          </cell>
          <cell r="G998">
            <v>13.756756756756811</v>
          </cell>
          <cell r="H998">
            <v>13.756756756756811</v>
          </cell>
          <cell r="I998" t="e">
            <v>#N/A</v>
          </cell>
          <cell r="J998" t="e">
            <v>#N/A</v>
          </cell>
          <cell r="K998">
            <v>17.5</v>
          </cell>
          <cell r="L998">
            <v>14</v>
          </cell>
          <cell r="M998" t="e">
            <v>#N/A</v>
          </cell>
          <cell r="N998">
            <v>16.5</v>
          </cell>
          <cell r="O998" t="e">
            <v>#N/A</v>
          </cell>
          <cell r="P998" t="str">
            <v/>
          </cell>
          <cell r="Q998" t="str">
            <v/>
          </cell>
          <cell r="R998">
            <v>16.5</v>
          </cell>
        </row>
        <row r="999">
          <cell r="A999" t="str">
            <v/>
          </cell>
          <cell r="B999" t="str">
            <v/>
          </cell>
          <cell r="C999" t="str">
            <v>Future</v>
          </cell>
          <cell r="D999" t="e">
            <v>#N/A</v>
          </cell>
          <cell r="E999">
            <v>-10.028378378378456</v>
          </cell>
          <cell r="F999">
            <v>19.701351351351637</v>
          </cell>
          <cell r="G999">
            <v>13.75540540540546</v>
          </cell>
          <cell r="H999">
            <v>13.75540540540546</v>
          </cell>
          <cell r="I999" t="e">
            <v>#N/A</v>
          </cell>
          <cell r="J999" t="e">
            <v>#N/A</v>
          </cell>
          <cell r="K999">
            <v>17.5</v>
          </cell>
          <cell r="L999">
            <v>14</v>
          </cell>
          <cell r="M999" t="e">
            <v>#N/A</v>
          </cell>
          <cell r="N999">
            <v>16.5</v>
          </cell>
          <cell r="O999" t="e">
            <v>#N/A</v>
          </cell>
          <cell r="P999" t="str">
            <v/>
          </cell>
          <cell r="Q999" t="str">
            <v/>
          </cell>
          <cell r="R999">
            <v>16.5</v>
          </cell>
        </row>
        <row r="1000">
          <cell r="A1000" t="str">
            <v/>
          </cell>
          <cell r="B1000" t="str">
            <v/>
          </cell>
          <cell r="C1000" t="str">
            <v>Future</v>
          </cell>
          <cell r="D1000" t="e">
            <v>#N/A</v>
          </cell>
          <cell r="E1000">
            <v>-10.083783783783861</v>
          </cell>
          <cell r="F1000">
            <v>19.713513513513799</v>
          </cell>
          <cell r="G1000">
            <v>13.754054054054109</v>
          </cell>
          <cell r="H1000">
            <v>13.754054054054109</v>
          </cell>
          <cell r="I1000" t="e">
            <v>#N/A</v>
          </cell>
          <cell r="J1000" t="e">
            <v>#N/A</v>
          </cell>
          <cell r="K1000">
            <v>17.5</v>
          </cell>
          <cell r="L1000">
            <v>14</v>
          </cell>
          <cell r="M1000" t="e">
            <v>#N/A</v>
          </cell>
          <cell r="N1000">
            <v>16.5</v>
          </cell>
          <cell r="O1000" t="e">
            <v>#N/A</v>
          </cell>
          <cell r="P1000" t="str">
            <v/>
          </cell>
          <cell r="Q1000" t="str">
            <v/>
          </cell>
          <cell r="R1000">
            <v>16.5</v>
          </cell>
        </row>
        <row r="1001">
          <cell r="A1001" t="str">
            <v/>
          </cell>
          <cell r="B1001" t="str">
            <v/>
          </cell>
          <cell r="C1001" t="str">
            <v>Future</v>
          </cell>
          <cell r="D1001" t="e">
            <v>#N/A</v>
          </cell>
          <cell r="E1001">
            <v>-10.139189189189267</v>
          </cell>
          <cell r="F1001">
            <v>19.725675675675962</v>
          </cell>
          <cell r="G1001">
            <v>13.752702702702758</v>
          </cell>
          <cell r="H1001">
            <v>13.752702702702758</v>
          </cell>
          <cell r="I1001" t="e">
            <v>#N/A</v>
          </cell>
          <cell r="J1001" t="e">
            <v>#N/A</v>
          </cell>
          <cell r="K1001">
            <v>17.5</v>
          </cell>
          <cell r="L1001">
            <v>14</v>
          </cell>
          <cell r="M1001" t="e">
            <v>#N/A</v>
          </cell>
          <cell r="N1001">
            <v>16.5</v>
          </cell>
          <cell r="O1001" t="e">
            <v>#N/A</v>
          </cell>
          <cell r="P1001" t="str">
            <v/>
          </cell>
          <cell r="Q1001" t="str">
            <v/>
          </cell>
          <cell r="R1001">
            <v>16.5</v>
          </cell>
        </row>
        <row r="1002">
          <cell r="A1002" t="str">
            <v/>
          </cell>
          <cell r="B1002" t="str">
            <v/>
          </cell>
          <cell r="C1002" t="str">
            <v>Future</v>
          </cell>
          <cell r="D1002" t="e">
            <v>#N/A</v>
          </cell>
          <cell r="E1002">
            <v>-10.194594594594673</v>
          </cell>
          <cell r="F1002">
            <v>19.737837837838125</v>
          </cell>
          <cell r="G1002">
            <v>13.751351351351406</v>
          </cell>
          <cell r="H1002">
            <v>13.751351351351406</v>
          </cell>
          <cell r="I1002" t="e">
            <v>#N/A</v>
          </cell>
          <cell r="J1002" t="e">
            <v>#N/A</v>
          </cell>
          <cell r="K1002">
            <v>17.5</v>
          </cell>
          <cell r="L1002">
            <v>14</v>
          </cell>
          <cell r="M1002" t="e">
            <v>#N/A</v>
          </cell>
          <cell r="N1002">
            <v>16.5</v>
          </cell>
          <cell r="O1002" t="e">
            <v>#N/A</v>
          </cell>
          <cell r="P1002" t="str">
            <v/>
          </cell>
          <cell r="Q1002" t="str">
            <v/>
          </cell>
          <cell r="R1002">
            <v>16.5</v>
          </cell>
        </row>
        <row r="1003">
          <cell r="A1003" t="str">
            <v/>
          </cell>
          <cell r="B1003" t="str">
            <v/>
          </cell>
          <cell r="C1003" t="str">
            <v>Future</v>
          </cell>
          <cell r="D1003" t="e">
            <v>#N/A</v>
          </cell>
          <cell r="E1003">
            <v>-10.250000000000078</v>
          </cell>
          <cell r="F1003">
            <v>19.750000000000288</v>
          </cell>
          <cell r="G1003">
            <v>13.750000000000055</v>
          </cell>
          <cell r="H1003">
            <v>13.750000000000055</v>
          </cell>
          <cell r="I1003" t="e">
            <v>#N/A</v>
          </cell>
          <cell r="J1003" t="e">
            <v>#N/A</v>
          </cell>
          <cell r="K1003">
            <v>17.5</v>
          </cell>
          <cell r="L1003">
            <v>14</v>
          </cell>
          <cell r="M1003" t="e">
            <v>#N/A</v>
          </cell>
          <cell r="N1003">
            <v>16.5</v>
          </cell>
          <cell r="O1003" t="e">
            <v>#N/A</v>
          </cell>
          <cell r="P1003" t="str">
            <v/>
          </cell>
          <cell r="Q1003" t="str">
            <v/>
          </cell>
          <cell r="R1003">
            <v>16.5</v>
          </cell>
        </row>
        <row r="1004">
          <cell r="A1004" t="str">
            <v/>
          </cell>
          <cell r="B1004" t="str">
            <v/>
          </cell>
          <cell r="C1004" t="str">
            <v>Future</v>
          </cell>
          <cell r="D1004" t="e">
            <v>#N/A</v>
          </cell>
          <cell r="E1004">
            <v>-10.305405405405484</v>
          </cell>
          <cell r="F1004">
            <v>19.762162162162451</v>
          </cell>
          <cell r="G1004">
            <v>13.748648648648704</v>
          </cell>
          <cell r="H1004">
            <v>13.748648648648704</v>
          </cell>
          <cell r="I1004" t="e">
            <v>#N/A</v>
          </cell>
          <cell r="J1004" t="e">
            <v>#N/A</v>
          </cell>
          <cell r="K1004">
            <v>17.5</v>
          </cell>
          <cell r="L1004">
            <v>14</v>
          </cell>
          <cell r="M1004" t="e">
            <v>#N/A</v>
          </cell>
          <cell r="N1004">
            <v>16.5</v>
          </cell>
          <cell r="O1004" t="e">
            <v>#N/A</v>
          </cell>
          <cell r="P1004" t="str">
            <v/>
          </cell>
          <cell r="Q1004" t="str">
            <v/>
          </cell>
          <cell r="R1004">
            <v>16.5</v>
          </cell>
        </row>
        <row r="1005">
          <cell r="A1005" t="str">
            <v/>
          </cell>
          <cell r="B1005" t="str">
            <v/>
          </cell>
          <cell r="C1005" t="str">
            <v>Future</v>
          </cell>
          <cell r="D1005" t="e">
            <v>#N/A</v>
          </cell>
          <cell r="E1005">
            <v>-10.360810810810889</v>
          </cell>
          <cell r="F1005">
            <v>19.774324324324613</v>
          </cell>
          <cell r="G1005">
            <v>13.747297297297353</v>
          </cell>
          <cell r="H1005">
            <v>13.747297297297353</v>
          </cell>
          <cell r="I1005" t="e">
            <v>#N/A</v>
          </cell>
          <cell r="J1005" t="e">
            <v>#N/A</v>
          </cell>
          <cell r="K1005">
            <v>17.5</v>
          </cell>
          <cell r="L1005">
            <v>14</v>
          </cell>
          <cell r="M1005" t="e">
            <v>#N/A</v>
          </cell>
          <cell r="N1005">
            <v>16.5</v>
          </cell>
          <cell r="O1005" t="e">
            <v>#N/A</v>
          </cell>
          <cell r="P1005" t="str">
            <v/>
          </cell>
          <cell r="Q1005" t="str">
            <v/>
          </cell>
          <cell r="R1005">
            <v>16.5</v>
          </cell>
        </row>
        <row r="1006">
          <cell r="A1006" t="str">
            <v/>
          </cell>
          <cell r="B1006" t="str">
            <v/>
          </cell>
          <cell r="C1006" t="str">
            <v>Future</v>
          </cell>
          <cell r="D1006" t="e">
            <v>#N/A</v>
          </cell>
          <cell r="E1006">
            <v>-10.416216216216295</v>
          </cell>
          <cell r="F1006">
            <v>19.786486486486776</v>
          </cell>
          <cell r="G1006">
            <v>13.745945945946001</v>
          </cell>
          <cell r="H1006">
            <v>13.745945945946001</v>
          </cell>
          <cell r="I1006" t="e">
            <v>#N/A</v>
          </cell>
          <cell r="J1006" t="e">
            <v>#N/A</v>
          </cell>
          <cell r="K1006">
            <v>17.5</v>
          </cell>
          <cell r="L1006">
            <v>14</v>
          </cell>
          <cell r="M1006" t="e">
            <v>#N/A</v>
          </cell>
          <cell r="N1006">
            <v>16.5</v>
          </cell>
          <cell r="O1006" t="e">
            <v>#N/A</v>
          </cell>
          <cell r="P1006" t="str">
            <v/>
          </cell>
          <cell r="Q1006" t="str">
            <v/>
          </cell>
          <cell r="R1006">
            <v>16.5</v>
          </cell>
        </row>
        <row r="1007">
          <cell r="A1007" t="str">
            <v/>
          </cell>
          <cell r="B1007" t="str">
            <v/>
          </cell>
          <cell r="C1007" t="str">
            <v>Future</v>
          </cell>
          <cell r="D1007" t="e">
            <v>#N/A</v>
          </cell>
          <cell r="E1007">
            <v>-10.471621621621701</v>
          </cell>
          <cell r="F1007">
            <v>19.798648648648939</v>
          </cell>
          <cell r="G1007">
            <v>13.74459459459465</v>
          </cell>
          <cell r="H1007">
            <v>13.74459459459465</v>
          </cell>
          <cell r="I1007" t="e">
            <v>#N/A</v>
          </cell>
          <cell r="J1007" t="e">
            <v>#N/A</v>
          </cell>
          <cell r="K1007">
            <v>17.5</v>
          </cell>
          <cell r="L1007">
            <v>14</v>
          </cell>
          <cell r="M1007" t="e">
            <v>#N/A</v>
          </cell>
          <cell r="N1007">
            <v>16.5</v>
          </cell>
          <cell r="O1007" t="e">
            <v>#N/A</v>
          </cell>
          <cell r="P1007" t="str">
            <v/>
          </cell>
          <cell r="Q1007" t="str">
            <v/>
          </cell>
          <cell r="R1007">
            <v>16.5</v>
          </cell>
        </row>
        <row r="1008">
          <cell r="A1008" t="str">
            <v/>
          </cell>
          <cell r="B1008" t="str">
            <v/>
          </cell>
          <cell r="C1008" t="str">
            <v>Future</v>
          </cell>
          <cell r="D1008" t="e">
            <v>#N/A</v>
          </cell>
          <cell r="E1008">
            <v>-10.527027027027106</v>
          </cell>
          <cell r="F1008">
            <v>19.810810810811102</v>
          </cell>
          <cell r="G1008">
            <v>13.743243243243299</v>
          </cell>
          <cell r="H1008">
            <v>13.743243243243299</v>
          </cell>
          <cell r="I1008" t="e">
            <v>#N/A</v>
          </cell>
          <cell r="J1008" t="e">
            <v>#N/A</v>
          </cell>
          <cell r="K1008">
            <v>17.5</v>
          </cell>
          <cell r="L1008">
            <v>14</v>
          </cell>
          <cell r="M1008" t="e">
            <v>#N/A</v>
          </cell>
          <cell r="N1008">
            <v>16.5</v>
          </cell>
          <cell r="O1008" t="e">
            <v>#N/A</v>
          </cell>
          <cell r="P1008" t="str">
            <v/>
          </cell>
          <cell r="Q1008" t="str">
            <v/>
          </cell>
          <cell r="R1008">
            <v>16.5</v>
          </cell>
        </row>
        <row r="1009">
          <cell r="A1009" t="str">
            <v/>
          </cell>
          <cell r="B1009" t="str">
            <v/>
          </cell>
          <cell r="C1009" t="str">
            <v>Future</v>
          </cell>
          <cell r="D1009" t="e">
            <v>#N/A</v>
          </cell>
          <cell r="E1009">
            <v>-10.582432432432512</v>
          </cell>
          <cell r="F1009">
            <v>19.822972972973265</v>
          </cell>
          <cell r="G1009">
            <v>13.741891891891948</v>
          </cell>
          <cell r="H1009">
            <v>13.741891891891948</v>
          </cell>
          <cell r="I1009" t="e">
            <v>#N/A</v>
          </cell>
          <cell r="J1009" t="e">
            <v>#N/A</v>
          </cell>
          <cell r="K1009">
            <v>17.5</v>
          </cell>
          <cell r="L1009">
            <v>14</v>
          </cell>
          <cell r="M1009" t="e">
            <v>#N/A</v>
          </cell>
          <cell r="N1009">
            <v>16.5</v>
          </cell>
          <cell r="O1009" t="e">
            <v>#N/A</v>
          </cell>
          <cell r="P1009" t="str">
            <v/>
          </cell>
          <cell r="Q1009" t="str">
            <v/>
          </cell>
          <cell r="R1009">
            <v>16.5</v>
          </cell>
        </row>
        <row r="1010">
          <cell r="A1010" t="str">
            <v/>
          </cell>
          <cell r="B1010" t="str">
            <v/>
          </cell>
          <cell r="C1010" t="str">
            <v>Future</v>
          </cell>
          <cell r="D1010" t="e">
            <v>#N/A</v>
          </cell>
          <cell r="E1010">
            <v>-10.637837837837917</v>
          </cell>
          <cell r="F1010">
            <v>19.835135135135427</v>
          </cell>
          <cell r="G1010">
            <v>13.740540540540596</v>
          </cell>
          <cell r="H1010">
            <v>13.740540540540596</v>
          </cell>
          <cell r="I1010" t="e">
            <v>#N/A</v>
          </cell>
          <cell r="J1010" t="e">
            <v>#N/A</v>
          </cell>
          <cell r="K1010">
            <v>17.5</v>
          </cell>
          <cell r="L1010">
            <v>14</v>
          </cell>
          <cell r="M1010" t="e">
            <v>#N/A</v>
          </cell>
          <cell r="N1010">
            <v>16.5</v>
          </cell>
          <cell r="O1010" t="e">
            <v>#N/A</v>
          </cell>
          <cell r="P1010" t="str">
            <v/>
          </cell>
          <cell r="Q1010" t="str">
            <v/>
          </cell>
          <cell r="R1010">
            <v>16.5</v>
          </cell>
        </row>
        <row r="1011">
          <cell r="A1011" t="str">
            <v/>
          </cell>
          <cell r="B1011" t="str">
            <v/>
          </cell>
          <cell r="C1011" t="str">
            <v>Future</v>
          </cell>
          <cell r="D1011" t="e">
            <v>#N/A</v>
          </cell>
          <cell r="E1011">
            <v>-10.693243243243323</v>
          </cell>
          <cell r="F1011">
            <v>19.84729729729759</v>
          </cell>
          <cell r="G1011">
            <v>13.739189189189245</v>
          </cell>
          <cell r="H1011">
            <v>13.739189189189245</v>
          </cell>
          <cell r="I1011" t="e">
            <v>#N/A</v>
          </cell>
          <cell r="J1011" t="e">
            <v>#N/A</v>
          </cell>
          <cell r="K1011">
            <v>17.5</v>
          </cell>
          <cell r="L1011">
            <v>14</v>
          </cell>
          <cell r="M1011" t="e">
            <v>#N/A</v>
          </cell>
          <cell r="N1011">
            <v>16.5</v>
          </cell>
          <cell r="O1011" t="e">
            <v>#N/A</v>
          </cell>
          <cell r="P1011" t="str">
            <v/>
          </cell>
          <cell r="Q1011" t="str">
            <v/>
          </cell>
          <cell r="R1011">
            <v>16.5</v>
          </cell>
        </row>
        <row r="1012">
          <cell r="A1012" t="str">
            <v/>
          </cell>
          <cell r="B1012" t="str">
            <v/>
          </cell>
          <cell r="C1012" t="str">
            <v>Future</v>
          </cell>
          <cell r="D1012" t="e">
            <v>#N/A</v>
          </cell>
          <cell r="E1012">
            <v>-10.748648648648729</v>
          </cell>
          <cell r="F1012">
            <v>19.859459459459753</v>
          </cell>
          <cell r="G1012">
            <v>13.737837837837894</v>
          </cell>
          <cell r="H1012">
            <v>13.737837837837894</v>
          </cell>
          <cell r="I1012" t="e">
            <v>#N/A</v>
          </cell>
          <cell r="J1012" t="e">
            <v>#N/A</v>
          </cell>
          <cell r="K1012">
            <v>17.5</v>
          </cell>
          <cell r="L1012">
            <v>14</v>
          </cell>
          <cell r="M1012" t="e">
            <v>#N/A</v>
          </cell>
          <cell r="N1012">
            <v>16.5</v>
          </cell>
          <cell r="O1012" t="e">
            <v>#N/A</v>
          </cell>
          <cell r="P1012" t="str">
            <v/>
          </cell>
          <cell r="Q1012" t="str">
            <v/>
          </cell>
          <cell r="R1012">
            <v>16.5</v>
          </cell>
        </row>
        <row r="1013">
          <cell r="A1013" t="str">
            <v/>
          </cell>
          <cell r="B1013" t="str">
            <v/>
          </cell>
          <cell r="C1013" t="str">
            <v>Future</v>
          </cell>
          <cell r="D1013" t="e">
            <v>#N/A</v>
          </cell>
          <cell r="E1013">
            <v>-10.804054054054134</v>
          </cell>
          <cell r="F1013">
            <v>19.871621621621916</v>
          </cell>
          <cell r="G1013">
            <v>13.736486486486543</v>
          </cell>
          <cell r="H1013">
            <v>13.736486486486543</v>
          </cell>
          <cell r="I1013" t="e">
            <v>#N/A</v>
          </cell>
          <cell r="J1013" t="e">
            <v>#N/A</v>
          </cell>
          <cell r="K1013">
            <v>17.5</v>
          </cell>
          <cell r="L1013">
            <v>14</v>
          </cell>
          <cell r="M1013" t="e">
            <v>#N/A</v>
          </cell>
          <cell r="N1013">
            <v>16.5</v>
          </cell>
          <cell r="O1013" t="e">
            <v>#N/A</v>
          </cell>
          <cell r="P1013" t="str">
            <v/>
          </cell>
          <cell r="Q1013" t="str">
            <v/>
          </cell>
          <cell r="R1013">
            <v>16.5</v>
          </cell>
        </row>
        <row r="1014">
          <cell r="A1014" t="str">
            <v/>
          </cell>
          <cell r="B1014" t="str">
            <v/>
          </cell>
          <cell r="C1014" t="str">
            <v>Future</v>
          </cell>
          <cell r="D1014" t="e">
            <v>#N/A</v>
          </cell>
          <cell r="E1014">
            <v>-10.85945945945954</v>
          </cell>
          <cell r="F1014">
            <v>19.883783783784079</v>
          </cell>
          <cell r="G1014">
            <v>13.735135135135192</v>
          </cell>
          <cell r="H1014">
            <v>13.735135135135192</v>
          </cell>
          <cell r="I1014" t="e">
            <v>#N/A</v>
          </cell>
          <cell r="J1014" t="e">
            <v>#N/A</v>
          </cell>
          <cell r="K1014">
            <v>17.5</v>
          </cell>
          <cell r="L1014">
            <v>14</v>
          </cell>
          <cell r="M1014" t="e">
            <v>#N/A</v>
          </cell>
          <cell r="N1014">
            <v>16.5</v>
          </cell>
          <cell r="O1014" t="e">
            <v>#N/A</v>
          </cell>
          <cell r="P1014" t="str">
            <v/>
          </cell>
          <cell r="Q1014" t="str">
            <v/>
          </cell>
          <cell r="R1014">
            <v>16.5</v>
          </cell>
        </row>
        <row r="1015">
          <cell r="A1015" t="str">
            <v/>
          </cell>
          <cell r="B1015" t="str">
            <v/>
          </cell>
          <cell r="C1015" t="str">
            <v>Future</v>
          </cell>
          <cell r="D1015" t="e">
            <v>#N/A</v>
          </cell>
          <cell r="E1015">
            <v>-10.914864864864946</v>
          </cell>
          <cell r="F1015">
            <v>19.895945945946242</v>
          </cell>
          <cell r="G1015">
            <v>13.73378378378384</v>
          </cell>
          <cell r="H1015">
            <v>13.73378378378384</v>
          </cell>
          <cell r="I1015" t="e">
            <v>#N/A</v>
          </cell>
          <cell r="J1015" t="e">
            <v>#N/A</v>
          </cell>
          <cell r="K1015">
            <v>17.5</v>
          </cell>
          <cell r="L1015">
            <v>14</v>
          </cell>
          <cell r="M1015" t="e">
            <v>#N/A</v>
          </cell>
          <cell r="N1015">
            <v>16.5</v>
          </cell>
          <cell r="O1015" t="e">
            <v>#N/A</v>
          </cell>
          <cell r="P1015" t="str">
            <v/>
          </cell>
          <cell r="Q1015" t="str">
            <v/>
          </cell>
          <cell r="R1015">
            <v>16.5</v>
          </cell>
        </row>
        <row r="1016">
          <cell r="A1016" t="str">
            <v/>
          </cell>
          <cell r="B1016" t="str">
            <v/>
          </cell>
          <cell r="C1016" t="str">
            <v>Future</v>
          </cell>
          <cell r="D1016" t="e">
            <v>#N/A</v>
          </cell>
          <cell r="E1016">
            <v>-10.970270270270351</v>
          </cell>
          <cell r="F1016">
            <v>19.908108108108404</v>
          </cell>
          <cell r="G1016">
            <v>13.732432432432489</v>
          </cell>
          <cell r="H1016">
            <v>13.732432432432489</v>
          </cell>
          <cell r="I1016" t="e">
            <v>#N/A</v>
          </cell>
          <cell r="J1016" t="e">
            <v>#N/A</v>
          </cell>
          <cell r="K1016">
            <v>17.5</v>
          </cell>
          <cell r="L1016">
            <v>14</v>
          </cell>
          <cell r="M1016" t="e">
            <v>#N/A</v>
          </cell>
          <cell r="N1016">
            <v>16.5</v>
          </cell>
          <cell r="O1016" t="e">
            <v>#N/A</v>
          </cell>
          <cell r="P1016" t="str">
            <v/>
          </cell>
          <cell r="Q1016" t="str">
            <v/>
          </cell>
          <cell r="R1016">
            <v>16.5</v>
          </cell>
        </row>
        <row r="1017">
          <cell r="A1017" t="str">
            <v/>
          </cell>
          <cell r="B1017" t="str">
            <v/>
          </cell>
          <cell r="C1017" t="str">
            <v>Future</v>
          </cell>
          <cell r="D1017" t="e">
            <v>#N/A</v>
          </cell>
          <cell r="E1017">
            <v>-11.025675675675757</v>
          </cell>
          <cell r="F1017">
            <v>19.920270270270567</v>
          </cell>
          <cell r="G1017">
            <v>13.731081081081138</v>
          </cell>
          <cell r="H1017">
            <v>13.731081081081138</v>
          </cell>
          <cell r="I1017" t="e">
            <v>#N/A</v>
          </cell>
          <cell r="J1017" t="e">
            <v>#N/A</v>
          </cell>
          <cell r="K1017">
            <v>17.5</v>
          </cell>
          <cell r="L1017">
            <v>14</v>
          </cell>
          <cell r="M1017" t="e">
            <v>#N/A</v>
          </cell>
          <cell r="N1017">
            <v>16.5</v>
          </cell>
          <cell r="O1017" t="e">
            <v>#N/A</v>
          </cell>
          <cell r="P1017" t="str">
            <v/>
          </cell>
          <cell r="Q1017" t="str">
            <v/>
          </cell>
          <cell r="R1017">
            <v>16.5</v>
          </cell>
        </row>
        <row r="1018">
          <cell r="A1018" t="str">
            <v/>
          </cell>
          <cell r="B1018" t="str">
            <v/>
          </cell>
          <cell r="C1018" t="str">
            <v>Future</v>
          </cell>
          <cell r="D1018" t="e">
            <v>#N/A</v>
          </cell>
          <cell r="E1018">
            <v>-11.081081081081162</v>
          </cell>
          <cell r="F1018">
            <v>19.93243243243273</v>
          </cell>
          <cell r="G1018">
            <v>13.729729729729787</v>
          </cell>
          <cell r="H1018">
            <v>13.729729729729787</v>
          </cell>
          <cell r="I1018" t="e">
            <v>#N/A</v>
          </cell>
          <cell r="J1018" t="e">
            <v>#N/A</v>
          </cell>
          <cell r="K1018">
            <v>17.5</v>
          </cell>
          <cell r="L1018">
            <v>14</v>
          </cell>
          <cell r="M1018" t="e">
            <v>#N/A</v>
          </cell>
          <cell r="N1018">
            <v>16.5</v>
          </cell>
          <cell r="O1018" t="e">
            <v>#N/A</v>
          </cell>
          <cell r="P1018" t="str">
            <v/>
          </cell>
          <cell r="Q1018" t="str">
            <v/>
          </cell>
          <cell r="R1018">
            <v>16.5</v>
          </cell>
        </row>
        <row r="1019">
          <cell r="A1019" t="str">
            <v/>
          </cell>
          <cell r="B1019" t="str">
            <v/>
          </cell>
          <cell r="C1019" t="str">
            <v>Future</v>
          </cell>
          <cell r="D1019" t="e">
            <v>#N/A</v>
          </cell>
          <cell r="E1019">
            <v>-11.136486486486568</v>
          </cell>
          <cell r="F1019">
            <v>19.944594594594893</v>
          </cell>
          <cell r="G1019">
            <v>13.728378378378435</v>
          </cell>
          <cell r="H1019">
            <v>13.728378378378435</v>
          </cell>
          <cell r="I1019" t="e">
            <v>#N/A</v>
          </cell>
          <cell r="J1019" t="e">
            <v>#N/A</v>
          </cell>
          <cell r="K1019">
            <v>17.5</v>
          </cell>
          <cell r="L1019">
            <v>14</v>
          </cell>
          <cell r="M1019" t="e">
            <v>#N/A</v>
          </cell>
          <cell r="N1019">
            <v>16.5</v>
          </cell>
          <cell r="O1019" t="e">
            <v>#N/A</v>
          </cell>
          <cell r="P1019" t="str">
            <v/>
          </cell>
          <cell r="Q1019" t="str">
            <v/>
          </cell>
          <cell r="R1019">
            <v>16.5</v>
          </cell>
        </row>
        <row r="1020">
          <cell r="A1020" t="str">
            <v/>
          </cell>
          <cell r="B1020" t="str">
            <v/>
          </cell>
          <cell r="C1020" t="str">
            <v>Future</v>
          </cell>
          <cell r="D1020" t="e">
            <v>#N/A</v>
          </cell>
          <cell r="E1020">
            <v>-11.191891891891974</v>
          </cell>
          <cell r="F1020">
            <v>19.956756756757056</v>
          </cell>
          <cell r="G1020">
            <v>13.727027027027084</v>
          </cell>
          <cell r="H1020">
            <v>13.727027027027084</v>
          </cell>
          <cell r="I1020" t="e">
            <v>#N/A</v>
          </cell>
          <cell r="J1020" t="e">
            <v>#N/A</v>
          </cell>
          <cell r="K1020">
            <v>17.5</v>
          </cell>
          <cell r="L1020">
            <v>14</v>
          </cell>
          <cell r="M1020" t="e">
            <v>#N/A</v>
          </cell>
          <cell r="N1020">
            <v>16.5</v>
          </cell>
          <cell r="O1020" t="e">
            <v>#N/A</v>
          </cell>
          <cell r="P1020" t="str">
            <v/>
          </cell>
          <cell r="Q1020" t="str">
            <v/>
          </cell>
          <cell r="R1020">
            <v>16.5</v>
          </cell>
        </row>
        <row r="1021">
          <cell r="A1021" t="str">
            <v/>
          </cell>
          <cell r="B1021" t="str">
            <v/>
          </cell>
          <cell r="C1021" t="str">
            <v>Future</v>
          </cell>
          <cell r="D1021" t="e">
            <v>#N/A</v>
          </cell>
          <cell r="E1021">
            <v>-11.247297297297379</v>
          </cell>
          <cell r="F1021">
            <v>19.968918918919218</v>
          </cell>
          <cell r="G1021">
            <v>13.725675675675733</v>
          </cell>
          <cell r="H1021">
            <v>13.725675675675733</v>
          </cell>
          <cell r="I1021" t="e">
            <v>#N/A</v>
          </cell>
          <cell r="J1021" t="e">
            <v>#N/A</v>
          </cell>
          <cell r="K1021">
            <v>17.5</v>
          </cell>
          <cell r="L1021">
            <v>14</v>
          </cell>
          <cell r="M1021" t="e">
            <v>#N/A</v>
          </cell>
          <cell r="N1021">
            <v>16.5</v>
          </cell>
          <cell r="O1021" t="e">
            <v>#N/A</v>
          </cell>
          <cell r="P1021" t="str">
            <v/>
          </cell>
          <cell r="Q1021" t="str">
            <v/>
          </cell>
          <cell r="R1021">
            <v>16.5</v>
          </cell>
        </row>
        <row r="1022">
          <cell r="A1022" t="str">
            <v/>
          </cell>
          <cell r="B1022" t="str">
            <v/>
          </cell>
          <cell r="C1022" t="str">
            <v>Future</v>
          </cell>
          <cell r="D1022" t="e">
            <v>#N/A</v>
          </cell>
          <cell r="E1022">
            <v>-11.302702702702785</v>
          </cell>
          <cell r="F1022">
            <v>19.981081081081381</v>
          </cell>
          <cell r="G1022">
            <v>13.724324324324382</v>
          </cell>
          <cell r="H1022">
            <v>13.724324324324382</v>
          </cell>
          <cell r="I1022" t="e">
            <v>#N/A</v>
          </cell>
          <cell r="J1022" t="e">
            <v>#N/A</v>
          </cell>
          <cell r="K1022">
            <v>17.5</v>
          </cell>
          <cell r="L1022">
            <v>14</v>
          </cell>
          <cell r="M1022" t="e">
            <v>#N/A</v>
          </cell>
          <cell r="N1022">
            <v>16.5</v>
          </cell>
          <cell r="O1022" t="e">
            <v>#N/A</v>
          </cell>
          <cell r="P1022" t="str">
            <v/>
          </cell>
          <cell r="Q1022" t="str">
            <v/>
          </cell>
          <cell r="R1022">
            <v>16.5</v>
          </cell>
        </row>
        <row r="1023">
          <cell r="A1023" t="str">
            <v/>
          </cell>
          <cell r="B1023" t="str">
            <v/>
          </cell>
          <cell r="C1023" t="str">
            <v>Future</v>
          </cell>
          <cell r="D1023" t="e">
            <v>#N/A</v>
          </cell>
          <cell r="E1023">
            <v>-11.35810810810819</v>
          </cell>
          <cell r="F1023">
            <v>19.993243243243544</v>
          </cell>
          <cell r="G1023">
            <v>13.722972972973031</v>
          </cell>
          <cell r="H1023">
            <v>13.722972972973031</v>
          </cell>
          <cell r="I1023" t="e">
            <v>#N/A</v>
          </cell>
          <cell r="J1023" t="e">
            <v>#N/A</v>
          </cell>
          <cell r="K1023">
            <v>17.5</v>
          </cell>
          <cell r="L1023">
            <v>14</v>
          </cell>
          <cell r="M1023" t="e">
            <v>#N/A</v>
          </cell>
          <cell r="N1023">
            <v>16.5</v>
          </cell>
          <cell r="O1023" t="e">
            <v>#N/A</v>
          </cell>
          <cell r="P1023" t="str">
            <v/>
          </cell>
          <cell r="Q1023" t="str">
            <v/>
          </cell>
          <cell r="R1023">
            <v>16.5</v>
          </cell>
        </row>
        <row r="1024">
          <cell r="A1024" t="str">
            <v/>
          </cell>
          <cell r="B1024" t="str">
            <v/>
          </cell>
          <cell r="C1024" t="str">
            <v>Future</v>
          </cell>
          <cell r="D1024" t="e">
            <v>#N/A</v>
          </cell>
          <cell r="E1024">
            <v>-11.413513513513596</v>
          </cell>
          <cell r="F1024">
            <v>20.005405405405707</v>
          </cell>
          <cell r="G1024">
            <v>13.721621621621679</v>
          </cell>
          <cell r="H1024">
            <v>13.721621621621679</v>
          </cell>
          <cell r="I1024" t="e">
            <v>#N/A</v>
          </cell>
          <cell r="J1024" t="e">
            <v>#N/A</v>
          </cell>
          <cell r="K1024">
            <v>17.5</v>
          </cell>
          <cell r="L1024">
            <v>14</v>
          </cell>
          <cell r="M1024" t="e">
            <v>#N/A</v>
          </cell>
          <cell r="N1024">
            <v>16.5</v>
          </cell>
          <cell r="O1024" t="e">
            <v>#N/A</v>
          </cell>
          <cell r="P1024" t="str">
            <v/>
          </cell>
          <cell r="Q1024" t="str">
            <v/>
          </cell>
          <cell r="R1024">
            <v>16.5</v>
          </cell>
        </row>
        <row r="1025">
          <cell r="A1025" t="str">
            <v/>
          </cell>
          <cell r="B1025" t="str">
            <v/>
          </cell>
          <cell r="C1025" t="str">
            <v>Future</v>
          </cell>
          <cell r="D1025" t="e">
            <v>#N/A</v>
          </cell>
          <cell r="E1025">
            <v>-11.468918918919002</v>
          </cell>
          <cell r="F1025">
            <v>20.01756756756787</v>
          </cell>
          <cell r="G1025">
            <v>13.720270270270328</v>
          </cell>
          <cell r="H1025">
            <v>13.720270270270328</v>
          </cell>
          <cell r="I1025" t="e">
            <v>#N/A</v>
          </cell>
          <cell r="J1025" t="e">
            <v>#N/A</v>
          </cell>
          <cell r="K1025">
            <v>17.5</v>
          </cell>
          <cell r="L1025">
            <v>14</v>
          </cell>
          <cell r="M1025" t="e">
            <v>#N/A</v>
          </cell>
          <cell r="N1025">
            <v>16.5</v>
          </cell>
          <cell r="O1025" t="e">
            <v>#N/A</v>
          </cell>
          <cell r="P1025" t="str">
            <v/>
          </cell>
          <cell r="Q1025" t="str">
            <v/>
          </cell>
          <cell r="R1025">
            <v>16.5</v>
          </cell>
        </row>
        <row r="1026">
          <cell r="A1026" t="str">
            <v/>
          </cell>
          <cell r="B1026" t="str">
            <v/>
          </cell>
          <cell r="C1026" t="str">
            <v>Future</v>
          </cell>
          <cell r="D1026" t="e">
            <v>#N/A</v>
          </cell>
          <cell r="E1026">
            <v>-11.524324324324407</v>
          </cell>
          <cell r="F1026">
            <v>20.029729729730033</v>
          </cell>
          <cell r="G1026">
            <v>13.718918918918977</v>
          </cell>
          <cell r="H1026">
            <v>13.718918918918977</v>
          </cell>
          <cell r="I1026" t="e">
            <v>#N/A</v>
          </cell>
          <cell r="J1026" t="e">
            <v>#N/A</v>
          </cell>
          <cell r="K1026">
            <v>17.5</v>
          </cell>
          <cell r="L1026">
            <v>14</v>
          </cell>
          <cell r="M1026" t="e">
            <v>#N/A</v>
          </cell>
          <cell r="N1026">
            <v>16.5</v>
          </cell>
          <cell r="O1026" t="e">
            <v>#N/A</v>
          </cell>
          <cell r="P1026" t="str">
            <v/>
          </cell>
          <cell r="Q1026" t="str">
            <v/>
          </cell>
          <cell r="R1026">
            <v>16.5</v>
          </cell>
        </row>
        <row r="1027">
          <cell r="A1027" t="str">
            <v/>
          </cell>
          <cell r="B1027" t="str">
            <v/>
          </cell>
          <cell r="C1027" t="str">
            <v>Future</v>
          </cell>
          <cell r="D1027" t="e">
            <v>#N/A</v>
          </cell>
          <cell r="E1027">
            <v>-11.579729729729813</v>
          </cell>
          <cell r="F1027">
            <v>20.041891891892195</v>
          </cell>
          <cell r="G1027">
            <v>13.717567567567626</v>
          </cell>
          <cell r="H1027">
            <v>13.717567567567626</v>
          </cell>
          <cell r="I1027" t="e">
            <v>#N/A</v>
          </cell>
          <cell r="J1027" t="e">
            <v>#N/A</v>
          </cell>
          <cell r="K1027">
            <v>17.5</v>
          </cell>
          <cell r="L1027">
            <v>14</v>
          </cell>
          <cell r="M1027" t="e">
            <v>#N/A</v>
          </cell>
          <cell r="N1027">
            <v>16.5</v>
          </cell>
          <cell r="O1027" t="e">
            <v>#N/A</v>
          </cell>
          <cell r="P1027" t="str">
            <v/>
          </cell>
          <cell r="Q1027" t="str">
            <v/>
          </cell>
          <cell r="R1027">
            <v>16.5</v>
          </cell>
        </row>
        <row r="1028">
          <cell r="A1028" t="str">
            <v/>
          </cell>
          <cell r="B1028" t="str">
            <v/>
          </cell>
          <cell r="C1028" t="str">
            <v>Future</v>
          </cell>
          <cell r="D1028" t="e">
            <v>#N/A</v>
          </cell>
          <cell r="E1028">
            <v>-11.635135135135219</v>
          </cell>
          <cell r="F1028">
            <v>20.054054054054358</v>
          </cell>
          <cell r="G1028">
            <v>13.716216216216274</v>
          </cell>
          <cell r="H1028">
            <v>13.716216216216274</v>
          </cell>
          <cell r="I1028" t="e">
            <v>#N/A</v>
          </cell>
          <cell r="J1028" t="e">
            <v>#N/A</v>
          </cell>
          <cell r="K1028">
            <v>17.5</v>
          </cell>
          <cell r="L1028">
            <v>14</v>
          </cell>
          <cell r="M1028" t="e">
            <v>#N/A</v>
          </cell>
          <cell r="N1028">
            <v>16.5</v>
          </cell>
          <cell r="O1028" t="e">
            <v>#N/A</v>
          </cell>
          <cell r="P1028" t="str">
            <v/>
          </cell>
          <cell r="Q1028" t="str">
            <v/>
          </cell>
          <cell r="R1028">
            <v>16.5</v>
          </cell>
        </row>
        <row r="1029">
          <cell r="A1029" t="str">
            <v/>
          </cell>
          <cell r="B1029" t="str">
            <v/>
          </cell>
          <cell r="C1029" t="str">
            <v>Future</v>
          </cell>
          <cell r="D1029" t="e">
            <v>#N/A</v>
          </cell>
          <cell r="E1029">
            <v>-11.690540540540624</v>
          </cell>
          <cell r="F1029">
            <v>20.066216216216521</v>
          </cell>
          <cell r="G1029">
            <v>13.714864864864923</v>
          </cell>
          <cell r="H1029">
            <v>13.714864864864923</v>
          </cell>
          <cell r="I1029" t="e">
            <v>#N/A</v>
          </cell>
          <cell r="J1029" t="e">
            <v>#N/A</v>
          </cell>
          <cell r="K1029">
            <v>17.5</v>
          </cell>
          <cell r="L1029">
            <v>14</v>
          </cell>
          <cell r="M1029" t="e">
            <v>#N/A</v>
          </cell>
          <cell r="N1029">
            <v>16.5</v>
          </cell>
          <cell r="O1029" t="e">
            <v>#N/A</v>
          </cell>
          <cell r="P1029" t="str">
            <v/>
          </cell>
          <cell r="Q1029" t="str">
            <v/>
          </cell>
          <cell r="R1029">
            <v>16.5</v>
          </cell>
        </row>
        <row r="1030">
          <cell r="A1030" t="str">
            <v/>
          </cell>
          <cell r="B1030" t="str">
            <v/>
          </cell>
          <cell r="C1030" t="str">
            <v>Future</v>
          </cell>
          <cell r="D1030" t="e">
            <v>#N/A</v>
          </cell>
          <cell r="E1030">
            <v>-11.74594594594603</v>
          </cell>
          <cell r="F1030">
            <v>20.078378378378684</v>
          </cell>
          <cell r="G1030">
            <v>13.713513513513572</v>
          </cell>
          <cell r="H1030">
            <v>13.713513513513572</v>
          </cell>
          <cell r="I1030" t="e">
            <v>#N/A</v>
          </cell>
          <cell r="J1030" t="e">
            <v>#N/A</v>
          </cell>
          <cell r="K1030">
            <v>17.5</v>
          </cell>
          <cell r="L1030">
            <v>14</v>
          </cell>
          <cell r="M1030" t="e">
            <v>#N/A</v>
          </cell>
          <cell r="N1030">
            <v>16.5</v>
          </cell>
          <cell r="O1030" t="e">
            <v>#N/A</v>
          </cell>
          <cell r="P1030" t="str">
            <v/>
          </cell>
          <cell r="Q1030" t="str">
            <v/>
          </cell>
          <cell r="R1030">
            <v>16.5</v>
          </cell>
        </row>
        <row r="1031">
          <cell r="A1031" t="str">
            <v/>
          </cell>
          <cell r="B1031" t="str">
            <v/>
          </cell>
          <cell r="C1031" t="str">
            <v>Future</v>
          </cell>
          <cell r="D1031" t="e">
            <v>#N/A</v>
          </cell>
          <cell r="E1031">
            <v>-11.801351351351435</v>
          </cell>
          <cell r="F1031">
            <v>20.090540540540847</v>
          </cell>
          <cell r="G1031">
            <v>13.712162162162221</v>
          </cell>
          <cell r="H1031">
            <v>13.712162162162221</v>
          </cell>
          <cell r="I1031" t="e">
            <v>#N/A</v>
          </cell>
          <cell r="J1031" t="e">
            <v>#N/A</v>
          </cell>
          <cell r="K1031">
            <v>17.5</v>
          </cell>
          <cell r="L1031">
            <v>14</v>
          </cell>
          <cell r="M1031" t="e">
            <v>#N/A</v>
          </cell>
          <cell r="N1031">
            <v>16.5</v>
          </cell>
          <cell r="O1031" t="e">
            <v>#N/A</v>
          </cell>
          <cell r="P1031" t="str">
            <v/>
          </cell>
          <cell r="Q1031" t="str">
            <v/>
          </cell>
          <cell r="R1031">
            <v>16.5</v>
          </cell>
        </row>
        <row r="1032">
          <cell r="A1032" t="str">
            <v/>
          </cell>
          <cell r="B1032" t="str">
            <v/>
          </cell>
          <cell r="C1032" t="str">
            <v>Future</v>
          </cell>
          <cell r="D1032" t="e">
            <v>#N/A</v>
          </cell>
          <cell r="E1032">
            <v>-11.856756756756841</v>
          </cell>
          <cell r="F1032">
            <v>20.102702702703009</v>
          </cell>
          <cell r="G1032">
            <v>13.710810810810869</v>
          </cell>
          <cell r="H1032">
            <v>13.710810810810869</v>
          </cell>
          <cell r="I1032" t="e">
            <v>#N/A</v>
          </cell>
          <cell r="J1032" t="e">
            <v>#N/A</v>
          </cell>
          <cell r="K1032">
            <v>17.5</v>
          </cell>
          <cell r="L1032">
            <v>14</v>
          </cell>
          <cell r="M1032" t="e">
            <v>#N/A</v>
          </cell>
          <cell r="N1032">
            <v>16.5</v>
          </cell>
          <cell r="O1032" t="e">
            <v>#N/A</v>
          </cell>
          <cell r="P1032" t="str">
            <v/>
          </cell>
          <cell r="Q1032" t="str">
            <v/>
          </cell>
          <cell r="R1032">
            <v>16.5</v>
          </cell>
        </row>
        <row r="1033">
          <cell r="A1033" t="str">
            <v/>
          </cell>
          <cell r="B1033" t="str">
            <v/>
          </cell>
          <cell r="C1033" t="str">
            <v>Future</v>
          </cell>
          <cell r="D1033" t="e">
            <v>#N/A</v>
          </cell>
          <cell r="E1033">
            <v>-11.912162162162247</v>
          </cell>
          <cell r="F1033">
            <v>20.114864864865172</v>
          </cell>
          <cell r="G1033">
            <v>13.709459459459518</v>
          </cell>
          <cell r="H1033">
            <v>13.709459459459518</v>
          </cell>
          <cell r="I1033" t="e">
            <v>#N/A</v>
          </cell>
          <cell r="J1033" t="e">
            <v>#N/A</v>
          </cell>
          <cell r="K1033">
            <v>17.5</v>
          </cell>
          <cell r="L1033">
            <v>14</v>
          </cell>
          <cell r="M1033" t="e">
            <v>#N/A</v>
          </cell>
          <cell r="N1033">
            <v>16.5</v>
          </cell>
          <cell r="O1033" t="e">
            <v>#N/A</v>
          </cell>
          <cell r="P1033" t="str">
            <v/>
          </cell>
          <cell r="Q1033" t="str">
            <v/>
          </cell>
          <cell r="R1033">
            <v>16.5</v>
          </cell>
        </row>
        <row r="1034">
          <cell r="A1034" t="str">
            <v/>
          </cell>
          <cell r="B1034" t="str">
            <v/>
          </cell>
          <cell r="C1034" t="str">
            <v>Future</v>
          </cell>
          <cell r="D1034" t="e">
            <v>#N/A</v>
          </cell>
          <cell r="E1034">
            <v>-11.967567567567652</v>
          </cell>
          <cell r="F1034">
            <v>20.127027027027335</v>
          </cell>
          <cell r="G1034">
            <v>13.708108108108167</v>
          </cell>
          <cell r="H1034">
            <v>13.708108108108167</v>
          </cell>
          <cell r="I1034" t="e">
            <v>#N/A</v>
          </cell>
          <cell r="J1034" t="e">
            <v>#N/A</v>
          </cell>
          <cell r="K1034">
            <v>17.5</v>
          </cell>
          <cell r="L1034">
            <v>14</v>
          </cell>
          <cell r="M1034" t="e">
            <v>#N/A</v>
          </cell>
          <cell r="N1034">
            <v>16.5</v>
          </cell>
          <cell r="O1034" t="e">
            <v>#N/A</v>
          </cell>
          <cell r="P1034" t="str">
            <v/>
          </cell>
          <cell r="Q1034" t="str">
            <v/>
          </cell>
          <cell r="R1034">
            <v>16.5</v>
          </cell>
        </row>
        <row r="1035">
          <cell r="A1035" t="str">
            <v/>
          </cell>
          <cell r="B1035" t="str">
            <v/>
          </cell>
          <cell r="C1035" t="str">
            <v>Future</v>
          </cell>
          <cell r="D1035" t="e">
            <v>#N/A</v>
          </cell>
          <cell r="E1035">
            <v>-12.022972972973058</v>
          </cell>
          <cell r="F1035">
            <v>20.139189189189498</v>
          </cell>
          <cell r="G1035">
            <v>13.706756756756816</v>
          </cell>
          <cell r="H1035">
            <v>13.706756756756816</v>
          </cell>
          <cell r="I1035" t="e">
            <v>#N/A</v>
          </cell>
          <cell r="J1035" t="e">
            <v>#N/A</v>
          </cell>
          <cell r="K1035">
            <v>17.5</v>
          </cell>
          <cell r="L1035">
            <v>14</v>
          </cell>
          <cell r="M1035" t="e">
            <v>#N/A</v>
          </cell>
          <cell r="N1035">
            <v>16.5</v>
          </cell>
          <cell r="O1035" t="e">
            <v>#N/A</v>
          </cell>
          <cell r="P1035" t="str">
            <v/>
          </cell>
          <cell r="Q1035" t="str">
            <v/>
          </cell>
          <cell r="R1035">
            <v>16.5</v>
          </cell>
        </row>
        <row r="1036">
          <cell r="A1036" t="str">
            <v/>
          </cell>
          <cell r="B1036" t="str">
            <v/>
          </cell>
          <cell r="C1036" t="str">
            <v>Future</v>
          </cell>
          <cell r="D1036" t="e">
            <v>#N/A</v>
          </cell>
          <cell r="E1036">
            <v>-12.078378378378464</v>
          </cell>
          <cell r="F1036">
            <v>20.151351351351661</v>
          </cell>
          <cell r="G1036">
            <v>13.705405405405465</v>
          </cell>
          <cell r="H1036">
            <v>13.705405405405465</v>
          </cell>
          <cell r="I1036" t="e">
            <v>#N/A</v>
          </cell>
          <cell r="J1036" t="e">
            <v>#N/A</v>
          </cell>
          <cell r="K1036">
            <v>17.5</v>
          </cell>
          <cell r="L1036">
            <v>14</v>
          </cell>
          <cell r="M1036" t="e">
            <v>#N/A</v>
          </cell>
          <cell r="N1036">
            <v>16.5</v>
          </cell>
          <cell r="O1036" t="e">
            <v>#N/A</v>
          </cell>
          <cell r="P1036" t="str">
            <v/>
          </cell>
          <cell r="Q1036" t="str">
            <v/>
          </cell>
          <cell r="R1036">
            <v>16.5</v>
          </cell>
        </row>
        <row r="1037">
          <cell r="A1037" t="str">
            <v/>
          </cell>
          <cell r="B1037" t="str">
            <v/>
          </cell>
          <cell r="C1037" t="str">
            <v>Future</v>
          </cell>
          <cell r="D1037" t="e">
            <v>#N/A</v>
          </cell>
          <cell r="E1037">
            <v>-12.133783783783869</v>
          </cell>
          <cell r="F1037">
            <v>20.163513513513823</v>
          </cell>
          <cell r="G1037">
            <v>13.704054054054113</v>
          </cell>
          <cell r="H1037">
            <v>13.704054054054113</v>
          </cell>
          <cell r="I1037" t="e">
            <v>#N/A</v>
          </cell>
          <cell r="J1037" t="e">
            <v>#N/A</v>
          </cell>
          <cell r="K1037">
            <v>17.5</v>
          </cell>
          <cell r="L1037">
            <v>14</v>
          </cell>
          <cell r="M1037" t="e">
            <v>#N/A</v>
          </cell>
          <cell r="N1037">
            <v>16.5</v>
          </cell>
          <cell r="O1037" t="e">
            <v>#N/A</v>
          </cell>
          <cell r="P1037" t="str">
            <v/>
          </cell>
          <cell r="Q1037" t="str">
            <v/>
          </cell>
          <cell r="R1037">
            <v>16.5</v>
          </cell>
        </row>
        <row r="1038">
          <cell r="A1038" t="str">
            <v/>
          </cell>
          <cell r="B1038" t="str">
            <v/>
          </cell>
          <cell r="C1038" t="str">
            <v>Future</v>
          </cell>
          <cell r="D1038" t="e">
            <v>#N/A</v>
          </cell>
          <cell r="E1038">
            <v>-12.189189189189275</v>
          </cell>
          <cell r="F1038">
            <v>20.175675675675986</v>
          </cell>
          <cell r="G1038">
            <v>13.702702702702762</v>
          </cell>
          <cell r="H1038">
            <v>13.702702702702762</v>
          </cell>
          <cell r="I1038" t="e">
            <v>#N/A</v>
          </cell>
          <cell r="J1038" t="e">
            <v>#N/A</v>
          </cell>
          <cell r="K1038">
            <v>17.5</v>
          </cell>
          <cell r="L1038">
            <v>14</v>
          </cell>
          <cell r="M1038" t="e">
            <v>#N/A</v>
          </cell>
          <cell r="N1038">
            <v>16.5</v>
          </cell>
          <cell r="O1038" t="e">
            <v>#N/A</v>
          </cell>
          <cell r="P1038" t="str">
            <v/>
          </cell>
          <cell r="Q1038" t="str">
            <v/>
          </cell>
          <cell r="R1038">
            <v>16.5</v>
          </cell>
        </row>
        <row r="1039">
          <cell r="A1039" t="str">
            <v/>
          </cell>
          <cell r="B1039" t="str">
            <v/>
          </cell>
          <cell r="C1039" t="str">
            <v>Future</v>
          </cell>
          <cell r="D1039" t="e">
            <v>#N/A</v>
          </cell>
          <cell r="E1039">
            <v>-12.24459459459468</v>
          </cell>
          <cell r="F1039">
            <v>20.187837837838149</v>
          </cell>
          <cell r="G1039">
            <v>13.701351351351411</v>
          </cell>
          <cell r="H1039">
            <v>13.701351351351411</v>
          </cell>
          <cell r="I1039" t="e">
            <v>#N/A</v>
          </cell>
          <cell r="J1039" t="e">
            <v>#N/A</v>
          </cell>
          <cell r="K1039">
            <v>17.5</v>
          </cell>
          <cell r="L1039">
            <v>14</v>
          </cell>
          <cell r="M1039" t="e">
            <v>#N/A</v>
          </cell>
          <cell r="N1039">
            <v>16.5</v>
          </cell>
          <cell r="O1039" t="e">
            <v>#N/A</v>
          </cell>
          <cell r="P1039" t="str">
            <v/>
          </cell>
          <cell r="Q1039" t="str">
            <v/>
          </cell>
          <cell r="R1039">
            <v>16.5</v>
          </cell>
        </row>
        <row r="1040">
          <cell r="A1040" t="str">
            <v/>
          </cell>
          <cell r="B1040" t="str">
            <v/>
          </cell>
          <cell r="C1040" t="str">
            <v>Future</v>
          </cell>
          <cell r="D1040" t="e">
            <v>#N/A</v>
          </cell>
          <cell r="E1040">
            <v>-12.300000000000086</v>
          </cell>
          <cell r="F1040">
            <v>20.200000000000312</v>
          </cell>
          <cell r="G1040">
            <v>13.70000000000006</v>
          </cell>
          <cell r="H1040">
            <v>13.70000000000006</v>
          </cell>
          <cell r="I1040" t="e">
            <v>#N/A</v>
          </cell>
          <cell r="J1040" t="e">
            <v>#N/A</v>
          </cell>
          <cell r="K1040">
            <v>17.5</v>
          </cell>
          <cell r="L1040">
            <v>14</v>
          </cell>
          <cell r="M1040" t="e">
            <v>#N/A</v>
          </cell>
          <cell r="N1040">
            <v>16.5</v>
          </cell>
          <cell r="O1040" t="e">
            <v>#N/A</v>
          </cell>
          <cell r="P1040" t="str">
            <v/>
          </cell>
          <cell r="Q1040" t="str">
            <v/>
          </cell>
          <cell r="R1040">
            <v>16.5</v>
          </cell>
        </row>
        <row r="1041">
          <cell r="A1041" t="str">
            <v/>
          </cell>
          <cell r="B1041" t="str">
            <v/>
          </cell>
          <cell r="C1041" t="str">
            <v>Future</v>
          </cell>
          <cell r="D1041" t="e">
            <v>#N/A</v>
          </cell>
          <cell r="E1041">
            <v>-12.355405405405492</v>
          </cell>
          <cell r="F1041">
            <v>20.212162162162475</v>
          </cell>
          <cell r="G1041">
            <v>13.698648648648708</v>
          </cell>
          <cell r="H1041">
            <v>13.698648648648708</v>
          </cell>
          <cell r="I1041" t="e">
            <v>#N/A</v>
          </cell>
          <cell r="J1041" t="e">
            <v>#N/A</v>
          </cell>
          <cell r="K1041">
            <v>17.5</v>
          </cell>
          <cell r="L1041">
            <v>14</v>
          </cell>
          <cell r="M1041" t="e">
            <v>#N/A</v>
          </cell>
          <cell r="N1041">
            <v>16.5</v>
          </cell>
          <cell r="O1041" t="e">
            <v>#N/A</v>
          </cell>
          <cell r="P1041" t="str">
            <v/>
          </cell>
          <cell r="Q1041" t="str">
            <v/>
          </cell>
          <cell r="R1041">
            <v>16.5</v>
          </cell>
        </row>
        <row r="1042">
          <cell r="A1042" t="str">
            <v/>
          </cell>
          <cell r="B1042" t="str">
            <v/>
          </cell>
          <cell r="C1042" t="str">
            <v>Future</v>
          </cell>
          <cell r="D1042" t="e">
            <v>#N/A</v>
          </cell>
          <cell r="E1042">
            <v>-12.410810810810897</v>
          </cell>
          <cell r="F1042">
            <v>20.224324324324638</v>
          </cell>
          <cell r="G1042">
            <v>13.697297297297357</v>
          </cell>
          <cell r="H1042">
            <v>13.697297297297357</v>
          </cell>
          <cell r="I1042" t="e">
            <v>#N/A</v>
          </cell>
          <cell r="J1042" t="e">
            <v>#N/A</v>
          </cell>
          <cell r="K1042">
            <v>17.5</v>
          </cell>
          <cell r="L1042">
            <v>14</v>
          </cell>
          <cell r="M1042" t="e">
            <v>#N/A</v>
          </cell>
          <cell r="N1042">
            <v>16.5</v>
          </cell>
          <cell r="O1042" t="e">
            <v>#N/A</v>
          </cell>
          <cell r="P1042" t="str">
            <v/>
          </cell>
          <cell r="Q1042" t="str">
            <v/>
          </cell>
          <cell r="R1042">
            <v>16.5</v>
          </cell>
        </row>
        <row r="1043">
          <cell r="A1043" t="str">
            <v/>
          </cell>
          <cell r="B1043" t="str">
            <v/>
          </cell>
          <cell r="C1043" t="str">
            <v>Future</v>
          </cell>
          <cell r="D1043" t="e">
            <v>#N/A</v>
          </cell>
          <cell r="E1043">
            <v>-12.466216216216303</v>
          </cell>
          <cell r="F1043">
            <v>20.2364864864868</v>
          </cell>
          <cell r="G1043">
            <v>13.695945945946006</v>
          </cell>
          <cell r="H1043">
            <v>13.695945945946006</v>
          </cell>
          <cell r="I1043" t="e">
            <v>#N/A</v>
          </cell>
          <cell r="J1043" t="e">
            <v>#N/A</v>
          </cell>
          <cell r="K1043">
            <v>17.5</v>
          </cell>
          <cell r="L1043">
            <v>14</v>
          </cell>
          <cell r="M1043" t="e">
            <v>#N/A</v>
          </cell>
          <cell r="N1043">
            <v>16.5</v>
          </cell>
          <cell r="O1043" t="e">
            <v>#N/A</v>
          </cell>
          <cell r="P1043" t="str">
            <v/>
          </cell>
          <cell r="Q1043" t="str">
            <v/>
          </cell>
          <cell r="R1043">
            <v>16.5</v>
          </cell>
        </row>
        <row r="1044">
          <cell r="A1044" t="str">
            <v/>
          </cell>
          <cell r="B1044" t="str">
            <v/>
          </cell>
          <cell r="C1044" t="str">
            <v>Future</v>
          </cell>
          <cell r="D1044" t="e">
            <v>#N/A</v>
          </cell>
          <cell r="E1044">
            <v>-12.521621621621708</v>
          </cell>
          <cell r="F1044">
            <v>20.248648648648963</v>
          </cell>
          <cell r="G1044">
            <v>13.694594594594655</v>
          </cell>
          <cell r="H1044">
            <v>13.694594594594655</v>
          </cell>
          <cell r="I1044" t="e">
            <v>#N/A</v>
          </cell>
          <cell r="J1044" t="e">
            <v>#N/A</v>
          </cell>
          <cell r="K1044">
            <v>17.5</v>
          </cell>
          <cell r="L1044">
            <v>14</v>
          </cell>
          <cell r="M1044" t="e">
            <v>#N/A</v>
          </cell>
          <cell r="N1044">
            <v>16.5</v>
          </cell>
          <cell r="O1044" t="e">
            <v>#N/A</v>
          </cell>
          <cell r="P1044" t="str">
            <v/>
          </cell>
          <cell r="Q1044" t="str">
            <v/>
          </cell>
          <cell r="R1044">
            <v>16.5</v>
          </cell>
        </row>
        <row r="1045">
          <cell r="A1045" t="str">
            <v/>
          </cell>
          <cell r="B1045" t="str">
            <v/>
          </cell>
          <cell r="C1045" t="str">
            <v>Future</v>
          </cell>
          <cell r="D1045" t="e">
            <v>#N/A</v>
          </cell>
          <cell r="E1045">
            <v>-12.577027027027114</v>
          </cell>
          <cell r="F1045">
            <v>20.260810810811126</v>
          </cell>
          <cell r="G1045">
            <v>13.693243243243304</v>
          </cell>
          <cell r="H1045">
            <v>13.693243243243304</v>
          </cell>
          <cell r="I1045" t="e">
            <v>#N/A</v>
          </cell>
          <cell r="J1045" t="e">
            <v>#N/A</v>
          </cell>
          <cell r="K1045">
            <v>17.5</v>
          </cell>
          <cell r="L1045">
            <v>14</v>
          </cell>
          <cell r="M1045" t="e">
            <v>#N/A</v>
          </cell>
          <cell r="N1045">
            <v>16.5</v>
          </cell>
          <cell r="O1045" t="e">
            <v>#N/A</v>
          </cell>
          <cell r="P1045" t="str">
            <v/>
          </cell>
          <cell r="Q1045" t="str">
            <v/>
          </cell>
          <cell r="R1045">
            <v>16.5</v>
          </cell>
        </row>
        <row r="1046">
          <cell r="A1046" t="str">
            <v/>
          </cell>
          <cell r="B1046" t="str">
            <v/>
          </cell>
          <cell r="C1046" t="str">
            <v>Future</v>
          </cell>
          <cell r="D1046" t="e">
            <v>#N/A</v>
          </cell>
          <cell r="E1046">
            <v>-12.63243243243252</v>
          </cell>
          <cell r="F1046">
            <v>20.272972972973289</v>
          </cell>
          <cell r="G1046">
            <v>13.691891891891952</v>
          </cell>
          <cell r="H1046">
            <v>13.691891891891952</v>
          </cell>
          <cell r="I1046" t="e">
            <v>#N/A</v>
          </cell>
          <cell r="J1046" t="e">
            <v>#N/A</v>
          </cell>
          <cell r="K1046">
            <v>17.5</v>
          </cell>
          <cell r="L1046">
            <v>14</v>
          </cell>
          <cell r="M1046" t="e">
            <v>#N/A</v>
          </cell>
          <cell r="N1046">
            <v>16.5</v>
          </cell>
          <cell r="O1046" t="e">
            <v>#N/A</v>
          </cell>
          <cell r="P1046" t="str">
            <v/>
          </cell>
          <cell r="Q1046" t="str">
            <v/>
          </cell>
          <cell r="R1046">
            <v>16.5</v>
          </cell>
        </row>
        <row r="1047">
          <cell r="A1047" t="str">
            <v/>
          </cell>
          <cell r="B1047" t="str">
            <v/>
          </cell>
          <cell r="C1047" t="str">
            <v>Future</v>
          </cell>
          <cell r="D1047" t="e">
            <v>#N/A</v>
          </cell>
          <cell r="E1047">
            <v>-12.687837837837925</v>
          </cell>
          <cell r="F1047">
            <v>20.285135135135452</v>
          </cell>
          <cell r="G1047">
            <v>13.690540540540601</v>
          </cell>
          <cell r="H1047">
            <v>13.690540540540601</v>
          </cell>
          <cell r="I1047" t="e">
            <v>#N/A</v>
          </cell>
          <cell r="J1047" t="e">
            <v>#N/A</v>
          </cell>
          <cell r="K1047">
            <v>17.5</v>
          </cell>
          <cell r="L1047">
            <v>14</v>
          </cell>
          <cell r="M1047" t="e">
            <v>#N/A</v>
          </cell>
          <cell r="N1047">
            <v>16.5</v>
          </cell>
          <cell r="O1047" t="e">
            <v>#N/A</v>
          </cell>
          <cell r="P1047" t="str">
            <v/>
          </cell>
          <cell r="Q1047" t="str">
            <v/>
          </cell>
          <cell r="R1047">
            <v>16.5</v>
          </cell>
        </row>
        <row r="1048">
          <cell r="A1048" t="str">
            <v/>
          </cell>
          <cell r="B1048" t="str">
            <v/>
          </cell>
          <cell r="C1048" t="str">
            <v>Future</v>
          </cell>
          <cell r="D1048" t="e">
            <v>#N/A</v>
          </cell>
          <cell r="E1048">
            <v>-12.743243243243331</v>
          </cell>
          <cell r="F1048">
            <v>20.297297297297614</v>
          </cell>
          <cell r="G1048">
            <v>13.68918918918925</v>
          </cell>
          <cell r="H1048">
            <v>13.68918918918925</v>
          </cell>
          <cell r="I1048" t="e">
            <v>#N/A</v>
          </cell>
          <cell r="J1048" t="e">
            <v>#N/A</v>
          </cell>
          <cell r="K1048">
            <v>17.5</v>
          </cell>
          <cell r="L1048">
            <v>14</v>
          </cell>
          <cell r="M1048" t="e">
            <v>#N/A</v>
          </cell>
          <cell r="N1048">
            <v>16.5</v>
          </cell>
          <cell r="O1048" t="e">
            <v>#N/A</v>
          </cell>
          <cell r="P1048" t="str">
            <v/>
          </cell>
          <cell r="Q1048" t="str">
            <v/>
          </cell>
          <cell r="R1048">
            <v>16.5</v>
          </cell>
        </row>
        <row r="1049">
          <cell r="A1049" t="str">
            <v/>
          </cell>
          <cell r="B1049" t="str">
            <v/>
          </cell>
          <cell r="C1049" t="str">
            <v>Future</v>
          </cell>
          <cell r="D1049" t="e">
            <v>#N/A</v>
          </cell>
          <cell r="E1049">
            <v>-12.798648648648737</v>
          </cell>
          <cell r="F1049">
            <v>20.309459459459777</v>
          </cell>
          <cell r="G1049">
            <v>13.687837837837899</v>
          </cell>
          <cell r="H1049">
            <v>13.687837837837899</v>
          </cell>
          <cell r="I1049" t="e">
            <v>#N/A</v>
          </cell>
          <cell r="J1049" t="e">
            <v>#N/A</v>
          </cell>
          <cell r="K1049">
            <v>17.5</v>
          </cell>
          <cell r="L1049">
            <v>14</v>
          </cell>
          <cell r="M1049" t="e">
            <v>#N/A</v>
          </cell>
          <cell r="N1049">
            <v>16.5</v>
          </cell>
          <cell r="O1049" t="e">
            <v>#N/A</v>
          </cell>
          <cell r="P1049" t="str">
            <v/>
          </cell>
          <cell r="Q1049" t="str">
            <v/>
          </cell>
          <cell r="R1049">
            <v>16.5</v>
          </cell>
        </row>
        <row r="1050">
          <cell r="A1050" t="str">
            <v/>
          </cell>
          <cell r="B1050" t="str">
            <v/>
          </cell>
          <cell r="C1050" t="str">
            <v>Future</v>
          </cell>
          <cell r="D1050" t="e">
            <v>#N/A</v>
          </cell>
          <cell r="E1050">
            <v>-12.854054054054142</v>
          </cell>
          <cell r="F1050">
            <v>20.32162162162194</v>
          </cell>
          <cell r="G1050">
            <v>13.686486486486547</v>
          </cell>
          <cell r="H1050">
            <v>13.686486486486547</v>
          </cell>
          <cell r="I1050" t="e">
            <v>#N/A</v>
          </cell>
          <cell r="J1050" t="e">
            <v>#N/A</v>
          </cell>
          <cell r="K1050">
            <v>17.5</v>
          </cell>
          <cell r="L1050">
            <v>14</v>
          </cell>
          <cell r="M1050" t="e">
            <v>#N/A</v>
          </cell>
          <cell r="N1050">
            <v>16.5</v>
          </cell>
          <cell r="O1050" t="e">
            <v>#N/A</v>
          </cell>
          <cell r="P1050" t="str">
            <v/>
          </cell>
          <cell r="Q1050" t="str">
            <v/>
          </cell>
          <cell r="R1050">
            <v>16.5</v>
          </cell>
        </row>
        <row r="1051">
          <cell r="A1051" t="str">
            <v/>
          </cell>
          <cell r="B1051" t="str">
            <v/>
          </cell>
          <cell r="C1051" t="str">
            <v>Future</v>
          </cell>
          <cell r="D1051" t="e">
            <v>#N/A</v>
          </cell>
          <cell r="E1051">
            <v>-12.909459459459548</v>
          </cell>
          <cell r="F1051">
            <v>20.333783783784103</v>
          </cell>
          <cell r="G1051">
            <v>13.685135135135196</v>
          </cell>
          <cell r="H1051">
            <v>13.685135135135196</v>
          </cell>
          <cell r="I1051" t="e">
            <v>#N/A</v>
          </cell>
          <cell r="J1051" t="e">
            <v>#N/A</v>
          </cell>
          <cell r="K1051">
            <v>17.5</v>
          </cell>
          <cell r="L1051">
            <v>14</v>
          </cell>
          <cell r="M1051" t="e">
            <v>#N/A</v>
          </cell>
          <cell r="N1051">
            <v>16.5</v>
          </cell>
          <cell r="O1051" t="e">
            <v>#N/A</v>
          </cell>
          <cell r="P1051" t="str">
            <v/>
          </cell>
          <cell r="Q1051" t="str">
            <v/>
          </cell>
          <cell r="R1051">
            <v>16.5</v>
          </cell>
        </row>
        <row r="1052">
          <cell r="A1052" t="str">
            <v/>
          </cell>
          <cell r="B1052" t="str">
            <v/>
          </cell>
          <cell r="C1052" t="str">
            <v>Future</v>
          </cell>
          <cell r="D1052" t="e">
            <v>#N/A</v>
          </cell>
          <cell r="E1052">
            <v>-12.964864864864953</v>
          </cell>
          <cell r="F1052">
            <v>20.345945945946266</v>
          </cell>
          <cell r="G1052">
            <v>13.683783783783845</v>
          </cell>
          <cell r="H1052">
            <v>13.683783783783845</v>
          </cell>
          <cell r="I1052" t="e">
            <v>#N/A</v>
          </cell>
          <cell r="J1052" t="e">
            <v>#N/A</v>
          </cell>
          <cell r="K1052">
            <v>17.5</v>
          </cell>
          <cell r="L1052">
            <v>14</v>
          </cell>
          <cell r="M1052" t="e">
            <v>#N/A</v>
          </cell>
          <cell r="N1052">
            <v>16.5</v>
          </cell>
          <cell r="O1052" t="e">
            <v>#N/A</v>
          </cell>
          <cell r="P1052" t="str">
            <v/>
          </cell>
          <cell r="Q1052" t="str">
            <v/>
          </cell>
          <cell r="R1052">
            <v>16.5</v>
          </cell>
        </row>
        <row r="1053">
          <cell r="A1053" t="str">
            <v/>
          </cell>
          <cell r="B1053" t="str">
            <v/>
          </cell>
          <cell r="C1053" t="str">
            <v>Future</v>
          </cell>
          <cell r="D1053" t="e">
            <v>#N/A</v>
          </cell>
          <cell r="E1053">
            <v>-13.020270270270359</v>
          </cell>
          <cell r="F1053">
            <v>20.358108108108429</v>
          </cell>
          <cell r="G1053">
            <v>13.682432432432494</v>
          </cell>
          <cell r="H1053">
            <v>13.682432432432494</v>
          </cell>
          <cell r="I1053" t="e">
            <v>#N/A</v>
          </cell>
          <cell r="J1053" t="e">
            <v>#N/A</v>
          </cell>
          <cell r="K1053">
            <v>17.5</v>
          </cell>
          <cell r="L1053">
            <v>14</v>
          </cell>
          <cell r="M1053" t="e">
            <v>#N/A</v>
          </cell>
          <cell r="N1053">
            <v>16.5</v>
          </cell>
          <cell r="O1053" t="e">
            <v>#N/A</v>
          </cell>
          <cell r="P1053" t="str">
            <v/>
          </cell>
          <cell r="Q1053" t="str">
            <v/>
          </cell>
          <cell r="R1053">
            <v>16.5</v>
          </cell>
        </row>
        <row r="1054">
          <cell r="A1054" t="str">
            <v/>
          </cell>
          <cell r="B1054" t="str">
            <v/>
          </cell>
          <cell r="C1054" t="str">
            <v>Future</v>
          </cell>
          <cell r="D1054" t="e">
            <v>#N/A</v>
          </cell>
          <cell r="E1054">
            <v>-13.075675675675765</v>
          </cell>
          <cell r="F1054">
            <v>20.370270270270591</v>
          </cell>
          <cell r="G1054">
            <v>13.681081081081143</v>
          </cell>
          <cell r="H1054">
            <v>13.681081081081143</v>
          </cell>
          <cell r="I1054" t="e">
            <v>#N/A</v>
          </cell>
          <cell r="J1054" t="e">
            <v>#N/A</v>
          </cell>
          <cell r="K1054">
            <v>17.5</v>
          </cell>
          <cell r="L1054">
            <v>14</v>
          </cell>
          <cell r="M1054" t="e">
            <v>#N/A</v>
          </cell>
          <cell r="N1054">
            <v>16.5</v>
          </cell>
          <cell r="O1054" t="e">
            <v>#N/A</v>
          </cell>
          <cell r="P1054" t="str">
            <v/>
          </cell>
          <cell r="Q1054" t="str">
            <v/>
          </cell>
          <cell r="R1054">
            <v>16.5</v>
          </cell>
        </row>
        <row r="1055">
          <cell r="A1055" t="str">
            <v/>
          </cell>
          <cell r="B1055" t="str">
            <v/>
          </cell>
          <cell r="C1055" t="str">
            <v>Future</v>
          </cell>
          <cell r="D1055" t="e">
            <v>#N/A</v>
          </cell>
          <cell r="E1055">
            <v>-13.13108108108117</v>
          </cell>
          <cell r="F1055">
            <v>20.382432432432754</v>
          </cell>
          <cell r="G1055">
            <v>13.679729729729791</v>
          </cell>
          <cell r="H1055">
            <v>13.679729729729791</v>
          </cell>
          <cell r="I1055" t="e">
            <v>#N/A</v>
          </cell>
          <cell r="J1055" t="e">
            <v>#N/A</v>
          </cell>
          <cell r="K1055">
            <v>17.5</v>
          </cell>
          <cell r="L1055">
            <v>14</v>
          </cell>
          <cell r="M1055" t="e">
            <v>#N/A</v>
          </cell>
          <cell r="N1055">
            <v>16.5</v>
          </cell>
          <cell r="O1055" t="e">
            <v>#N/A</v>
          </cell>
          <cell r="P1055" t="str">
            <v/>
          </cell>
          <cell r="Q1055" t="str">
            <v/>
          </cell>
          <cell r="R1055">
            <v>16.5</v>
          </cell>
        </row>
        <row r="1056">
          <cell r="A1056" t="str">
            <v/>
          </cell>
          <cell r="B1056" t="str">
            <v/>
          </cell>
          <cell r="C1056" t="str">
            <v>Future</v>
          </cell>
          <cell r="D1056" t="e">
            <v>#N/A</v>
          </cell>
          <cell r="E1056">
            <v>-13.186486486486576</v>
          </cell>
          <cell r="F1056">
            <v>20.394594594594917</v>
          </cell>
          <cell r="G1056">
            <v>13.67837837837844</v>
          </cell>
          <cell r="H1056">
            <v>13.67837837837844</v>
          </cell>
          <cell r="I1056" t="e">
            <v>#N/A</v>
          </cell>
          <cell r="J1056" t="e">
            <v>#N/A</v>
          </cell>
          <cell r="K1056">
            <v>17.5</v>
          </cell>
          <cell r="L1056">
            <v>14</v>
          </cell>
          <cell r="M1056" t="e">
            <v>#N/A</v>
          </cell>
          <cell r="N1056">
            <v>16.5</v>
          </cell>
          <cell r="O1056" t="e">
            <v>#N/A</v>
          </cell>
          <cell r="P1056" t="str">
            <v/>
          </cell>
          <cell r="Q1056" t="str">
            <v/>
          </cell>
          <cell r="R1056">
            <v>16.5</v>
          </cell>
        </row>
        <row r="1057">
          <cell r="A1057" t="str">
            <v/>
          </cell>
          <cell r="B1057" t="str">
            <v/>
          </cell>
          <cell r="C1057" t="str">
            <v>Future</v>
          </cell>
          <cell r="D1057" t="e">
            <v>#N/A</v>
          </cell>
          <cell r="E1057">
            <v>-13.241891891891981</v>
          </cell>
          <cell r="F1057">
            <v>20.40675675675708</v>
          </cell>
          <cell r="G1057">
            <v>13.677027027027089</v>
          </cell>
          <cell r="H1057">
            <v>13.677027027027089</v>
          </cell>
          <cell r="I1057" t="e">
            <v>#N/A</v>
          </cell>
          <cell r="J1057" t="e">
            <v>#N/A</v>
          </cell>
          <cell r="K1057">
            <v>17.5</v>
          </cell>
          <cell r="L1057">
            <v>14</v>
          </cell>
          <cell r="M1057" t="e">
            <v>#N/A</v>
          </cell>
          <cell r="N1057">
            <v>16.5</v>
          </cell>
          <cell r="O1057" t="e">
            <v>#N/A</v>
          </cell>
          <cell r="P1057" t="str">
            <v/>
          </cell>
          <cell r="Q1057" t="str">
            <v/>
          </cell>
          <cell r="R1057">
            <v>16.5</v>
          </cell>
        </row>
        <row r="1058">
          <cell r="A1058" t="str">
            <v/>
          </cell>
          <cell r="B1058" t="str">
            <v/>
          </cell>
          <cell r="C1058" t="str">
            <v>Future</v>
          </cell>
          <cell r="D1058" t="e">
            <v>#N/A</v>
          </cell>
          <cell r="E1058">
            <v>-13.297297297297387</v>
          </cell>
          <cell r="F1058">
            <v>20.418918918919243</v>
          </cell>
          <cell r="G1058">
            <v>13.675675675675738</v>
          </cell>
          <cell r="H1058">
            <v>13.675675675675738</v>
          </cell>
          <cell r="I1058" t="e">
            <v>#N/A</v>
          </cell>
          <cell r="J1058" t="e">
            <v>#N/A</v>
          </cell>
          <cell r="K1058">
            <v>17.5</v>
          </cell>
          <cell r="L1058">
            <v>14</v>
          </cell>
          <cell r="M1058" t="e">
            <v>#N/A</v>
          </cell>
          <cell r="N1058">
            <v>16.5</v>
          </cell>
          <cell r="O1058" t="e">
            <v>#N/A</v>
          </cell>
          <cell r="P1058" t="str">
            <v/>
          </cell>
          <cell r="Q1058" t="str">
            <v/>
          </cell>
          <cell r="R1058">
            <v>16.5</v>
          </cell>
        </row>
        <row r="1059">
          <cell r="A1059" t="str">
            <v/>
          </cell>
          <cell r="B1059" t="str">
            <v/>
          </cell>
          <cell r="C1059" t="str">
            <v>Future</v>
          </cell>
          <cell r="D1059" t="e">
            <v>#N/A</v>
          </cell>
          <cell r="E1059">
            <v>-13.352702702702793</v>
          </cell>
          <cell r="F1059">
            <v>20.431081081081405</v>
          </cell>
          <cell r="G1059">
            <v>13.674324324324386</v>
          </cell>
          <cell r="H1059">
            <v>13.674324324324386</v>
          </cell>
          <cell r="I1059" t="e">
            <v>#N/A</v>
          </cell>
          <cell r="J1059" t="e">
            <v>#N/A</v>
          </cell>
          <cell r="K1059">
            <v>17.5</v>
          </cell>
          <cell r="L1059">
            <v>14</v>
          </cell>
          <cell r="M1059" t="e">
            <v>#N/A</v>
          </cell>
          <cell r="N1059">
            <v>16.5</v>
          </cell>
          <cell r="O1059" t="e">
            <v>#N/A</v>
          </cell>
          <cell r="P1059" t="str">
            <v/>
          </cell>
          <cell r="Q1059" t="str">
            <v/>
          </cell>
          <cell r="R1059">
            <v>16.5</v>
          </cell>
        </row>
        <row r="1060">
          <cell r="A1060" t="str">
            <v/>
          </cell>
          <cell r="B1060" t="str">
            <v/>
          </cell>
          <cell r="C1060" t="str">
            <v>Future</v>
          </cell>
          <cell r="D1060" t="e">
            <v>#N/A</v>
          </cell>
          <cell r="E1060">
            <v>-13.408108108108198</v>
          </cell>
          <cell r="F1060">
            <v>20.443243243243568</v>
          </cell>
          <cell r="G1060">
            <v>13.672972972973035</v>
          </cell>
          <cell r="H1060">
            <v>13.672972972973035</v>
          </cell>
          <cell r="I1060" t="e">
            <v>#N/A</v>
          </cell>
          <cell r="J1060" t="e">
            <v>#N/A</v>
          </cell>
          <cell r="K1060">
            <v>17.5</v>
          </cell>
          <cell r="L1060">
            <v>14</v>
          </cell>
          <cell r="M1060" t="e">
            <v>#N/A</v>
          </cell>
          <cell r="N1060">
            <v>16.5</v>
          </cell>
          <cell r="O1060" t="e">
            <v>#N/A</v>
          </cell>
          <cell r="P1060" t="str">
            <v/>
          </cell>
          <cell r="Q1060" t="str">
            <v/>
          </cell>
          <cell r="R1060">
            <v>16.5</v>
          </cell>
        </row>
        <row r="1061">
          <cell r="A1061" t="str">
            <v/>
          </cell>
          <cell r="B1061" t="str">
            <v/>
          </cell>
          <cell r="C1061" t="str">
            <v>Future</v>
          </cell>
          <cell r="D1061" t="e">
            <v>#N/A</v>
          </cell>
          <cell r="E1061">
            <v>-13.463513513513604</v>
          </cell>
          <cell r="F1061">
            <v>20.455405405405731</v>
          </cell>
          <cell r="G1061">
            <v>13.671621621621684</v>
          </cell>
          <cell r="H1061">
            <v>13.671621621621684</v>
          </cell>
          <cell r="I1061" t="e">
            <v>#N/A</v>
          </cell>
          <cell r="J1061" t="e">
            <v>#N/A</v>
          </cell>
          <cell r="K1061">
            <v>17.5</v>
          </cell>
          <cell r="L1061">
            <v>14</v>
          </cell>
          <cell r="M1061" t="e">
            <v>#N/A</v>
          </cell>
          <cell r="N1061">
            <v>16.5</v>
          </cell>
          <cell r="O1061" t="e">
            <v>#N/A</v>
          </cell>
          <cell r="P1061" t="str">
            <v/>
          </cell>
          <cell r="Q1061" t="str">
            <v/>
          </cell>
          <cell r="R1061">
            <v>16.5</v>
          </cell>
        </row>
        <row r="1062">
          <cell r="A1062" t="str">
            <v/>
          </cell>
          <cell r="B1062" t="str">
            <v/>
          </cell>
          <cell r="C1062" t="str">
            <v>Future</v>
          </cell>
          <cell r="D1062" t="e">
            <v>#N/A</v>
          </cell>
          <cell r="E1062">
            <v>-13.51891891891901</v>
          </cell>
          <cell r="F1062">
            <v>20.467567567567894</v>
          </cell>
          <cell r="G1062">
            <v>13.670270270270333</v>
          </cell>
          <cell r="H1062">
            <v>13.670270270270333</v>
          </cell>
          <cell r="I1062" t="e">
            <v>#N/A</v>
          </cell>
          <cell r="J1062" t="e">
            <v>#N/A</v>
          </cell>
          <cell r="K1062">
            <v>17.5</v>
          </cell>
          <cell r="L1062">
            <v>14</v>
          </cell>
          <cell r="M1062" t="e">
            <v>#N/A</v>
          </cell>
          <cell r="N1062">
            <v>16.5</v>
          </cell>
          <cell r="O1062" t="e">
            <v>#N/A</v>
          </cell>
          <cell r="P1062" t="str">
            <v/>
          </cell>
          <cell r="Q1062" t="str">
            <v/>
          </cell>
          <cell r="R1062">
            <v>16.5</v>
          </cell>
        </row>
        <row r="1063">
          <cell r="A1063" t="str">
            <v/>
          </cell>
          <cell r="B1063" t="str">
            <v/>
          </cell>
          <cell r="C1063" t="str">
            <v>Future</v>
          </cell>
          <cell r="D1063" t="e">
            <v>#N/A</v>
          </cell>
          <cell r="E1063">
            <v>-13.574324324324415</v>
          </cell>
          <cell r="F1063">
            <v>20.479729729730057</v>
          </cell>
          <cell r="G1063">
            <v>13.668918918918981</v>
          </cell>
          <cell r="H1063">
            <v>13.668918918918981</v>
          </cell>
          <cell r="I1063" t="e">
            <v>#N/A</v>
          </cell>
          <cell r="J1063" t="e">
            <v>#N/A</v>
          </cell>
          <cell r="K1063">
            <v>17.5</v>
          </cell>
          <cell r="L1063">
            <v>14</v>
          </cell>
          <cell r="M1063" t="e">
            <v>#N/A</v>
          </cell>
          <cell r="N1063">
            <v>16.5</v>
          </cell>
          <cell r="O1063" t="e">
            <v>#N/A</v>
          </cell>
          <cell r="P1063" t="str">
            <v/>
          </cell>
          <cell r="Q1063" t="str">
            <v/>
          </cell>
          <cell r="R1063">
            <v>16.5</v>
          </cell>
        </row>
        <row r="1064">
          <cell r="A1064" t="str">
            <v/>
          </cell>
          <cell r="B1064" t="str">
            <v/>
          </cell>
          <cell r="C1064" t="str">
            <v>Future</v>
          </cell>
          <cell r="D1064" t="e">
            <v>#N/A</v>
          </cell>
          <cell r="E1064">
            <v>-13.629729729729821</v>
          </cell>
          <cell r="F1064">
            <v>20.491891891892219</v>
          </cell>
          <cell r="G1064">
            <v>13.66756756756763</v>
          </cell>
          <cell r="H1064">
            <v>13.66756756756763</v>
          </cell>
          <cell r="I1064" t="e">
            <v>#N/A</v>
          </cell>
          <cell r="J1064" t="e">
            <v>#N/A</v>
          </cell>
          <cell r="K1064">
            <v>17.5</v>
          </cell>
          <cell r="L1064">
            <v>14</v>
          </cell>
          <cell r="M1064" t="e">
            <v>#N/A</v>
          </cell>
          <cell r="N1064">
            <v>16.5</v>
          </cell>
          <cell r="O1064" t="e">
            <v>#N/A</v>
          </cell>
          <cell r="P1064" t="str">
            <v/>
          </cell>
          <cell r="Q1064" t="str">
            <v/>
          </cell>
          <cell r="R1064">
            <v>16.5</v>
          </cell>
        </row>
        <row r="1065">
          <cell r="A1065" t="str">
            <v/>
          </cell>
          <cell r="B1065" t="str">
            <v/>
          </cell>
          <cell r="C1065" t="str">
            <v>Future</v>
          </cell>
          <cell r="D1065" t="e">
            <v>#N/A</v>
          </cell>
          <cell r="E1065">
            <v>-13.685135135135226</v>
          </cell>
          <cell r="F1065">
            <v>20.504054054054382</v>
          </cell>
          <cell r="G1065">
            <v>13.666216216216279</v>
          </cell>
          <cell r="H1065">
            <v>13.666216216216279</v>
          </cell>
          <cell r="I1065" t="e">
            <v>#N/A</v>
          </cell>
          <cell r="J1065" t="e">
            <v>#N/A</v>
          </cell>
          <cell r="K1065">
            <v>17.5</v>
          </cell>
          <cell r="L1065">
            <v>14</v>
          </cell>
          <cell r="M1065" t="e">
            <v>#N/A</v>
          </cell>
          <cell r="N1065">
            <v>16.5</v>
          </cell>
          <cell r="O1065" t="e">
            <v>#N/A</v>
          </cell>
          <cell r="P1065" t="str">
            <v/>
          </cell>
          <cell r="Q1065" t="str">
            <v/>
          </cell>
          <cell r="R1065">
            <v>16.5</v>
          </cell>
        </row>
        <row r="1066">
          <cell r="A1066" t="str">
            <v/>
          </cell>
          <cell r="B1066" t="str">
            <v/>
          </cell>
          <cell r="C1066" t="str">
            <v>Future</v>
          </cell>
          <cell r="D1066" t="e">
            <v>#N/A</v>
          </cell>
          <cell r="E1066">
            <v>-13.740540540540632</v>
          </cell>
          <cell r="F1066">
            <v>20.516216216216545</v>
          </cell>
          <cell r="G1066">
            <v>13.664864864864928</v>
          </cell>
          <cell r="H1066">
            <v>13.664864864864928</v>
          </cell>
          <cell r="I1066" t="e">
            <v>#N/A</v>
          </cell>
          <cell r="J1066" t="e">
            <v>#N/A</v>
          </cell>
          <cell r="K1066">
            <v>17.5</v>
          </cell>
          <cell r="L1066">
            <v>14</v>
          </cell>
          <cell r="M1066" t="e">
            <v>#N/A</v>
          </cell>
          <cell r="N1066">
            <v>16.5</v>
          </cell>
          <cell r="O1066" t="e">
            <v>#N/A</v>
          </cell>
          <cell r="P1066" t="str">
            <v/>
          </cell>
          <cell r="Q1066" t="str">
            <v/>
          </cell>
          <cell r="R1066">
            <v>16.5</v>
          </cell>
        </row>
        <row r="1067">
          <cell r="A1067" t="str">
            <v/>
          </cell>
          <cell r="B1067" t="str">
            <v/>
          </cell>
          <cell r="C1067" t="str">
            <v>Future</v>
          </cell>
          <cell r="D1067" t="e">
            <v>#N/A</v>
          </cell>
          <cell r="E1067">
            <v>-13.795945945946038</v>
          </cell>
          <cell r="F1067">
            <v>20.528378378378708</v>
          </cell>
          <cell r="G1067">
            <v>13.663513513513577</v>
          </cell>
          <cell r="H1067">
            <v>13.663513513513577</v>
          </cell>
          <cell r="I1067" t="e">
            <v>#N/A</v>
          </cell>
          <cell r="J1067" t="e">
            <v>#N/A</v>
          </cell>
          <cell r="K1067">
            <v>17.5</v>
          </cell>
          <cell r="L1067">
            <v>14</v>
          </cell>
          <cell r="M1067" t="e">
            <v>#N/A</v>
          </cell>
          <cell r="N1067">
            <v>16.5</v>
          </cell>
          <cell r="O1067" t="e">
            <v>#N/A</v>
          </cell>
          <cell r="P1067" t="str">
            <v/>
          </cell>
          <cell r="Q1067" t="str">
            <v/>
          </cell>
          <cell r="R1067">
            <v>16.5</v>
          </cell>
        </row>
        <row r="1068">
          <cell r="A1068" t="str">
            <v/>
          </cell>
          <cell r="B1068" t="str">
            <v/>
          </cell>
          <cell r="C1068" t="str">
            <v>Future</v>
          </cell>
          <cell r="D1068" t="e">
            <v>#N/A</v>
          </cell>
          <cell r="E1068">
            <v>-13.851351351351443</v>
          </cell>
          <cell r="F1068">
            <v>20.540540540540871</v>
          </cell>
          <cell r="G1068">
            <v>13.662162162162225</v>
          </cell>
          <cell r="H1068">
            <v>13.662162162162225</v>
          </cell>
          <cell r="I1068" t="e">
            <v>#N/A</v>
          </cell>
          <cell r="J1068" t="e">
            <v>#N/A</v>
          </cell>
          <cell r="K1068">
            <v>17.5</v>
          </cell>
          <cell r="L1068">
            <v>14</v>
          </cell>
          <cell r="M1068" t="e">
            <v>#N/A</v>
          </cell>
          <cell r="N1068">
            <v>16.5</v>
          </cell>
          <cell r="O1068" t="e">
            <v>#N/A</v>
          </cell>
          <cell r="P1068" t="str">
            <v/>
          </cell>
          <cell r="Q1068" t="str">
            <v/>
          </cell>
          <cell r="R1068">
            <v>16.5</v>
          </cell>
        </row>
        <row r="1069">
          <cell r="A1069" t="str">
            <v/>
          </cell>
          <cell r="B1069" t="str">
            <v/>
          </cell>
          <cell r="C1069" t="str">
            <v>Future</v>
          </cell>
          <cell r="D1069" t="e">
            <v>#N/A</v>
          </cell>
          <cell r="E1069">
            <v>-13.906756756756849</v>
          </cell>
          <cell r="F1069">
            <v>20.552702702703034</v>
          </cell>
          <cell r="G1069">
            <v>13.660810810810874</v>
          </cell>
          <cell r="H1069">
            <v>13.660810810810874</v>
          </cell>
          <cell r="I1069" t="e">
            <v>#N/A</v>
          </cell>
          <cell r="J1069" t="e">
            <v>#N/A</v>
          </cell>
          <cell r="K1069">
            <v>17.5</v>
          </cell>
          <cell r="L1069">
            <v>14</v>
          </cell>
          <cell r="M1069" t="e">
            <v>#N/A</v>
          </cell>
          <cell r="N1069">
            <v>16.5</v>
          </cell>
          <cell r="O1069" t="e">
            <v>#N/A</v>
          </cell>
          <cell r="P1069" t="str">
            <v/>
          </cell>
          <cell r="Q1069" t="str">
            <v/>
          </cell>
          <cell r="R1069">
            <v>16.5</v>
          </cell>
        </row>
        <row r="1070">
          <cell r="A1070" t="str">
            <v/>
          </cell>
          <cell r="B1070" t="str">
            <v/>
          </cell>
          <cell r="C1070" t="str">
            <v>Future</v>
          </cell>
          <cell r="D1070" t="e">
            <v>#N/A</v>
          </cell>
          <cell r="E1070">
            <v>-13.962162162162254</v>
          </cell>
          <cell r="F1070">
            <v>20.564864864865196</v>
          </cell>
          <cell r="G1070">
            <v>13.659459459459523</v>
          </cell>
          <cell r="H1070">
            <v>13.659459459459523</v>
          </cell>
          <cell r="I1070" t="e">
            <v>#N/A</v>
          </cell>
          <cell r="J1070" t="e">
            <v>#N/A</v>
          </cell>
          <cell r="K1070">
            <v>17.5</v>
          </cell>
          <cell r="L1070">
            <v>14</v>
          </cell>
          <cell r="M1070" t="e">
            <v>#N/A</v>
          </cell>
          <cell r="N1070">
            <v>16.5</v>
          </cell>
          <cell r="O1070" t="e">
            <v>#N/A</v>
          </cell>
          <cell r="P1070" t="str">
            <v/>
          </cell>
          <cell r="Q1070" t="str">
            <v/>
          </cell>
          <cell r="R1070">
            <v>16.5</v>
          </cell>
        </row>
        <row r="1071">
          <cell r="A1071" t="str">
            <v/>
          </cell>
          <cell r="B1071" t="str">
            <v/>
          </cell>
          <cell r="C1071" t="str">
            <v>Future</v>
          </cell>
          <cell r="D1071" t="e">
            <v>#N/A</v>
          </cell>
          <cell r="E1071">
            <v>-14.01756756756766</v>
          </cell>
          <cell r="F1071">
            <v>20.577027027027359</v>
          </cell>
          <cell r="G1071">
            <v>13.658108108108172</v>
          </cell>
          <cell r="H1071">
            <v>13.658108108108172</v>
          </cell>
          <cell r="I1071" t="e">
            <v>#N/A</v>
          </cell>
          <cell r="J1071" t="e">
            <v>#N/A</v>
          </cell>
          <cell r="K1071">
            <v>17.5</v>
          </cell>
          <cell r="L1071">
            <v>14</v>
          </cell>
          <cell r="M1071" t="e">
            <v>#N/A</v>
          </cell>
          <cell r="N1071">
            <v>16.5</v>
          </cell>
          <cell r="O1071" t="e">
            <v>#N/A</v>
          </cell>
          <cell r="P1071" t="str">
            <v/>
          </cell>
          <cell r="Q1071" t="str">
            <v/>
          </cell>
          <cell r="R1071">
            <v>16.5</v>
          </cell>
        </row>
        <row r="1072">
          <cell r="A1072" t="str">
            <v/>
          </cell>
          <cell r="B1072" t="str">
            <v/>
          </cell>
          <cell r="C1072" t="str">
            <v>Future</v>
          </cell>
          <cell r="D1072" t="e">
            <v>#N/A</v>
          </cell>
          <cell r="E1072">
            <v>-14.072972972973066</v>
          </cell>
          <cell r="F1072">
            <v>20.589189189189522</v>
          </cell>
          <cell r="G1072">
            <v>13.65675675675682</v>
          </cell>
          <cell r="H1072">
            <v>13.65675675675682</v>
          </cell>
          <cell r="I1072" t="e">
            <v>#N/A</v>
          </cell>
          <cell r="J1072" t="e">
            <v>#N/A</v>
          </cell>
          <cell r="K1072">
            <v>17.5</v>
          </cell>
          <cell r="L1072">
            <v>14</v>
          </cell>
          <cell r="M1072" t="e">
            <v>#N/A</v>
          </cell>
          <cell r="N1072">
            <v>16.5</v>
          </cell>
          <cell r="O1072" t="e">
            <v>#N/A</v>
          </cell>
          <cell r="P1072" t="str">
            <v/>
          </cell>
          <cell r="Q1072" t="str">
            <v/>
          </cell>
          <cell r="R1072">
            <v>16.5</v>
          </cell>
        </row>
        <row r="1073">
          <cell r="A1073" t="str">
            <v/>
          </cell>
          <cell r="B1073" t="str">
            <v/>
          </cell>
          <cell r="C1073" t="str">
            <v>Future</v>
          </cell>
          <cell r="D1073" t="e">
            <v>#N/A</v>
          </cell>
          <cell r="E1073">
            <v>-14.128378378378471</v>
          </cell>
          <cell r="F1073">
            <v>20.601351351351685</v>
          </cell>
          <cell r="G1073">
            <v>13.655405405405469</v>
          </cell>
          <cell r="H1073">
            <v>13.655405405405469</v>
          </cell>
          <cell r="I1073" t="e">
            <v>#N/A</v>
          </cell>
          <cell r="J1073" t="e">
            <v>#N/A</v>
          </cell>
          <cell r="K1073">
            <v>17.5</v>
          </cell>
          <cell r="L1073">
            <v>14</v>
          </cell>
          <cell r="M1073" t="e">
            <v>#N/A</v>
          </cell>
          <cell r="N1073">
            <v>16.5</v>
          </cell>
          <cell r="O1073" t="e">
            <v>#N/A</v>
          </cell>
          <cell r="P1073" t="str">
            <v/>
          </cell>
          <cell r="Q1073" t="str">
            <v/>
          </cell>
          <cell r="R1073">
            <v>16.5</v>
          </cell>
        </row>
        <row r="1074">
          <cell r="A1074" t="str">
            <v/>
          </cell>
          <cell r="B1074" t="str">
            <v/>
          </cell>
          <cell r="C1074" t="str">
            <v>Future</v>
          </cell>
          <cell r="D1074" t="e">
            <v>#N/A</v>
          </cell>
          <cell r="E1074">
            <v>-14.183783783783877</v>
          </cell>
          <cell r="F1074">
            <v>20.613513513513848</v>
          </cell>
          <cell r="G1074">
            <v>13.654054054054118</v>
          </cell>
          <cell r="H1074">
            <v>13.654054054054118</v>
          </cell>
          <cell r="I1074" t="e">
            <v>#N/A</v>
          </cell>
          <cell r="J1074" t="e">
            <v>#N/A</v>
          </cell>
          <cell r="K1074">
            <v>17.5</v>
          </cell>
          <cell r="L1074">
            <v>14</v>
          </cell>
          <cell r="M1074" t="e">
            <v>#N/A</v>
          </cell>
          <cell r="N1074">
            <v>16.5</v>
          </cell>
          <cell r="O1074" t="e">
            <v>#N/A</v>
          </cell>
          <cell r="P1074" t="str">
            <v/>
          </cell>
          <cell r="Q1074" t="str">
            <v/>
          </cell>
          <cell r="R1074">
            <v>16.5</v>
          </cell>
        </row>
        <row r="1075">
          <cell r="A1075" t="str">
            <v/>
          </cell>
          <cell r="B1075" t="str">
            <v/>
          </cell>
          <cell r="C1075" t="str">
            <v>Future</v>
          </cell>
          <cell r="D1075" t="e">
            <v>#N/A</v>
          </cell>
          <cell r="E1075">
            <v>-14.239189189189283</v>
          </cell>
          <cell r="F1075">
            <v>20.62567567567601</v>
          </cell>
          <cell r="G1075">
            <v>13.652702702702767</v>
          </cell>
          <cell r="H1075">
            <v>13.652702702702767</v>
          </cell>
          <cell r="I1075" t="e">
            <v>#N/A</v>
          </cell>
          <cell r="J1075" t="e">
            <v>#N/A</v>
          </cell>
          <cell r="K1075">
            <v>17.5</v>
          </cell>
          <cell r="L1075">
            <v>14</v>
          </cell>
          <cell r="M1075" t="e">
            <v>#N/A</v>
          </cell>
          <cell r="N1075">
            <v>16.5</v>
          </cell>
          <cell r="O1075" t="e">
            <v>#N/A</v>
          </cell>
          <cell r="P1075" t="str">
            <v/>
          </cell>
          <cell r="Q1075" t="str">
            <v/>
          </cell>
          <cell r="R1075">
            <v>16.5</v>
          </cell>
        </row>
        <row r="1076">
          <cell r="A1076" t="str">
            <v/>
          </cell>
          <cell r="B1076" t="str">
            <v/>
          </cell>
          <cell r="C1076" t="str">
            <v>Future</v>
          </cell>
          <cell r="D1076" t="e">
            <v>#N/A</v>
          </cell>
          <cell r="E1076">
            <v>-14.294594594594688</v>
          </cell>
          <cell r="F1076">
            <v>20.637837837838173</v>
          </cell>
          <cell r="G1076">
            <v>13.651351351351416</v>
          </cell>
          <cell r="H1076">
            <v>13.651351351351416</v>
          </cell>
          <cell r="I1076" t="e">
            <v>#N/A</v>
          </cell>
          <cell r="J1076" t="e">
            <v>#N/A</v>
          </cell>
          <cell r="K1076">
            <v>17.5</v>
          </cell>
          <cell r="L1076">
            <v>14</v>
          </cell>
          <cell r="M1076" t="e">
            <v>#N/A</v>
          </cell>
          <cell r="N1076">
            <v>16.5</v>
          </cell>
          <cell r="O1076" t="e">
            <v>#N/A</v>
          </cell>
          <cell r="P1076" t="str">
            <v/>
          </cell>
          <cell r="Q1076" t="str">
            <v/>
          </cell>
          <cell r="R1076">
            <v>16.5</v>
          </cell>
        </row>
        <row r="1077">
          <cell r="A1077" t="str">
            <v/>
          </cell>
          <cell r="B1077" t="str">
            <v/>
          </cell>
          <cell r="C1077" t="str">
            <v>Future</v>
          </cell>
          <cell r="D1077" t="e">
            <v>#N/A</v>
          </cell>
          <cell r="E1077">
            <v>-14.350000000000094</v>
          </cell>
          <cell r="F1077">
            <v>20.650000000000336</v>
          </cell>
          <cell r="G1077">
            <v>13.650000000000064</v>
          </cell>
          <cell r="H1077">
            <v>13.650000000000064</v>
          </cell>
          <cell r="I1077" t="e">
            <v>#N/A</v>
          </cell>
          <cell r="J1077" t="e">
            <v>#N/A</v>
          </cell>
          <cell r="K1077">
            <v>17.5</v>
          </cell>
          <cell r="L1077">
            <v>14</v>
          </cell>
          <cell r="M1077" t="e">
            <v>#N/A</v>
          </cell>
          <cell r="N1077">
            <v>16.5</v>
          </cell>
          <cell r="O1077" t="e">
            <v>#N/A</v>
          </cell>
          <cell r="P1077" t="str">
            <v/>
          </cell>
          <cell r="Q1077" t="str">
            <v/>
          </cell>
          <cell r="R1077">
            <v>16.5</v>
          </cell>
        </row>
        <row r="1078">
          <cell r="A1078" t="str">
            <v/>
          </cell>
          <cell r="B1078" t="str">
            <v/>
          </cell>
          <cell r="C1078" t="str">
            <v>Future</v>
          </cell>
          <cell r="D1078" t="e">
            <v>#N/A</v>
          </cell>
          <cell r="E1078">
            <v>-14.405405405405499</v>
          </cell>
          <cell r="F1078">
            <v>20.662162162162499</v>
          </cell>
          <cell r="G1078">
            <v>13.648648648648713</v>
          </cell>
          <cell r="H1078">
            <v>13.648648648648713</v>
          </cell>
          <cell r="I1078" t="e">
            <v>#N/A</v>
          </cell>
          <cell r="J1078" t="e">
            <v>#N/A</v>
          </cell>
          <cell r="K1078">
            <v>17.5</v>
          </cell>
          <cell r="L1078">
            <v>14</v>
          </cell>
          <cell r="M1078" t="e">
            <v>#N/A</v>
          </cell>
          <cell r="N1078">
            <v>16.5</v>
          </cell>
          <cell r="O1078" t="e">
            <v>#N/A</v>
          </cell>
          <cell r="P1078" t="str">
            <v/>
          </cell>
          <cell r="Q1078" t="str">
            <v/>
          </cell>
          <cell r="R1078">
            <v>16.5</v>
          </cell>
        </row>
        <row r="1079">
          <cell r="A1079" t="str">
            <v/>
          </cell>
          <cell r="B1079" t="str">
            <v/>
          </cell>
          <cell r="C1079" t="str">
            <v>Future</v>
          </cell>
          <cell r="D1079" t="e">
            <v>#N/A</v>
          </cell>
          <cell r="E1079">
            <v>-14.460810810810905</v>
          </cell>
          <cell r="F1079">
            <v>20.674324324324662</v>
          </cell>
          <cell r="G1079">
            <v>13.647297297297362</v>
          </cell>
          <cell r="H1079">
            <v>13.647297297297362</v>
          </cell>
          <cell r="I1079" t="e">
            <v>#N/A</v>
          </cell>
          <cell r="J1079" t="e">
            <v>#N/A</v>
          </cell>
          <cell r="K1079">
            <v>17.5</v>
          </cell>
          <cell r="L1079">
            <v>14</v>
          </cell>
          <cell r="M1079" t="e">
            <v>#N/A</v>
          </cell>
          <cell r="N1079">
            <v>16.5</v>
          </cell>
          <cell r="O1079" t="e">
            <v>#N/A</v>
          </cell>
          <cell r="P1079" t="str">
            <v/>
          </cell>
          <cell r="Q1079" t="str">
            <v/>
          </cell>
          <cell r="R1079">
            <v>16.5</v>
          </cell>
        </row>
        <row r="1080">
          <cell r="A1080" t="str">
            <v/>
          </cell>
          <cell r="B1080" t="str">
            <v/>
          </cell>
          <cell r="C1080" t="str">
            <v>Future</v>
          </cell>
          <cell r="D1080" t="e">
            <v>#N/A</v>
          </cell>
          <cell r="E1080">
            <v>-14.516216216216311</v>
          </cell>
          <cell r="F1080">
            <v>20.686486486486825</v>
          </cell>
          <cell r="G1080">
            <v>13.645945945946011</v>
          </cell>
          <cell r="H1080">
            <v>13.645945945946011</v>
          </cell>
          <cell r="I1080" t="e">
            <v>#N/A</v>
          </cell>
          <cell r="J1080" t="e">
            <v>#N/A</v>
          </cell>
          <cell r="K1080">
            <v>17.5</v>
          </cell>
          <cell r="L1080">
            <v>14</v>
          </cell>
          <cell r="M1080" t="e">
            <v>#N/A</v>
          </cell>
          <cell r="N1080">
            <v>16.5</v>
          </cell>
          <cell r="O1080" t="e">
            <v>#N/A</v>
          </cell>
          <cell r="P1080" t="str">
            <v/>
          </cell>
          <cell r="Q1080" t="str">
            <v/>
          </cell>
          <cell r="R1080">
            <v>16.5</v>
          </cell>
        </row>
        <row r="1081">
          <cell r="A1081" t="str">
            <v/>
          </cell>
          <cell r="B1081" t="str">
            <v/>
          </cell>
          <cell r="C1081" t="str">
            <v>Future</v>
          </cell>
          <cell r="D1081" t="e">
            <v>#N/A</v>
          </cell>
          <cell r="E1081">
            <v>-14.571621621621716</v>
          </cell>
          <cell r="F1081">
            <v>20.698648648648987</v>
          </cell>
          <cell r="G1081">
            <v>13.644594594594659</v>
          </cell>
          <cell r="H1081">
            <v>13.644594594594659</v>
          </cell>
          <cell r="I1081" t="e">
            <v>#N/A</v>
          </cell>
          <cell r="J1081" t="e">
            <v>#N/A</v>
          </cell>
          <cell r="K1081">
            <v>17.5</v>
          </cell>
          <cell r="L1081">
            <v>14</v>
          </cell>
          <cell r="M1081" t="e">
            <v>#N/A</v>
          </cell>
          <cell r="N1081">
            <v>16.5</v>
          </cell>
          <cell r="O1081" t="e">
            <v>#N/A</v>
          </cell>
          <cell r="P1081" t="str">
            <v/>
          </cell>
          <cell r="Q1081" t="str">
            <v/>
          </cell>
          <cell r="R1081">
            <v>16.5</v>
          </cell>
        </row>
        <row r="1082">
          <cell r="A1082" t="str">
            <v/>
          </cell>
          <cell r="B1082" t="str">
            <v/>
          </cell>
          <cell r="C1082" t="str">
            <v>Future</v>
          </cell>
          <cell r="D1082" t="e">
            <v>#N/A</v>
          </cell>
          <cell r="E1082">
            <v>-14.627027027027122</v>
          </cell>
          <cell r="F1082">
            <v>20.71081081081115</v>
          </cell>
          <cell r="G1082">
            <v>13.643243243243308</v>
          </cell>
          <cell r="H1082">
            <v>13.643243243243308</v>
          </cell>
          <cell r="I1082" t="e">
            <v>#N/A</v>
          </cell>
          <cell r="J1082" t="e">
            <v>#N/A</v>
          </cell>
          <cell r="K1082">
            <v>17.5</v>
          </cell>
          <cell r="L1082">
            <v>14</v>
          </cell>
          <cell r="M1082" t="e">
            <v>#N/A</v>
          </cell>
          <cell r="N1082">
            <v>16.5</v>
          </cell>
          <cell r="O1082" t="e">
            <v>#N/A</v>
          </cell>
          <cell r="P1082" t="str">
            <v/>
          </cell>
          <cell r="Q1082" t="str">
            <v/>
          </cell>
          <cell r="R1082">
            <v>16.5</v>
          </cell>
        </row>
        <row r="1083">
          <cell r="A1083" t="str">
            <v/>
          </cell>
          <cell r="B1083" t="str">
            <v/>
          </cell>
          <cell r="C1083" t="str">
            <v>Future</v>
          </cell>
          <cell r="D1083" t="e">
            <v>#N/A</v>
          </cell>
          <cell r="E1083">
            <v>-14.682432432432527</v>
          </cell>
          <cell r="F1083">
            <v>20.722972972973313</v>
          </cell>
          <cell r="G1083">
            <v>13.641891891891957</v>
          </cell>
          <cell r="H1083">
            <v>13.641891891891957</v>
          </cell>
          <cell r="I1083" t="e">
            <v>#N/A</v>
          </cell>
          <cell r="J1083" t="e">
            <v>#N/A</v>
          </cell>
          <cell r="K1083">
            <v>17.5</v>
          </cell>
          <cell r="L1083">
            <v>14</v>
          </cell>
          <cell r="M1083" t="e">
            <v>#N/A</v>
          </cell>
          <cell r="N1083">
            <v>16.5</v>
          </cell>
          <cell r="O1083" t="e">
            <v>#N/A</v>
          </cell>
          <cell r="P1083" t="str">
            <v/>
          </cell>
          <cell r="Q1083" t="str">
            <v/>
          </cell>
          <cell r="R1083">
            <v>16.5</v>
          </cell>
        </row>
        <row r="1084">
          <cell r="A1084" t="str">
            <v/>
          </cell>
          <cell r="B1084" t="str">
            <v/>
          </cell>
          <cell r="C1084" t="str">
            <v>Future</v>
          </cell>
          <cell r="D1084" t="e">
            <v>#N/A</v>
          </cell>
          <cell r="E1084">
            <v>-14.737837837837933</v>
          </cell>
          <cell r="F1084">
            <v>20.735135135135476</v>
          </cell>
          <cell r="G1084">
            <v>13.640540540540606</v>
          </cell>
          <cell r="H1084">
            <v>13.640540540540606</v>
          </cell>
          <cell r="I1084" t="e">
            <v>#N/A</v>
          </cell>
          <cell r="J1084" t="e">
            <v>#N/A</v>
          </cell>
          <cell r="K1084">
            <v>17.5</v>
          </cell>
          <cell r="L1084">
            <v>14</v>
          </cell>
          <cell r="M1084" t="e">
            <v>#N/A</v>
          </cell>
          <cell r="N1084">
            <v>16.5</v>
          </cell>
          <cell r="O1084" t="e">
            <v>#N/A</v>
          </cell>
          <cell r="P1084" t="str">
            <v/>
          </cell>
          <cell r="Q1084" t="str">
            <v/>
          </cell>
          <cell r="R1084">
            <v>16.5</v>
          </cell>
        </row>
        <row r="1085">
          <cell r="A1085" t="str">
            <v/>
          </cell>
          <cell r="B1085" t="str">
            <v/>
          </cell>
          <cell r="C1085" t="str">
            <v>Future</v>
          </cell>
          <cell r="D1085" t="e">
            <v>#N/A</v>
          </cell>
          <cell r="E1085">
            <v>-14.793243243243339</v>
          </cell>
          <cell r="F1085">
            <v>20.747297297297639</v>
          </cell>
          <cell r="G1085">
            <v>13.639189189189254</v>
          </cell>
          <cell r="H1085">
            <v>13.639189189189254</v>
          </cell>
          <cell r="I1085" t="e">
            <v>#N/A</v>
          </cell>
          <cell r="J1085" t="e">
            <v>#N/A</v>
          </cell>
          <cell r="K1085">
            <v>17.5</v>
          </cell>
          <cell r="L1085">
            <v>14</v>
          </cell>
          <cell r="M1085" t="e">
            <v>#N/A</v>
          </cell>
          <cell r="N1085">
            <v>16.5</v>
          </cell>
          <cell r="O1085" t="e">
            <v>#N/A</v>
          </cell>
          <cell r="P1085" t="str">
            <v/>
          </cell>
          <cell r="Q1085" t="str">
            <v/>
          </cell>
          <cell r="R1085">
            <v>16.5</v>
          </cell>
        </row>
        <row r="1086">
          <cell r="A1086" t="str">
            <v/>
          </cell>
          <cell r="B1086" t="str">
            <v/>
          </cell>
          <cell r="C1086" t="str">
            <v>Future</v>
          </cell>
          <cell r="D1086" t="e">
            <v>#N/A</v>
          </cell>
          <cell r="E1086">
            <v>-14.848648648648744</v>
          </cell>
          <cell r="F1086">
            <v>20.759459459459801</v>
          </cell>
          <cell r="G1086">
            <v>13.637837837837903</v>
          </cell>
          <cell r="H1086">
            <v>13.637837837837903</v>
          </cell>
          <cell r="I1086" t="e">
            <v>#N/A</v>
          </cell>
          <cell r="J1086" t="e">
            <v>#N/A</v>
          </cell>
          <cell r="K1086">
            <v>17.5</v>
          </cell>
          <cell r="L1086">
            <v>14</v>
          </cell>
          <cell r="M1086" t="e">
            <v>#N/A</v>
          </cell>
          <cell r="N1086">
            <v>16.5</v>
          </cell>
          <cell r="O1086" t="e">
            <v>#N/A</v>
          </cell>
          <cell r="P1086" t="str">
            <v/>
          </cell>
          <cell r="Q1086" t="str">
            <v/>
          </cell>
          <cell r="R1086">
            <v>16.5</v>
          </cell>
        </row>
        <row r="1087">
          <cell r="A1087" t="str">
            <v/>
          </cell>
          <cell r="B1087" t="str">
            <v/>
          </cell>
          <cell r="C1087" t="str">
            <v>Future</v>
          </cell>
          <cell r="D1087" t="e">
            <v>#N/A</v>
          </cell>
          <cell r="E1087">
            <v>-14.90405405405415</v>
          </cell>
          <cell r="F1087">
            <v>20.771621621621964</v>
          </cell>
          <cell r="G1087">
            <v>13.636486486486552</v>
          </cell>
          <cell r="H1087">
            <v>13.636486486486552</v>
          </cell>
          <cell r="I1087" t="e">
            <v>#N/A</v>
          </cell>
          <cell r="J1087" t="e">
            <v>#N/A</v>
          </cell>
          <cell r="K1087">
            <v>17.5</v>
          </cell>
          <cell r="L1087">
            <v>14</v>
          </cell>
          <cell r="M1087" t="e">
            <v>#N/A</v>
          </cell>
          <cell r="N1087">
            <v>16.5</v>
          </cell>
          <cell r="O1087" t="e">
            <v>#N/A</v>
          </cell>
          <cell r="P1087" t="str">
            <v/>
          </cell>
          <cell r="Q1087" t="str">
            <v/>
          </cell>
          <cell r="R1087">
            <v>16.5</v>
          </cell>
        </row>
        <row r="1088">
          <cell r="A1088" t="str">
            <v/>
          </cell>
          <cell r="B1088" t="str">
            <v/>
          </cell>
          <cell r="C1088" t="str">
            <v>Future</v>
          </cell>
          <cell r="D1088" t="e">
            <v>#N/A</v>
          </cell>
          <cell r="E1088">
            <v>-14.959459459459556</v>
          </cell>
          <cell r="F1088">
            <v>20.783783783784127</v>
          </cell>
          <cell r="G1088">
            <v>13.635135135135201</v>
          </cell>
          <cell r="H1088">
            <v>13.635135135135201</v>
          </cell>
          <cell r="I1088" t="e">
            <v>#N/A</v>
          </cell>
          <cell r="J1088" t="e">
            <v>#N/A</v>
          </cell>
          <cell r="K1088">
            <v>17.5</v>
          </cell>
          <cell r="L1088">
            <v>14</v>
          </cell>
          <cell r="M1088" t="e">
            <v>#N/A</v>
          </cell>
          <cell r="N1088">
            <v>16.5</v>
          </cell>
          <cell r="O1088" t="e">
            <v>#N/A</v>
          </cell>
          <cell r="P1088" t="str">
            <v/>
          </cell>
          <cell r="Q1088" t="str">
            <v/>
          </cell>
          <cell r="R1088">
            <v>16.5</v>
          </cell>
        </row>
        <row r="1089">
          <cell r="A1089" t="str">
            <v/>
          </cell>
          <cell r="B1089" t="str">
            <v/>
          </cell>
          <cell r="C1089" t="str">
            <v>Future</v>
          </cell>
          <cell r="D1089" t="e">
            <v>#N/A</v>
          </cell>
          <cell r="E1089">
            <v>-15.014864864864961</v>
          </cell>
          <cell r="F1089">
            <v>20.79594594594629</v>
          </cell>
          <cell r="G1089">
            <v>13.63378378378385</v>
          </cell>
          <cell r="H1089">
            <v>13.63378378378385</v>
          </cell>
          <cell r="I1089" t="e">
            <v>#N/A</v>
          </cell>
          <cell r="J1089" t="e">
            <v>#N/A</v>
          </cell>
          <cell r="K1089">
            <v>17.5</v>
          </cell>
          <cell r="L1089">
            <v>14</v>
          </cell>
          <cell r="M1089" t="e">
            <v>#N/A</v>
          </cell>
          <cell r="N1089">
            <v>16.5</v>
          </cell>
          <cell r="O1089" t="e">
            <v>#N/A</v>
          </cell>
          <cell r="P1089" t="str">
            <v/>
          </cell>
          <cell r="Q1089" t="str">
            <v/>
          </cell>
          <cell r="R1089">
            <v>16.5</v>
          </cell>
        </row>
        <row r="1090">
          <cell r="A1090" t="str">
            <v/>
          </cell>
          <cell r="B1090" t="str">
            <v/>
          </cell>
          <cell r="C1090" t="str">
            <v>Future</v>
          </cell>
          <cell r="D1090" t="e">
            <v>#N/A</v>
          </cell>
          <cell r="E1090">
            <v>-15.070270270270367</v>
          </cell>
          <cell r="F1090">
            <v>20.808108108108453</v>
          </cell>
          <cell r="G1090">
            <v>13.632432432432498</v>
          </cell>
          <cell r="H1090">
            <v>13.632432432432498</v>
          </cell>
          <cell r="I1090" t="e">
            <v>#N/A</v>
          </cell>
          <cell r="J1090" t="e">
            <v>#N/A</v>
          </cell>
          <cell r="K1090">
            <v>17.5</v>
          </cell>
          <cell r="L1090">
            <v>14</v>
          </cell>
          <cell r="M1090" t="e">
            <v>#N/A</v>
          </cell>
          <cell r="N1090">
            <v>16.5</v>
          </cell>
          <cell r="O1090" t="e">
            <v>#N/A</v>
          </cell>
          <cell r="P1090" t="str">
            <v/>
          </cell>
          <cell r="Q1090" t="str">
            <v/>
          </cell>
          <cell r="R1090">
            <v>16.5</v>
          </cell>
        </row>
        <row r="1091">
          <cell r="A1091" t="str">
            <v/>
          </cell>
          <cell r="B1091" t="str">
            <v/>
          </cell>
          <cell r="C1091" t="str">
            <v>Future</v>
          </cell>
          <cell r="D1091" t="e">
            <v>#N/A</v>
          </cell>
          <cell r="E1091">
            <v>-15.125675675675772</v>
          </cell>
          <cell r="F1091">
            <v>20.820270270270615</v>
          </cell>
          <cell r="G1091">
            <v>13.631081081081147</v>
          </cell>
          <cell r="H1091">
            <v>13.631081081081147</v>
          </cell>
          <cell r="I1091" t="e">
            <v>#N/A</v>
          </cell>
          <cell r="J1091" t="e">
            <v>#N/A</v>
          </cell>
          <cell r="K1091">
            <v>17.5</v>
          </cell>
          <cell r="L1091">
            <v>14</v>
          </cell>
          <cell r="M1091" t="e">
            <v>#N/A</v>
          </cell>
          <cell r="N1091">
            <v>16.5</v>
          </cell>
          <cell r="O1091" t="e">
            <v>#N/A</v>
          </cell>
          <cell r="P1091" t="str">
            <v/>
          </cell>
          <cell r="Q1091" t="str">
            <v/>
          </cell>
          <cell r="R1091">
            <v>16.5</v>
          </cell>
        </row>
        <row r="1092">
          <cell r="A1092" t="str">
            <v/>
          </cell>
          <cell r="B1092" t="str">
            <v/>
          </cell>
          <cell r="C1092" t="str">
            <v>Future</v>
          </cell>
          <cell r="D1092" t="e">
            <v>#N/A</v>
          </cell>
          <cell r="E1092">
            <v>-15.181081081081178</v>
          </cell>
          <cell r="F1092">
            <v>20.832432432432778</v>
          </cell>
          <cell r="G1092">
            <v>13.629729729729796</v>
          </cell>
          <cell r="H1092">
            <v>13.629729729729796</v>
          </cell>
          <cell r="I1092" t="e">
            <v>#N/A</v>
          </cell>
          <cell r="J1092" t="e">
            <v>#N/A</v>
          </cell>
          <cell r="K1092">
            <v>17.5</v>
          </cell>
          <cell r="L1092">
            <v>14</v>
          </cell>
          <cell r="M1092" t="e">
            <v>#N/A</v>
          </cell>
          <cell r="N1092">
            <v>16.5</v>
          </cell>
          <cell r="O1092" t="e">
            <v>#N/A</v>
          </cell>
          <cell r="P1092" t="str">
            <v/>
          </cell>
          <cell r="Q1092" t="str">
            <v/>
          </cell>
          <cell r="R1092">
            <v>16.5</v>
          </cell>
        </row>
        <row r="1093">
          <cell r="A1093" t="str">
            <v/>
          </cell>
          <cell r="B1093" t="str">
            <v/>
          </cell>
          <cell r="C1093" t="str">
            <v>Future</v>
          </cell>
          <cell r="D1093" t="e">
            <v>#N/A</v>
          </cell>
          <cell r="E1093">
            <v>-15.236486486486584</v>
          </cell>
          <cell r="F1093">
            <v>20.844594594594941</v>
          </cell>
          <cell r="G1093">
            <v>13.628378378378445</v>
          </cell>
          <cell r="H1093">
            <v>13.628378378378445</v>
          </cell>
          <cell r="I1093" t="e">
            <v>#N/A</v>
          </cell>
          <cell r="J1093" t="e">
            <v>#N/A</v>
          </cell>
          <cell r="K1093">
            <v>17.5</v>
          </cell>
          <cell r="L1093">
            <v>14</v>
          </cell>
          <cell r="M1093" t="e">
            <v>#N/A</v>
          </cell>
          <cell r="N1093">
            <v>16.5</v>
          </cell>
          <cell r="O1093" t="e">
            <v>#N/A</v>
          </cell>
          <cell r="P1093" t="str">
            <v/>
          </cell>
          <cell r="Q1093" t="str">
            <v/>
          </cell>
          <cell r="R1093">
            <v>16.5</v>
          </cell>
        </row>
        <row r="1094">
          <cell r="A1094" t="str">
            <v/>
          </cell>
          <cell r="B1094" t="str">
            <v/>
          </cell>
          <cell r="C1094" t="str">
            <v>Future</v>
          </cell>
          <cell r="D1094" t="e">
            <v>#N/A</v>
          </cell>
          <cell r="E1094">
            <v>-15.291891891891989</v>
          </cell>
          <cell r="F1094">
            <v>20.856756756757104</v>
          </cell>
          <cell r="G1094">
            <v>13.627027027027093</v>
          </cell>
          <cell r="H1094">
            <v>13.627027027027093</v>
          </cell>
          <cell r="I1094" t="e">
            <v>#N/A</v>
          </cell>
          <cell r="J1094" t="e">
            <v>#N/A</v>
          </cell>
          <cell r="K1094">
            <v>17.5</v>
          </cell>
          <cell r="L1094">
            <v>14</v>
          </cell>
          <cell r="M1094" t="e">
            <v>#N/A</v>
          </cell>
          <cell r="N1094">
            <v>16.5</v>
          </cell>
          <cell r="O1094" t="e">
            <v>#N/A</v>
          </cell>
          <cell r="P1094" t="str">
            <v/>
          </cell>
          <cell r="Q1094" t="str">
            <v/>
          </cell>
          <cell r="R1094">
            <v>16.5</v>
          </cell>
        </row>
        <row r="1095">
          <cell r="A1095" t="str">
            <v/>
          </cell>
          <cell r="B1095" t="str">
            <v/>
          </cell>
          <cell r="C1095" t="str">
            <v>Future</v>
          </cell>
          <cell r="D1095" t="e">
            <v>#N/A</v>
          </cell>
          <cell r="E1095">
            <v>-15.347297297297395</v>
          </cell>
          <cell r="F1095">
            <v>20.868918918919267</v>
          </cell>
          <cell r="G1095">
            <v>13.625675675675742</v>
          </cell>
          <cell r="H1095">
            <v>13.625675675675742</v>
          </cell>
          <cell r="I1095" t="e">
            <v>#N/A</v>
          </cell>
          <cell r="J1095" t="e">
            <v>#N/A</v>
          </cell>
          <cell r="K1095">
            <v>17.5</v>
          </cell>
          <cell r="L1095">
            <v>14</v>
          </cell>
          <cell r="M1095" t="e">
            <v>#N/A</v>
          </cell>
          <cell r="N1095">
            <v>16.5</v>
          </cell>
          <cell r="O1095" t="e">
            <v>#N/A</v>
          </cell>
          <cell r="P1095" t="str">
            <v/>
          </cell>
          <cell r="Q1095" t="str">
            <v/>
          </cell>
          <cell r="R1095">
            <v>16.5</v>
          </cell>
        </row>
        <row r="1096">
          <cell r="A1096" t="str">
            <v/>
          </cell>
          <cell r="B1096" t="str">
            <v/>
          </cell>
          <cell r="C1096" t="str">
            <v>Future</v>
          </cell>
          <cell r="D1096" t="e">
            <v>#N/A</v>
          </cell>
          <cell r="E1096">
            <v>-15.402702702702801</v>
          </cell>
          <cell r="F1096">
            <v>20.88108108108143</v>
          </cell>
          <cell r="G1096">
            <v>13.624324324324391</v>
          </cell>
          <cell r="H1096">
            <v>13.624324324324391</v>
          </cell>
          <cell r="I1096" t="e">
            <v>#N/A</v>
          </cell>
          <cell r="J1096" t="e">
            <v>#N/A</v>
          </cell>
          <cell r="K1096">
            <v>17.5</v>
          </cell>
          <cell r="L1096">
            <v>14</v>
          </cell>
          <cell r="M1096" t="e">
            <v>#N/A</v>
          </cell>
          <cell r="N1096">
            <v>16.5</v>
          </cell>
          <cell r="O1096" t="e">
            <v>#N/A</v>
          </cell>
          <cell r="P1096" t="str">
            <v/>
          </cell>
          <cell r="Q1096" t="str">
            <v/>
          </cell>
          <cell r="R1096">
            <v>16.5</v>
          </cell>
        </row>
        <row r="1097">
          <cell r="A1097" t="str">
            <v/>
          </cell>
          <cell r="B1097" t="str">
            <v/>
          </cell>
          <cell r="C1097" t="str">
            <v>Future</v>
          </cell>
          <cell r="D1097" t="e">
            <v>#N/A</v>
          </cell>
          <cell r="E1097">
            <v>-15.458108108108206</v>
          </cell>
          <cell r="F1097">
            <v>20.893243243243592</v>
          </cell>
          <cell r="G1097">
            <v>13.62297297297304</v>
          </cell>
          <cell r="H1097">
            <v>13.62297297297304</v>
          </cell>
          <cell r="I1097" t="e">
            <v>#N/A</v>
          </cell>
          <cell r="J1097" t="e">
            <v>#N/A</v>
          </cell>
          <cell r="K1097">
            <v>17.5</v>
          </cell>
          <cell r="L1097">
            <v>14</v>
          </cell>
          <cell r="M1097" t="e">
            <v>#N/A</v>
          </cell>
          <cell r="N1097">
            <v>16.5</v>
          </cell>
          <cell r="O1097" t="e">
            <v>#N/A</v>
          </cell>
          <cell r="P1097" t="str">
            <v/>
          </cell>
          <cell r="Q1097" t="str">
            <v/>
          </cell>
          <cell r="R1097">
            <v>16.5</v>
          </cell>
        </row>
        <row r="1098">
          <cell r="A1098" t="str">
            <v/>
          </cell>
          <cell r="B1098" t="str">
            <v/>
          </cell>
          <cell r="C1098" t="str">
            <v>Future</v>
          </cell>
          <cell r="D1098" t="e">
            <v>#N/A</v>
          </cell>
          <cell r="E1098">
            <v>-15.513513513513612</v>
          </cell>
          <cell r="F1098">
            <v>20.905405405405755</v>
          </cell>
          <cell r="G1098">
            <v>13.621621621621689</v>
          </cell>
          <cell r="H1098">
            <v>13.621621621621689</v>
          </cell>
          <cell r="I1098" t="e">
            <v>#N/A</v>
          </cell>
          <cell r="J1098" t="e">
            <v>#N/A</v>
          </cell>
          <cell r="K1098">
            <v>17.5</v>
          </cell>
          <cell r="L1098">
            <v>14</v>
          </cell>
          <cell r="M1098" t="e">
            <v>#N/A</v>
          </cell>
          <cell r="N1098">
            <v>16.5</v>
          </cell>
          <cell r="O1098" t="e">
            <v>#N/A</v>
          </cell>
          <cell r="P1098" t="str">
            <v/>
          </cell>
          <cell r="Q1098" t="str">
            <v/>
          </cell>
          <cell r="R1098">
            <v>16.5</v>
          </cell>
        </row>
        <row r="1099">
          <cell r="A1099" t="str">
            <v/>
          </cell>
          <cell r="B1099" t="str">
            <v/>
          </cell>
          <cell r="C1099" t="str">
            <v>Future</v>
          </cell>
          <cell r="D1099" t="e">
            <v>#N/A</v>
          </cell>
          <cell r="E1099">
            <v>-15.568918918919017</v>
          </cell>
          <cell r="F1099">
            <v>20.917567567567918</v>
          </cell>
          <cell r="G1099">
            <v>13.620270270270337</v>
          </cell>
          <cell r="H1099">
            <v>13.620270270270337</v>
          </cell>
          <cell r="I1099" t="e">
            <v>#N/A</v>
          </cell>
          <cell r="J1099" t="e">
            <v>#N/A</v>
          </cell>
          <cell r="K1099">
            <v>17.5</v>
          </cell>
          <cell r="L1099">
            <v>14</v>
          </cell>
          <cell r="M1099" t="e">
            <v>#N/A</v>
          </cell>
          <cell r="N1099">
            <v>16.5</v>
          </cell>
          <cell r="O1099" t="e">
            <v>#N/A</v>
          </cell>
          <cell r="P1099" t="str">
            <v/>
          </cell>
          <cell r="Q1099" t="str">
            <v/>
          </cell>
          <cell r="R1099">
            <v>16.5</v>
          </cell>
        </row>
        <row r="1100">
          <cell r="A1100" t="str">
            <v/>
          </cell>
          <cell r="B1100" t="str">
            <v/>
          </cell>
          <cell r="C1100" t="str">
            <v>Future</v>
          </cell>
          <cell r="D1100" t="e">
            <v>#N/A</v>
          </cell>
          <cell r="E1100">
            <v>-15.624324324324423</v>
          </cell>
          <cell r="F1100">
            <v>20.929729729730081</v>
          </cell>
          <cell r="G1100">
            <v>13.618918918918986</v>
          </cell>
          <cell r="H1100">
            <v>13.618918918918986</v>
          </cell>
          <cell r="I1100" t="e">
            <v>#N/A</v>
          </cell>
          <cell r="J1100" t="e">
            <v>#N/A</v>
          </cell>
          <cell r="K1100">
            <v>17.5</v>
          </cell>
          <cell r="L1100">
            <v>14</v>
          </cell>
          <cell r="M1100" t="e">
            <v>#N/A</v>
          </cell>
          <cell r="N1100">
            <v>16.5</v>
          </cell>
          <cell r="O1100" t="e">
            <v>#N/A</v>
          </cell>
          <cell r="P1100" t="str">
            <v/>
          </cell>
          <cell r="Q1100" t="str">
            <v/>
          </cell>
          <cell r="R1100">
            <v>16.5</v>
          </cell>
        </row>
        <row r="1101">
          <cell r="A1101" t="str">
            <v/>
          </cell>
          <cell r="B1101" t="str">
            <v/>
          </cell>
          <cell r="C1101" t="str">
            <v>Future</v>
          </cell>
          <cell r="D1101" t="e">
            <v>#N/A</v>
          </cell>
          <cell r="E1101">
            <v>-15.679729729729829</v>
          </cell>
          <cell r="F1101">
            <v>20.941891891892244</v>
          </cell>
          <cell r="G1101">
            <v>13.617567567567635</v>
          </cell>
          <cell r="H1101">
            <v>13.617567567567635</v>
          </cell>
          <cell r="I1101" t="e">
            <v>#N/A</v>
          </cell>
          <cell r="J1101" t="e">
            <v>#N/A</v>
          </cell>
          <cell r="K1101">
            <v>17.5</v>
          </cell>
          <cell r="L1101">
            <v>14</v>
          </cell>
          <cell r="M1101" t="e">
            <v>#N/A</v>
          </cell>
          <cell r="N1101">
            <v>16.5</v>
          </cell>
          <cell r="O1101" t="e">
            <v>#N/A</v>
          </cell>
          <cell r="P1101" t="str">
            <v/>
          </cell>
          <cell r="Q1101" t="str">
            <v/>
          </cell>
          <cell r="R1101">
            <v>16.5</v>
          </cell>
        </row>
        <row r="1102">
          <cell r="A1102" t="str">
            <v/>
          </cell>
          <cell r="B1102" t="str">
            <v/>
          </cell>
          <cell r="C1102" t="str">
            <v>Future</v>
          </cell>
          <cell r="D1102" t="e">
            <v>#N/A</v>
          </cell>
          <cell r="E1102">
            <v>-15.735135135135234</v>
          </cell>
          <cell r="F1102">
            <v>20.954054054054406</v>
          </cell>
          <cell r="G1102">
            <v>13.616216216216284</v>
          </cell>
          <cell r="H1102">
            <v>13.616216216216284</v>
          </cell>
          <cell r="I1102" t="e">
            <v>#N/A</v>
          </cell>
          <cell r="J1102" t="e">
            <v>#N/A</v>
          </cell>
          <cell r="K1102">
            <v>17.5</v>
          </cell>
          <cell r="L1102">
            <v>14</v>
          </cell>
          <cell r="M1102" t="e">
            <v>#N/A</v>
          </cell>
          <cell r="N1102">
            <v>16.5</v>
          </cell>
          <cell r="O1102" t="e">
            <v>#N/A</v>
          </cell>
          <cell r="P1102" t="str">
            <v/>
          </cell>
          <cell r="Q1102" t="str">
            <v/>
          </cell>
          <cell r="R1102">
            <v>16.5</v>
          </cell>
        </row>
        <row r="1103">
          <cell r="A1103" t="str">
            <v/>
          </cell>
          <cell r="B1103" t="str">
            <v/>
          </cell>
          <cell r="C1103" t="str">
            <v>Future</v>
          </cell>
          <cell r="D1103" t="e">
            <v>#N/A</v>
          </cell>
          <cell r="E1103">
            <v>-15.79054054054064</v>
          </cell>
          <cell r="F1103">
            <v>20.966216216216569</v>
          </cell>
          <cell r="G1103">
            <v>13.614864864864932</v>
          </cell>
          <cell r="H1103">
            <v>13.614864864864932</v>
          </cell>
          <cell r="I1103" t="e">
            <v>#N/A</v>
          </cell>
          <cell r="J1103" t="e">
            <v>#N/A</v>
          </cell>
          <cell r="K1103">
            <v>17.5</v>
          </cell>
          <cell r="L1103">
            <v>14</v>
          </cell>
          <cell r="M1103" t="e">
            <v>#N/A</v>
          </cell>
          <cell r="N1103">
            <v>16.5</v>
          </cell>
          <cell r="O1103" t="e">
            <v>#N/A</v>
          </cell>
          <cell r="P1103" t="str">
            <v/>
          </cell>
          <cell r="Q1103" t="str">
            <v/>
          </cell>
          <cell r="R1103">
            <v>16.5</v>
          </cell>
        </row>
        <row r="1104">
          <cell r="A1104" t="str">
            <v/>
          </cell>
          <cell r="B1104" t="str">
            <v/>
          </cell>
          <cell r="C1104" t="str">
            <v>Future</v>
          </cell>
          <cell r="D1104" t="e">
            <v>#N/A</v>
          </cell>
          <cell r="E1104">
            <v>-15.845945945946045</v>
          </cell>
          <cell r="F1104">
            <v>20.978378378378732</v>
          </cell>
          <cell r="G1104">
            <v>13.613513513513581</v>
          </cell>
          <cell r="H1104">
            <v>13.613513513513581</v>
          </cell>
          <cell r="I1104" t="e">
            <v>#N/A</v>
          </cell>
          <cell r="J1104" t="e">
            <v>#N/A</v>
          </cell>
          <cell r="K1104">
            <v>17.5</v>
          </cell>
          <cell r="L1104">
            <v>14</v>
          </cell>
          <cell r="M1104" t="e">
            <v>#N/A</v>
          </cell>
          <cell r="N1104">
            <v>16.5</v>
          </cell>
          <cell r="O1104" t="e">
            <v>#N/A</v>
          </cell>
          <cell r="P1104" t="str">
            <v/>
          </cell>
          <cell r="Q1104" t="str">
            <v/>
          </cell>
          <cell r="R1104">
            <v>16.5</v>
          </cell>
        </row>
        <row r="1105">
          <cell r="A1105" t="str">
            <v/>
          </cell>
          <cell r="B1105" t="str">
            <v/>
          </cell>
          <cell r="C1105" t="str">
            <v>Future</v>
          </cell>
          <cell r="D1105" t="e">
            <v>#N/A</v>
          </cell>
          <cell r="E1105">
            <v>-15.901351351351451</v>
          </cell>
          <cell r="F1105">
            <v>20.990540540540895</v>
          </cell>
          <cell r="G1105">
            <v>13.61216216216223</v>
          </cell>
          <cell r="H1105">
            <v>13.61216216216223</v>
          </cell>
          <cell r="I1105" t="e">
            <v>#N/A</v>
          </cell>
          <cell r="J1105" t="e">
            <v>#N/A</v>
          </cell>
          <cell r="K1105">
            <v>17.5</v>
          </cell>
          <cell r="L1105">
            <v>14</v>
          </cell>
          <cell r="M1105" t="e">
            <v>#N/A</v>
          </cell>
          <cell r="N1105">
            <v>16.5</v>
          </cell>
          <cell r="O1105" t="e">
            <v>#N/A</v>
          </cell>
          <cell r="P1105" t="str">
            <v/>
          </cell>
          <cell r="Q1105" t="str">
            <v/>
          </cell>
          <cell r="R1105">
            <v>16.5</v>
          </cell>
        </row>
        <row r="1106">
          <cell r="A1106" t="str">
            <v/>
          </cell>
          <cell r="B1106" t="str">
            <v/>
          </cell>
          <cell r="C1106" t="str">
            <v>Future</v>
          </cell>
          <cell r="D1106" t="e">
            <v>#N/A</v>
          </cell>
          <cell r="E1106">
            <v>-15.956756756756857</v>
          </cell>
          <cell r="F1106">
            <v>21.002702702703058</v>
          </cell>
          <cell r="G1106">
            <v>13.610810810810879</v>
          </cell>
          <cell r="H1106">
            <v>13.610810810810879</v>
          </cell>
          <cell r="I1106" t="e">
            <v>#N/A</v>
          </cell>
          <cell r="J1106" t="e">
            <v>#N/A</v>
          </cell>
          <cell r="K1106">
            <v>17.5</v>
          </cell>
          <cell r="L1106">
            <v>14</v>
          </cell>
          <cell r="M1106" t="e">
            <v>#N/A</v>
          </cell>
          <cell r="N1106">
            <v>16.5</v>
          </cell>
          <cell r="O1106" t="e">
            <v>#N/A</v>
          </cell>
          <cell r="P1106" t="str">
            <v/>
          </cell>
          <cell r="Q1106" t="str">
            <v/>
          </cell>
          <cell r="R1106">
            <v>16.5</v>
          </cell>
        </row>
        <row r="1107">
          <cell r="A1107" t="str">
            <v/>
          </cell>
          <cell r="B1107" t="str">
            <v/>
          </cell>
          <cell r="C1107" t="str">
            <v>Future</v>
          </cell>
          <cell r="D1107" t="e">
            <v>#N/A</v>
          </cell>
          <cell r="E1107">
            <v>-16.012162162162262</v>
          </cell>
          <cell r="F1107">
            <v>21.014864864865221</v>
          </cell>
          <cell r="G1107">
            <v>13.609459459459528</v>
          </cell>
          <cell r="H1107">
            <v>13.609459459459528</v>
          </cell>
          <cell r="I1107" t="e">
            <v>#N/A</v>
          </cell>
          <cell r="J1107" t="e">
            <v>#N/A</v>
          </cell>
          <cell r="K1107">
            <v>17.5</v>
          </cell>
          <cell r="L1107">
            <v>14</v>
          </cell>
          <cell r="M1107" t="e">
            <v>#N/A</v>
          </cell>
          <cell r="N1107">
            <v>16.5</v>
          </cell>
          <cell r="O1107" t="e">
            <v>#N/A</v>
          </cell>
          <cell r="P1107" t="str">
            <v/>
          </cell>
          <cell r="Q1107" t="str">
            <v/>
          </cell>
          <cell r="R1107">
            <v>16.5</v>
          </cell>
        </row>
        <row r="1108">
          <cell r="A1108" t="str">
            <v/>
          </cell>
          <cell r="B1108" t="str">
            <v/>
          </cell>
          <cell r="C1108" t="str">
            <v>Future</v>
          </cell>
          <cell r="D1108" t="e">
            <v>#N/A</v>
          </cell>
          <cell r="E1108">
            <v>-16.067567567567668</v>
          </cell>
          <cell r="F1108">
            <v>21.027027027027383</v>
          </cell>
          <cell r="G1108">
            <v>13.608108108108176</v>
          </cell>
          <cell r="H1108">
            <v>13.608108108108176</v>
          </cell>
          <cell r="I1108" t="e">
            <v>#N/A</v>
          </cell>
          <cell r="J1108" t="e">
            <v>#N/A</v>
          </cell>
          <cell r="K1108">
            <v>17.5</v>
          </cell>
          <cell r="L1108">
            <v>14</v>
          </cell>
          <cell r="M1108" t="e">
            <v>#N/A</v>
          </cell>
          <cell r="N1108">
            <v>16.5</v>
          </cell>
          <cell r="O1108" t="e">
            <v>#N/A</v>
          </cell>
          <cell r="P1108" t="str">
            <v/>
          </cell>
          <cell r="Q1108" t="str">
            <v/>
          </cell>
          <cell r="R1108">
            <v>16.5</v>
          </cell>
        </row>
        <row r="1109">
          <cell r="A1109" t="str">
            <v/>
          </cell>
          <cell r="B1109" t="str">
            <v/>
          </cell>
          <cell r="C1109" t="str">
            <v>Future</v>
          </cell>
          <cell r="D1109" t="e">
            <v>#N/A</v>
          </cell>
          <cell r="E1109">
            <v>-16.122972972973074</v>
          </cell>
          <cell r="F1109">
            <v>21.039189189189546</v>
          </cell>
          <cell r="G1109">
            <v>13.606756756756825</v>
          </cell>
          <cell r="H1109">
            <v>13.606756756756825</v>
          </cell>
          <cell r="I1109" t="e">
            <v>#N/A</v>
          </cell>
          <cell r="J1109" t="e">
            <v>#N/A</v>
          </cell>
          <cell r="K1109">
            <v>17.5</v>
          </cell>
          <cell r="L1109">
            <v>14</v>
          </cell>
          <cell r="M1109" t="e">
            <v>#N/A</v>
          </cell>
          <cell r="N1109">
            <v>16.5</v>
          </cell>
          <cell r="O1109" t="e">
            <v>#N/A</v>
          </cell>
          <cell r="P1109" t="str">
            <v/>
          </cell>
          <cell r="Q1109" t="str">
            <v/>
          </cell>
          <cell r="R1109">
            <v>16.5</v>
          </cell>
        </row>
        <row r="1110">
          <cell r="A1110" t="str">
            <v/>
          </cell>
          <cell r="B1110" t="str">
            <v/>
          </cell>
          <cell r="C1110" t="str">
            <v>Future</v>
          </cell>
          <cell r="D1110" t="e">
            <v>#N/A</v>
          </cell>
          <cell r="E1110">
            <v>-16.178378378378479</v>
          </cell>
          <cell r="F1110">
            <v>21.051351351351709</v>
          </cell>
          <cell r="G1110">
            <v>13.605405405405474</v>
          </cell>
          <cell r="H1110">
            <v>13.605405405405474</v>
          </cell>
          <cell r="I1110" t="e">
            <v>#N/A</v>
          </cell>
          <cell r="J1110" t="e">
            <v>#N/A</v>
          </cell>
          <cell r="K1110">
            <v>17.5</v>
          </cell>
          <cell r="L1110">
            <v>14</v>
          </cell>
          <cell r="M1110" t="e">
            <v>#N/A</v>
          </cell>
          <cell r="N1110">
            <v>16.5</v>
          </cell>
          <cell r="O1110" t="e">
            <v>#N/A</v>
          </cell>
          <cell r="P1110" t="str">
            <v/>
          </cell>
          <cell r="Q1110" t="str">
            <v/>
          </cell>
          <cell r="R1110">
            <v>16.5</v>
          </cell>
        </row>
        <row r="1111">
          <cell r="A1111" t="str">
            <v/>
          </cell>
          <cell r="B1111" t="str">
            <v/>
          </cell>
          <cell r="C1111" t="str">
            <v>Future</v>
          </cell>
          <cell r="D1111" t="e">
            <v>#N/A</v>
          </cell>
          <cell r="E1111">
            <v>-16.233783783783885</v>
          </cell>
          <cell r="F1111">
            <v>21.063513513513872</v>
          </cell>
          <cell r="G1111">
            <v>13.604054054054123</v>
          </cell>
          <cell r="H1111">
            <v>13.604054054054123</v>
          </cell>
          <cell r="I1111" t="e">
            <v>#N/A</v>
          </cell>
          <cell r="J1111" t="e">
            <v>#N/A</v>
          </cell>
          <cell r="K1111">
            <v>17.5</v>
          </cell>
          <cell r="L1111">
            <v>14</v>
          </cell>
          <cell r="M1111" t="e">
            <v>#N/A</v>
          </cell>
          <cell r="N1111">
            <v>16.5</v>
          </cell>
          <cell r="O1111" t="e">
            <v>#N/A</v>
          </cell>
          <cell r="P1111" t="str">
            <v/>
          </cell>
          <cell r="Q1111" t="str">
            <v/>
          </cell>
          <cell r="R1111">
            <v>16.5</v>
          </cell>
        </row>
        <row r="1112">
          <cell r="A1112" t="str">
            <v/>
          </cell>
          <cell r="B1112" t="str">
            <v/>
          </cell>
          <cell r="C1112" t="str">
            <v>Future</v>
          </cell>
          <cell r="D1112" t="e">
            <v>#N/A</v>
          </cell>
          <cell r="E1112">
            <v>-16.28918918918929</v>
          </cell>
          <cell r="F1112">
            <v>21.075675675676035</v>
          </cell>
          <cell r="G1112">
            <v>13.602702702702771</v>
          </cell>
          <cell r="H1112">
            <v>13.602702702702771</v>
          </cell>
          <cell r="I1112" t="e">
            <v>#N/A</v>
          </cell>
          <cell r="J1112" t="e">
            <v>#N/A</v>
          </cell>
          <cell r="K1112">
            <v>17.5</v>
          </cell>
          <cell r="L1112">
            <v>14</v>
          </cell>
          <cell r="M1112" t="e">
            <v>#N/A</v>
          </cell>
          <cell r="N1112">
            <v>16.5</v>
          </cell>
          <cell r="O1112" t="e">
            <v>#N/A</v>
          </cell>
          <cell r="P1112" t="str">
            <v/>
          </cell>
          <cell r="Q1112" t="str">
            <v/>
          </cell>
          <cell r="R1112">
            <v>16.5</v>
          </cell>
        </row>
        <row r="1113">
          <cell r="A1113" t="str">
            <v/>
          </cell>
          <cell r="B1113" t="str">
            <v/>
          </cell>
          <cell r="C1113" t="str">
            <v>Future</v>
          </cell>
          <cell r="D1113" t="e">
            <v>#N/A</v>
          </cell>
          <cell r="E1113">
            <v>-16.344594594594696</v>
          </cell>
          <cell r="F1113">
            <v>21.087837837838197</v>
          </cell>
          <cell r="G1113">
            <v>13.60135135135142</v>
          </cell>
          <cell r="H1113">
            <v>13.60135135135142</v>
          </cell>
          <cell r="I1113" t="e">
            <v>#N/A</v>
          </cell>
          <cell r="J1113" t="e">
            <v>#N/A</v>
          </cell>
          <cell r="K1113">
            <v>17.5</v>
          </cell>
          <cell r="L1113">
            <v>14</v>
          </cell>
          <cell r="M1113" t="e">
            <v>#N/A</v>
          </cell>
          <cell r="N1113">
            <v>16.5</v>
          </cell>
          <cell r="O1113" t="e">
            <v>#N/A</v>
          </cell>
          <cell r="P1113" t="str">
            <v/>
          </cell>
          <cell r="Q1113" t="str">
            <v/>
          </cell>
          <cell r="R1113">
            <v>16.5</v>
          </cell>
        </row>
        <row r="1114">
          <cell r="A1114" t="str">
            <v/>
          </cell>
          <cell r="B1114" t="str">
            <v/>
          </cell>
          <cell r="C1114" t="str">
            <v>Future</v>
          </cell>
          <cell r="D1114" t="e">
            <v>#N/A</v>
          </cell>
          <cell r="E1114">
            <v>-16.400000000000102</v>
          </cell>
          <cell r="F1114">
            <v>21.10000000000036</v>
          </cell>
          <cell r="G1114">
            <v>13.600000000000069</v>
          </cell>
          <cell r="H1114">
            <v>13.600000000000069</v>
          </cell>
          <cell r="I1114" t="e">
            <v>#N/A</v>
          </cell>
          <cell r="J1114" t="e">
            <v>#N/A</v>
          </cell>
          <cell r="K1114">
            <v>17.5</v>
          </cell>
          <cell r="L1114">
            <v>14</v>
          </cell>
          <cell r="M1114" t="e">
            <v>#N/A</v>
          </cell>
          <cell r="N1114">
            <v>16.5</v>
          </cell>
          <cell r="O1114" t="e">
            <v>#N/A</v>
          </cell>
          <cell r="P1114" t="str">
            <v/>
          </cell>
          <cell r="Q1114" t="str">
            <v/>
          </cell>
          <cell r="R1114">
            <v>16.5</v>
          </cell>
        </row>
        <row r="1115">
          <cell r="A1115" t="str">
            <v/>
          </cell>
          <cell r="B1115" t="str">
            <v/>
          </cell>
          <cell r="C1115" t="str">
            <v>Future</v>
          </cell>
          <cell r="D1115" t="e">
            <v>#N/A</v>
          </cell>
          <cell r="E1115">
            <v>-16.455405405405507</v>
          </cell>
          <cell r="F1115">
            <v>21.112162162162523</v>
          </cell>
          <cell r="G1115">
            <v>13.598648648648718</v>
          </cell>
          <cell r="H1115">
            <v>13.598648648648718</v>
          </cell>
          <cell r="I1115" t="e">
            <v>#N/A</v>
          </cell>
          <cell r="J1115" t="e">
            <v>#N/A</v>
          </cell>
          <cell r="K1115">
            <v>17.5</v>
          </cell>
          <cell r="L1115">
            <v>14</v>
          </cell>
          <cell r="M1115" t="e">
            <v>#N/A</v>
          </cell>
          <cell r="N1115">
            <v>16.5</v>
          </cell>
          <cell r="O1115" t="e">
            <v>#N/A</v>
          </cell>
          <cell r="P1115" t="str">
            <v/>
          </cell>
          <cell r="Q1115" t="str">
            <v/>
          </cell>
          <cell r="R1115">
            <v>16.5</v>
          </cell>
        </row>
        <row r="1116">
          <cell r="A1116" t="str">
            <v/>
          </cell>
          <cell r="B1116" t="str">
            <v/>
          </cell>
          <cell r="C1116" t="str">
            <v>Future</v>
          </cell>
          <cell r="D1116" t="e">
            <v>#N/A</v>
          </cell>
          <cell r="E1116">
            <v>-16.510810810810913</v>
          </cell>
          <cell r="F1116">
            <v>21.124324324324686</v>
          </cell>
          <cell r="G1116">
            <v>13.597297297297366</v>
          </cell>
          <cell r="H1116">
            <v>13.597297297297366</v>
          </cell>
          <cell r="I1116" t="e">
            <v>#N/A</v>
          </cell>
          <cell r="J1116" t="e">
            <v>#N/A</v>
          </cell>
          <cell r="K1116">
            <v>17.5</v>
          </cell>
          <cell r="L1116">
            <v>14</v>
          </cell>
          <cell r="M1116" t="e">
            <v>#N/A</v>
          </cell>
          <cell r="N1116">
            <v>16.5</v>
          </cell>
          <cell r="O1116" t="e">
            <v>#N/A</v>
          </cell>
          <cell r="P1116" t="str">
            <v/>
          </cell>
          <cell r="Q1116" t="str">
            <v/>
          </cell>
          <cell r="R1116">
            <v>16.5</v>
          </cell>
        </row>
        <row r="1117">
          <cell r="A1117" t="str">
            <v/>
          </cell>
          <cell r="B1117" t="str">
            <v/>
          </cell>
          <cell r="C1117" t="str">
            <v>Future</v>
          </cell>
          <cell r="D1117" t="e">
            <v>#N/A</v>
          </cell>
          <cell r="E1117">
            <v>-16.566216216216318</v>
          </cell>
          <cell r="F1117">
            <v>21.136486486486849</v>
          </cell>
          <cell r="G1117">
            <v>13.595945945946015</v>
          </cell>
          <cell r="H1117">
            <v>13.595945945946015</v>
          </cell>
          <cell r="I1117" t="e">
            <v>#N/A</v>
          </cell>
          <cell r="J1117" t="e">
            <v>#N/A</v>
          </cell>
          <cell r="K1117">
            <v>17.5</v>
          </cell>
          <cell r="L1117">
            <v>14</v>
          </cell>
          <cell r="M1117" t="e">
            <v>#N/A</v>
          </cell>
          <cell r="N1117">
            <v>16.5</v>
          </cell>
          <cell r="O1117" t="e">
            <v>#N/A</v>
          </cell>
          <cell r="P1117" t="str">
            <v/>
          </cell>
          <cell r="Q1117" t="str">
            <v/>
          </cell>
          <cell r="R1117">
            <v>16.5</v>
          </cell>
        </row>
        <row r="1118">
          <cell r="A1118" t="str">
            <v/>
          </cell>
          <cell r="B1118" t="str">
            <v/>
          </cell>
          <cell r="C1118" t="str">
            <v>Future</v>
          </cell>
          <cell r="D1118" t="e">
            <v>#N/A</v>
          </cell>
          <cell r="E1118">
            <v>-16.621621621621724</v>
          </cell>
          <cell r="F1118">
            <v>21.148648648649012</v>
          </cell>
          <cell r="G1118">
            <v>13.594594594594664</v>
          </cell>
          <cell r="H1118">
            <v>13.594594594594664</v>
          </cell>
          <cell r="I1118" t="e">
            <v>#N/A</v>
          </cell>
          <cell r="J1118" t="e">
            <v>#N/A</v>
          </cell>
          <cell r="K1118">
            <v>17.5</v>
          </cell>
          <cell r="L1118">
            <v>14</v>
          </cell>
          <cell r="M1118" t="e">
            <v>#N/A</v>
          </cell>
          <cell r="N1118">
            <v>16.5</v>
          </cell>
          <cell r="O1118" t="e">
            <v>#N/A</v>
          </cell>
          <cell r="P1118" t="str">
            <v/>
          </cell>
          <cell r="Q1118" t="str">
            <v/>
          </cell>
          <cell r="R1118">
            <v>16.5</v>
          </cell>
        </row>
        <row r="1119">
          <cell r="A1119" t="str">
            <v/>
          </cell>
          <cell r="B1119" t="str">
            <v/>
          </cell>
          <cell r="C1119" t="str">
            <v>Future</v>
          </cell>
          <cell r="D1119" t="e">
            <v>#N/A</v>
          </cell>
          <cell r="E1119">
            <v>-16.67702702702713</v>
          </cell>
          <cell r="F1119">
            <v>21.160810810811174</v>
          </cell>
          <cell r="G1119">
            <v>13.593243243243313</v>
          </cell>
          <cell r="H1119">
            <v>13.593243243243313</v>
          </cell>
          <cell r="I1119" t="e">
            <v>#N/A</v>
          </cell>
          <cell r="J1119" t="e">
            <v>#N/A</v>
          </cell>
          <cell r="K1119">
            <v>17.5</v>
          </cell>
          <cell r="L1119">
            <v>14</v>
          </cell>
          <cell r="M1119" t="e">
            <v>#N/A</v>
          </cell>
          <cell r="N1119">
            <v>16.5</v>
          </cell>
          <cell r="O1119" t="e">
            <v>#N/A</v>
          </cell>
          <cell r="P1119" t="str">
            <v/>
          </cell>
          <cell r="Q1119" t="str">
            <v/>
          </cell>
          <cell r="R1119">
            <v>16.5</v>
          </cell>
        </row>
        <row r="1120">
          <cell r="A1120" t="str">
            <v/>
          </cell>
          <cell r="B1120" t="str">
            <v/>
          </cell>
          <cell r="C1120" t="str">
            <v>Future</v>
          </cell>
          <cell r="D1120" t="e">
            <v>#N/A</v>
          </cell>
          <cell r="E1120">
            <v>-16.732432432432535</v>
          </cell>
          <cell r="F1120">
            <v>21.172972972973337</v>
          </cell>
          <cell r="G1120">
            <v>13.591891891891962</v>
          </cell>
          <cell r="H1120">
            <v>13.591891891891962</v>
          </cell>
          <cell r="I1120" t="e">
            <v>#N/A</v>
          </cell>
          <cell r="J1120" t="e">
            <v>#N/A</v>
          </cell>
          <cell r="K1120">
            <v>17.5</v>
          </cell>
          <cell r="L1120">
            <v>14</v>
          </cell>
          <cell r="M1120" t="e">
            <v>#N/A</v>
          </cell>
          <cell r="N1120">
            <v>16.5</v>
          </cell>
          <cell r="O1120" t="e">
            <v>#N/A</v>
          </cell>
          <cell r="P1120" t="str">
            <v/>
          </cell>
          <cell r="Q1120" t="str">
            <v/>
          </cell>
          <cell r="R1120">
            <v>16.5</v>
          </cell>
        </row>
        <row r="1121">
          <cell r="A1121" t="str">
            <v/>
          </cell>
          <cell r="B1121" t="str">
            <v/>
          </cell>
          <cell r="C1121" t="str">
            <v>Future</v>
          </cell>
          <cell r="D1121" t="e">
            <v>#N/A</v>
          </cell>
          <cell r="E1121">
            <v>-16.787837837837941</v>
          </cell>
          <cell r="F1121">
            <v>21.1851351351355</v>
          </cell>
          <cell r="G1121">
            <v>13.59054054054061</v>
          </cell>
          <cell r="H1121">
            <v>13.59054054054061</v>
          </cell>
          <cell r="I1121" t="e">
            <v>#N/A</v>
          </cell>
          <cell r="J1121" t="e">
            <v>#N/A</v>
          </cell>
          <cell r="K1121">
            <v>17.5</v>
          </cell>
          <cell r="L1121">
            <v>14</v>
          </cell>
          <cell r="M1121" t="e">
            <v>#N/A</v>
          </cell>
          <cell r="N1121">
            <v>16.5</v>
          </cell>
          <cell r="O1121" t="e">
            <v>#N/A</v>
          </cell>
          <cell r="P1121" t="str">
            <v/>
          </cell>
          <cell r="Q1121" t="str">
            <v/>
          </cell>
          <cell r="R1121">
            <v>16.5</v>
          </cell>
        </row>
        <row r="1122">
          <cell r="A1122" t="str">
            <v/>
          </cell>
          <cell r="B1122" t="str">
            <v/>
          </cell>
          <cell r="C1122" t="str">
            <v>Future</v>
          </cell>
          <cell r="D1122" t="e">
            <v>#N/A</v>
          </cell>
          <cell r="E1122">
            <v>-16.843243243243347</v>
          </cell>
          <cell r="F1122">
            <v>21.197297297297663</v>
          </cell>
          <cell r="G1122">
            <v>13.589189189189259</v>
          </cell>
          <cell r="H1122">
            <v>13.589189189189259</v>
          </cell>
          <cell r="I1122" t="e">
            <v>#N/A</v>
          </cell>
          <cell r="J1122" t="e">
            <v>#N/A</v>
          </cell>
          <cell r="K1122">
            <v>17.5</v>
          </cell>
          <cell r="L1122">
            <v>14</v>
          </cell>
          <cell r="M1122" t="e">
            <v>#N/A</v>
          </cell>
          <cell r="N1122">
            <v>16.5</v>
          </cell>
          <cell r="O1122" t="e">
            <v>#N/A</v>
          </cell>
          <cell r="P1122" t="str">
            <v/>
          </cell>
          <cell r="Q1122" t="str">
            <v/>
          </cell>
          <cell r="R1122">
            <v>16.5</v>
          </cell>
        </row>
        <row r="1123">
          <cell r="A1123" t="str">
            <v/>
          </cell>
          <cell r="B1123" t="str">
            <v/>
          </cell>
          <cell r="C1123" t="str">
            <v>Future</v>
          </cell>
          <cell r="D1123" t="e">
            <v>#N/A</v>
          </cell>
          <cell r="E1123">
            <v>-16.898648648648752</v>
          </cell>
          <cell r="F1123">
            <v>21.209459459459826</v>
          </cell>
          <cell r="G1123">
            <v>13.587837837837908</v>
          </cell>
          <cell r="H1123">
            <v>13.587837837837908</v>
          </cell>
          <cell r="I1123" t="e">
            <v>#N/A</v>
          </cell>
          <cell r="J1123" t="e">
            <v>#N/A</v>
          </cell>
          <cell r="K1123">
            <v>17.5</v>
          </cell>
          <cell r="L1123">
            <v>14</v>
          </cell>
          <cell r="M1123" t="e">
            <v>#N/A</v>
          </cell>
          <cell r="N1123">
            <v>16.5</v>
          </cell>
          <cell r="O1123" t="e">
            <v>#N/A</v>
          </cell>
          <cell r="P1123" t="str">
            <v/>
          </cell>
          <cell r="Q1123" t="str">
            <v/>
          </cell>
          <cell r="R1123">
            <v>16.5</v>
          </cell>
        </row>
        <row r="1124">
          <cell r="A1124" t="str">
            <v/>
          </cell>
          <cell r="B1124" t="str">
            <v/>
          </cell>
          <cell r="C1124" t="str">
            <v>Future</v>
          </cell>
          <cell r="D1124" t="e">
            <v>#N/A</v>
          </cell>
          <cell r="E1124">
            <v>-16.954054054054158</v>
          </cell>
          <cell r="F1124">
            <v>21.221621621621988</v>
          </cell>
          <cell r="G1124">
            <v>13.586486486486557</v>
          </cell>
          <cell r="H1124">
            <v>13.586486486486557</v>
          </cell>
          <cell r="I1124" t="e">
            <v>#N/A</v>
          </cell>
          <cell r="J1124" t="e">
            <v>#N/A</v>
          </cell>
          <cell r="K1124">
            <v>17.5</v>
          </cell>
          <cell r="L1124">
            <v>14</v>
          </cell>
          <cell r="M1124" t="e">
            <v>#N/A</v>
          </cell>
          <cell r="N1124">
            <v>16.5</v>
          </cell>
          <cell r="O1124" t="e">
            <v>#N/A</v>
          </cell>
          <cell r="P1124" t="str">
            <v/>
          </cell>
          <cell r="Q1124" t="str">
            <v/>
          </cell>
          <cell r="R1124">
            <v>16.5</v>
          </cell>
        </row>
        <row r="1125">
          <cell r="A1125" t="str">
            <v/>
          </cell>
          <cell r="B1125" t="str">
            <v/>
          </cell>
          <cell r="C1125" t="str">
            <v>Future</v>
          </cell>
          <cell r="D1125" t="e">
            <v>#N/A</v>
          </cell>
          <cell r="E1125">
            <v>-17.009459459459563</v>
          </cell>
          <cell r="F1125">
            <v>21.233783783784151</v>
          </cell>
          <cell r="G1125">
            <v>13.585135135135205</v>
          </cell>
          <cell r="H1125">
            <v>13.585135135135205</v>
          </cell>
          <cell r="I1125" t="e">
            <v>#N/A</v>
          </cell>
          <cell r="J1125" t="e">
            <v>#N/A</v>
          </cell>
          <cell r="K1125">
            <v>17.5</v>
          </cell>
          <cell r="L1125">
            <v>14</v>
          </cell>
          <cell r="M1125" t="e">
            <v>#N/A</v>
          </cell>
          <cell r="N1125">
            <v>16.5</v>
          </cell>
          <cell r="O1125" t="e">
            <v>#N/A</v>
          </cell>
          <cell r="P1125" t="str">
            <v/>
          </cell>
          <cell r="Q1125" t="str">
            <v/>
          </cell>
          <cell r="R1125">
            <v>16.5</v>
          </cell>
        </row>
        <row r="1126">
          <cell r="A1126" t="str">
            <v/>
          </cell>
          <cell r="B1126" t="str">
            <v/>
          </cell>
          <cell r="C1126" t="str">
            <v>Future</v>
          </cell>
          <cell r="D1126" t="e">
            <v>#N/A</v>
          </cell>
          <cell r="E1126">
            <v>-17.064864864864969</v>
          </cell>
          <cell r="F1126">
            <v>21.245945945946314</v>
          </cell>
          <cell r="G1126">
            <v>13.583783783783854</v>
          </cell>
          <cell r="H1126">
            <v>13.583783783783854</v>
          </cell>
          <cell r="I1126" t="e">
            <v>#N/A</v>
          </cell>
          <cell r="J1126" t="e">
            <v>#N/A</v>
          </cell>
          <cell r="K1126">
            <v>17.5</v>
          </cell>
          <cell r="L1126">
            <v>14</v>
          </cell>
          <cell r="M1126" t="e">
            <v>#N/A</v>
          </cell>
          <cell r="N1126">
            <v>16.5</v>
          </cell>
          <cell r="O1126" t="e">
            <v>#N/A</v>
          </cell>
          <cell r="P1126" t="str">
            <v/>
          </cell>
          <cell r="Q1126" t="str">
            <v/>
          </cell>
          <cell r="R1126">
            <v>16.5</v>
          </cell>
        </row>
        <row r="1127">
          <cell r="A1127" t="str">
            <v/>
          </cell>
          <cell r="B1127" t="str">
            <v/>
          </cell>
          <cell r="C1127" t="str">
            <v>Future</v>
          </cell>
          <cell r="D1127" t="e">
            <v>#N/A</v>
          </cell>
          <cell r="E1127">
            <v>-17.120270270270375</v>
          </cell>
          <cell r="F1127">
            <v>21.258108108108477</v>
          </cell>
          <cell r="G1127">
            <v>13.582432432432503</v>
          </cell>
          <cell r="H1127">
            <v>13.582432432432503</v>
          </cell>
          <cell r="I1127" t="e">
            <v>#N/A</v>
          </cell>
          <cell r="J1127" t="e">
            <v>#N/A</v>
          </cell>
          <cell r="K1127">
            <v>17.5</v>
          </cell>
          <cell r="L1127">
            <v>14</v>
          </cell>
          <cell r="M1127" t="e">
            <v>#N/A</v>
          </cell>
          <cell r="N1127">
            <v>16.5</v>
          </cell>
          <cell r="O1127" t="e">
            <v>#N/A</v>
          </cell>
          <cell r="P1127" t="str">
            <v/>
          </cell>
          <cell r="Q1127" t="str">
            <v/>
          </cell>
          <cell r="R1127">
            <v>16.5</v>
          </cell>
        </row>
        <row r="1128">
          <cell r="A1128" t="str">
            <v/>
          </cell>
          <cell r="B1128" t="str">
            <v/>
          </cell>
          <cell r="C1128" t="str">
            <v>Future</v>
          </cell>
          <cell r="D1128" t="e">
            <v>#N/A</v>
          </cell>
          <cell r="E1128">
            <v>-17.17567567567578</v>
          </cell>
          <cell r="F1128">
            <v>21.27027027027064</v>
          </cell>
          <cell r="G1128">
            <v>13.581081081081152</v>
          </cell>
          <cell r="H1128">
            <v>13.581081081081152</v>
          </cell>
          <cell r="I1128" t="e">
            <v>#N/A</v>
          </cell>
          <cell r="J1128" t="e">
            <v>#N/A</v>
          </cell>
          <cell r="K1128">
            <v>17.5</v>
          </cell>
          <cell r="L1128">
            <v>14</v>
          </cell>
          <cell r="M1128" t="e">
            <v>#N/A</v>
          </cell>
          <cell r="N1128">
            <v>16.5</v>
          </cell>
          <cell r="O1128" t="e">
            <v>#N/A</v>
          </cell>
          <cell r="P1128" t="str">
            <v/>
          </cell>
          <cell r="Q1128" t="str">
            <v/>
          </cell>
          <cell r="R1128">
            <v>16.5</v>
          </cell>
        </row>
        <row r="1129">
          <cell r="A1129" t="str">
            <v/>
          </cell>
          <cell r="B1129" t="str">
            <v/>
          </cell>
          <cell r="C1129" t="str">
            <v>Future</v>
          </cell>
          <cell r="D1129" t="e">
            <v>#N/A</v>
          </cell>
          <cell r="E1129">
            <v>-17.231081081081186</v>
          </cell>
          <cell r="F1129">
            <v>21.282432432432802</v>
          </cell>
          <cell r="G1129">
            <v>13.579729729729801</v>
          </cell>
          <cell r="H1129">
            <v>13.579729729729801</v>
          </cell>
          <cell r="I1129" t="e">
            <v>#N/A</v>
          </cell>
          <cell r="J1129" t="e">
            <v>#N/A</v>
          </cell>
          <cell r="K1129">
            <v>17.5</v>
          </cell>
          <cell r="L1129">
            <v>14</v>
          </cell>
          <cell r="M1129" t="e">
            <v>#N/A</v>
          </cell>
          <cell r="N1129">
            <v>16.5</v>
          </cell>
          <cell r="O1129" t="e">
            <v>#N/A</v>
          </cell>
          <cell r="P1129" t="str">
            <v/>
          </cell>
          <cell r="Q1129" t="str">
            <v/>
          </cell>
          <cell r="R1129">
            <v>16.5</v>
          </cell>
        </row>
        <row r="1130">
          <cell r="A1130" t="str">
            <v/>
          </cell>
          <cell r="B1130" t="str">
            <v/>
          </cell>
          <cell r="C1130" t="str">
            <v>Future</v>
          </cell>
          <cell r="D1130" t="e">
            <v>#N/A</v>
          </cell>
          <cell r="E1130">
            <v>-17.286486486486591</v>
          </cell>
          <cell r="F1130">
            <v>21.294594594594965</v>
          </cell>
          <cell r="G1130">
            <v>13.578378378378449</v>
          </cell>
          <cell r="H1130">
            <v>13.578378378378449</v>
          </cell>
          <cell r="I1130" t="e">
            <v>#N/A</v>
          </cell>
          <cell r="J1130" t="e">
            <v>#N/A</v>
          </cell>
          <cell r="K1130">
            <v>17.5</v>
          </cell>
          <cell r="L1130">
            <v>14</v>
          </cell>
          <cell r="M1130" t="e">
            <v>#N/A</v>
          </cell>
          <cell r="N1130">
            <v>16.5</v>
          </cell>
          <cell r="O1130" t="e">
            <v>#N/A</v>
          </cell>
          <cell r="P1130" t="str">
            <v/>
          </cell>
          <cell r="Q1130" t="str">
            <v/>
          </cell>
          <cell r="R1130">
            <v>16.5</v>
          </cell>
        </row>
        <row r="1131">
          <cell r="A1131" t="str">
            <v/>
          </cell>
          <cell r="B1131" t="str">
            <v/>
          </cell>
          <cell r="C1131" t="str">
            <v>Future</v>
          </cell>
          <cell r="D1131" t="e">
            <v>#N/A</v>
          </cell>
          <cell r="E1131">
            <v>-17.341891891891997</v>
          </cell>
          <cell r="F1131">
            <v>21.306756756757128</v>
          </cell>
          <cell r="G1131">
            <v>13.577027027027098</v>
          </cell>
          <cell r="H1131">
            <v>13.577027027027098</v>
          </cell>
          <cell r="I1131" t="e">
            <v>#N/A</v>
          </cell>
          <cell r="J1131" t="e">
            <v>#N/A</v>
          </cell>
          <cell r="K1131">
            <v>17.5</v>
          </cell>
          <cell r="L1131">
            <v>14</v>
          </cell>
          <cell r="M1131" t="e">
            <v>#N/A</v>
          </cell>
          <cell r="N1131">
            <v>16.5</v>
          </cell>
          <cell r="O1131" t="e">
            <v>#N/A</v>
          </cell>
          <cell r="P1131" t="str">
            <v/>
          </cell>
          <cell r="Q1131" t="str">
            <v/>
          </cell>
          <cell r="R1131">
            <v>16.5</v>
          </cell>
        </row>
        <row r="1132">
          <cell r="A1132" t="str">
            <v/>
          </cell>
          <cell r="B1132" t="str">
            <v/>
          </cell>
          <cell r="C1132" t="str">
            <v>Future</v>
          </cell>
          <cell r="D1132" t="e">
            <v>#N/A</v>
          </cell>
          <cell r="E1132">
            <v>-17.397297297297403</v>
          </cell>
          <cell r="F1132">
            <v>21.318918918919291</v>
          </cell>
          <cell r="G1132">
            <v>13.575675675675747</v>
          </cell>
          <cell r="H1132">
            <v>13.575675675675747</v>
          </cell>
          <cell r="I1132" t="e">
            <v>#N/A</v>
          </cell>
          <cell r="J1132" t="e">
            <v>#N/A</v>
          </cell>
          <cell r="K1132">
            <v>17.5</v>
          </cell>
          <cell r="L1132">
            <v>14</v>
          </cell>
          <cell r="M1132" t="e">
            <v>#N/A</v>
          </cell>
          <cell r="N1132">
            <v>16.5</v>
          </cell>
          <cell r="O1132" t="e">
            <v>#N/A</v>
          </cell>
          <cell r="P1132" t="str">
            <v/>
          </cell>
          <cell r="Q1132" t="str">
            <v/>
          </cell>
          <cell r="R1132">
            <v>16.5</v>
          </cell>
        </row>
        <row r="1133">
          <cell r="A1133" t="str">
            <v/>
          </cell>
          <cell r="B1133" t="str">
            <v/>
          </cell>
          <cell r="C1133" t="str">
            <v>Future</v>
          </cell>
          <cell r="D1133" t="e">
            <v>#N/A</v>
          </cell>
          <cell r="E1133">
            <v>-17.452702702702808</v>
          </cell>
          <cell r="F1133">
            <v>21.331081081081454</v>
          </cell>
          <cell r="G1133">
            <v>13.574324324324396</v>
          </cell>
          <cell r="H1133">
            <v>13.574324324324396</v>
          </cell>
          <cell r="I1133" t="e">
            <v>#N/A</v>
          </cell>
          <cell r="J1133" t="e">
            <v>#N/A</v>
          </cell>
          <cell r="K1133">
            <v>17.5</v>
          </cell>
          <cell r="L1133">
            <v>14</v>
          </cell>
          <cell r="M1133" t="e">
            <v>#N/A</v>
          </cell>
          <cell r="N1133">
            <v>16.5</v>
          </cell>
          <cell r="O1133" t="e">
            <v>#N/A</v>
          </cell>
          <cell r="P1133" t="str">
            <v/>
          </cell>
          <cell r="Q1133" t="str">
            <v/>
          </cell>
          <cell r="R1133">
            <v>16.5</v>
          </cell>
        </row>
        <row r="1134">
          <cell r="A1134" t="str">
            <v/>
          </cell>
          <cell r="B1134" t="str">
            <v/>
          </cell>
          <cell r="C1134" t="str">
            <v>Future</v>
          </cell>
          <cell r="D1134" t="e">
            <v>#N/A</v>
          </cell>
          <cell r="E1134">
            <v>-17.508108108108214</v>
          </cell>
          <cell r="F1134">
            <v>21.343243243243617</v>
          </cell>
          <cell r="G1134">
            <v>13.572972972973044</v>
          </cell>
          <cell r="H1134">
            <v>13.572972972973044</v>
          </cell>
          <cell r="I1134" t="e">
            <v>#N/A</v>
          </cell>
          <cell r="J1134" t="e">
            <v>#N/A</v>
          </cell>
          <cell r="K1134">
            <v>17.5</v>
          </cell>
          <cell r="L1134">
            <v>14</v>
          </cell>
          <cell r="M1134" t="e">
            <v>#N/A</v>
          </cell>
          <cell r="N1134">
            <v>16.5</v>
          </cell>
          <cell r="O1134" t="e">
            <v>#N/A</v>
          </cell>
          <cell r="P1134" t="str">
            <v/>
          </cell>
          <cell r="Q1134" t="str">
            <v/>
          </cell>
          <cell r="R1134">
            <v>16.5</v>
          </cell>
        </row>
        <row r="1135">
          <cell r="A1135" t="str">
            <v/>
          </cell>
          <cell r="B1135" t="str">
            <v/>
          </cell>
          <cell r="C1135" t="str">
            <v>Future</v>
          </cell>
          <cell r="D1135" t="e">
            <v>#N/A</v>
          </cell>
          <cell r="E1135">
            <v>-17.56351351351362</v>
          </cell>
          <cell r="F1135">
            <v>21.355405405405779</v>
          </cell>
          <cell r="G1135">
            <v>13.571621621621693</v>
          </cell>
          <cell r="H1135">
            <v>13.571621621621693</v>
          </cell>
          <cell r="I1135" t="e">
            <v>#N/A</v>
          </cell>
          <cell r="J1135" t="e">
            <v>#N/A</v>
          </cell>
          <cell r="K1135">
            <v>17.5</v>
          </cell>
          <cell r="L1135">
            <v>14</v>
          </cell>
          <cell r="M1135" t="e">
            <v>#N/A</v>
          </cell>
          <cell r="N1135">
            <v>16.5</v>
          </cell>
          <cell r="O1135" t="e">
            <v>#N/A</v>
          </cell>
          <cell r="P1135" t="str">
            <v/>
          </cell>
          <cell r="Q1135" t="str">
            <v/>
          </cell>
          <cell r="R1135">
            <v>16.5</v>
          </cell>
        </row>
        <row r="1136">
          <cell r="A1136" t="str">
            <v/>
          </cell>
          <cell r="B1136" t="str">
            <v/>
          </cell>
          <cell r="C1136" t="str">
            <v>Future</v>
          </cell>
          <cell r="D1136" t="e">
            <v>#N/A</v>
          </cell>
          <cell r="E1136">
            <v>-17.618918918919025</v>
          </cell>
          <cell r="F1136">
            <v>21.367567567567942</v>
          </cell>
          <cell r="G1136">
            <v>13.570270270270342</v>
          </cell>
          <cell r="H1136">
            <v>13.570270270270342</v>
          </cell>
          <cell r="I1136" t="e">
            <v>#N/A</v>
          </cell>
          <cell r="J1136" t="e">
            <v>#N/A</v>
          </cell>
          <cell r="K1136">
            <v>17.5</v>
          </cell>
          <cell r="L1136">
            <v>14</v>
          </cell>
          <cell r="M1136" t="e">
            <v>#N/A</v>
          </cell>
          <cell r="N1136">
            <v>16.5</v>
          </cell>
          <cell r="O1136" t="e">
            <v>#N/A</v>
          </cell>
          <cell r="P1136" t="str">
            <v/>
          </cell>
          <cell r="Q1136" t="str">
            <v/>
          </cell>
          <cell r="R1136">
            <v>16.5</v>
          </cell>
        </row>
        <row r="1137">
          <cell r="A1137" t="str">
            <v/>
          </cell>
          <cell r="B1137" t="str">
            <v/>
          </cell>
          <cell r="C1137" t="str">
            <v>Future</v>
          </cell>
          <cell r="D1137" t="e">
            <v>#N/A</v>
          </cell>
          <cell r="E1137">
            <v>-17.674324324324431</v>
          </cell>
          <cell r="F1137">
            <v>21.379729729730105</v>
          </cell>
          <cell r="G1137">
            <v>13.568918918918991</v>
          </cell>
          <cell r="H1137">
            <v>13.568918918918991</v>
          </cell>
          <cell r="I1137" t="e">
            <v>#N/A</v>
          </cell>
          <cell r="J1137" t="e">
            <v>#N/A</v>
          </cell>
          <cell r="K1137">
            <v>17.5</v>
          </cell>
          <cell r="L1137">
            <v>14</v>
          </cell>
          <cell r="M1137" t="e">
            <v>#N/A</v>
          </cell>
          <cell r="N1137">
            <v>16.5</v>
          </cell>
          <cell r="O1137" t="e">
            <v>#N/A</v>
          </cell>
          <cell r="P1137" t="str">
            <v/>
          </cell>
          <cell r="Q1137" t="str">
            <v/>
          </cell>
          <cell r="R1137">
            <v>16.5</v>
          </cell>
        </row>
        <row r="1138">
          <cell r="A1138" t="str">
            <v/>
          </cell>
          <cell r="B1138" t="str">
            <v/>
          </cell>
          <cell r="C1138" t="str">
            <v>Future</v>
          </cell>
          <cell r="D1138" t="e">
            <v>#N/A</v>
          </cell>
          <cell r="E1138">
            <v>-17.729729729729836</v>
          </cell>
          <cell r="F1138">
            <v>21.391891891892268</v>
          </cell>
          <cell r="G1138">
            <v>13.567567567567639</v>
          </cell>
          <cell r="H1138">
            <v>13.567567567567639</v>
          </cell>
          <cell r="I1138" t="e">
            <v>#N/A</v>
          </cell>
          <cell r="J1138" t="e">
            <v>#N/A</v>
          </cell>
          <cell r="K1138">
            <v>17.5</v>
          </cell>
          <cell r="L1138">
            <v>14</v>
          </cell>
          <cell r="M1138" t="e">
            <v>#N/A</v>
          </cell>
          <cell r="N1138">
            <v>16.5</v>
          </cell>
          <cell r="O1138" t="e">
            <v>#N/A</v>
          </cell>
          <cell r="P1138" t="str">
            <v/>
          </cell>
          <cell r="Q1138" t="str">
            <v/>
          </cell>
          <cell r="R1138">
            <v>16.5</v>
          </cell>
        </row>
        <row r="1139">
          <cell r="A1139" t="str">
            <v/>
          </cell>
          <cell r="B1139" t="str">
            <v/>
          </cell>
          <cell r="C1139" t="str">
            <v>Future</v>
          </cell>
          <cell r="D1139" t="e">
            <v>#N/A</v>
          </cell>
          <cell r="E1139">
            <v>-17.785135135135242</v>
          </cell>
          <cell r="F1139">
            <v>21.404054054054431</v>
          </cell>
          <cell r="G1139">
            <v>13.566216216216288</v>
          </cell>
          <cell r="H1139">
            <v>13.566216216216288</v>
          </cell>
          <cell r="I1139" t="e">
            <v>#N/A</v>
          </cell>
          <cell r="J1139" t="e">
            <v>#N/A</v>
          </cell>
          <cell r="K1139">
            <v>17.5</v>
          </cell>
          <cell r="L1139">
            <v>14</v>
          </cell>
          <cell r="M1139" t="e">
            <v>#N/A</v>
          </cell>
          <cell r="N1139">
            <v>16.5</v>
          </cell>
          <cell r="O1139" t="e">
            <v>#N/A</v>
          </cell>
          <cell r="P1139" t="str">
            <v/>
          </cell>
          <cell r="Q1139" t="str">
            <v/>
          </cell>
          <cell r="R1139">
            <v>16.5</v>
          </cell>
        </row>
        <row r="1140">
          <cell r="A1140" t="str">
            <v/>
          </cell>
          <cell r="B1140" t="str">
            <v/>
          </cell>
          <cell r="C1140" t="str">
            <v>Future</v>
          </cell>
          <cell r="D1140" t="e">
            <v>#N/A</v>
          </cell>
          <cell r="E1140">
            <v>-17.840540540540648</v>
          </cell>
          <cell r="F1140">
            <v>21.416216216216593</v>
          </cell>
          <cell r="G1140">
            <v>13.564864864864937</v>
          </cell>
          <cell r="H1140">
            <v>13.564864864864937</v>
          </cell>
          <cell r="I1140" t="e">
            <v>#N/A</v>
          </cell>
          <cell r="J1140" t="e">
            <v>#N/A</v>
          </cell>
          <cell r="K1140">
            <v>17.5</v>
          </cell>
          <cell r="L1140">
            <v>14</v>
          </cell>
          <cell r="M1140" t="e">
            <v>#N/A</v>
          </cell>
          <cell r="N1140">
            <v>16.5</v>
          </cell>
          <cell r="O1140" t="e">
            <v>#N/A</v>
          </cell>
          <cell r="P1140" t="str">
            <v/>
          </cell>
          <cell r="Q1140" t="str">
            <v/>
          </cell>
          <cell r="R1140">
            <v>16.5</v>
          </cell>
        </row>
        <row r="1141">
          <cell r="A1141" t="str">
            <v/>
          </cell>
          <cell r="B1141" t="str">
            <v/>
          </cell>
          <cell r="C1141" t="str">
            <v>Future</v>
          </cell>
          <cell r="D1141" t="e">
            <v>#N/A</v>
          </cell>
          <cell r="E1141">
            <v>-17.895945945946053</v>
          </cell>
          <cell r="F1141">
            <v>21.428378378378756</v>
          </cell>
          <cell r="G1141">
            <v>13.563513513513586</v>
          </cell>
          <cell r="H1141">
            <v>13.563513513513586</v>
          </cell>
          <cell r="I1141" t="e">
            <v>#N/A</v>
          </cell>
          <cell r="J1141" t="e">
            <v>#N/A</v>
          </cell>
          <cell r="K1141">
            <v>17.5</v>
          </cell>
          <cell r="L1141">
            <v>14</v>
          </cell>
          <cell r="M1141" t="e">
            <v>#N/A</v>
          </cell>
          <cell r="N1141">
            <v>16.5</v>
          </cell>
          <cell r="O1141" t="e">
            <v>#N/A</v>
          </cell>
          <cell r="P1141" t="str">
            <v/>
          </cell>
          <cell r="Q1141" t="str">
            <v/>
          </cell>
          <cell r="R1141">
            <v>16.5</v>
          </cell>
        </row>
        <row r="1142">
          <cell r="A1142" t="str">
            <v/>
          </cell>
          <cell r="B1142" t="str">
            <v/>
          </cell>
          <cell r="C1142" t="str">
            <v>Future</v>
          </cell>
          <cell r="D1142" t="e">
            <v>#N/A</v>
          </cell>
          <cell r="E1142">
            <v>-17.951351351351459</v>
          </cell>
          <cell r="F1142">
            <v>21.440540540540919</v>
          </cell>
          <cell r="G1142">
            <v>13.562162162162235</v>
          </cell>
          <cell r="H1142">
            <v>13.562162162162235</v>
          </cell>
          <cell r="I1142" t="e">
            <v>#N/A</v>
          </cell>
          <cell r="J1142" t="e">
            <v>#N/A</v>
          </cell>
          <cell r="K1142">
            <v>17.5</v>
          </cell>
          <cell r="L1142">
            <v>14</v>
          </cell>
          <cell r="M1142" t="e">
            <v>#N/A</v>
          </cell>
          <cell r="N1142">
            <v>16.5</v>
          </cell>
          <cell r="O1142" t="e">
            <v>#N/A</v>
          </cell>
          <cell r="P1142" t="str">
            <v/>
          </cell>
          <cell r="Q1142" t="str">
            <v/>
          </cell>
          <cell r="R1142">
            <v>16.5</v>
          </cell>
        </row>
        <row r="1143">
          <cell r="A1143" t="str">
            <v/>
          </cell>
          <cell r="B1143" t="str">
            <v/>
          </cell>
          <cell r="C1143" t="str">
            <v>Future</v>
          </cell>
          <cell r="D1143" t="e">
            <v>#N/A</v>
          </cell>
          <cell r="E1143">
            <v>-18.006756756756864</v>
          </cell>
          <cell r="F1143">
            <v>21.452702702703082</v>
          </cell>
          <cell r="G1143">
            <v>13.560810810810883</v>
          </cell>
          <cell r="H1143">
            <v>13.560810810810883</v>
          </cell>
          <cell r="I1143" t="e">
            <v>#N/A</v>
          </cell>
          <cell r="J1143" t="e">
            <v>#N/A</v>
          </cell>
          <cell r="K1143">
            <v>17.5</v>
          </cell>
          <cell r="L1143">
            <v>14</v>
          </cell>
          <cell r="M1143" t="e">
            <v>#N/A</v>
          </cell>
          <cell r="N1143">
            <v>16.5</v>
          </cell>
          <cell r="O1143" t="e">
            <v>#N/A</v>
          </cell>
          <cell r="P1143" t="str">
            <v/>
          </cell>
          <cell r="Q1143" t="str">
            <v/>
          </cell>
          <cell r="R1143">
            <v>16.5</v>
          </cell>
        </row>
        <row r="1144">
          <cell r="A1144" t="str">
            <v/>
          </cell>
          <cell r="B1144" t="str">
            <v/>
          </cell>
          <cell r="C1144" t="str">
            <v>Future</v>
          </cell>
          <cell r="D1144" t="e">
            <v>#N/A</v>
          </cell>
          <cell r="E1144">
            <v>-18.06216216216227</v>
          </cell>
          <cell r="F1144">
            <v>21.464864864865245</v>
          </cell>
          <cell r="G1144">
            <v>13.559459459459532</v>
          </cell>
          <cell r="H1144">
            <v>13.559459459459532</v>
          </cell>
          <cell r="I1144" t="e">
            <v>#N/A</v>
          </cell>
          <cell r="J1144" t="e">
            <v>#N/A</v>
          </cell>
          <cell r="K1144">
            <v>17.5</v>
          </cell>
          <cell r="L1144">
            <v>14</v>
          </cell>
          <cell r="M1144" t="e">
            <v>#N/A</v>
          </cell>
          <cell r="N1144">
            <v>16.5</v>
          </cell>
          <cell r="O1144" t="e">
            <v>#N/A</v>
          </cell>
          <cell r="P1144" t="str">
            <v/>
          </cell>
          <cell r="Q1144" t="str">
            <v/>
          </cell>
          <cell r="R1144">
            <v>16.5</v>
          </cell>
        </row>
        <row r="1145">
          <cell r="A1145" t="str">
            <v/>
          </cell>
          <cell r="B1145" t="str">
            <v/>
          </cell>
          <cell r="C1145" t="str">
            <v>Future</v>
          </cell>
          <cell r="D1145" t="e">
            <v>#N/A</v>
          </cell>
          <cell r="E1145">
            <v>-18.117567567567676</v>
          </cell>
          <cell r="F1145">
            <v>21.477027027027408</v>
          </cell>
          <cell r="G1145">
            <v>13.558108108108181</v>
          </cell>
          <cell r="H1145">
            <v>13.558108108108181</v>
          </cell>
          <cell r="I1145" t="e">
            <v>#N/A</v>
          </cell>
          <cell r="J1145" t="e">
            <v>#N/A</v>
          </cell>
          <cell r="K1145">
            <v>17.5</v>
          </cell>
          <cell r="L1145">
            <v>14</v>
          </cell>
          <cell r="M1145" t="e">
            <v>#N/A</v>
          </cell>
          <cell r="N1145">
            <v>16.5</v>
          </cell>
          <cell r="O1145" t="e">
            <v>#N/A</v>
          </cell>
          <cell r="P1145" t="str">
            <v/>
          </cell>
          <cell r="Q1145" t="str">
            <v/>
          </cell>
          <cell r="R1145">
            <v>16.5</v>
          </cell>
        </row>
        <row r="1146">
          <cell r="A1146" t="str">
            <v/>
          </cell>
          <cell r="B1146" t="str">
            <v/>
          </cell>
          <cell r="C1146" t="str">
            <v>Future</v>
          </cell>
          <cell r="D1146" t="e">
            <v>#N/A</v>
          </cell>
          <cell r="E1146">
            <v>-18.172972972973081</v>
          </cell>
          <cell r="F1146">
            <v>21.48918918918957</v>
          </cell>
          <cell r="G1146">
            <v>13.55675675675683</v>
          </cell>
          <cell r="H1146">
            <v>13.55675675675683</v>
          </cell>
          <cell r="I1146" t="e">
            <v>#N/A</v>
          </cell>
          <cell r="J1146" t="e">
            <v>#N/A</v>
          </cell>
          <cell r="K1146">
            <v>17.5</v>
          </cell>
          <cell r="L1146">
            <v>14</v>
          </cell>
          <cell r="M1146" t="e">
            <v>#N/A</v>
          </cell>
          <cell r="N1146">
            <v>16.5</v>
          </cell>
          <cell r="O1146" t="e">
            <v>#N/A</v>
          </cell>
          <cell r="P1146" t="str">
            <v/>
          </cell>
          <cell r="Q1146" t="str">
            <v/>
          </cell>
          <cell r="R1146">
            <v>16.5</v>
          </cell>
        </row>
        <row r="1147">
          <cell r="A1147" t="str">
            <v/>
          </cell>
          <cell r="B1147" t="str">
            <v/>
          </cell>
          <cell r="C1147" t="str">
            <v>Future</v>
          </cell>
          <cell r="D1147" t="e">
            <v>#N/A</v>
          </cell>
          <cell r="E1147">
            <v>-18.228378378378487</v>
          </cell>
          <cell r="F1147">
            <v>21.501351351351733</v>
          </cell>
          <cell r="G1147">
            <v>13.555405405405478</v>
          </cell>
          <cell r="H1147">
            <v>13.555405405405478</v>
          </cell>
          <cell r="I1147" t="e">
            <v>#N/A</v>
          </cell>
          <cell r="J1147" t="e">
            <v>#N/A</v>
          </cell>
          <cell r="K1147">
            <v>17.5</v>
          </cell>
          <cell r="L1147">
            <v>14</v>
          </cell>
          <cell r="M1147" t="e">
            <v>#N/A</v>
          </cell>
          <cell r="N1147">
            <v>16.5</v>
          </cell>
          <cell r="O1147" t="e">
            <v>#N/A</v>
          </cell>
          <cell r="P1147" t="str">
            <v/>
          </cell>
          <cell r="Q1147" t="str">
            <v/>
          </cell>
          <cell r="R1147">
            <v>16.5</v>
          </cell>
        </row>
        <row r="1148">
          <cell r="A1148" t="str">
            <v/>
          </cell>
          <cell r="B1148" t="str">
            <v/>
          </cell>
          <cell r="C1148" t="str">
            <v>Future</v>
          </cell>
          <cell r="D1148" t="e">
            <v>#N/A</v>
          </cell>
          <cell r="E1148">
            <v>-18.283783783783893</v>
          </cell>
          <cell r="F1148">
            <v>21.513513513513896</v>
          </cell>
          <cell r="G1148">
            <v>13.554054054054127</v>
          </cell>
          <cell r="H1148">
            <v>13.554054054054127</v>
          </cell>
          <cell r="I1148" t="e">
            <v>#N/A</v>
          </cell>
          <cell r="J1148" t="e">
            <v>#N/A</v>
          </cell>
          <cell r="K1148">
            <v>17.5</v>
          </cell>
          <cell r="L1148">
            <v>14</v>
          </cell>
          <cell r="M1148" t="e">
            <v>#N/A</v>
          </cell>
          <cell r="N1148">
            <v>16.5</v>
          </cell>
          <cell r="O1148" t="e">
            <v>#N/A</v>
          </cell>
          <cell r="P1148" t="str">
            <v/>
          </cell>
          <cell r="Q1148" t="str">
            <v/>
          </cell>
          <cell r="R1148">
            <v>16.5</v>
          </cell>
        </row>
        <row r="1149">
          <cell r="A1149" t="str">
            <v/>
          </cell>
          <cell r="B1149" t="str">
            <v/>
          </cell>
          <cell r="C1149" t="str">
            <v>Future</v>
          </cell>
          <cell r="D1149" t="e">
            <v>#N/A</v>
          </cell>
          <cell r="E1149">
            <v>-18.339189189189298</v>
          </cell>
          <cell r="F1149">
            <v>21.525675675676059</v>
          </cell>
          <cell r="G1149">
            <v>13.552702702702776</v>
          </cell>
          <cell r="H1149">
            <v>13.552702702702776</v>
          </cell>
          <cell r="I1149" t="e">
            <v>#N/A</v>
          </cell>
          <cell r="J1149" t="e">
            <v>#N/A</v>
          </cell>
          <cell r="K1149">
            <v>17.5</v>
          </cell>
          <cell r="L1149">
            <v>14</v>
          </cell>
          <cell r="M1149" t="e">
            <v>#N/A</v>
          </cell>
          <cell r="N1149">
            <v>16.5</v>
          </cell>
          <cell r="O1149" t="e">
            <v>#N/A</v>
          </cell>
          <cell r="P1149" t="str">
            <v/>
          </cell>
          <cell r="Q1149" t="str">
            <v/>
          </cell>
          <cell r="R1149">
            <v>16.5</v>
          </cell>
        </row>
        <row r="1150">
          <cell r="A1150" t="str">
            <v/>
          </cell>
          <cell r="B1150" t="str">
            <v/>
          </cell>
          <cell r="C1150" t="str">
            <v>Future</v>
          </cell>
          <cell r="D1150" t="e">
            <v>#N/A</v>
          </cell>
          <cell r="E1150">
            <v>-18.394594594594704</v>
          </cell>
          <cell r="F1150">
            <v>21.537837837838222</v>
          </cell>
          <cell r="G1150">
            <v>13.551351351351425</v>
          </cell>
          <cell r="H1150">
            <v>13.551351351351425</v>
          </cell>
          <cell r="I1150" t="e">
            <v>#N/A</v>
          </cell>
          <cell r="J1150" t="e">
            <v>#N/A</v>
          </cell>
          <cell r="K1150">
            <v>17.5</v>
          </cell>
          <cell r="L1150">
            <v>14</v>
          </cell>
          <cell r="M1150" t="e">
            <v>#N/A</v>
          </cell>
          <cell r="N1150">
            <v>16.5</v>
          </cell>
          <cell r="O1150" t="e">
            <v>#N/A</v>
          </cell>
          <cell r="P1150" t="str">
            <v/>
          </cell>
          <cell r="Q1150" t="str">
            <v/>
          </cell>
          <cell r="R1150">
            <v>16.5</v>
          </cell>
        </row>
        <row r="1151">
          <cell r="A1151" t="str">
            <v/>
          </cell>
          <cell r="B1151" t="str">
            <v/>
          </cell>
          <cell r="C1151" t="str">
            <v>Future</v>
          </cell>
          <cell r="D1151" t="e">
            <v>#N/A</v>
          </cell>
          <cell r="E1151">
            <v>-18.450000000000109</v>
          </cell>
          <cell r="F1151">
            <v>21.550000000000384</v>
          </cell>
          <cell r="G1151">
            <v>13.550000000000074</v>
          </cell>
          <cell r="H1151">
            <v>13.550000000000074</v>
          </cell>
          <cell r="I1151" t="e">
            <v>#N/A</v>
          </cell>
          <cell r="J1151" t="e">
            <v>#N/A</v>
          </cell>
          <cell r="K1151">
            <v>17.5</v>
          </cell>
          <cell r="L1151">
            <v>14</v>
          </cell>
          <cell r="M1151" t="e">
            <v>#N/A</v>
          </cell>
          <cell r="N1151">
            <v>16.5</v>
          </cell>
          <cell r="O1151" t="e">
            <v>#N/A</v>
          </cell>
          <cell r="P1151" t="str">
            <v/>
          </cell>
          <cell r="Q1151" t="str">
            <v/>
          </cell>
          <cell r="R1151">
            <v>16.5</v>
          </cell>
        </row>
        <row r="1152">
          <cell r="A1152" t="str">
            <v/>
          </cell>
          <cell r="B1152" t="str">
            <v/>
          </cell>
          <cell r="C1152" t="str">
            <v>Future</v>
          </cell>
          <cell r="D1152" t="e">
            <v>#N/A</v>
          </cell>
          <cell r="E1152">
            <v>-18.505405405405515</v>
          </cell>
          <cell r="F1152">
            <v>21.562162162162547</v>
          </cell>
          <cell r="G1152">
            <v>13.548648648648722</v>
          </cell>
          <cell r="H1152">
            <v>13.548648648648722</v>
          </cell>
          <cell r="I1152" t="e">
            <v>#N/A</v>
          </cell>
          <cell r="J1152" t="e">
            <v>#N/A</v>
          </cell>
          <cell r="K1152">
            <v>17.5</v>
          </cell>
          <cell r="L1152">
            <v>14</v>
          </cell>
          <cell r="M1152" t="e">
            <v>#N/A</v>
          </cell>
          <cell r="N1152">
            <v>16.5</v>
          </cell>
          <cell r="O1152" t="e">
            <v>#N/A</v>
          </cell>
          <cell r="P1152" t="str">
            <v/>
          </cell>
          <cell r="Q1152" t="str">
            <v/>
          </cell>
          <cell r="R1152">
            <v>16.5</v>
          </cell>
        </row>
        <row r="1153">
          <cell r="A1153" t="str">
            <v/>
          </cell>
          <cell r="B1153" t="str">
            <v/>
          </cell>
          <cell r="C1153" t="str">
            <v>Future</v>
          </cell>
          <cell r="D1153" t="e">
            <v>#N/A</v>
          </cell>
          <cell r="E1153">
            <v>-18.560810810810921</v>
          </cell>
          <cell r="F1153">
            <v>21.57432432432471</v>
          </cell>
          <cell r="G1153">
            <v>13.547297297297371</v>
          </cell>
          <cell r="H1153">
            <v>13.547297297297371</v>
          </cell>
          <cell r="I1153" t="e">
            <v>#N/A</v>
          </cell>
          <cell r="J1153" t="e">
            <v>#N/A</v>
          </cell>
          <cell r="K1153">
            <v>17.5</v>
          </cell>
          <cell r="L1153">
            <v>14</v>
          </cell>
          <cell r="M1153" t="e">
            <v>#N/A</v>
          </cell>
          <cell r="N1153">
            <v>16.5</v>
          </cell>
          <cell r="O1153" t="e">
            <v>#N/A</v>
          </cell>
          <cell r="P1153" t="str">
            <v/>
          </cell>
          <cell r="Q1153" t="str">
            <v/>
          </cell>
          <cell r="R1153">
            <v>16.5</v>
          </cell>
        </row>
        <row r="1154">
          <cell r="A1154" t="str">
            <v/>
          </cell>
          <cell r="B1154" t="str">
            <v/>
          </cell>
          <cell r="C1154" t="str">
            <v>Future</v>
          </cell>
          <cell r="D1154" t="e">
            <v>#N/A</v>
          </cell>
          <cell r="E1154">
            <v>-18.616216216216326</v>
          </cell>
          <cell r="F1154">
            <v>21.586486486486873</v>
          </cell>
          <cell r="G1154">
            <v>13.54594594594602</v>
          </cell>
          <cell r="H1154">
            <v>13.54594594594602</v>
          </cell>
          <cell r="I1154" t="e">
            <v>#N/A</v>
          </cell>
          <cell r="J1154" t="e">
            <v>#N/A</v>
          </cell>
          <cell r="K1154">
            <v>17.5</v>
          </cell>
          <cell r="L1154">
            <v>14</v>
          </cell>
          <cell r="M1154" t="e">
            <v>#N/A</v>
          </cell>
          <cell r="N1154">
            <v>16.5</v>
          </cell>
          <cell r="O1154" t="e">
            <v>#N/A</v>
          </cell>
          <cell r="P1154" t="str">
            <v/>
          </cell>
          <cell r="Q1154" t="str">
            <v/>
          </cell>
          <cell r="R1154">
            <v>16.5</v>
          </cell>
        </row>
        <row r="1155">
          <cell r="A1155" t="str">
            <v/>
          </cell>
          <cell r="B1155" t="str">
            <v/>
          </cell>
          <cell r="C1155" t="str">
            <v>Future</v>
          </cell>
          <cell r="D1155" t="e">
            <v>#N/A</v>
          </cell>
          <cell r="E1155">
            <v>-18.671621621621732</v>
          </cell>
          <cell r="F1155">
            <v>21.598648648649036</v>
          </cell>
          <cell r="G1155">
            <v>13.544594594594669</v>
          </cell>
          <cell r="H1155">
            <v>13.544594594594669</v>
          </cell>
          <cell r="I1155" t="e">
            <v>#N/A</v>
          </cell>
          <cell r="J1155" t="e">
            <v>#N/A</v>
          </cell>
          <cell r="K1155">
            <v>17.5</v>
          </cell>
          <cell r="L1155">
            <v>14</v>
          </cell>
          <cell r="M1155" t="e">
            <v>#N/A</v>
          </cell>
          <cell r="N1155">
            <v>16.5</v>
          </cell>
          <cell r="O1155" t="e">
            <v>#N/A</v>
          </cell>
          <cell r="P1155" t="str">
            <v/>
          </cell>
          <cell r="Q1155" t="str">
            <v/>
          </cell>
          <cell r="R1155">
            <v>16.5</v>
          </cell>
        </row>
        <row r="1156">
          <cell r="A1156" t="str">
            <v/>
          </cell>
          <cell r="B1156" t="str">
            <v/>
          </cell>
          <cell r="C1156" t="str">
            <v>Future</v>
          </cell>
          <cell r="D1156" t="e">
            <v>#N/A</v>
          </cell>
          <cell r="E1156">
            <v>-18.727027027027138</v>
          </cell>
          <cell r="F1156">
            <v>21.610810810811198</v>
          </cell>
          <cell r="G1156">
            <v>13.543243243243317</v>
          </cell>
          <cell r="H1156">
            <v>13.543243243243317</v>
          </cell>
          <cell r="I1156" t="e">
            <v>#N/A</v>
          </cell>
          <cell r="J1156" t="e">
            <v>#N/A</v>
          </cell>
          <cell r="K1156">
            <v>17.5</v>
          </cell>
          <cell r="L1156">
            <v>14</v>
          </cell>
          <cell r="M1156" t="e">
            <v>#N/A</v>
          </cell>
          <cell r="N1156">
            <v>16.5</v>
          </cell>
          <cell r="O1156" t="e">
            <v>#N/A</v>
          </cell>
          <cell r="P1156" t="str">
            <v/>
          </cell>
          <cell r="Q1156" t="str">
            <v/>
          </cell>
          <cell r="R1156">
            <v>16.5</v>
          </cell>
        </row>
        <row r="1157">
          <cell r="A1157" t="str">
            <v/>
          </cell>
          <cell r="B1157" t="str">
            <v/>
          </cell>
          <cell r="C1157" t="str">
            <v>Future</v>
          </cell>
          <cell r="D1157" t="e">
            <v>#N/A</v>
          </cell>
          <cell r="E1157">
            <v>-18.782432432432543</v>
          </cell>
          <cell r="F1157">
            <v>21.622972972973361</v>
          </cell>
          <cell r="G1157">
            <v>13.541891891891966</v>
          </cell>
          <cell r="H1157">
            <v>13.541891891891966</v>
          </cell>
          <cell r="I1157" t="e">
            <v>#N/A</v>
          </cell>
          <cell r="J1157" t="e">
            <v>#N/A</v>
          </cell>
          <cell r="K1157">
            <v>17.5</v>
          </cell>
          <cell r="L1157">
            <v>14</v>
          </cell>
          <cell r="M1157" t="e">
            <v>#N/A</v>
          </cell>
          <cell r="N1157">
            <v>16.5</v>
          </cell>
          <cell r="O1157" t="e">
            <v>#N/A</v>
          </cell>
          <cell r="P1157" t="str">
            <v/>
          </cell>
          <cell r="Q1157" t="str">
            <v/>
          </cell>
          <cell r="R1157">
            <v>16.5</v>
          </cell>
        </row>
        <row r="1158">
          <cell r="A1158" t="str">
            <v/>
          </cell>
          <cell r="B1158" t="str">
            <v/>
          </cell>
          <cell r="C1158" t="str">
            <v>Future</v>
          </cell>
          <cell r="D1158" t="e">
            <v>#N/A</v>
          </cell>
          <cell r="E1158">
            <v>-18.837837837837949</v>
          </cell>
          <cell r="F1158">
            <v>21.635135135135524</v>
          </cell>
          <cell r="G1158">
            <v>13.540540540540615</v>
          </cell>
          <cell r="H1158">
            <v>13.540540540540615</v>
          </cell>
          <cell r="I1158" t="e">
            <v>#N/A</v>
          </cell>
          <cell r="J1158" t="e">
            <v>#N/A</v>
          </cell>
          <cell r="K1158">
            <v>17.5</v>
          </cell>
          <cell r="L1158">
            <v>14</v>
          </cell>
          <cell r="M1158" t="e">
            <v>#N/A</v>
          </cell>
          <cell r="N1158">
            <v>16.5</v>
          </cell>
          <cell r="O1158" t="e">
            <v>#N/A</v>
          </cell>
          <cell r="P1158" t="str">
            <v/>
          </cell>
          <cell r="Q1158" t="str">
            <v/>
          </cell>
          <cell r="R1158">
            <v>16.5</v>
          </cell>
        </row>
        <row r="1159">
          <cell r="A1159" t="str">
            <v/>
          </cell>
          <cell r="B1159" t="str">
            <v/>
          </cell>
          <cell r="C1159" t="str">
            <v>Future</v>
          </cell>
          <cell r="D1159" t="e">
            <v>#N/A</v>
          </cell>
          <cell r="E1159">
            <v>-18.893243243243354</v>
          </cell>
          <cell r="F1159">
            <v>21.647297297297687</v>
          </cell>
          <cell r="G1159">
            <v>13.539189189189264</v>
          </cell>
          <cell r="H1159">
            <v>13.539189189189264</v>
          </cell>
          <cell r="I1159" t="e">
            <v>#N/A</v>
          </cell>
          <cell r="J1159" t="e">
            <v>#N/A</v>
          </cell>
          <cell r="K1159">
            <v>17.5</v>
          </cell>
          <cell r="L1159">
            <v>14</v>
          </cell>
          <cell r="M1159" t="e">
            <v>#N/A</v>
          </cell>
          <cell r="N1159">
            <v>16.5</v>
          </cell>
          <cell r="O1159" t="e">
            <v>#N/A</v>
          </cell>
          <cell r="P1159" t="str">
            <v/>
          </cell>
          <cell r="Q1159" t="str">
            <v/>
          </cell>
          <cell r="R1159">
            <v>16.5</v>
          </cell>
        </row>
        <row r="1160">
          <cell r="A1160" t="str">
            <v/>
          </cell>
          <cell r="B1160" t="str">
            <v/>
          </cell>
          <cell r="C1160" t="str">
            <v>Future</v>
          </cell>
          <cell r="D1160" t="e">
            <v>#N/A</v>
          </cell>
          <cell r="E1160">
            <v>-18.94864864864876</v>
          </cell>
          <cell r="F1160">
            <v>21.65945945945985</v>
          </cell>
          <cell r="G1160">
            <v>13.537837837837913</v>
          </cell>
          <cell r="H1160">
            <v>13.537837837837913</v>
          </cell>
          <cell r="I1160" t="e">
            <v>#N/A</v>
          </cell>
          <cell r="J1160" t="e">
            <v>#N/A</v>
          </cell>
          <cell r="K1160">
            <v>17.5</v>
          </cell>
          <cell r="L1160">
            <v>14</v>
          </cell>
          <cell r="M1160" t="e">
            <v>#N/A</v>
          </cell>
          <cell r="N1160">
            <v>16.5</v>
          </cell>
          <cell r="O1160" t="e">
            <v>#N/A</v>
          </cell>
          <cell r="P1160" t="str">
            <v/>
          </cell>
          <cell r="Q1160" t="str">
            <v/>
          </cell>
          <cell r="R1160">
            <v>16.5</v>
          </cell>
        </row>
        <row r="1161">
          <cell r="A1161" t="str">
            <v/>
          </cell>
          <cell r="B1161" t="str">
            <v/>
          </cell>
          <cell r="C1161" t="str">
            <v>Future</v>
          </cell>
          <cell r="D1161" t="e">
            <v>#N/A</v>
          </cell>
          <cell r="E1161">
            <v>-19.004054054054166</v>
          </cell>
          <cell r="F1161">
            <v>21.671621621622013</v>
          </cell>
          <cell r="G1161">
            <v>13.536486486486561</v>
          </cell>
          <cell r="H1161">
            <v>13.536486486486561</v>
          </cell>
          <cell r="I1161" t="e">
            <v>#N/A</v>
          </cell>
          <cell r="J1161" t="e">
            <v>#N/A</v>
          </cell>
          <cell r="K1161">
            <v>17.5</v>
          </cell>
          <cell r="L1161">
            <v>14</v>
          </cell>
          <cell r="M1161" t="e">
            <v>#N/A</v>
          </cell>
          <cell r="N1161">
            <v>16.5</v>
          </cell>
          <cell r="O1161" t="e">
            <v>#N/A</v>
          </cell>
          <cell r="P1161" t="str">
            <v/>
          </cell>
          <cell r="Q1161" t="str">
            <v/>
          </cell>
          <cell r="R1161">
            <v>16.5</v>
          </cell>
        </row>
        <row r="1162">
          <cell r="A1162" t="str">
            <v/>
          </cell>
          <cell r="B1162" t="str">
            <v/>
          </cell>
          <cell r="C1162" t="str">
            <v>Future</v>
          </cell>
          <cell r="D1162" t="e">
            <v>#N/A</v>
          </cell>
          <cell r="E1162">
            <v>-19.059459459459571</v>
          </cell>
          <cell r="F1162">
            <v>21.683783783784175</v>
          </cell>
          <cell r="G1162">
            <v>13.53513513513521</v>
          </cell>
          <cell r="H1162">
            <v>13.53513513513521</v>
          </cell>
          <cell r="I1162" t="e">
            <v>#N/A</v>
          </cell>
          <cell r="J1162" t="e">
            <v>#N/A</v>
          </cell>
          <cell r="K1162">
            <v>17.5</v>
          </cell>
          <cell r="L1162">
            <v>14</v>
          </cell>
          <cell r="M1162" t="e">
            <v>#N/A</v>
          </cell>
          <cell r="N1162">
            <v>16.5</v>
          </cell>
          <cell r="O1162" t="e">
            <v>#N/A</v>
          </cell>
          <cell r="P1162" t="str">
            <v/>
          </cell>
          <cell r="Q1162" t="str">
            <v/>
          </cell>
          <cell r="R1162">
            <v>16.5</v>
          </cell>
        </row>
        <row r="1163">
          <cell r="A1163" t="str">
            <v/>
          </cell>
          <cell r="B1163" t="str">
            <v/>
          </cell>
          <cell r="C1163" t="str">
            <v>Future</v>
          </cell>
          <cell r="D1163" t="e">
            <v>#N/A</v>
          </cell>
          <cell r="E1163">
            <v>-19.114864864864977</v>
          </cell>
          <cell r="F1163">
            <v>21.695945945946338</v>
          </cell>
          <cell r="G1163">
            <v>13.533783783783859</v>
          </cell>
          <cell r="H1163">
            <v>13.533783783783859</v>
          </cell>
          <cell r="I1163" t="e">
            <v>#N/A</v>
          </cell>
          <cell r="J1163" t="e">
            <v>#N/A</v>
          </cell>
          <cell r="K1163">
            <v>17.5</v>
          </cell>
          <cell r="L1163">
            <v>14</v>
          </cell>
          <cell r="M1163" t="e">
            <v>#N/A</v>
          </cell>
          <cell r="N1163">
            <v>16.5</v>
          </cell>
          <cell r="O1163" t="e">
            <v>#N/A</v>
          </cell>
          <cell r="P1163" t="str">
            <v/>
          </cell>
          <cell r="Q1163" t="str">
            <v/>
          </cell>
          <cell r="R1163">
            <v>16.5</v>
          </cell>
        </row>
        <row r="1164">
          <cell r="A1164" t="str">
            <v/>
          </cell>
          <cell r="B1164" t="str">
            <v/>
          </cell>
          <cell r="C1164" t="str">
            <v>Future</v>
          </cell>
          <cell r="D1164" t="e">
            <v>#N/A</v>
          </cell>
          <cell r="E1164">
            <v>-19.170270270270382</v>
          </cell>
          <cell r="F1164">
            <v>21.708108108108501</v>
          </cell>
          <cell r="G1164">
            <v>13.532432432432508</v>
          </cell>
          <cell r="H1164">
            <v>13.532432432432508</v>
          </cell>
          <cell r="I1164" t="e">
            <v>#N/A</v>
          </cell>
          <cell r="J1164" t="e">
            <v>#N/A</v>
          </cell>
          <cell r="K1164">
            <v>17.5</v>
          </cell>
          <cell r="L1164">
            <v>14</v>
          </cell>
          <cell r="M1164" t="e">
            <v>#N/A</v>
          </cell>
          <cell r="N1164">
            <v>16.5</v>
          </cell>
          <cell r="O1164" t="e">
            <v>#N/A</v>
          </cell>
          <cell r="P1164" t="str">
            <v/>
          </cell>
          <cell r="Q1164" t="str">
            <v/>
          </cell>
          <cell r="R1164">
            <v>16.5</v>
          </cell>
        </row>
        <row r="1165">
          <cell r="A1165" t="str">
            <v/>
          </cell>
          <cell r="B1165" t="str">
            <v/>
          </cell>
          <cell r="C1165" t="str">
            <v>Future</v>
          </cell>
          <cell r="D1165" t="e">
            <v>#N/A</v>
          </cell>
          <cell r="E1165">
            <v>-19.225675675675788</v>
          </cell>
          <cell r="F1165">
            <v>21.720270270270664</v>
          </cell>
          <cell r="G1165">
            <v>13.531081081081156</v>
          </cell>
          <cell r="H1165">
            <v>13.531081081081156</v>
          </cell>
          <cell r="I1165" t="e">
            <v>#N/A</v>
          </cell>
          <cell r="J1165" t="e">
            <v>#N/A</v>
          </cell>
          <cell r="K1165">
            <v>17.5</v>
          </cell>
          <cell r="L1165">
            <v>14</v>
          </cell>
          <cell r="M1165" t="e">
            <v>#N/A</v>
          </cell>
          <cell r="N1165">
            <v>16.5</v>
          </cell>
          <cell r="O1165" t="e">
            <v>#N/A</v>
          </cell>
          <cell r="P1165" t="str">
            <v/>
          </cell>
          <cell r="Q1165" t="str">
            <v/>
          </cell>
          <cell r="R1165">
            <v>16.5</v>
          </cell>
        </row>
        <row r="1166">
          <cell r="A1166" t="str">
            <v/>
          </cell>
          <cell r="B1166" t="str">
            <v/>
          </cell>
          <cell r="C1166" t="str">
            <v>Future</v>
          </cell>
          <cell r="D1166" t="e">
            <v>#N/A</v>
          </cell>
          <cell r="E1166">
            <v>-19.281081081081194</v>
          </cell>
          <cell r="F1166">
            <v>21.732432432432827</v>
          </cell>
          <cell r="G1166">
            <v>13.529729729729805</v>
          </cell>
          <cell r="H1166">
            <v>13.529729729729805</v>
          </cell>
          <cell r="I1166" t="e">
            <v>#N/A</v>
          </cell>
          <cell r="J1166" t="e">
            <v>#N/A</v>
          </cell>
          <cell r="K1166">
            <v>17.5</v>
          </cell>
          <cell r="L1166">
            <v>14</v>
          </cell>
          <cell r="M1166" t="e">
            <v>#N/A</v>
          </cell>
          <cell r="N1166">
            <v>16.5</v>
          </cell>
          <cell r="O1166" t="e">
            <v>#N/A</v>
          </cell>
          <cell r="P1166" t="str">
            <v/>
          </cell>
          <cell r="Q1166" t="str">
            <v/>
          </cell>
          <cell r="R1166">
            <v>16.5</v>
          </cell>
        </row>
        <row r="1167">
          <cell r="A1167" t="str">
            <v/>
          </cell>
          <cell r="B1167" t="str">
            <v/>
          </cell>
          <cell r="C1167" t="str">
            <v>Future</v>
          </cell>
          <cell r="D1167" t="e">
            <v>#N/A</v>
          </cell>
          <cell r="E1167">
            <v>-19.336486486486599</v>
          </cell>
          <cell r="F1167">
            <v>21.744594594594989</v>
          </cell>
          <cell r="G1167">
            <v>13.528378378378454</v>
          </cell>
          <cell r="H1167">
            <v>13.528378378378454</v>
          </cell>
          <cell r="I1167" t="e">
            <v>#N/A</v>
          </cell>
          <cell r="J1167" t="e">
            <v>#N/A</v>
          </cell>
          <cell r="K1167">
            <v>17.5</v>
          </cell>
          <cell r="L1167">
            <v>14</v>
          </cell>
          <cell r="M1167" t="e">
            <v>#N/A</v>
          </cell>
          <cell r="N1167">
            <v>16.5</v>
          </cell>
          <cell r="O1167" t="e">
            <v>#N/A</v>
          </cell>
          <cell r="P1167" t="str">
            <v/>
          </cell>
          <cell r="Q1167" t="str">
            <v/>
          </cell>
          <cell r="R1167">
            <v>16.5</v>
          </cell>
        </row>
        <row r="1168">
          <cell r="A1168" t="str">
            <v/>
          </cell>
          <cell r="B1168" t="str">
            <v/>
          </cell>
          <cell r="C1168" t="str">
            <v>Future</v>
          </cell>
          <cell r="D1168" t="e">
            <v>#N/A</v>
          </cell>
          <cell r="E1168">
            <v>-19.391891891892005</v>
          </cell>
          <cell r="F1168">
            <v>21.756756756757152</v>
          </cell>
          <cell r="G1168">
            <v>13.527027027027103</v>
          </cell>
          <cell r="H1168">
            <v>13.527027027027103</v>
          </cell>
          <cell r="I1168" t="e">
            <v>#N/A</v>
          </cell>
          <cell r="J1168" t="e">
            <v>#N/A</v>
          </cell>
          <cell r="K1168">
            <v>17.5</v>
          </cell>
          <cell r="L1168">
            <v>14</v>
          </cell>
          <cell r="M1168" t="e">
            <v>#N/A</v>
          </cell>
          <cell r="N1168">
            <v>16.5</v>
          </cell>
          <cell r="O1168" t="e">
            <v>#N/A</v>
          </cell>
          <cell r="P1168" t="str">
            <v/>
          </cell>
          <cell r="Q1168" t="str">
            <v/>
          </cell>
          <cell r="R1168">
            <v>16.5</v>
          </cell>
        </row>
        <row r="1169">
          <cell r="A1169" t="str">
            <v/>
          </cell>
          <cell r="B1169" t="str">
            <v/>
          </cell>
          <cell r="C1169" t="str">
            <v>Future</v>
          </cell>
          <cell r="D1169" t="e">
            <v>#N/A</v>
          </cell>
          <cell r="E1169">
            <v>-19.447297297297411</v>
          </cell>
          <cell r="F1169">
            <v>21.768918918919315</v>
          </cell>
          <cell r="G1169">
            <v>13.525675675675751</v>
          </cell>
          <cell r="H1169">
            <v>13.525675675675751</v>
          </cell>
          <cell r="I1169" t="e">
            <v>#N/A</v>
          </cell>
          <cell r="J1169" t="e">
            <v>#N/A</v>
          </cell>
          <cell r="K1169">
            <v>17.5</v>
          </cell>
          <cell r="L1169">
            <v>14</v>
          </cell>
          <cell r="M1169" t="e">
            <v>#N/A</v>
          </cell>
          <cell r="N1169">
            <v>16.5</v>
          </cell>
          <cell r="O1169" t="e">
            <v>#N/A</v>
          </cell>
          <cell r="P1169" t="str">
            <v/>
          </cell>
          <cell r="Q1169" t="str">
            <v/>
          </cell>
          <cell r="R1169">
            <v>16.5</v>
          </cell>
        </row>
        <row r="1170">
          <cell r="A1170" t="str">
            <v/>
          </cell>
          <cell r="B1170" t="str">
            <v/>
          </cell>
          <cell r="C1170" t="str">
            <v>Future</v>
          </cell>
          <cell r="D1170" t="e">
            <v>#N/A</v>
          </cell>
          <cell r="E1170">
            <v>-19.502702702702816</v>
          </cell>
          <cell r="F1170">
            <v>21.781081081081478</v>
          </cell>
          <cell r="G1170">
            <v>13.5243243243244</v>
          </cell>
          <cell r="H1170">
            <v>13.5243243243244</v>
          </cell>
          <cell r="I1170" t="e">
            <v>#N/A</v>
          </cell>
          <cell r="J1170" t="e">
            <v>#N/A</v>
          </cell>
          <cell r="K1170">
            <v>17.5</v>
          </cell>
          <cell r="L1170">
            <v>14</v>
          </cell>
          <cell r="M1170" t="e">
            <v>#N/A</v>
          </cell>
          <cell r="N1170">
            <v>16.5</v>
          </cell>
          <cell r="O1170" t="e">
            <v>#N/A</v>
          </cell>
          <cell r="P1170" t="str">
            <v/>
          </cell>
          <cell r="Q1170" t="str">
            <v/>
          </cell>
          <cell r="R1170">
            <v>16.5</v>
          </cell>
        </row>
        <row r="1171">
          <cell r="A1171" t="str">
            <v/>
          </cell>
          <cell r="B1171" t="str">
            <v/>
          </cell>
          <cell r="C1171" t="str">
            <v>Future</v>
          </cell>
          <cell r="D1171" t="e">
            <v>#N/A</v>
          </cell>
          <cell r="E1171">
            <v>-19.558108108108222</v>
          </cell>
          <cell r="F1171">
            <v>21.793243243243641</v>
          </cell>
          <cell r="G1171">
            <v>13.522972972973049</v>
          </cell>
          <cell r="H1171">
            <v>13.522972972973049</v>
          </cell>
          <cell r="I1171" t="e">
            <v>#N/A</v>
          </cell>
          <cell r="J1171" t="e">
            <v>#N/A</v>
          </cell>
          <cell r="K1171">
            <v>17.5</v>
          </cell>
          <cell r="L1171">
            <v>14</v>
          </cell>
          <cell r="M1171" t="e">
            <v>#N/A</v>
          </cell>
          <cell r="N1171">
            <v>16.5</v>
          </cell>
          <cell r="O1171" t="e">
            <v>#N/A</v>
          </cell>
          <cell r="P1171" t="str">
            <v/>
          </cell>
          <cell r="Q1171" t="str">
            <v/>
          </cell>
          <cell r="R1171">
            <v>16.5</v>
          </cell>
        </row>
        <row r="1172">
          <cell r="A1172" t="str">
            <v/>
          </cell>
          <cell r="B1172" t="str">
            <v/>
          </cell>
          <cell r="C1172" t="str">
            <v>Future</v>
          </cell>
          <cell r="D1172" t="e">
            <v>#N/A</v>
          </cell>
          <cell r="E1172">
            <v>-19.613513513513627</v>
          </cell>
          <cell r="F1172">
            <v>21.805405405405804</v>
          </cell>
          <cell r="G1172">
            <v>13.521621621621698</v>
          </cell>
          <cell r="H1172">
            <v>13.521621621621698</v>
          </cell>
          <cell r="I1172" t="e">
            <v>#N/A</v>
          </cell>
          <cell r="J1172" t="e">
            <v>#N/A</v>
          </cell>
          <cell r="K1172">
            <v>17.5</v>
          </cell>
          <cell r="L1172">
            <v>14</v>
          </cell>
          <cell r="M1172" t="e">
            <v>#N/A</v>
          </cell>
          <cell r="N1172">
            <v>16.5</v>
          </cell>
          <cell r="O1172" t="e">
            <v>#N/A</v>
          </cell>
          <cell r="P1172" t="str">
            <v/>
          </cell>
          <cell r="Q1172" t="str">
            <v/>
          </cell>
          <cell r="R1172">
            <v>16.5</v>
          </cell>
        </row>
        <row r="1173">
          <cell r="A1173" t="str">
            <v/>
          </cell>
          <cell r="B1173" t="str">
            <v/>
          </cell>
          <cell r="C1173" t="str">
            <v>Future</v>
          </cell>
          <cell r="D1173" t="e">
            <v>#N/A</v>
          </cell>
          <cell r="E1173">
            <v>-19.668918918919033</v>
          </cell>
          <cell r="F1173">
            <v>21.817567567567966</v>
          </cell>
          <cell r="G1173">
            <v>13.520270270270347</v>
          </cell>
          <cell r="H1173">
            <v>13.520270270270347</v>
          </cell>
          <cell r="I1173" t="e">
            <v>#N/A</v>
          </cell>
          <cell r="J1173" t="e">
            <v>#N/A</v>
          </cell>
          <cell r="K1173">
            <v>17.5</v>
          </cell>
          <cell r="L1173">
            <v>14</v>
          </cell>
          <cell r="M1173" t="e">
            <v>#N/A</v>
          </cell>
          <cell r="N1173">
            <v>16.5</v>
          </cell>
          <cell r="O1173" t="e">
            <v>#N/A</v>
          </cell>
          <cell r="P1173" t="str">
            <v/>
          </cell>
          <cell r="Q1173" t="str">
            <v/>
          </cell>
          <cell r="R1173">
            <v>16.5</v>
          </cell>
        </row>
        <row r="1174">
          <cell r="A1174" t="str">
            <v/>
          </cell>
          <cell r="B1174" t="str">
            <v/>
          </cell>
          <cell r="C1174" t="str">
            <v>Future</v>
          </cell>
          <cell r="D1174" t="e">
            <v>#N/A</v>
          </cell>
          <cell r="E1174">
            <v>-19.724324324324439</v>
          </cell>
          <cell r="F1174">
            <v>21.829729729730129</v>
          </cell>
          <cell r="G1174">
            <v>13.518918918918995</v>
          </cell>
          <cell r="H1174">
            <v>13.518918918918995</v>
          </cell>
          <cell r="I1174" t="e">
            <v>#N/A</v>
          </cell>
          <cell r="J1174" t="e">
            <v>#N/A</v>
          </cell>
          <cell r="K1174">
            <v>17.5</v>
          </cell>
          <cell r="L1174">
            <v>14</v>
          </cell>
          <cell r="M1174" t="e">
            <v>#N/A</v>
          </cell>
          <cell r="N1174">
            <v>16.5</v>
          </cell>
          <cell r="O1174" t="e">
            <v>#N/A</v>
          </cell>
          <cell r="P1174" t="str">
            <v/>
          </cell>
          <cell r="Q1174" t="str">
            <v/>
          </cell>
          <cell r="R1174">
            <v>16.5</v>
          </cell>
        </row>
        <row r="1175">
          <cell r="A1175" t="str">
            <v/>
          </cell>
          <cell r="B1175" t="str">
            <v/>
          </cell>
          <cell r="C1175" t="str">
            <v>Future</v>
          </cell>
          <cell r="D1175" t="e">
            <v>#N/A</v>
          </cell>
          <cell r="E1175">
            <v>-19.779729729729844</v>
          </cell>
          <cell r="F1175">
            <v>21.841891891892292</v>
          </cell>
          <cell r="G1175">
            <v>13.517567567567644</v>
          </cell>
          <cell r="H1175">
            <v>13.517567567567644</v>
          </cell>
          <cell r="I1175" t="e">
            <v>#N/A</v>
          </cell>
          <cell r="J1175" t="e">
            <v>#N/A</v>
          </cell>
          <cell r="K1175">
            <v>17.5</v>
          </cell>
          <cell r="L1175">
            <v>14</v>
          </cell>
          <cell r="M1175" t="e">
            <v>#N/A</v>
          </cell>
          <cell r="N1175">
            <v>16.5</v>
          </cell>
          <cell r="O1175" t="e">
            <v>#N/A</v>
          </cell>
          <cell r="P1175" t="str">
            <v/>
          </cell>
          <cell r="Q1175" t="str">
            <v/>
          </cell>
          <cell r="R1175">
            <v>16.5</v>
          </cell>
        </row>
        <row r="1176">
          <cell r="A1176" t="str">
            <v/>
          </cell>
          <cell r="B1176" t="str">
            <v/>
          </cell>
          <cell r="C1176" t="str">
            <v>Future</v>
          </cell>
          <cell r="D1176" t="e">
            <v>#N/A</v>
          </cell>
          <cell r="E1176">
            <v>-19.83513513513525</v>
          </cell>
          <cell r="F1176">
            <v>21.854054054054455</v>
          </cell>
          <cell r="G1176">
            <v>13.516216216216293</v>
          </cell>
          <cell r="H1176">
            <v>13.516216216216293</v>
          </cell>
          <cell r="I1176" t="e">
            <v>#N/A</v>
          </cell>
          <cell r="J1176" t="e">
            <v>#N/A</v>
          </cell>
          <cell r="K1176">
            <v>17.5</v>
          </cell>
          <cell r="L1176">
            <v>14</v>
          </cell>
          <cell r="M1176" t="e">
            <v>#N/A</v>
          </cell>
          <cell r="N1176">
            <v>16.5</v>
          </cell>
          <cell r="O1176" t="e">
            <v>#N/A</v>
          </cell>
          <cell r="P1176" t="str">
            <v/>
          </cell>
          <cell r="Q1176" t="str">
            <v/>
          </cell>
          <cell r="R1176">
            <v>16.5</v>
          </cell>
        </row>
        <row r="1177">
          <cell r="A1177" t="str">
            <v/>
          </cell>
          <cell r="B1177" t="str">
            <v/>
          </cell>
          <cell r="C1177" t="str">
            <v>Future</v>
          </cell>
          <cell r="D1177" t="e">
            <v>#N/A</v>
          </cell>
          <cell r="E1177">
            <v>-19.890540540540655</v>
          </cell>
          <cell r="F1177">
            <v>21.866216216216618</v>
          </cell>
          <cell r="G1177">
            <v>13.514864864864942</v>
          </cell>
          <cell r="H1177">
            <v>13.514864864864942</v>
          </cell>
          <cell r="I1177" t="e">
            <v>#N/A</v>
          </cell>
          <cell r="J1177" t="e">
            <v>#N/A</v>
          </cell>
          <cell r="K1177">
            <v>17.5</v>
          </cell>
          <cell r="L1177">
            <v>14</v>
          </cell>
          <cell r="M1177" t="e">
            <v>#N/A</v>
          </cell>
          <cell r="N1177">
            <v>16.5</v>
          </cell>
          <cell r="O1177" t="e">
            <v>#N/A</v>
          </cell>
          <cell r="P1177" t="str">
            <v/>
          </cell>
          <cell r="Q1177" t="str">
            <v/>
          </cell>
          <cell r="R1177">
            <v>16.5</v>
          </cell>
        </row>
        <row r="1178">
          <cell r="A1178" t="str">
            <v/>
          </cell>
          <cell r="B1178" t="str">
            <v/>
          </cell>
          <cell r="C1178" t="str">
            <v>Future</v>
          </cell>
          <cell r="D1178" t="e">
            <v>#N/A</v>
          </cell>
          <cell r="E1178">
            <v>-19.945945945946061</v>
          </cell>
          <cell r="F1178">
            <v>21.87837837837878</v>
          </cell>
          <cell r="G1178">
            <v>13.51351351351359</v>
          </cell>
          <cell r="H1178">
            <v>13.51351351351359</v>
          </cell>
          <cell r="I1178" t="e">
            <v>#N/A</v>
          </cell>
          <cell r="J1178" t="e">
            <v>#N/A</v>
          </cell>
          <cell r="K1178">
            <v>17.5</v>
          </cell>
          <cell r="L1178">
            <v>14</v>
          </cell>
          <cell r="M1178" t="e">
            <v>#N/A</v>
          </cell>
          <cell r="N1178">
            <v>16.5</v>
          </cell>
          <cell r="O1178" t="e">
            <v>#N/A</v>
          </cell>
          <cell r="P1178" t="str">
            <v/>
          </cell>
          <cell r="Q1178" t="str">
            <v/>
          </cell>
          <cell r="R1178">
            <v>16.5</v>
          </cell>
        </row>
        <row r="1179">
          <cell r="A1179" t="str">
            <v/>
          </cell>
          <cell r="B1179" t="str">
            <v/>
          </cell>
          <cell r="C1179" t="str">
            <v>Future</v>
          </cell>
          <cell r="D1179" t="e">
            <v>#N/A</v>
          </cell>
          <cell r="E1179">
            <v>-20.001351351351467</v>
          </cell>
          <cell r="F1179">
            <v>21.890540540540943</v>
          </cell>
          <cell r="G1179">
            <v>13.512162162162239</v>
          </cell>
          <cell r="H1179">
            <v>13.512162162162239</v>
          </cell>
          <cell r="I1179" t="e">
            <v>#N/A</v>
          </cell>
          <cell r="J1179" t="e">
            <v>#N/A</v>
          </cell>
          <cell r="K1179">
            <v>17.5</v>
          </cell>
          <cell r="L1179">
            <v>14</v>
          </cell>
          <cell r="M1179" t="e">
            <v>#N/A</v>
          </cell>
          <cell r="N1179">
            <v>16.5</v>
          </cell>
          <cell r="O1179" t="e">
            <v>#N/A</v>
          </cell>
          <cell r="P1179" t="str">
            <v/>
          </cell>
          <cell r="Q1179" t="str">
            <v/>
          </cell>
          <cell r="R1179">
            <v>16.5</v>
          </cell>
        </row>
        <row r="1180">
          <cell r="A1180" t="str">
            <v/>
          </cell>
          <cell r="B1180" t="str">
            <v/>
          </cell>
          <cell r="C1180" t="str">
            <v>Future</v>
          </cell>
          <cell r="D1180" t="e">
            <v>#N/A</v>
          </cell>
          <cell r="E1180">
            <v>-20.056756756756872</v>
          </cell>
          <cell r="F1180">
            <v>21.902702702703106</v>
          </cell>
          <cell r="G1180">
            <v>13.510810810810888</v>
          </cell>
          <cell r="H1180">
            <v>13.510810810810888</v>
          </cell>
          <cell r="I1180" t="e">
            <v>#N/A</v>
          </cell>
          <cell r="J1180" t="e">
            <v>#N/A</v>
          </cell>
          <cell r="K1180">
            <v>17.5</v>
          </cell>
          <cell r="L1180">
            <v>14</v>
          </cell>
          <cell r="M1180" t="e">
            <v>#N/A</v>
          </cell>
          <cell r="N1180">
            <v>16.5</v>
          </cell>
          <cell r="O1180" t="e">
            <v>#N/A</v>
          </cell>
          <cell r="P1180" t="str">
            <v/>
          </cell>
          <cell r="Q1180" t="str">
            <v/>
          </cell>
          <cell r="R1180">
            <v>16.5</v>
          </cell>
        </row>
        <row r="1181">
          <cell r="A1181" t="str">
            <v/>
          </cell>
          <cell r="B1181" t="str">
            <v/>
          </cell>
          <cell r="C1181" t="str">
            <v>Future</v>
          </cell>
          <cell r="D1181" t="e">
            <v>#N/A</v>
          </cell>
          <cell r="E1181">
            <v>-20.112162162162278</v>
          </cell>
          <cell r="F1181">
            <v>21.914864864865269</v>
          </cell>
          <cell r="G1181">
            <v>13.509459459459537</v>
          </cell>
          <cell r="H1181">
            <v>13.509459459459537</v>
          </cell>
          <cell r="I1181" t="e">
            <v>#N/A</v>
          </cell>
          <cell r="J1181" t="e">
            <v>#N/A</v>
          </cell>
          <cell r="K1181">
            <v>17.5</v>
          </cell>
          <cell r="L1181">
            <v>14</v>
          </cell>
          <cell r="M1181" t="e">
            <v>#N/A</v>
          </cell>
          <cell r="N1181">
            <v>16.5</v>
          </cell>
          <cell r="O1181" t="e">
            <v>#N/A</v>
          </cell>
          <cell r="P1181" t="str">
            <v/>
          </cell>
          <cell r="Q1181" t="str">
            <v/>
          </cell>
          <cell r="R1181">
            <v>16.5</v>
          </cell>
        </row>
        <row r="1182">
          <cell r="A1182" t="str">
            <v/>
          </cell>
          <cell r="B1182" t="str">
            <v/>
          </cell>
          <cell r="C1182" t="str">
            <v>Future</v>
          </cell>
          <cell r="D1182" t="e">
            <v>#N/A</v>
          </cell>
          <cell r="E1182">
            <v>-20.167567567567684</v>
          </cell>
          <cell r="F1182">
            <v>21.927027027027432</v>
          </cell>
          <cell r="G1182">
            <v>13.508108108108186</v>
          </cell>
          <cell r="H1182">
            <v>13.508108108108186</v>
          </cell>
          <cell r="I1182" t="e">
            <v>#N/A</v>
          </cell>
          <cell r="J1182" t="e">
            <v>#N/A</v>
          </cell>
          <cell r="K1182">
            <v>17.5</v>
          </cell>
          <cell r="L1182">
            <v>14</v>
          </cell>
          <cell r="M1182" t="e">
            <v>#N/A</v>
          </cell>
          <cell r="N1182">
            <v>16.5</v>
          </cell>
          <cell r="O1182" t="e">
            <v>#N/A</v>
          </cell>
          <cell r="P1182" t="str">
            <v/>
          </cell>
          <cell r="Q1182" t="str">
            <v/>
          </cell>
          <cell r="R1182">
            <v>16.5</v>
          </cell>
        </row>
        <row r="1183">
          <cell r="A1183" t="str">
            <v/>
          </cell>
          <cell r="B1183" t="str">
            <v/>
          </cell>
          <cell r="C1183" t="str">
            <v>Future</v>
          </cell>
          <cell r="D1183" t="e">
            <v>#N/A</v>
          </cell>
          <cell r="E1183">
            <v>-20.222972972973089</v>
          </cell>
          <cell r="F1183">
            <v>21.939189189189594</v>
          </cell>
          <cell r="G1183">
            <v>13.506756756756834</v>
          </cell>
          <cell r="H1183">
            <v>13.506756756756834</v>
          </cell>
          <cell r="I1183" t="e">
            <v>#N/A</v>
          </cell>
          <cell r="J1183" t="e">
            <v>#N/A</v>
          </cell>
          <cell r="K1183">
            <v>17.5</v>
          </cell>
          <cell r="L1183">
            <v>14</v>
          </cell>
          <cell r="M1183" t="e">
            <v>#N/A</v>
          </cell>
          <cell r="N1183">
            <v>16.5</v>
          </cell>
          <cell r="O1183" t="e">
            <v>#N/A</v>
          </cell>
          <cell r="P1183" t="str">
            <v/>
          </cell>
          <cell r="Q1183" t="str">
            <v/>
          </cell>
          <cell r="R1183">
            <v>16.5</v>
          </cell>
        </row>
        <row r="1184">
          <cell r="A1184" t="str">
            <v/>
          </cell>
          <cell r="B1184" t="str">
            <v/>
          </cell>
          <cell r="C1184" t="str">
            <v>Future</v>
          </cell>
          <cell r="D1184" t="e">
            <v>#N/A</v>
          </cell>
          <cell r="E1184">
            <v>-20.278378378378495</v>
          </cell>
          <cell r="F1184">
            <v>21.951351351351757</v>
          </cell>
          <cell r="G1184">
            <v>13.505405405405483</v>
          </cell>
          <cell r="H1184">
            <v>13.505405405405483</v>
          </cell>
          <cell r="I1184" t="e">
            <v>#N/A</v>
          </cell>
          <cell r="J1184" t="e">
            <v>#N/A</v>
          </cell>
          <cell r="K1184">
            <v>17.5</v>
          </cell>
          <cell r="L1184">
            <v>14</v>
          </cell>
          <cell r="M1184" t="e">
            <v>#N/A</v>
          </cell>
          <cell r="N1184">
            <v>16.5</v>
          </cell>
          <cell r="O1184" t="e">
            <v>#N/A</v>
          </cell>
          <cell r="P1184" t="str">
            <v/>
          </cell>
          <cell r="Q1184" t="str">
            <v/>
          </cell>
          <cell r="R1184">
            <v>16.5</v>
          </cell>
        </row>
        <row r="1185">
          <cell r="A1185" t="str">
            <v/>
          </cell>
          <cell r="B1185" t="str">
            <v/>
          </cell>
          <cell r="C1185" t="str">
            <v>Future</v>
          </cell>
          <cell r="D1185" t="e">
            <v>#N/A</v>
          </cell>
          <cell r="E1185">
            <v>-20.3337837837839</v>
          </cell>
          <cell r="F1185">
            <v>21.96351351351392</v>
          </cell>
          <cell r="G1185">
            <v>13.504054054054132</v>
          </cell>
          <cell r="H1185">
            <v>13.504054054054132</v>
          </cell>
          <cell r="I1185" t="e">
            <v>#N/A</v>
          </cell>
          <cell r="J1185" t="e">
            <v>#N/A</v>
          </cell>
          <cell r="K1185">
            <v>17.5</v>
          </cell>
          <cell r="L1185">
            <v>14</v>
          </cell>
          <cell r="M1185" t="e">
            <v>#N/A</v>
          </cell>
          <cell r="N1185">
            <v>16.5</v>
          </cell>
          <cell r="O1185" t="e">
            <v>#N/A</v>
          </cell>
          <cell r="P1185" t="str">
            <v/>
          </cell>
          <cell r="Q1185" t="str">
            <v/>
          </cell>
          <cell r="R1185">
            <v>16.5</v>
          </cell>
        </row>
        <row r="1186">
          <cell r="A1186" t="str">
            <v/>
          </cell>
          <cell r="B1186" t="str">
            <v/>
          </cell>
          <cell r="C1186" t="str">
            <v>Future</v>
          </cell>
          <cell r="D1186" t="e">
            <v>#N/A</v>
          </cell>
          <cell r="E1186">
            <v>-20.389189189189306</v>
          </cell>
          <cell r="F1186">
            <v>21.975675675676083</v>
          </cell>
          <cell r="G1186">
            <v>13.502702702702781</v>
          </cell>
          <cell r="H1186">
            <v>13.502702702702781</v>
          </cell>
          <cell r="I1186" t="e">
            <v>#N/A</v>
          </cell>
          <cell r="J1186" t="e">
            <v>#N/A</v>
          </cell>
          <cell r="K1186">
            <v>17.5</v>
          </cell>
          <cell r="L1186">
            <v>14</v>
          </cell>
          <cell r="M1186" t="e">
            <v>#N/A</v>
          </cell>
          <cell r="N1186">
            <v>16.5</v>
          </cell>
          <cell r="O1186" t="e">
            <v>#N/A</v>
          </cell>
          <cell r="P1186" t="str">
            <v/>
          </cell>
          <cell r="Q1186" t="str">
            <v/>
          </cell>
          <cell r="R1186">
            <v>16.5</v>
          </cell>
        </row>
        <row r="1187">
          <cell r="A1187" t="str">
            <v/>
          </cell>
          <cell r="B1187" t="str">
            <v/>
          </cell>
          <cell r="C1187" t="str">
            <v>Future</v>
          </cell>
          <cell r="D1187" t="e">
            <v>#N/A</v>
          </cell>
          <cell r="E1187">
            <v>-20.444594594594712</v>
          </cell>
          <cell r="F1187">
            <v>21.987837837838246</v>
          </cell>
          <cell r="G1187">
            <v>13.501351351351429</v>
          </cell>
          <cell r="H1187">
            <v>13.501351351351429</v>
          </cell>
          <cell r="I1187" t="e">
            <v>#N/A</v>
          </cell>
          <cell r="J1187" t="e">
            <v>#N/A</v>
          </cell>
          <cell r="K1187">
            <v>17.5</v>
          </cell>
          <cell r="L1187">
            <v>14</v>
          </cell>
          <cell r="M1187" t="e">
            <v>#N/A</v>
          </cell>
          <cell r="N1187">
            <v>16.5</v>
          </cell>
          <cell r="O1187" t="e">
            <v>#N/A</v>
          </cell>
          <cell r="P1187" t="str">
            <v/>
          </cell>
          <cell r="Q1187" t="str">
            <v/>
          </cell>
          <cell r="R1187">
            <v>16.5</v>
          </cell>
        </row>
        <row r="1188">
          <cell r="A1188" t="str">
            <v/>
          </cell>
          <cell r="B1188" t="str">
            <v/>
          </cell>
          <cell r="C1188" t="str">
            <v>Future</v>
          </cell>
          <cell r="D1188" t="e">
            <v>#N/A</v>
          </cell>
          <cell r="E1188">
            <v>-20.500000000000117</v>
          </cell>
          <cell r="F1188">
            <v>22.000000000000409</v>
          </cell>
          <cell r="G1188">
            <v>13.500000000000078</v>
          </cell>
          <cell r="H1188">
            <v>13.500000000000078</v>
          </cell>
          <cell r="I1188" t="e">
            <v>#N/A</v>
          </cell>
          <cell r="J1188" t="e">
            <v>#N/A</v>
          </cell>
          <cell r="K1188">
            <v>17.5</v>
          </cell>
          <cell r="L1188">
            <v>14</v>
          </cell>
          <cell r="M1188" t="e">
            <v>#N/A</v>
          </cell>
          <cell r="N1188">
            <v>16.5</v>
          </cell>
          <cell r="O1188" t="e">
            <v>#N/A</v>
          </cell>
          <cell r="P1188" t="str">
            <v/>
          </cell>
          <cell r="Q1188" t="str">
            <v/>
          </cell>
          <cell r="R1188">
            <v>16.5</v>
          </cell>
        </row>
        <row r="1189">
          <cell r="A1189" t="str">
            <v/>
          </cell>
          <cell r="B1189" t="str">
            <v/>
          </cell>
          <cell r="C1189" t="str">
            <v>Future</v>
          </cell>
          <cell r="D1189" t="e">
            <v>#N/A</v>
          </cell>
          <cell r="E1189">
            <v>-20.555405405405523</v>
          </cell>
          <cell r="F1189">
            <v>22.012162162162571</v>
          </cell>
          <cell r="G1189">
            <v>13.498648648648727</v>
          </cell>
          <cell r="H1189">
            <v>13.498648648648727</v>
          </cell>
          <cell r="I1189" t="e">
            <v>#N/A</v>
          </cell>
          <cell r="J1189" t="e">
            <v>#N/A</v>
          </cell>
          <cell r="K1189">
            <v>17.5</v>
          </cell>
          <cell r="L1189">
            <v>14</v>
          </cell>
          <cell r="M1189" t="e">
            <v>#N/A</v>
          </cell>
          <cell r="N1189">
            <v>16.5</v>
          </cell>
          <cell r="O1189" t="e">
            <v>#N/A</v>
          </cell>
          <cell r="P1189" t="str">
            <v/>
          </cell>
          <cell r="Q1189" t="str">
            <v/>
          </cell>
          <cell r="R1189">
            <v>16.5</v>
          </cell>
        </row>
        <row r="1190">
          <cell r="A1190" t="str">
            <v/>
          </cell>
          <cell r="B1190" t="str">
            <v/>
          </cell>
          <cell r="C1190" t="str">
            <v>Future</v>
          </cell>
          <cell r="D1190" t="e">
            <v>#N/A</v>
          </cell>
          <cell r="E1190">
            <v>-20.610810810810928</v>
          </cell>
          <cell r="F1190">
            <v>22.024324324324734</v>
          </cell>
          <cell r="G1190">
            <v>13.497297297297376</v>
          </cell>
          <cell r="H1190">
            <v>13.497297297297376</v>
          </cell>
          <cell r="I1190" t="e">
            <v>#N/A</v>
          </cell>
          <cell r="J1190" t="e">
            <v>#N/A</v>
          </cell>
          <cell r="K1190">
            <v>17.5</v>
          </cell>
          <cell r="L1190">
            <v>14</v>
          </cell>
          <cell r="M1190" t="e">
            <v>#N/A</v>
          </cell>
          <cell r="N1190">
            <v>16.5</v>
          </cell>
          <cell r="O1190" t="e">
            <v>#N/A</v>
          </cell>
          <cell r="P1190" t="str">
            <v/>
          </cell>
          <cell r="Q1190" t="str">
            <v/>
          </cell>
          <cell r="R1190">
            <v>16.5</v>
          </cell>
        </row>
        <row r="1191">
          <cell r="A1191" t="str">
            <v/>
          </cell>
          <cell r="B1191" t="str">
            <v/>
          </cell>
          <cell r="C1191" t="str">
            <v>Future</v>
          </cell>
          <cell r="D1191" t="e">
            <v>#N/A</v>
          </cell>
          <cell r="E1191">
            <v>-20.666216216216334</v>
          </cell>
          <cell r="F1191">
            <v>22.036486486486897</v>
          </cell>
          <cell r="G1191">
            <v>13.495945945946024</v>
          </cell>
          <cell r="H1191">
            <v>13.495945945946024</v>
          </cell>
          <cell r="I1191" t="e">
            <v>#N/A</v>
          </cell>
          <cell r="J1191" t="e">
            <v>#N/A</v>
          </cell>
          <cell r="K1191">
            <v>17.5</v>
          </cell>
          <cell r="L1191">
            <v>14</v>
          </cell>
          <cell r="M1191" t="e">
            <v>#N/A</v>
          </cell>
          <cell r="N1191">
            <v>16.5</v>
          </cell>
          <cell r="O1191" t="e">
            <v>#N/A</v>
          </cell>
          <cell r="P1191" t="str">
            <v/>
          </cell>
          <cell r="Q1191" t="str">
            <v/>
          </cell>
          <cell r="R1191">
            <v>16.5</v>
          </cell>
        </row>
        <row r="1192">
          <cell r="A1192" t="str">
            <v/>
          </cell>
          <cell r="B1192" t="str">
            <v/>
          </cell>
          <cell r="C1192" t="str">
            <v>Future</v>
          </cell>
          <cell r="D1192" t="e">
            <v>#N/A</v>
          </cell>
          <cell r="E1192">
            <v>-20.72162162162174</v>
          </cell>
          <cell r="F1192">
            <v>22.04864864864906</v>
          </cell>
          <cell r="G1192">
            <v>13.494594594594673</v>
          </cell>
          <cell r="H1192">
            <v>13.494594594594673</v>
          </cell>
          <cell r="I1192" t="e">
            <v>#N/A</v>
          </cell>
          <cell r="J1192" t="e">
            <v>#N/A</v>
          </cell>
          <cell r="K1192">
            <v>17.5</v>
          </cell>
          <cell r="L1192">
            <v>14</v>
          </cell>
          <cell r="M1192" t="e">
            <v>#N/A</v>
          </cell>
          <cell r="N1192">
            <v>16.5</v>
          </cell>
          <cell r="O1192" t="e">
            <v>#N/A</v>
          </cell>
          <cell r="P1192" t="str">
            <v/>
          </cell>
          <cell r="Q1192" t="str">
            <v/>
          </cell>
          <cell r="R1192">
            <v>16.5</v>
          </cell>
        </row>
        <row r="1193">
          <cell r="A1193" t="str">
            <v/>
          </cell>
          <cell r="B1193" t="str">
            <v/>
          </cell>
          <cell r="C1193" t="str">
            <v>Future</v>
          </cell>
          <cell r="D1193" t="e">
            <v>#N/A</v>
          </cell>
          <cell r="E1193">
            <v>-20.777027027027145</v>
          </cell>
          <cell r="F1193">
            <v>22.060810810811223</v>
          </cell>
          <cell r="G1193">
            <v>13.493243243243322</v>
          </cell>
          <cell r="H1193">
            <v>13.493243243243322</v>
          </cell>
          <cell r="I1193" t="e">
            <v>#N/A</v>
          </cell>
          <cell r="J1193" t="e">
            <v>#N/A</v>
          </cell>
          <cell r="K1193">
            <v>17.5</v>
          </cell>
          <cell r="L1193">
            <v>14</v>
          </cell>
          <cell r="M1193" t="e">
            <v>#N/A</v>
          </cell>
          <cell r="N1193">
            <v>16.5</v>
          </cell>
          <cell r="O1193" t="e">
            <v>#N/A</v>
          </cell>
          <cell r="P1193" t="str">
            <v/>
          </cell>
          <cell r="Q1193" t="str">
            <v/>
          </cell>
          <cell r="R1193">
            <v>16.5</v>
          </cell>
        </row>
        <row r="1194">
          <cell r="A1194" t="str">
            <v/>
          </cell>
          <cell r="B1194" t="str">
            <v/>
          </cell>
          <cell r="C1194" t="str">
            <v>Future</v>
          </cell>
          <cell r="D1194" t="e">
            <v>#N/A</v>
          </cell>
          <cell r="E1194">
            <v>-20.832432432432551</v>
          </cell>
          <cell r="F1194">
            <v>22.072972972973385</v>
          </cell>
          <cell r="G1194">
            <v>13.491891891891971</v>
          </cell>
          <cell r="H1194">
            <v>13.491891891891971</v>
          </cell>
          <cell r="I1194" t="e">
            <v>#N/A</v>
          </cell>
          <cell r="J1194" t="e">
            <v>#N/A</v>
          </cell>
          <cell r="K1194">
            <v>17.5</v>
          </cell>
          <cell r="L1194">
            <v>14</v>
          </cell>
          <cell r="M1194" t="e">
            <v>#N/A</v>
          </cell>
          <cell r="N1194">
            <v>16.5</v>
          </cell>
          <cell r="O1194" t="e">
            <v>#N/A</v>
          </cell>
          <cell r="P1194" t="str">
            <v/>
          </cell>
          <cell r="Q1194" t="str">
            <v/>
          </cell>
          <cell r="R1194">
            <v>16.5</v>
          </cell>
        </row>
        <row r="1195">
          <cell r="A1195" t="str">
            <v/>
          </cell>
          <cell r="B1195" t="str">
            <v/>
          </cell>
          <cell r="C1195" t="str">
            <v>Future</v>
          </cell>
          <cell r="D1195" t="e">
            <v>#N/A</v>
          </cell>
          <cell r="E1195">
            <v>-20.887837837837957</v>
          </cell>
          <cell r="F1195">
            <v>22.085135135135548</v>
          </cell>
          <cell r="G1195">
            <v>13.49054054054062</v>
          </cell>
          <cell r="H1195">
            <v>13.49054054054062</v>
          </cell>
          <cell r="I1195" t="e">
            <v>#N/A</v>
          </cell>
          <cell r="J1195" t="e">
            <v>#N/A</v>
          </cell>
          <cell r="K1195">
            <v>17.5</v>
          </cell>
          <cell r="L1195">
            <v>14</v>
          </cell>
          <cell r="M1195" t="e">
            <v>#N/A</v>
          </cell>
          <cell r="N1195">
            <v>16.5</v>
          </cell>
          <cell r="O1195" t="e">
            <v>#N/A</v>
          </cell>
          <cell r="P1195" t="str">
            <v/>
          </cell>
          <cell r="Q1195" t="str">
            <v/>
          </cell>
          <cell r="R1195">
            <v>16.5</v>
          </cell>
        </row>
        <row r="1196">
          <cell r="A1196" t="str">
            <v/>
          </cell>
          <cell r="B1196" t="str">
            <v/>
          </cell>
          <cell r="C1196" t="str">
            <v>Future</v>
          </cell>
          <cell r="D1196" t="e">
            <v>#N/A</v>
          </cell>
          <cell r="E1196">
            <v>-20.943243243243362</v>
          </cell>
          <cell r="F1196">
            <v>22.097297297297711</v>
          </cell>
          <cell r="G1196">
            <v>13.489189189189268</v>
          </cell>
          <cell r="H1196">
            <v>13.489189189189268</v>
          </cell>
          <cell r="I1196" t="e">
            <v>#N/A</v>
          </cell>
          <cell r="J1196" t="e">
            <v>#N/A</v>
          </cell>
          <cell r="K1196">
            <v>17.5</v>
          </cell>
          <cell r="L1196">
            <v>14</v>
          </cell>
          <cell r="M1196" t="e">
            <v>#N/A</v>
          </cell>
          <cell r="N1196">
            <v>16.5</v>
          </cell>
          <cell r="O1196" t="e">
            <v>#N/A</v>
          </cell>
          <cell r="P1196" t="str">
            <v/>
          </cell>
          <cell r="Q1196" t="str">
            <v/>
          </cell>
          <cell r="R1196">
            <v>16.5</v>
          </cell>
        </row>
        <row r="1197">
          <cell r="A1197" t="str">
            <v/>
          </cell>
          <cell r="B1197" t="str">
            <v/>
          </cell>
          <cell r="C1197" t="str">
            <v>Future</v>
          </cell>
          <cell r="D1197" t="e">
            <v>#N/A</v>
          </cell>
          <cell r="E1197">
            <v>-20.998648648648768</v>
          </cell>
          <cell r="F1197">
            <v>22.109459459459874</v>
          </cell>
          <cell r="G1197">
            <v>13.487837837837917</v>
          </cell>
          <cell r="H1197">
            <v>13.487837837837917</v>
          </cell>
          <cell r="I1197" t="e">
            <v>#N/A</v>
          </cell>
          <cell r="J1197" t="e">
            <v>#N/A</v>
          </cell>
          <cell r="K1197">
            <v>17.5</v>
          </cell>
          <cell r="L1197">
            <v>14</v>
          </cell>
          <cell r="M1197" t="e">
            <v>#N/A</v>
          </cell>
          <cell r="N1197">
            <v>16.5</v>
          </cell>
          <cell r="O1197" t="e">
            <v>#N/A</v>
          </cell>
          <cell r="P1197" t="str">
            <v/>
          </cell>
          <cell r="Q1197" t="str">
            <v/>
          </cell>
          <cell r="R1197">
            <v>16.5</v>
          </cell>
        </row>
        <row r="1198">
          <cell r="A1198" t="str">
            <v/>
          </cell>
          <cell r="B1198" t="str">
            <v/>
          </cell>
          <cell r="C1198" t="str">
            <v>Future</v>
          </cell>
          <cell r="D1198" t="e">
            <v>#N/A</v>
          </cell>
          <cell r="E1198">
            <v>-21.054054054054173</v>
          </cell>
          <cell r="F1198">
            <v>22.121621621622037</v>
          </cell>
          <cell r="G1198">
            <v>13.486486486486566</v>
          </cell>
          <cell r="H1198">
            <v>13.486486486486566</v>
          </cell>
          <cell r="I1198" t="e">
            <v>#N/A</v>
          </cell>
          <cell r="J1198" t="e">
            <v>#N/A</v>
          </cell>
          <cell r="K1198">
            <v>17.5</v>
          </cell>
          <cell r="L1198">
            <v>14</v>
          </cell>
          <cell r="M1198" t="e">
            <v>#N/A</v>
          </cell>
          <cell r="N1198">
            <v>16.5</v>
          </cell>
          <cell r="O1198" t="e">
            <v>#N/A</v>
          </cell>
          <cell r="P1198" t="str">
            <v/>
          </cell>
          <cell r="Q1198" t="str">
            <v/>
          </cell>
          <cell r="R1198">
            <v>16.5</v>
          </cell>
        </row>
        <row r="1199">
          <cell r="A1199" t="str">
            <v/>
          </cell>
          <cell r="B1199" t="str">
            <v/>
          </cell>
          <cell r="C1199" t="str">
            <v>Future</v>
          </cell>
          <cell r="D1199" t="e">
            <v>#N/A</v>
          </cell>
          <cell r="E1199">
            <v>-21.109459459459579</v>
          </cell>
          <cell r="F1199">
            <v>22.1337837837842</v>
          </cell>
          <cell r="G1199">
            <v>13.485135135135215</v>
          </cell>
          <cell r="H1199">
            <v>13.485135135135215</v>
          </cell>
          <cell r="I1199" t="e">
            <v>#N/A</v>
          </cell>
          <cell r="J1199" t="e">
            <v>#N/A</v>
          </cell>
          <cell r="K1199">
            <v>17.5</v>
          </cell>
          <cell r="L1199">
            <v>14</v>
          </cell>
          <cell r="M1199" t="e">
            <v>#N/A</v>
          </cell>
          <cell r="N1199">
            <v>16.5</v>
          </cell>
          <cell r="O1199" t="e">
            <v>#N/A</v>
          </cell>
          <cell r="P1199" t="str">
            <v/>
          </cell>
          <cell r="Q1199" t="str">
            <v/>
          </cell>
          <cell r="R1199">
            <v>16.5</v>
          </cell>
        </row>
        <row r="1200">
          <cell r="A1200" t="str">
            <v/>
          </cell>
          <cell r="B1200" t="str">
            <v/>
          </cell>
          <cell r="C1200" t="str">
            <v>Future</v>
          </cell>
          <cell r="D1200" t="e">
            <v>#N/A</v>
          </cell>
          <cell r="E1200">
            <v>-21.164864864864985</v>
          </cell>
          <cell r="F1200">
            <v>22.145945945946362</v>
          </cell>
          <cell r="G1200">
            <v>13.483783783783863</v>
          </cell>
          <cell r="H1200">
            <v>13.483783783783863</v>
          </cell>
          <cell r="I1200" t="e">
            <v>#N/A</v>
          </cell>
          <cell r="J1200" t="e">
            <v>#N/A</v>
          </cell>
          <cell r="K1200">
            <v>17.5</v>
          </cell>
          <cell r="L1200">
            <v>14</v>
          </cell>
          <cell r="M1200" t="e">
            <v>#N/A</v>
          </cell>
          <cell r="N1200">
            <v>16.5</v>
          </cell>
          <cell r="O1200" t="e">
            <v>#N/A</v>
          </cell>
          <cell r="P1200" t="str">
            <v/>
          </cell>
          <cell r="Q1200" t="str">
            <v/>
          </cell>
          <cell r="R1200">
            <v>16.5</v>
          </cell>
        </row>
        <row r="1201">
          <cell r="A1201" t="str">
            <v/>
          </cell>
          <cell r="B1201" t="str">
            <v/>
          </cell>
          <cell r="C1201" t="str">
            <v>Future</v>
          </cell>
          <cell r="D1201" t="e">
            <v>#N/A</v>
          </cell>
          <cell r="E1201">
            <v>-21.22027027027039</v>
          </cell>
          <cell r="F1201">
            <v>22.158108108108525</v>
          </cell>
          <cell r="G1201">
            <v>13.482432432432512</v>
          </cell>
          <cell r="H1201">
            <v>13.482432432432512</v>
          </cell>
          <cell r="I1201" t="e">
            <v>#N/A</v>
          </cell>
          <cell r="J1201" t="e">
            <v>#N/A</v>
          </cell>
          <cell r="K1201">
            <v>17.5</v>
          </cell>
          <cell r="L1201">
            <v>14</v>
          </cell>
          <cell r="M1201" t="e">
            <v>#N/A</v>
          </cell>
          <cell r="N1201">
            <v>16.5</v>
          </cell>
          <cell r="O1201" t="e">
            <v>#N/A</v>
          </cell>
          <cell r="P1201" t="str">
            <v/>
          </cell>
          <cell r="Q1201" t="str">
            <v/>
          </cell>
          <cell r="R1201">
            <v>16.5</v>
          </cell>
        </row>
        <row r="1202">
          <cell r="A1202" t="str">
            <v/>
          </cell>
          <cell r="B1202" t="str">
            <v/>
          </cell>
          <cell r="C1202" t="str">
            <v>Future</v>
          </cell>
          <cell r="D1202" t="e">
            <v>#N/A</v>
          </cell>
          <cell r="E1202">
            <v>-21.275675675675796</v>
          </cell>
          <cell r="F1202">
            <v>22.170270270270688</v>
          </cell>
          <cell r="G1202">
            <v>13.481081081081161</v>
          </cell>
          <cell r="H1202">
            <v>13.481081081081161</v>
          </cell>
          <cell r="I1202" t="e">
            <v>#N/A</v>
          </cell>
          <cell r="J1202" t="e">
            <v>#N/A</v>
          </cell>
          <cell r="K1202">
            <v>17.5</v>
          </cell>
          <cell r="L1202">
            <v>14</v>
          </cell>
          <cell r="M1202" t="e">
            <v>#N/A</v>
          </cell>
          <cell r="N1202">
            <v>16.5</v>
          </cell>
          <cell r="O1202" t="e">
            <v>#N/A</v>
          </cell>
          <cell r="P1202" t="str">
            <v/>
          </cell>
          <cell r="Q1202" t="str">
            <v/>
          </cell>
          <cell r="R1202">
            <v>16.5</v>
          </cell>
        </row>
        <row r="1203">
          <cell r="A1203" t="str">
            <v/>
          </cell>
          <cell r="B1203" t="str">
            <v/>
          </cell>
          <cell r="C1203" t="str">
            <v>Future</v>
          </cell>
          <cell r="D1203" t="e">
            <v>#N/A</v>
          </cell>
          <cell r="E1203">
            <v>-21.331081081081201</v>
          </cell>
          <cell r="F1203">
            <v>22.182432432432851</v>
          </cell>
          <cell r="G1203">
            <v>13.47972972972981</v>
          </cell>
          <cell r="H1203">
            <v>13.47972972972981</v>
          </cell>
          <cell r="I1203" t="e">
            <v>#N/A</v>
          </cell>
          <cell r="J1203" t="e">
            <v>#N/A</v>
          </cell>
          <cell r="K1203">
            <v>17.5</v>
          </cell>
          <cell r="L1203">
            <v>14</v>
          </cell>
          <cell r="M1203" t="e">
            <v>#N/A</v>
          </cell>
          <cell r="N1203">
            <v>16.5</v>
          </cell>
          <cell r="O1203" t="e">
            <v>#N/A</v>
          </cell>
          <cell r="P1203" t="str">
            <v/>
          </cell>
          <cell r="Q1203" t="str">
            <v/>
          </cell>
          <cell r="R1203">
            <v>16.5</v>
          </cell>
        </row>
        <row r="1204">
          <cell r="A1204" t="str">
            <v/>
          </cell>
          <cell r="B1204" t="str">
            <v/>
          </cell>
          <cell r="C1204" t="str">
            <v>Future</v>
          </cell>
          <cell r="D1204" t="e">
            <v>#N/A</v>
          </cell>
          <cell r="E1204">
            <v>-21.386486486486607</v>
          </cell>
          <cell r="F1204">
            <v>22.194594594595014</v>
          </cell>
          <cell r="G1204">
            <v>13.478378378378459</v>
          </cell>
          <cell r="H1204">
            <v>13.478378378378459</v>
          </cell>
          <cell r="I1204" t="e">
            <v>#N/A</v>
          </cell>
          <cell r="J1204" t="e">
            <v>#N/A</v>
          </cell>
          <cell r="K1204">
            <v>17.5</v>
          </cell>
          <cell r="L1204">
            <v>14</v>
          </cell>
          <cell r="M1204" t="e">
            <v>#N/A</v>
          </cell>
          <cell r="N1204">
            <v>16.5</v>
          </cell>
          <cell r="O1204" t="e">
            <v>#N/A</v>
          </cell>
          <cell r="P1204" t="str">
            <v/>
          </cell>
          <cell r="Q1204" t="str">
            <v/>
          </cell>
          <cell r="R1204">
            <v>16.5</v>
          </cell>
        </row>
        <row r="1205">
          <cell r="A1205" t="str">
            <v/>
          </cell>
          <cell r="B1205" t="str">
            <v/>
          </cell>
          <cell r="C1205" t="str">
            <v>Future</v>
          </cell>
          <cell r="D1205" t="e">
            <v>#N/A</v>
          </cell>
          <cell r="E1205">
            <v>-21.441891891892013</v>
          </cell>
          <cell r="F1205">
            <v>22.206756756757176</v>
          </cell>
          <cell r="G1205">
            <v>13.477027027027107</v>
          </cell>
          <cell r="H1205">
            <v>13.477027027027107</v>
          </cell>
          <cell r="I1205" t="e">
            <v>#N/A</v>
          </cell>
          <cell r="J1205" t="e">
            <v>#N/A</v>
          </cell>
          <cell r="K1205">
            <v>17.5</v>
          </cell>
          <cell r="L1205">
            <v>14</v>
          </cell>
          <cell r="M1205" t="e">
            <v>#N/A</v>
          </cell>
          <cell r="N1205">
            <v>16.5</v>
          </cell>
          <cell r="O1205" t="e">
            <v>#N/A</v>
          </cell>
          <cell r="P1205" t="str">
            <v/>
          </cell>
          <cell r="Q1205" t="str">
            <v/>
          </cell>
          <cell r="R1205">
            <v>16.5</v>
          </cell>
        </row>
        <row r="1206">
          <cell r="A1206" t="str">
            <v/>
          </cell>
          <cell r="B1206" t="str">
            <v/>
          </cell>
          <cell r="C1206" t="str">
            <v>Future</v>
          </cell>
          <cell r="D1206" t="e">
            <v>#N/A</v>
          </cell>
          <cell r="E1206">
            <v>-21.497297297297418</v>
          </cell>
          <cell r="F1206">
            <v>22.218918918919339</v>
          </cell>
          <cell r="G1206">
            <v>13.475675675675756</v>
          </cell>
          <cell r="H1206">
            <v>13.475675675675756</v>
          </cell>
          <cell r="I1206" t="e">
            <v>#N/A</v>
          </cell>
          <cell r="J1206" t="e">
            <v>#N/A</v>
          </cell>
          <cell r="K1206">
            <v>17.5</v>
          </cell>
          <cell r="L1206">
            <v>14</v>
          </cell>
          <cell r="M1206" t="e">
            <v>#N/A</v>
          </cell>
          <cell r="N1206">
            <v>16.5</v>
          </cell>
          <cell r="O1206" t="e">
            <v>#N/A</v>
          </cell>
          <cell r="P1206" t="str">
            <v/>
          </cell>
          <cell r="Q1206" t="str">
            <v/>
          </cell>
          <cell r="R1206">
            <v>16.5</v>
          </cell>
        </row>
        <row r="1207">
          <cell r="A1207" t="str">
            <v/>
          </cell>
          <cell r="B1207" t="str">
            <v/>
          </cell>
          <cell r="C1207" t="str">
            <v>Future</v>
          </cell>
          <cell r="D1207" t="e">
            <v>#N/A</v>
          </cell>
          <cell r="E1207">
            <v>-21.552702702702824</v>
          </cell>
          <cell r="F1207">
            <v>22.231081081081502</v>
          </cell>
          <cell r="G1207">
            <v>13.474324324324405</v>
          </cell>
          <cell r="H1207">
            <v>13.474324324324405</v>
          </cell>
          <cell r="I1207" t="e">
            <v>#N/A</v>
          </cell>
          <cell r="J1207" t="e">
            <v>#N/A</v>
          </cell>
          <cell r="K1207">
            <v>17.5</v>
          </cell>
          <cell r="L1207">
            <v>14</v>
          </cell>
          <cell r="M1207" t="e">
            <v>#N/A</v>
          </cell>
          <cell r="N1207">
            <v>16.5</v>
          </cell>
          <cell r="O1207" t="e">
            <v>#N/A</v>
          </cell>
          <cell r="P1207" t="str">
            <v/>
          </cell>
          <cell r="Q1207" t="str">
            <v/>
          </cell>
          <cell r="R1207">
            <v>16.5</v>
          </cell>
        </row>
        <row r="1208">
          <cell r="A1208" t="str">
            <v/>
          </cell>
          <cell r="B1208" t="str">
            <v/>
          </cell>
          <cell r="C1208" t="str">
            <v>Future</v>
          </cell>
          <cell r="D1208" t="e">
            <v>#N/A</v>
          </cell>
          <cell r="E1208">
            <v>-21.60810810810823</v>
          </cell>
          <cell r="F1208">
            <v>22.243243243243665</v>
          </cell>
          <cell r="G1208">
            <v>13.472972972973054</v>
          </cell>
          <cell r="H1208">
            <v>13.472972972973054</v>
          </cell>
          <cell r="I1208" t="e">
            <v>#N/A</v>
          </cell>
          <cell r="J1208" t="e">
            <v>#N/A</v>
          </cell>
          <cell r="K1208">
            <v>17.5</v>
          </cell>
          <cell r="L1208">
            <v>14</v>
          </cell>
          <cell r="M1208" t="e">
            <v>#N/A</v>
          </cell>
          <cell r="N1208">
            <v>16.5</v>
          </cell>
          <cell r="O1208" t="e">
            <v>#N/A</v>
          </cell>
          <cell r="P1208" t="str">
            <v/>
          </cell>
          <cell r="Q1208" t="str">
            <v/>
          </cell>
          <cell r="R1208">
            <v>16.5</v>
          </cell>
        </row>
        <row r="1209">
          <cell r="A1209" t="str">
            <v/>
          </cell>
          <cell r="B1209" t="str">
            <v/>
          </cell>
          <cell r="C1209" t="str">
            <v>Future</v>
          </cell>
          <cell r="D1209" t="e">
            <v>#N/A</v>
          </cell>
          <cell r="E1209">
            <v>-21.663513513513635</v>
          </cell>
          <cell r="F1209">
            <v>22.255405405405828</v>
          </cell>
          <cell r="G1209">
            <v>13.471621621621702</v>
          </cell>
          <cell r="H1209">
            <v>13.471621621621702</v>
          </cell>
          <cell r="I1209" t="e">
            <v>#N/A</v>
          </cell>
          <cell r="J1209" t="e">
            <v>#N/A</v>
          </cell>
          <cell r="K1209">
            <v>17.5</v>
          </cell>
          <cell r="L1209">
            <v>14</v>
          </cell>
          <cell r="M1209" t="e">
            <v>#N/A</v>
          </cell>
          <cell r="N1209">
            <v>16.5</v>
          </cell>
          <cell r="O1209" t="e">
            <v>#N/A</v>
          </cell>
          <cell r="P1209" t="str">
            <v/>
          </cell>
          <cell r="Q1209" t="str">
            <v/>
          </cell>
          <cell r="R1209">
            <v>16.5</v>
          </cell>
        </row>
        <row r="1210">
          <cell r="A1210" t="str">
            <v/>
          </cell>
          <cell r="B1210" t="str">
            <v/>
          </cell>
          <cell r="C1210" t="str">
            <v>Future</v>
          </cell>
          <cell r="D1210" t="e">
            <v>#N/A</v>
          </cell>
          <cell r="E1210">
            <v>-21.718918918919041</v>
          </cell>
          <cell r="F1210">
            <v>22.26756756756799</v>
          </cell>
          <cell r="G1210">
            <v>13.470270270270351</v>
          </cell>
          <cell r="H1210">
            <v>13.470270270270351</v>
          </cell>
          <cell r="I1210" t="e">
            <v>#N/A</v>
          </cell>
          <cell r="J1210" t="e">
            <v>#N/A</v>
          </cell>
          <cell r="K1210">
            <v>17.5</v>
          </cell>
          <cell r="L1210">
            <v>14</v>
          </cell>
          <cell r="M1210" t="e">
            <v>#N/A</v>
          </cell>
          <cell r="N1210">
            <v>16.5</v>
          </cell>
          <cell r="O1210" t="e">
            <v>#N/A</v>
          </cell>
          <cell r="P1210" t="str">
            <v/>
          </cell>
          <cell r="Q1210" t="str">
            <v/>
          </cell>
          <cell r="R1210">
            <v>16.5</v>
          </cell>
        </row>
        <row r="1211">
          <cell r="A1211" t="str">
            <v/>
          </cell>
          <cell r="B1211" t="str">
            <v/>
          </cell>
          <cell r="C1211" t="str">
            <v>Future</v>
          </cell>
          <cell r="D1211" t="e">
            <v>#N/A</v>
          </cell>
          <cell r="E1211">
            <v>-21.774324324324446</v>
          </cell>
          <cell r="F1211">
            <v>22.279729729730153</v>
          </cell>
          <cell r="G1211">
            <v>13.468918918919</v>
          </cell>
          <cell r="H1211">
            <v>13.468918918919</v>
          </cell>
          <cell r="I1211" t="e">
            <v>#N/A</v>
          </cell>
          <cell r="J1211" t="e">
            <v>#N/A</v>
          </cell>
          <cell r="K1211">
            <v>17.5</v>
          </cell>
          <cell r="L1211">
            <v>14</v>
          </cell>
          <cell r="M1211" t="e">
            <v>#N/A</v>
          </cell>
          <cell r="N1211">
            <v>16.5</v>
          </cell>
          <cell r="O1211" t="e">
            <v>#N/A</v>
          </cell>
          <cell r="P1211" t="str">
            <v/>
          </cell>
          <cell r="Q1211" t="str">
            <v/>
          </cell>
          <cell r="R1211">
            <v>16.5</v>
          </cell>
        </row>
        <row r="1212">
          <cell r="A1212" t="str">
            <v/>
          </cell>
          <cell r="B1212" t="str">
            <v/>
          </cell>
          <cell r="C1212" t="str">
            <v>Future</v>
          </cell>
          <cell r="D1212" t="e">
            <v>#N/A</v>
          </cell>
          <cell r="E1212">
            <v>-21.829729729729852</v>
          </cell>
          <cell r="F1212">
            <v>22.291891891892316</v>
          </cell>
          <cell r="G1212">
            <v>13.467567567567649</v>
          </cell>
          <cell r="H1212">
            <v>13.467567567567649</v>
          </cell>
          <cell r="I1212" t="e">
            <v>#N/A</v>
          </cell>
          <cell r="J1212" t="e">
            <v>#N/A</v>
          </cell>
          <cell r="K1212">
            <v>17.5</v>
          </cell>
          <cell r="L1212">
            <v>14</v>
          </cell>
          <cell r="M1212" t="e">
            <v>#N/A</v>
          </cell>
          <cell r="N1212">
            <v>16.5</v>
          </cell>
          <cell r="O1212" t="e">
            <v>#N/A</v>
          </cell>
          <cell r="P1212" t="str">
            <v/>
          </cell>
          <cell r="Q1212" t="str">
            <v/>
          </cell>
          <cell r="R1212">
            <v>16.5</v>
          </cell>
        </row>
        <row r="1213">
          <cell r="A1213" t="str">
            <v/>
          </cell>
          <cell r="B1213" t="str">
            <v/>
          </cell>
          <cell r="C1213" t="str">
            <v>Future</v>
          </cell>
          <cell r="D1213" t="e">
            <v>#N/A</v>
          </cell>
          <cell r="E1213">
            <v>-21.885135135135258</v>
          </cell>
          <cell r="F1213">
            <v>22.304054054054479</v>
          </cell>
          <cell r="G1213">
            <v>13.466216216216297</v>
          </cell>
          <cell r="H1213">
            <v>13.466216216216297</v>
          </cell>
          <cell r="I1213" t="e">
            <v>#N/A</v>
          </cell>
          <cell r="J1213" t="e">
            <v>#N/A</v>
          </cell>
          <cell r="K1213">
            <v>17.5</v>
          </cell>
          <cell r="L1213">
            <v>14</v>
          </cell>
          <cell r="M1213" t="e">
            <v>#N/A</v>
          </cell>
          <cell r="N1213">
            <v>16.5</v>
          </cell>
          <cell r="O1213" t="e">
            <v>#N/A</v>
          </cell>
          <cell r="P1213" t="str">
            <v/>
          </cell>
          <cell r="Q1213" t="str">
            <v/>
          </cell>
          <cell r="R1213">
            <v>16.5</v>
          </cell>
        </row>
        <row r="1214">
          <cell r="A1214" t="str">
            <v/>
          </cell>
          <cell r="B1214" t="str">
            <v/>
          </cell>
          <cell r="C1214" t="str">
            <v>Future</v>
          </cell>
          <cell r="D1214" t="e">
            <v>#N/A</v>
          </cell>
          <cell r="E1214">
            <v>-21.940540540540663</v>
          </cell>
          <cell r="F1214">
            <v>22.316216216216642</v>
          </cell>
          <cell r="G1214">
            <v>13.464864864864946</v>
          </cell>
          <cell r="H1214">
            <v>13.464864864864946</v>
          </cell>
          <cell r="I1214" t="e">
            <v>#N/A</v>
          </cell>
          <cell r="J1214" t="e">
            <v>#N/A</v>
          </cell>
          <cell r="K1214">
            <v>17.5</v>
          </cell>
          <cell r="L1214">
            <v>14</v>
          </cell>
          <cell r="M1214" t="e">
            <v>#N/A</v>
          </cell>
          <cell r="N1214">
            <v>16.5</v>
          </cell>
          <cell r="O1214" t="e">
            <v>#N/A</v>
          </cell>
          <cell r="P1214" t="str">
            <v/>
          </cell>
          <cell r="Q1214" t="str">
            <v/>
          </cell>
          <cell r="R1214">
            <v>16.5</v>
          </cell>
        </row>
        <row r="1215">
          <cell r="A1215" t="str">
            <v/>
          </cell>
          <cell r="B1215" t="str">
            <v/>
          </cell>
          <cell r="C1215" t="str">
            <v>Future</v>
          </cell>
          <cell r="D1215" t="e">
            <v>#N/A</v>
          </cell>
          <cell r="E1215">
            <v>-21.995945945946069</v>
          </cell>
          <cell r="F1215">
            <v>22.328378378378805</v>
          </cell>
          <cell r="G1215">
            <v>13.463513513513595</v>
          </cell>
          <cell r="H1215">
            <v>13.463513513513595</v>
          </cell>
          <cell r="I1215" t="e">
            <v>#N/A</v>
          </cell>
          <cell r="J1215" t="e">
            <v>#N/A</v>
          </cell>
          <cell r="K1215">
            <v>17.5</v>
          </cell>
          <cell r="L1215">
            <v>14</v>
          </cell>
          <cell r="M1215" t="e">
            <v>#N/A</v>
          </cell>
          <cell r="N1215">
            <v>16.5</v>
          </cell>
          <cell r="O1215" t="e">
            <v>#N/A</v>
          </cell>
          <cell r="P1215" t="str">
            <v/>
          </cell>
          <cell r="Q1215" t="str">
            <v/>
          </cell>
          <cell r="R1215">
            <v>16.5</v>
          </cell>
        </row>
        <row r="1216">
          <cell r="A1216" t="str">
            <v/>
          </cell>
          <cell r="B1216" t="str">
            <v/>
          </cell>
          <cell r="C1216" t="str">
            <v>Future</v>
          </cell>
          <cell r="D1216" t="e">
            <v>#N/A</v>
          </cell>
          <cell r="E1216">
            <v>-22.051351351351475</v>
          </cell>
          <cell r="F1216">
            <v>22.340540540540967</v>
          </cell>
          <cell r="G1216">
            <v>13.462162162162244</v>
          </cell>
          <cell r="H1216">
            <v>13.462162162162244</v>
          </cell>
          <cell r="I1216" t="e">
            <v>#N/A</v>
          </cell>
          <cell r="J1216" t="e">
            <v>#N/A</v>
          </cell>
          <cell r="K1216">
            <v>17.5</v>
          </cell>
          <cell r="L1216">
            <v>14</v>
          </cell>
          <cell r="M1216" t="e">
            <v>#N/A</v>
          </cell>
          <cell r="N1216">
            <v>16.5</v>
          </cell>
          <cell r="O1216" t="e">
            <v>#N/A</v>
          </cell>
          <cell r="P1216" t="str">
            <v/>
          </cell>
          <cell r="Q1216" t="str">
            <v/>
          </cell>
          <cell r="R1216">
            <v>16.5</v>
          </cell>
        </row>
        <row r="1217">
          <cell r="A1217" t="str">
            <v/>
          </cell>
          <cell r="B1217" t="str">
            <v/>
          </cell>
          <cell r="C1217" t="str">
            <v>Future</v>
          </cell>
          <cell r="D1217" t="e">
            <v>#N/A</v>
          </cell>
          <cell r="E1217">
            <v>-22.10675675675688</v>
          </cell>
          <cell r="F1217">
            <v>22.35270270270313</v>
          </cell>
          <cell r="G1217">
            <v>13.460810810810893</v>
          </cell>
          <cell r="H1217">
            <v>13.460810810810893</v>
          </cell>
          <cell r="I1217" t="e">
            <v>#N/A</v>
          </cell>
          <cell r="J1217" t="e">
            <v>#N/A</v>
          </cell>
          <cell r="K1217">
            <v>17.5</v>
          </cell>
          <cell r="L1217">
            <v>14</v>
          </cell>
          <cell r="M1217" t="e">
            <v>#N/A</v>
          </cell>
          <cell r="N1217">
            <v>16.5</v>
          </cell>
          <cell r="O1217" t="e">
            <v>#N/A</v>
          </cell>
          <cell r="P1217" t="str">
            <v/>
          </cell>
          <cell r="Q1217" t="str">
            <v/>
          </cell>
          <cell r="R1217">
            <v>16.5</v>
          </cell>
        </row>
        <row r="1218">
          <cell r="A1218" t="str">
            <v/>
          </cell>
          <cell r="B1218" t="str">
            <v/>
          </cell>
          <cell r="C1218" t="str">
            <v>Future</v>
          </cell>
          <cell r="D1218" t="e">
            <v>#N/A</v>
          </cell>
          <cell r="E1218">
            <v>-22.162162162162286</v>
          </cell>
          <cell r="F1218">
            <v>22.364864864865293</v>
          </cell>
          <cell r="G1218">
            <v>13.459459459459541</v>
          </cell>
          <cell r="H1218">
            <v>13.459459459459541</v>
          </cell>
          <cell r="I1218" t="e">
            <v>#N/A</v>
          </cell>
          <cell r="J1218" t="e">
            <v>#N/A</v>
          </cell>
          <cell r="K1218">
            <v>17.5</v>
          </cell>
          <cell r="L1218">
            <v>14</v>
          </cell>
          <cell r="M1218" t="e">
            <v>#N/A</v>
          </cell>
          <cell r="N1218">
            <v>16.5</v>
          </cell>
          <cell r="O1218" t="e">
            <v>#N/A</v>
          </cell>
          <cell r="P1218" t="str">
            <v/>
          </cell>
          <cell r="Q1218" t="str">
            <v/>
          </cell>
          <cell r="R1218">
            <v>16.5</v>
          </cell>
        </row>
        <row r="1219">
          <cell r="A1219" t="str">
            <v/>
          </cell>
          <cell r="B1219" t="str">
            <v/>
          </cell>
          <cell r="C1219" t="str">
            <v>Future</v>
          </cell>
          <cell r="D1219" t="e">
            <v>#N/A</v>
          </cell>
          <cell r="E1219">
            <v>-22.217567567567691</v>
          </cell>
          <cell r="F1219">
            <v>22.377027027027456</v>
          </cell>
          <cell r="G1219">
            <v>13.45810810810819</v>
          </cell>
          <cell r="H1219">
            <v>13.45810810810819</v>
          </cell>
          <cell r="I1219" t="e">
            <v>#N/A</v>
          </cell>
          <cell r="J1219" t="e">
            <v>#N/A</v>
          </cell>
          <cell r="K1219">
            <v>17.5</v>
          </cell>
          <cell r="L1219">
            <v>14</v>
          </cell>
          <cell r="M1219" t="e">
            <v>#N/A</v>
          </cell>
          <cell r="N1219">
            <v>16.5</v>
          </cell>
          <cell r="O1219" t="e">
            <v>#N/A</v>
          </cell>
          <cell r="P1219" t="str">
            <v/>
          </cell>
          <cell r="Q1219" t="str">
            <v/>
          </cell>
          <cell r="R1219">
            <v>16.5</v>
          </cell>
        </row>
        <row r="1220">
          <cell r="A1220" t="str">
            <v/>
          </cell>
          <cell r="B1220" t="str">
            <v/>
          </cell>
          <cell r="C1220" t="str">
            <v>Future</v>
          </cell>
          <cell r="D1220" t="e">
            <v>#N/A</v>
          </cell>
          <cell r="E1220">
            <v>-22.272972972973097</v>
          </cell>
          <cell r="F1220">
            <v>22.389189189189619</v>
          </cell>
          <cell r="G1220">
            <v>13.456756756756839</v>
          </cell>
          <cell r="H1220">
            <v>13.456756756756839</v>
          </cell>
          <cell r="I1220" t="e">
            <v>#N/A</v>
          </cell>
          <cell r="J1220" t="e">
            <v>#N/A</v>
          </cell>
          <cell r="K1220">
            <v>17.5</v>
          </cell>
          <cell r="L1220">
            <v>14</v>
          </cell>
          <cell r="M1220" t="e">
            <v>#N/A</v>
          </cell>
          <cell r="N1220">
            <v>16.5</v>
          </cell>
          <cell r="O1220" t="e">
            <v>#N/A</v>
          </cell>
          <cell r="P1220" t="str">
            <v/>
          </cell>
          <cell r="Q1220" t="str">
            <v/>
          </cell>
          <cell r="R1220">
            <v>16.5</v>
          </cell>
        </row>
        <row r="1221">
          <cell r="A1221" t="str">
            <v/>
          </cell>
          <cell r="B1221" t="str">
            <v/>
          </cell>
          <cell r="C1221" t="str">
            <v>Future</v>
          </cell>
          <cell r="D1221" t="e">
            <v>#N/A</v>
          </cell>
          <cell r="E1221">
            <v>-22.328378378378503</v>
          </cell>
          <cell r="F1221">
            <v>22.401351351351781</v>
          </cell>
          <cell r="G1221">
            <v>13.455405405405488</v>
          </cell>
          <cell r="H1221">
            <v>13.455405405405488</v>
          </cell>
          <cell r="I1221" t="e">
            <v>#N/A</v>
          </cell>
          <cell r="J1221" t="e">
            <v>#N/A</v>
          </cell>
          <cell r="K1221">
            <v>17.5</v>
          </cell>
          <cell r="L1221">
            <v>14</v>
          </cell>
          <cell r="M1221" t="e">
            <v>#N/A</v>
          </cell>
          <cell r="N1221">
            <v>16.5</v>
          </cell>
          <cell r="O1221" t="e">
            <v>#N/A</v>
          </cell>
          <cell r="P1221" t="str">
            <v/>
          </cell>
          <cell r="Q1221" t="str">
            <v/>
          </cell>
          <cell r="R1221">
            <v>16.5</v>
          </cell>
        </row>
        <row r="1222">
          <cell r="A1222" t="str">
            <v/>
          </cell>
          <cell r="B1222" t="str">
            <v/>
          </cell>
          <cell r="C1222" t="str">
            <v>Future</v>
          </cell>
          <cell r="D1222" t="e">
            <v>#N/A</v>
          </cell>
          <cell r="E1222">
            <v>-22.383783783783908</v>
          </cell>
          <cell r="F1222">
            <v>22.413513513513944</v>
          </cell>
          <cell r="G1222">
            <v>13.454054054054136</v>
          </cell>
          <cell r="H1222">
            <v>13.454054054054136</v>
          </cell>
          <cell r="I1222" t="e">
            <v>#N/A</v>
          </cell>
          <cell r="J1222" t="e">
            <v>#N/A</v>
          </cell>
          <cell r="K1222">
            <v>17.5</v>
          </cell>
          <cell r="L1222">
            <v>14</v>
          </cell>
          <cell r="M1222" t="e">
            <v>#N/A</v>
          </cell>
          <cell r="N1222">
            <v>16.5</v>
          </cell>
          <cell r="O1222" t="e">
            <v>#N/A</v>
          </cell>
          <cell r="P1222" t="str">
            <v/>
          </cell>
          <cell r="Q1222" t="str">
            <v/>
          </cell>
          <cell r="R1222">
            <v>16.5</v>
          </cell>
        </row>
        <row r="1223">
          <cell r="A1223" t="str">
            <v/>
          </cell>
          <cell r="B1223" t="str">
            <v/>
          </cell>
          <cell r="C1223" t="str">
            <v>Future</v>
          </cell>
          <cell r="D1223" t="e">
            <v>#N/A</v>
          </cell>
          <cell r="E1223">
            <v>-22.439189189189314</v>
          </cell>
          <cell r="F1223">
            <v>22.425675675676107</v>
          </cell>
          <cell r="G1223">
            <v>13.452702702702785</v>
          </cell>
          <cell r="H1223">
            <v>13.452702702702785</v>
          </cell>
          <cell r="I1223" t="e">
            <v>#N/A</v>
          </cell>
          <cell r="J1223" t="e">
            <v>#N/A</v>
          </cell>
          <cell r="K1223">
            <v>17.5</v>
          </cell>
          <cell r="L1223">
            <v>14</v>
          </cell>
          <cell r="M1223" t="e">
            <v>#N/A</v>
          </cell>
          <cell r="N1223">
            <v>16.5</v>
          </cell>
          <cell r="O1223" t="e">
            <v>#N/A</v>
          </cell>
          <cell r="P1223" t="str">
            <v/>
          </cell>
          <cell r="Q1223" t="str">
            <v/>
          </cell>
          <cell r="R1223">
            <v>16.5</v>
          </cell>
        </row>
        <row r="1224">
          <cell r="A1224" t="str">
            <v/>
          </cell>
          <cell r="B1224" t="str">
            <v/>
          </cell>
          <cell r="C1224" t="str">
            <v>Future</v>
          </cell>
          <cell r="D1224" t="e">
            <v>#N/A</v>
          </cell>
          <cell r="E1224">
            <v>-22.494594594594719</v>
          </cell>
          <cell r="F1224">
            <v>22.43783783783827</v>
          </cell>
          <cell r="G1224">
            <v>13.451351351351434</v>
          </cell>
          <cell r="H1224">
            <v>13.451351351351434</v>
          </cell>
          <cell r="I1224" t="e">
            <v>#N/A</v>
          </cell>
          <cell r="J1224" t="e">
            <v>#N/A</v>
          </cell>
          <cell r="K1224">
            <v>17.5</v>
          </cell>
          <cell r="L1224">
            <v>14</v>
          </cell>
          <cell r="M1224" t="e">
            <v>#N/A</v>
          </cell>
          <cell r="N1224">
            <v>16.5</v>
          </cell>
          <cell r="O1224" t="e">
            <v>#N/A</v>
          </cell>
          <cell r="P1224" t="str">
            <v/>
          </cell>
          <cell r="Q1224" t="str">
            <v/>
          </cell>
          <cell r="R1224">
            <v>16.5</v>
          </cell>
        </row>
        <row r="1225">
          <cell r="A1225" t="str">
            <v/>
          </cell>
          <cell r="B1225" t="str">
            <v/>
          </cell>
          <cell r="C1225" t="str">
            <v>Future</v>
          </cell>
          <cell r="D1225" t="e">
            <v>#N/A</v>
          </cell>
          <cell r="E1225">
            <v>-22.550000000000125</v>
          </cell>
          <cell r="F1225">
            <v>22.450000000000433</v>
          </cell>
          <cell r="G1225">
            <v>13.450000000000083</v>
          </cell>
          <cell r="H1225">
            <v>13.450000000000083</v>
          </cell>
          <cell r="I1225" t="e">
            <v>#N/A</v>
          </cell>
          <cell r="J1225" t="e">
            <v>#N/A</v>
          </cell>
          <cell r="K1225">
            <v>17.5</v>
          </cell>
          <cell r="L1225">
            <v>14</v>
          </cell>
          <cell r="M1225" t="e">
            <v>#N/A</v>
          </cell>
          <cell r="N1225">
            <v>16.5</v>
          </cell>
          <cell r="O1225" t="e">
            <v>#N/A</v>
          </cell>
          <cell r="P1225" t="str">
            <v/>
          </cell>
          <cell r="Q1225" t="str">
            <v/>
          </cell>
          <cell r="R1225">
            <v>16.5</v>
          </cell>
        </row>
        <row r="1226">
          <cell r="A1226" t="str">
            <v/>
          </cell>
          <cell r="B1226" t="str">
            <v/>
          </cell>
          <cell r="C1226" t="str">
            <v>Future</v>
          </cell>
          <cell r="D1226" t="e">
            <v>#N/A</v>
          </cell>
          <cell r="E1226">
            <v>-22.605405405405531</v>
          </cell>
          <cell r="F1226">
            <v>22.462162162162596</v>
          </cell>
          <cell r="G1226">
            <v>13.448648648648732</v>
          </cell>
          <cell r="H1226">
            <v>13.448648648648732</v>
          </cell>
          <cell r="I1226" t="e">
            <v>#N/A</v>
          </cell>
          <cell r="J1226" t="e">
            <v>#N/A</v>
          </cell>
          <cell r="K1226">
            <v>17.5</v>
          </cell>
          <cell r="L1226">
            <v>14</v>
          </cell>
          <cell r="M1226" t="e">
            <v>#N/A</v>
          </cell>
          <cell r="N1226">
            <v>16.5</v>
          </cell>
          <cell r="O1226" t="e">
            <v>#N/A</v>
          </cell>
          <cell r="P1226" t="str">
            <v/>
          </cell>
          <cell r="Q1226" t="str">
            <v/>
          </cell>
          <cell r="R1226">
            <v>16.5</v>
          </cell>
        </row>
        <row r="1227">
          <cell r="A1227" t="str">
            <v/>
          </cell>
          <cell r="B1227" t="str">
            <v/>
          </cell>
          <cell r="C1227" t="str">
            <v>Future</v>
          </cell>
          <cell r="D1227" t="e">
            <v>#N/A</v>
          </cell>
          <cell r="E1227">
            <v>-22.660810810810936</v>
          </cell>
          <cell r="F1227">
            <v>22.474324324324758</v>
          </cell>
          <cell r="G1227">
            <v>13.44729729729738</v>
          </cell>
          <cell r="H1227">
            <v>13.44729729729738</v>
          </cell>
          <cell r="I1227" t="e">
            <v>#N/A</v>
          </cell>
          <cell r="J1227" t="e">
            <v>#N/A</v>
          </cell>
          <cell r="K1227">
            <v>17.5</v>
          </cell>
          <cell r="L1227">
            <v>14</v>
          </cell>
          <cell r="M1227" t="e">
            <v>#N/A</v>
          </cell>
          <cell r="N1227">
            <v>16.5</v>
          </cell>
          <cell r="O1227" t="e">
            <v>#N/A</v>
          </cell>
          <cell r="P1227" t="str">
            <v/>
          </cell>
          <cell r="Q1227" t="str">
            <v/>
          </cell>
          <cell r="R1227">
            <v>16.5</v>
          </cell>
        </row>
        <row r="1228">
          <cell r="A1228" t="str">
            <v/>
          </cell>
          <cell r="B1228" t="str">
            <v/>
          </cell>
          <cell r="C1228" t="str">
            <v>Future</v>
          </cell>
          <cell r="D1228" t="e">
            <v>#N/A</v>
          </cell>
          <cell r="E1228">
            <v>-22.716216216216342</v>
          </cell>
          <cell r="F1228">
            <v>22.486486486486921</v>
          </cell>
          <cell r="G1228">
            <v>13.445945945946029</v>
          </cell>
          <cell r="H1228">
            <v>13.445945945946029</v>
          </cell>
          <cell r="I1228" t="e">
            <v>#N/A</v>
          </cell>
          <cell r="J1228" t="e">
            <v>#N/A</v>
          </cell>
          <cell r="K1228">
            <v>17.5</v>
          </cell>
          <cell r="L1228">
            <v>14</v>
          </cell>
          <cell r="M1228" t="e">
            <v>#N/A</v>
          </cell>
          <cell r="N1228">
            <v>16.5</v>
          </cell>
          <cell r="O1228" t="e">
            <v>#N/A</v>
          </cell>
          <cell r="P1228" t="str">
            <v/>
          </cell>
          <cell r="Q1228" t="str">
            <v/>
          </cell>
          <cell r="R1228">
            <v>16.5</v>
          </cell>
        </row>
        <row r="1229">
          <cell r="A1229" t="str">
            <v/>
          </cell>
          <cell r="B1229" t="str">
            <v/>
          </cell>
          <cell r="C1229" t="str">
            <v>Future</v>
          </cell>
          <cell r="D1229" t="e">
            <v>#N/A</v>
          </cell>
          <cell r="E1229">
            <v>-22.771621621621748</v>
          </cell>
          <cell r="F1229">
            <v>22.498648648649084</v>
          </cell>
          <cell r="G1229">
            <v>13.444594594594678</v>
          </cell>
          <cell r="H1229">
            <v>13.444594594594678</v>
          </cell>
          <cell r="I1229" t="e">
            <v>#N/A</v>
          </cell>
          <cell r="J1229" t="e">
            <v>#N/A</v>
          </cell>
          <cell r="K1229">
            <v>17.5</v>
          </cell>
          <cell r="L1229">
            <v>14</v>
          </cell>
          <cell r="M1229" t="e">
            <v>#N/A</v>
          </cell>
          <cell r="N1229">
            <v>16.5</v>
          </cell>
          <cell r="O1229" t="e">
            <v>#N/A</v>
          </cell>
          <cell r="P1229" t="str">
            <v/>
          </cell>
          <cell r="Q1229" t="str">
            <v/>
          </cell>
          <cell r="R1229">
            <v>16.5</v>
          </cell>
        </row>
        <row r="1230">
          <cell r="A1230" t="str">
            <v/>
          </cell>
          <cell r="B1230" t="str">
            <v/>
          </cell>
          <cell r="C1230" t="str">
            <v>Future</v>
          </cell>
          <cell r="D1230" t="e">
            <v>#N/A</v>
          </cell>
          <cell r="E1230">
            <v>-22.827027027027153</v>
          </cell>
          <cell r="F1230">
            <v>22.510810810811247</v>
          </cell>
          <cell r="G1230">
            <v>13.443243243243327</v>
          </cell>
          <cell r="H1230">
            <v>13.443243243243327</v>
          </cell>
          <cell r="I1230" t="e">
            <v>#N/A</v>
          </cell>
          <cell r="J1230" t="e">
            <v>#N/A</v>
          </cell>
          <cell r="K1230">
            <v>17.5</v>
          </cell>
          <cell r="L1230">
            <v>14</v>
          </cell>
          <cell r="M1230" t="e">
            <v>#N/A</v>
          </cell>
          <cell r="N1230">
            <v>16.5</v>
          </cell>
          <cell r="O1230" t="e">
            <v>#N/A</v>
          </cell>
          <cell r="P1230" t="str">
            <v/>
          </cell>
          <cell r="Q1230" t="str">
            <v/>
          </cell>
          <cell r="R1230">
            <v>16.5</v>
          </cell>
        </row>
        <row r="1231">
          <cell r="A1231" t="str">
            <v/>
          </cell>
          <cell r="B1231" t="str">
            <v/>
          </cell>
          <cell r="C1231" t="str">
            <v>Future</v>
          </cell>
          <cell r="D1231" t="e">
            <v>#N/A</v>
          </cell>
          <cell r="E1231">
            <v>-22.882432432432559</v>
          </cell>
          <cell r="F1231">
            <v>22.52297297297341</v>
          </cell>
          <cell r="G1231">
            <v>13.441891891891975</v>
          </cell>
          <cell r="H1231">
            <v>13.441891891891975</v>
          </cell>
          <cell r="I1231" t="e">
            <v>#N/A</v>
          </cell>
          <cell r="J1231" t="e">
            <v>#N/A</v>
          </cell>
          <cell r="K1231">
            <v>17.5</v>
          </cell>
          <cell r="L1231">
            <v>14</v>
          </cell>
          <cell r="M1231" t="e">
            <v>#N/A</v>
          </cell>
          <cell r="N1231">
            <v>16.5</v>
          </cell>
          <cell r="O1231" t="e">
            <v>#N/A</v>
          </cell>
          <cell r="P1231" t="str">
            <v/>
          </cell>
          <cell r="Q1231" t="str">
            <v/>
          </cell>
          <cell r="R1231">
            <v>16.5</v>
          </cell>
        </row>
        <row r="1232">
          <cell r="A1232" t="str">
            <v/>
          </cell>
          <cell r="B1232" t="str">
            <v/>
          </cell>
          <cell r="C1232" t="str">
            <v>Future</v>
          </cell>
          <cell r="D1232" t="e">
            <v>#N/A</v>
          </cell>
          <cell r="E1232">
            <v>-22.937837837837964</v>
          </cell>
          <cell r="F1232">
            <v>22.535135135135572</v>
          </cell>
          <cell r="G1232">
            <v>13.440540540540624</v>
          </cell>
          <cell r="H1232">
            <v>13.440540540540624</v>
          </cell>
          <cell r="I1232" t="e">
            <v>#N/A</v>
          </cell>
          <cell r="J1232" t="e">
            <v>#N/A</v>
          </cell>
          <cell r="K1232">
            <v>17.5</v>
          </cell>
          <cell r="L1232">
            <v>14</v>
          </cell>
          <cell r="M1232" t="e">
            <v>#N/A</v>
          </cell>
          <cell r="N1232">
            <v>16.5</v>
          </cell>
          <cell r="O1232" t="e">
            <v>#N/A</v>
          </cell>
          <cell r="P1232" t="str">
            <v/>
          </cell>
          <cell r="Q1232" t="str">
            <v/>
          </cell>
          <cell r="R1232">
            <v>16.5</v>
          </cell>
        </row>
        <row r="1233">
          <cell r="A1233" t="str">
            <v/>
          </cell>
          <cell r="B1233" t="str">
            <v/>
          </cell>
          <cell r="C1233" t="str">
            <v>Future</v>
          </cell>
          <cell r="D1233" t="e">
            <v>#N/A</v>
          </cell>
          <cell r="E1233">
            <v>-22.99324324324337</v>
          </cell>
          <cell r="F1233">
            <v>22.547297297297735</v>
          </cell>
          <cell r="G1233">
            <v>13.439189189189273</v>
          </cell>
          <cell r="H1233">
            <v>13.439189189189273</v>
          </cell>
          <cell r="I1233" t="e">
            <v>#N/A</v>
          </cell>
          <cell r="J1233" t="e">
            <v>#N/A</v>
          </cell>
          <cell r="K1233">
            <v>17.5</v>
          </cell>
          <cell r="L1233">
            <v>14</v>
          </cell>
          <cell r="M1233" t="e">
            <v>#N/A</v>
          </cell>
          <cell r="N1233">
            <v>16.5</v>
          </cell>
          <cell r="O1233" t="e">
            <v>#N/A</v>
          </cell>
          <cell r="P1233" t="str">
            <v/>
          </cell>
          <cell r="Q1233" t="str">
            <v/>
          </cell>
          <cell r="R1233">
            <v>16.5</v>
          </cell>
        </row>
        <row r="1234">
          <cell r="A1234" t="str">
            <v/>
          </cell>
          <cell r="B1234" t="str">
            <v/>
          </cell>
          <cell r="C1234" t="str">
            <v>Future</v>
          </cell>
          <cell r="D1234" t="e">
            <v>#N/A</v>
          </cell>
          <cell r="E1234">
            <v>-23.048648648648776</v>
          </cell>
          <cell r="F1234">
            <v>22.559459459459898</v>
          </cell>
          <cell r="G1234">
            <v>13.437837837837922</v>
          </cell>
          <cell r="H1234">
            <v>13.437837837837922</v>
          </cell>
          <cell r="I1234" t="e">
            <v>#N/A</v>
          </cell>
          <cell r="J1234" t="e">
            <v>#N/A</v>
          </cell>
          <cell r="K1234">
            <v>17.5</v>
          </cell>
          <cell r="L1234">
            <v>14</v>
          </cell>
          <cell r="M1234" t="e">
            <v>#N/A</v>
          </cell>
          <cell r="N1234">
            <v>16.5</v>
          </cell>
          <cell r="O1234" t="e">
            <v>#N/A</v>
          </cell>
          <cell r="P1234" t="str">
            <v/>
          </cell>
          <cell r="Q1234" t="str">
            <v/>
          </cell>
          <cell r="R1234">
            <v>16.5</v>
          </cell>
        </row>
        <row r="1235">
          <cell r="A1235" t="str">
            <v/>
          </cell>
          <cell r="B1235" t="str">
            <v/>
          </cell>
          <cell r="C1235" t="str">
            <v>Future</v>
          </cell>
          <cell r="D1235" t="e">
            <v>#N/A</v>
          </cell>
          <cell r="E1235">
            <v>-23.104054054054181</v>
          </cell>
          <cell r="F1235">
            <v>22.571621621622061</v>
          </cell>
          <cell r="G1235">
            <v>13.436486486486571</v>
          </cell>
          <cell r="H1235">
            <v>13.436486486486571</v>
          </cell>
          <cell r="I1235" t="e">
            <v>#N/A</v>
          </cell>
          <cell r="J1235" t="e">
            <v>#N/A</v>
          </cell>
          <cell r="K1235">
            <v>17.5</v>
          </cell>
          <cell r="L1235">
            <v>14</v>
          </cell>
          <cell r="M1235" t="e">
            <v>#N/A</v>
          </cell>
          <cell r="N1235">
            <v>16.5</v>
          </cell>
          <cell r="O1235" t="e">
            <v>#N/A</v>
          </cell>
          <cell r="P1235" t="str">
            <v/>
          </cell>
          <cell r="Q1235" t="str">
            <v/>
          </cell>
          <cell r="R1235">
            <v>16.5</v>
          </cell>
        </row>
        <row r="1236">
          <cell r="A1236" t="str">
            <v/>
          </cell>
          <cell r="B1236" t="str">
            <v/>
          </cell>
          <cell r="C1236" t="str">
            <v>Future</v>
          </cell>
          <cell r="D1236" t="e">
            <v>#N/A</v>
          </cell>
          <cell r="E1236">
            <v>-23.159459459459587</v>
          </cell>
          <cell r="F1236">
            <v>22.583783783784224</v>
          </cell>
          <cell r="G1236">
            <v>13.435135135135219</v>
          </cell>
          <cell r="H1236">
            <v>13.435135135135219</v>
          </cell>
          <cell r="I1236" t="e">
            <v>#N/A</v>
          </cell>
          <cell r="J1236" t="e">
            <v>#N/A</v>
          </cell>
          <cell r="K1236">
            <v>17.5</v>
          </cell>
          <cell r="L1236">
            <v>14</v>
          </cell>
          <cell r="M1236" t="e">
            <v>#N/A</v>
          </cell>
          <cell r="N1236">
            <v>16.5</v>
          </cell>
          <cell r="O1236" t="e">
            <v>#N/A</v>
          </cell>
          <cell r="P1236" t="str">
            <v/>
          </cell>
          <cell r="Q1236" t="str">
            <v/>
          </cell>
          <cell r="R1236">
            <v>16.5</v>
          </cell>
        </row>
        <row r="1237">
          <cell r="A1237" t="str">
            <v/>
          </cell>
          <cell r="B1237" t="str">
            <v/>
          </cell>
          <cell r="C1237" t="str">
            <v>Future</v>
          </cell>
          <cell r="D1237" t="e">
            <v>#N/A</v>
          </cell>
          <cell r="E1237">
            <v>-23.214864864864992</v>
          </cell>
          <cell r="F1237">
            <v>22.595945945946387</v>
          </cell>
          <cell r="G1237">
            <v>13.433783783783868</v>
          </cell>
          <cell r="H1237">
            <v>13.433783783783868</v>
          </cell>
          <cell r="I1237" t="e">
            <v>#N/A</v>
          </cell>
          <cell r="J1237" t="e">
            <v>#N/A</v>
          </cell>
          <cell r="K1237">
            <v>17.5</v>
          </cell>
          <cell r="L1237">
            <v>14</v>
          </cell>
          <cell r="M1237" t="e">
            <v>#N/A</v>
          </cell>
          <cell r="N1237">
            <v>16.5</v>
          </cell>
          <cell r="O1237" t="e">
            <v>#N/A</v>
          </cell>
          <cell r="P1237" t="str">
            <v/>
          </cell>
          <cell r="Q1237" t="str">
            <v/>
          </cell>
          <cell r="R1237">
            <v>16.5</v>
          </cell>
        </row>
        <row r="1238">
          <cell r="A1238" t="str">
            <v/>
          </cell>
          <cell r="B1238" t="str">
            <v/>
          </cell>
          <cell r="C1238" t="str">
            <v>Future</v>
          </cell>
          <cell r="D1238" t="e">
            <v>#N/A</v>
          </cell>
          <cell r="E1238">
            <v>-23.270270270270398</v>
          </cell>
          <cell r="F1238">
            <v>22.608108108108549</v>
          </cell>
          <cell r="G1238">
            <v>13.432432432432517</v>
          </cell>
          <cell r="H1238">
            <v>13.432432432432517</v>
          </cell>
          <cell r="I1238" t="e">
            <v>#N/A</v>
          </cell>
          <cell r="J1238" t="e">
            <v>#N/A</v>
          </cell>
          <cell r="K1238">
            <v>17.5</v>
          </cell>
          <cell r="L1238">
            <v>14</v>
          </cell>
          <cell r="M1238" t="e">
            <v>#N/A</v>
          </cell>
          <cell r="N1238">
            <v>16.5</v>
          </cell>
          <cell r="O1238" t="e">
            <v>#N/A</v>
          </cell>
          <cell r="P1238" t="str">
            <v/>
          </cell>
          <cell r="Q1238" t="str">
            <v/>
          </cell>
          <cell r="R1238">
            <v>16.5</v>
          </cell>
        </row>
        <row r="1239">
          <cell r="A1239" t="str">
            <v/>
          </cell>
          <cell r="B1239" t="str">
            <v/>
          </cell>
          <cell r="C1239" t="str">
            <v>Future</v>
          </cell>
          <cell r="D1239" t="e">
            <v>#N/A</v>
          </cell>
          <cell r="E1239">
            <v>-23.325675675675804</v>
          </cell>
          <cell r="F1239">
            <v>22.620270270270712</v>
          </cell>
          <cell r="G1239">
            <v>13.431081081081166</v>
          </cell>
          <cell r="H1239">
            <v>13.431081081081166</v>
          </cell>
          <cell r="I1239" t="e">
            <v>#N/A</v>
          </cell>
          <cell r="J1239" t="e">
            <v>#N/A</v>
          </cell>
          <cell r="K1239">
            <v>17.5</v>
          </cell>
          <cell r="L1239">
            <v>14</v>
          </cell>
          <cell r="M1239" t="e">
            <v>#N/A</v>
          </cell>
          <cell r="N1239">
            <v>16.5</v>
          </cell>
          <cell r="O1239" t="e">
            <v>#N/A</v>
          </cell>
          <cell r="P1239" t="str">
            <v/>
          </cell>
          <cell r="Q1239" t="str">
            <v/>
          </cell>
          <cell r="R1239">
            <v>16.5</v>
          </cell>
        </row>
        <row r="1240">
          <cell r="A1240" t="str">
            <v/>
          </cell>
          <cell r="B1240" t="str">
            <v/>
          </cell>
          <cell r="C1240" t="str">
            <v>Future</v>
          </cell>
          <cell r="D1240" t="e">
            <v>#N/A</v>
          </cell>
          <cell r="E1240">
            <v>-23.381081081081209</v>
          </cell>
          <cell r="F1240">
            <v>22.632432432432875</v>
          </cell>
          <cell r="G1240">
            <v>13.429729729729814</v>
          </cell>
          <cell r="H1240">
            <v>13.429729729729814</v>
          </cell>
          <cell r="I1240" t="e">
            <v>#N/A</v>
          </cell>
          <cell r="J1240" t="e">
            <v>#N/A</v>
          </cell>
          <cell r="K1240">
            <v>17.5</v>
          </cell>
          <cell r="L1240">
            <v>14</v>
          </cell>
          <cell r="M1240" t="e">
            <v>#N/A</v>
          </cell>
          <cell r="N1240">
            <v>16.5</v>
          </cell>
          <cell r="O1240" t="e">
            <v>#N/A</v>
          </cell>
          <cell r="P1240" t="str">
            <v/>
          </cell>
          <cell r="Q1240" t="str">
            <v/>
          </cell>
          <cell r="R1240">
            <v>16.5</v>
          </cell>
        </row>
        <row r="1241">
          <cell r="A1241" t="str">
            <v/>
          </cell>
          <cell r="B1241" t="str">
            <v/>
          </cell>
          <cell r="C1241" t="str">
            <v>Future</v>
          </cell>
          <cell r="D1241" t="e">
            <v>#N/A</v>
          </cell>
          <cell r="E1241">
            <v>-23.436486486486615</v>
          </cell>
          <cell r="F1241">
            <v>22.644594594595038</v>
          </cell>
          <cell r="G1241">
            <v>13.428378378378463</v>
          </cell>
          <cell r="H1241">
            <v>13.428378378378463</v>
          </cell>
          <cell r="I1241" t="e">
            <v>#N/A</v>
          </cell>
          <cell r="J1241" t="e">
            <v>#N/A</v>
          </cell>
          <cell r="K1241">
            <v>17.5</v>
          </cell>
          <cell r="L1241">
            <v>14</v>
          </cell>
          <cell r="M1241" t="e">
            <v>#N/A</v>
          </cell>
          <cell r="N1241">
            <v>16.5</v>
          </cell>
          <cell r="O1241" t="e">
            <v>#N/A</v>
          </cell>
          <cell r="P1241" t="str">
            <v/>
          </cell>
          <cell r="Q1241" t="str">
            <v/>
          </cell>
          <cell r="R1241">
            <v>16.5</v>
          </cell>
        </row>
        <row r="1242">
          <cell r="A1242" t="str">
            <v/>
          </cell>
          <cell r="B1242" t="str">
            <v/>
          </cell>
          <cell r="C1242" t="str">
            <v>Future</v>
          </cell>
          <cell r="D1242" t="e">
            <v>#N/A</v>
          </cell>
          <cell r="E1242">
            <v>-23.491891891892021</v>
          </cell>
          <cell r="F1242">
            <v>22.656756756757201</v>
          </cell>
          <cell r="G1242">
            <v>13.427027027027112</v>
          </cell>
          <cell r="H1242">
            <v>13.427027027027112</v>
          </cell>
          <cell r="I1242" t="e">
            <v>#N/A</v>
          </cell>
          <cell r="J1242" t="e">
            <v>#N/A</v>
          </cell>
          <cell r="K1242">
            <v>17.5</v>
          </cell>
          <cell r="L1242">
            <v>14</v>
          </cell>
          <cell r="M1242" t="e">
            <v>#N/A</v>
          </cell>
          <cell r="N1242">
            <v>16.5</v>
          </cell>
          <cell r="O1242" t="e">
            <v>#N/A</v>
          </cell>
          <cell r="P1242" t="str">
            <v/>
          </cell>
          <cell r="Q1242" t="str">
            <v/>
          </cell>
          <cell r="R1242">
            <v>16.5</v>
          </cell>
        </row>
        <row r="1243">
          <cell r="A1243" t="str">
            <v/>
          </cell>
          <cell r="B1243" t="str">
            <v/>
          </cell>
          <cell r="C1243" t="str">
            <v>Future</v>
          </cell>
          <cell r="D1243" t="e">
            <v>#N/A</v>
          </cell>
          <cell r="E1243">
            <v>-23.547297297297426</v>
          </cell>
          <cell r="F1243">
            <v>22.668918918919363</v>
          </cell>
          <cell r="G1243">
            <v>13.425675675675761</v>
          </cell>
          <cell r="H1243">
            <v>13.425675675675761</v>
          </cell>
          <cell r="I1243" t="e">
            <v>#N/A</v>
          </cell>
          <cell r="J1243" t="e">
            <v>#N/A</v>
          </cell>
          <cell r="K1243">
            <v>17.5</v>
          </cell>
          <cell r="L1243">
            <v>14</v>
          </cell>
          <cell r="M1243" t="e">
            <v>#N/A</v>
          </cell>
          <cell r="N1243">
            <v>16.5</v>
          </cell>
          <cell r="O1243" t="e">
            <v>#N/A</v>
          </cell>
          <cell r="P1243" t="str">
            <v/>
          </cell>
          <cell r="Q1243" t="str">
            <v/>
          </cell>
          <cell r="R1243">
            <v>16.5</v>
          </cell>
        </row>
        <row r="1244">
          <cell r="A1244" t="str">
            <v/>
          </cell>
          <cell r="B1244" t="str">
            <v/>
          </cell>
          <cell r="C1244" t="str">
            <v>Future</v>
          </cell>
          <cell r="D1244" t="e">
            <v>#N/A</v>
          </cell>
          <cell r="E1244">
            <v>-23.602702702702832</v>
          </cell>
          <cell r="F1244">
            <v>22.681081081081526</v>
          </cell>
          <cell r="G1244">
            <v>13.424324324324409</v>
          </cell>
          <cell r="H1244">
            <v>13.424324324324409</v>
          </cell>
          <cell r="I1244" t="e">
            <v>#N/A</v>
          </cell>
          <cell r="J1244" t="e">
            <v>#N/A</v>
          </cell>
          <cell r="K1244">
            <v>17.5</v>
          </cell>
          <cell r="L1244">
            <v>14</v>
          </cell>
          <cell r="M1244" t="e">
            <v>#N/A</v>
          </cell>
          <cell r="N1244">
            <v>16.5</v>
          </cell>
          <cell r="O1244" t="e">
            <v>#N/A</v>
          </cell>
          <cell r="P1244" t="str">
            <v/>
          </cell>
          <cell r="Q1244" t="str">
            <v/>
          </cell>
          <cell r="R1244">
            <v>16.5</v>
          </cell>
        </row>
        <row r="1245">
          <cell r="A1245" t="str">
            <v/>
          </cell>
          <cell r="B1245" t="str">
            <v/>
          </cell>
          <cell r="C1245" t="str">
            <v>Future</v>
          </cell>
          <cell r="D1245" t="e">
            <v>#N/A</v>
          </cell>
          <cell r="E1245">
            <v>-23.658108108108237</v>
          </cell>
          <cell r="F1245">
            <v>22.693243243243689</v>
          </cell>
          <cell r="G1245">
            <v>13.422972972973058</v>
          </cell>
          <cell r="H1245">
            <v>13.422972972973058</v>
          </cell>
          <cell r="I1245" t="e">
            <v>#N/A</v>
          </cell>
          <cell r="J1245" t="e">
            <v>#N/A</v>
          </cell>
          <cell r="K1245">
            <v>17.5</v>
          </cell>
          <cell r="L1245">
            <v>14</v>
          </cell>
          <cell r="M1245" t="e">
            <v>#N/A</v>
          </cell>
          <cell r="N1245">
            <v>16.5</v>
          </cell>
          <cell r="O1245" t="e">
            <v>#N/A</v>
          </cell>
          <cell r="P1245" t="str">
            <v/>
          </cell>
          <cell r="Q1245" t="str">
            <v/>
          </cell>
          <cell r="R1245">
            <v>16.5</v>
          </cell>
        </row>
        <row r="1246">
          <cell r="A1246" t="str">
            <v/>
          </cell>
          <cell r="B1246" t="str">
            <v/>
          </cell>
          <cell r="C1246" t="str">
            <v>Future</v>
          </cell>
          <cell r="D1246" t="e">
            <v>#N/A</v>
          </cell>
          <cell r="E1246">
            <v>-23.713513513513643</v>
          </cell>
          <cell r="F1246">
            <v>22.705405405405852</v>
          </cell>
          <cell r="G1246">
            <v>13.421621621621707</v>
          </cell>
          <cell r="H1246">
            <v>13.421621621621707</v>
          </cell>
          <cell r="I1246" t="e">
            <v>#N/A</v>
          </cell>
          <cell r="J1246" t="e">
            <v>#N/A</v>
          </cell>
          <cell r="K1246">
            <v>17.5</v>
          </cell>
          <cell r="L1246">
            <v>14</v>
          </cell>
          <cell r="M1246" t="e">
            <v>#N/A</v>
          </cell>
          <cell r="N1246">
            <v>16.5</v>
          </cell>
          <cell r="O1246" t="e">
            <v>#N/A</v>
          </cell>
          <cell r="P1246" t="str">
            <v/>
          </cell>
          <cell r="Q1246" t="str">
            <v/>
          </cell>
          <cell r="R1246">
            <v>16.5</v>
          </cell>
        </row>
        <row r="1247">
          <cell r="A1247" t="str">
            <v/>
          </cell>
          <cell r="B1247" t="str">
            <v/>
          </cell>
          <cell r="C1247" t="str">
            <v>Future</v>
          </cell>
          <cell r="D1247" t="e">
            <v>#N/A</v>
          </cell>
          <cell r="E1247">
            <v>-23.768918918919049</v>
          </cell>
          <cell r="F1247">
            <v>22.717567567568015</v>
          </cell>
          <cell r="G1247">
            <v>13.420270270270356</v>
          </cell>
          <cell r="H1247">
            <v>13.420270270270356</v>
          </cell>
          <cell r="I1247" t="e">
            <v>#N/A</v>
          </cell>
          <cell r="J1247" t="e">
            <v>#N/A</v>
          </cell>
          <cell r="K1247">
            <v>17.5</v>
          </cell>
          <cell r="L1247">
            <v>14</v>
          </cell>
          <cell r="M1247" t="e">
            <v>#N/A</v>
          </cell>
          <cell r="N1247">
            <v>16.5</v>
          </cell>
          <cell r="O1247" t="e">
            <v>#N/A</v>
          </cell>
          <cell r="P1247" t="str">
            <v/>
          </cell>
          <cell r="Q1247" t="str">
            <v/>
          </cell>
          <cell r="R1247">
            <v>16.5</v>
          </cell>
        </row>
        <row r="1248">
          <cell r="A1248" t="str">
            <v/>
          </cell>
          <cell r="B1248" t="str">
            <v/>
          </cell>
          <cell r="C1248" t="str">
            <v>Future</v>
          </cell>
          <cell r="D1248" t="e">
            <v>#N/A</v>
          </cell>
          <cell r="E1248">
            <v>-23.824324324324454</v>
          </cell>
          <cell r="F1248">
            <v>22.729729729730177</v>
          </cell>
          <cell r="G1248">
            <v>13.418918918919005</v>
          </cell>
          <cell r="H1248">
            <v>13.418918918919005</v>
          </cell>
          <cell r="I1248" t="e">
            <v>#N/A</v>
          </cell>
          <cell r="J1248" t="e">
            <v>#N/A</v>
          </cell>
          <cell r="K1248">
            <v>17.5</v>
          </cell>
          <cell r="L1248">
            <v>14</v>
          </cell>
          <cell r="M1248" t="e">
            <v>#N/A</v>
          </cell>
          <cell r="N1248">
            <v>16.5</v>
          </cell>
          <cell r="O1248" t="e">
            <v>#N/A</v>
          </cell>
          <cell r="P1248" t="str">
            <v/>
          </cell>
          <cell r="Q1248" t="str">
            <v/>
          </cell>
          <cell r="R1248">
            <v>16.5</v>
          </cell>
        </row>
        <row r="1249">
          <cell r="A1249" t="str">
            <v/>
          </cell>
          <cell r="B1249" t="str">
            <v/>
          </cell>
          <cell r="C1249" t="str">
            <v>Future</v>
          </cell>
          <cell r="D1249" t="e">
            <v>#N/A</v>
          </cell>
          <cell r="E1249">
            <v>-23.87972972972986</v>
          </cell>
          <cell r="F1249">
            <v>22.74189189189234</v>
          </cell>
          <cell r="G1249">
            <v>13.417567567567653</v>
          </cell>
          <cell r="H1249">
            <v>13.417567567567653</v>
          </cell>
          <cell r="I1249" t="e">
            <v>#N/A</v>
          </cell>
          <cell r="J1249" t="e">
            <v>#N/A</v>
          </cell>
          <cell r="K1249">
            <v>17.5</v>
          </cell>
          <cell r="L1249">
            <v>14</v>
          </cell>
          <cell r="M1249" t="e">
            <v>#N/A</v>
          </cell>
          <cell r="N1249">
            <v>16.5</v>
          </cell>
          <cell r="O1249" t="e">
            <v>#N/A</v>
          </cell>
          <cell r="P1249" t="str">
            <v/>
          </cell>
          <cell r="Q1249" t="str">
            <v/>
          </cell>
          <cell r="R1249">
            <v>16.5</v>
          </cell>
        </row>
        <row r="1250">
          <cell r="A1250" t="str">
            <v/>
          </cell>
          <cell r="B1250" t="str">
            <v/>
          </cell>
          <cell r="C1250" t="str">
            <v>Future</v>
          </cell>
          <cell r="D1250" t="e">
            <v>#N/A</v>
          </cell>
          <cell r="E1250">
            <v>-23.935135135135265</v>
          </cell>
          <cell r="F1250">
            <v>22.754054054054503</v>
          </cell>
          <cell r="G1250">
            <v>13.416216216216302</v>
          </cell>
          <cell r="H1250">
            <v>13.416216216216302</v>
          </cell>
          <cell r="I1250" t="e">
            <v>#N/A</v>
          </cell>
          <cell r="J1250" t="e">
            <v>#N/A</v>
          </cell>
          <cell r="K1250">
            <v>17.5</v>
          </cell>
          <cell r="L1250">
            <v>14</v>
          </cell>
          <cell r="M1250" t="e">
            <v>#N/A</v>
          </cell>
          <cell r="N1250">
            <v>16.5</v>
          </cell>
          <cell r="O1250" t="e">
            <v>#N/A</v>
          </cell>
          <cell r="P1250" t="str">
            <v/>
          </cell>
          <cell r="Q1250" t="str">
            <v/>
          </cell>
          <cell r="R1250">
            <v>16.5</v>
          </cell>
        </row>
        <row r="1251">
          <cell r="A1251" t="str">
            <v/>
          </cell>
          <cell r="B1251" t="str">
            <v/>
          </cell>
          <cell r="C1251" t="str">
            <v>Future</v>
          </cell>
          <cell r="D1251" t="e">
            <v>#N/A</v>
          </cell>
          <cell r="E1251">
            <v>-23.990540540540671</v>
          </cell>
          <cell r="F1251">
            <v>22.766216216216666</v>
          </cell>
          <cell r="G1251">
            <v>13.414864864864951</v>
          </cell>
          <cell r="H1251">
            <v>13.414864864864951</v>
          </cell>
          <cell r="I1251" t="e">
            <v>#N/A</v>
          </cell>
          <cell r="J1251" t="e">
            <v>#N/A</v>
          </cell>
          <cell r="K1251">
            <v>17.5</v>
          </cell>
          <cell r="L1251">
            <v>14</v>
          </cell>
          <cell r="M1251" t="e">
            <v>#N/A</v>
          </cell>
          <cell r="N1251">
            <v>16.5</v>
          </cell>
          <cell r="O1251" t="e">
            <v>#N/A</v>
          </cell>
          <cell r="P1251" t="str">
            <v/>
          </cell>
          <cell r="Q1251" t="str">
            <v/>
          </cell>
          <cell r="R1251">
            <v>16.5</v>
          </cell>
        </row>
        <row r="1252">
          <cell r="A1252" t="str">
            <v/>
          </cell>
          <cell r="B1252" t="str">
            <v/>
          </cell>
          <cell r="C1252" t="str">
            <v>Future</v>
          </cell>
          <cell r="D1252" t="e">
            <v>#N/A</v>
          </cell>
          <cell r="E1252">
            <v>-24.045945945946077</v>
          </cell>
          <cell r="F1252">
            <v>22.778378378378829</v>
          </cell>
          <cell r="G1252">
            <v>13.4135135135136</v>
          </cell>
          <cell r="H1252">
            <v>13.4135135135136</v>
          </cell>
          <cell r="I1252" t="e">
            <v>#N/A</v>
          </cell>
          <cell r="J1252" t="e">
            <v>#N/A</v>
          </cell>
          <cell r="K1252">
            <v>17.5</v>
          </cell>
          <cell r="L1252">
            <v>14</v>
          </cell>
          <cell r="M1252" t="e">
            <v>#N/A</v>
          </cell>
          <cell r="N1252">
            <v>16.5</v>
          </cell>
          <cell r="O1252" t="e">
            <v>#N/A</v>
          </cell>
          <cell r="P1252" t="str">
            <v/>
          </cell>
          <cell r="Q1252" t="str">
            <v/>
          </cell>
          <cell r="R1252">
            <v>16.5</v>
          </cell>
        </row>
        <row r="1253">
          <cell r="A1253" t="str">
            <v/>
          </cell>
          <cell r="P1253" t="str">
            <v/>
          </cell>
          <cell r="Q1253" t="str">
            <v/>
          </cell>
        </row>
      </sheetData>
      <sheetData sheetId="11" refreshError="1"/>
      <sheetData sheetId="12" refreshError="1"/>
      <sheetData sheetId="13" refreshError="1">
        <row r="1">
          <cell r="N1" t="str">
            <v>SmartCharts</v>
          </cell>
          <cell r="AW1" t="str">
            <v>.</v>
          </cell>
        </row>
        <row r="2">
          <cell r="AW2" t="str">
            <v>.</v>
          </cell>
        </row>
        <row r="3">
          <cell r="AW3" t="str">
            <v>.</v>
          </cell>
        </row>
        <row r="4">
          <cell r="AW4" t="str">
            <v>.</v>
          </cell>
        </row>
        <row r="5">
          <cell r="C5" t="str">
            <v>Define value axis here:</v>
          </cell>
        </row>
        <row r="6">
          <cell r="C6" t="str">
            <v>Capex ($mil)</v>
          </cell>
        </row>
        <row r="10">
          <cell r="C10" t="str">
            <v>Input your data here:</v>
          </cell>
          <cell r="AW10" t="str">
            <v>.</v>
          </cell>
        </row>
        <row r="11">
          <cell r="C11">
            <v>2009</v>
          </cell>
          <cell r="D11">
            <v>800.62199999999996</v>
          </cell>
        </row>
        <row r="12">
          <cell r="C12">
            <v>2010</v>
          </cell>
          <cell r="D12">
            <v>568.05700000000002</v>
          </cell>
          <cell r="AW12" t="str">
            <v>.</v>
          </cell>
        </row>
        <row r="13">
          <cell r="C13" t="str">
            <v>2011e</v>
          </cell>
          <cell r="D13">
            <v>488.18299999999999</v>
          </cell>
          <cell r="AW13" t="str">
            <v>.</v>
          </cell>
        </row>
        <row r="14">
          <cell r="C14" t="str">
            <v>2012e</v>
          </cell>
          <cell r="D14">
            <v>473.17525000000001</v>
          </cell>
          <cell r="AW14" t="str">
            <v>.</v>
          </cell>
        </row>
        <row r="15">
          <cell r="C15" t="str">
            <v>2013e</v>
          </cell>
          <cell r="D15">
            <v>411.15758333333338</v>
          </cell>
          <cell r="AW15" t="str">
            <v>.</v>
          </cell>
        </row>
        <row r="16">
          <cell r="C16" t="str">
            <v>2014e</v>
          </cell>
          <cell r="D16">
            <v>411.15758333333338</v>
          </cell>
          <cell r="AW16" t="str">
            <v>.</v>
          </cell>
        </row>
        <row r="17">
          <cell r="C17" t="str">
            <v>2015e</v>
          </cell>
          <cell r="D17">
            <v>411.15758333333338</v>
          </cell>
          <cell r="AW17" t="str">
            <v>.</v>
          </cell>
        </row>
        <row r="18">
          <cell r="AW18" t="str">
            <v>.</v>
          </cell>
        </row>
        <row r="19">
          <cell r="AW19" t="str">
            <v>.</v>
          </cell>
        </row>
        <row r="20">
          <cell r="AW20" t="str">
            <v>.</v>
          </cell>
        </row>
        <row r="21">
          <cell r="AW21" t="str">
            <v>.</v>
          </cell>
        </row>
        <row r="22">
          <cell r="AW22" t="str">
            <v>.</v>
          </cell>
        </row>
        <row r="23">
          <cell r="AW23" t="str">
            <v>.</v>
          </cell>
        </row>
        <row r="24">
          <cell r="AW24" t="str">
            <v>.</v>
          </cell>
        </row>
        <row r="25">
          <cell r="AW25" t="str">
            <v>.</v>
          </cell>
        </row>
        <row r="26">
          <cell r="AW26" t="str">
            <v>.</v>
          </cell>
        </row>
        <row r="27">
          <cell r="AW27" t="str">
            <v>.</v>
          </cell>
        </row>
        <row r="28">
          <cell r="AW28" t="str">
            <v>.</v>
          </cell>
        </row>
        <row r="29">
          <cell r="AW29" t="str">
            <v>.</v>
          </cell>
        </row>
        <row r="30">
          <cell r="AW30" t="str">
            <v>.</v>
          </cell>
        </row>
        <row r="31">
          <cell r="AW31" t="str">
            <v>.</v>
          </cell>
        </row>
        <row r="32">
          <cell r="AW32" t="str">
            <v>.</v>
          </cell>
        </row>
        <row r="33">
          <cell r="AW33" t="str">
            <v>.</v>
          </cell>
        </row>
        <row r="34">
          <cell r="AW34" t="str">
            <v>.</v>
          </cell>
        </row>
        <row r="35">
          <cell r="AW35" t="str">
            <v>.</v>
          </cell>
        </row>
        <row r="36">
          <cell r="AW36" t="str">
            <v>.</v>
          </cell>
        </row>
        <row r="37">
          <cell r="AW37" t="str">
            <v>.</v>
          </cell>
        </row>
        <row r="38">
          <cell r="AW38" t="str">
            <v>.</v>
          </cell>
        </row>
        <row r="39">
          <cell r="AW39" t="str">
            <v>.</v>
          </cell>
        </row>
        <row r="40">
          <cell r="AW40" t="str">
            <v>.</v>
          </cell>
        </row>
        <row r="41">
          <cell r="AW41" t="str">
            <v>.</v>
          </cell>
        </row>
        <row r="42">
          <cell r="AW42" t="str">
            <v>.</v>
          </cell>
        </row>
        <row r="43">
          <cell r="AW43" t="str">
            <v>.</v>
          </cell>
        </row>
        <row r="44">
          <cell r="AW44" t="str">
            <v>.</v>
          </cell>
        </row>
        <row r="45">
          <cell r="AW45" t="str">
            <v>.</v>
          </cell>
        </row>
        <row r="46">
          <cell r="AW46" t="str">
            <v>.</v>
          </cell>
        </row>
        <row r="47">
          <cell r="AW47" t="str">
            <v>.</v>
          </cell>
        </row>
        <row r="48">
          <cell r="AW48" t="str">
            <v>.</v>
          </cell>
        </row>
        <row r="49">
          <cell r="AW49" t="str">
            <v>.</v>
          </cell>
        </row>
        <row r="50">
          <cell r="AW50" t="str">
            <v>.</v>
          </cell>
        </row>
        <row r="51">
          <cell r="AW51" t="str">
            <v>.</v>
          </cell>
        </row>
        <row r="52">
          <cell r="AW52" t="str">
            <v>.</v>
          </cell>
        </row>
        <row r="53">
          <cell r="AW53" t="str">
            <v>.</v>
          </cell>
        </row>
        <row r="54">
          <cell r="AW54" t="str">
            <v>.</v>
          </cell>
        </row>
        <row r="55">
          <cell r="AW55" t="str">
            <v>.</v>
          </cell>
        </row>
        <row r="56">
          <cell r="AW56" t="str">
            <v>.</v>
          </cell>
        </row>
        <row r="57">
          <cell r="AW57" t="str">
            <v>.</v>
          </cell>
        </row>
        <row r="58">
          <cell r="AW58" t="str">
            <v>.</v>
          </cell>
        </row>
        <row r="59">
          <cell r="AW59" t="str">
            <v>.</v>
          </cell>
        </row>
        <row r="60">
          <cell r="AW60" t="str">
            <v>.</v>
          </cell>
        </row>
        <row r="61">
          <cell r="AW61" t="str">
            <v>.</v>
          </cell>
        </row>
        <row r="62">
          <cell r="AW62" t="str">
            <v>.</v>
          </cell>
        </row>
        <row r="63">
          <cell r="AW63" t="str">
            <v>.</v>
          </cell>
        </row>
        <row r="64">
          <cell r="AW64" t="str">
            <v>.</v>
          </cell>
        </row>
        <row r="65">
          <cell r="AW65" t="str">
            <v>.</v>
          </cell>
        </row>
        <row r="66">
          <cell r="AW66" t="str">
            <v>.</v>
          </cell>
        </row>
        <row r="67">
          <cell r="AW67" t="str">
            <v>.</v>
          </cell>
        </row>
        <row r="68">
          <cell r="AW68" t="str">
            <v>.</v>
          </cell>
        </row>
        <row r="69">
          <cell r="AW69" t="str">
            <v>.</v>
          </cell>
        </row>
        <row r="70">
          <cell r="AW70" t="str">
            <v>.</v>
          </cell>
        </row>
        <row r="71">
          <cell r="AW71" t="str">
            <v>.</v>
          </cell>
        </row>
        <row r="72">
          <cell r="AW72" t="str">
            <v>.</v>
          </cell>
        </row>
        <row r="73">
          <cell r="AW73" t="str">
            <v>.</v>
          </cell>
        </row>
        <row r="74">
          <cell r="AW74" t="str">
            <v>.</v>
          </cell>
        </row>
        <row r="75">
          <cell r="AW75" t="str">
            <v>.</v>
          </cell>
        </row>
        <row r="76">
          <cell r="AW76" t="str">
            <v>.</v>
          </cell>
        </row>
        <row r="77">
          <cell r="AW77" t="str">
            <v>.</v>
          </cell>
        </row>
        <row r="78">
          <cell r="AW78" t="str">
            <v>.</v>
          </cell>
        </row>
        <row r="79">
          <cell r="AW79" t="str">
            <v>.</v>
          </cell>
        </row>
        <row r="80">
          <cell r="AW80" t="str">
            <v>.</v>
          </cell>
        </row>
        <row r="81">
          <cell r="AW81" t="str">
            <v>.</v>
          </cell>
        </row>
        <row r="82">
          <cell r="AW82" t="str">
            <v>.</v>
          </cell>
        </row>
        <row r="83">
          <cell r="AW83" t="str">
            <v>.</v>
          </cell>
        </row>
        <row r="84">
          <cell r="AW84" t="str">
            <v>.</v>
          </cell>
        </row>
        <row r="85">
          <cell r="AW85" t="str">
            <v>.</v>
          </cell>
        </row>
        <row r="86">
          <cell r="AW86" t="str">
            <v>.</v>
          </cell>
        </row>
        <row r="87">
          <cell r="AW87" t="str">
            <v>.</v>
          </cell>
        </row>
        <row r="88">
          <cell r="AW88" t="str">
            <v>.</v>
          </cell>
        </row>
        <row r="89">
          <cell r="AW89" t="str">
            <v>.</v>
          </cell>
        </row>
        <row r="90">
          <cell r="AW90" t="str">
            <v>.</v>
          </cell>
        </row>
        <row r="91">
          <cell r="AW91" t="str">
            <v>.</v>
          </cell>
        </row>
        <row r="92">
          <cell r="AW92" t="str">
            <v>.</v>
          </cell>
        </row>
        <row r="93">
          <cell r="AW93" t="str">
            <v>.</v>
          </cell>
        </row>
        <row r="94">
          <cell r="AW94" t="str">
            <v>.</v>
          </cell>
        </row>
        <row r="95">
          <cell r="AW95" t="str">
            <v>.</v>
          </cell>
        </row>
        <row r="96">
          <cell r="AW96" t="str">
            <v>.</v>
          </cell>
        </row>
        <row r="97">
          <cell r="AW97" t="str">
            <v>.</v>
          </cell>
        </row>
        <row r="98">
          <cell r="AW98" t="str">
            <v>.</v>
          </cell>
        </row>
        <row r="99">
          <cell r="AW99" t="str">
            <v>.</v>
          </cell>
        </row>
        <row r="100">
          <cell r="AW100" t="str">
            <v>.</v>
          </cell>
        </row>
        <row r="101">
          <cell r="AW101" t="str">
            <v>.</v>
          </cell>
        </row>
        <row r="102">
          <cell r="AW102" t="str">
            <v>.</v>
          </cell>
        </row>
        <row r="103">
          <cell r="AW103" t="str">
            <v>.</v>
          </cell>
        </row>
        <row r="104">
          <cell r="AW104" t="str">
            <v>.</v>
          </cell>
        </row>
        <row r="105">
          <cell r="AW105" t="str">
            <v>.</v>
          </cell>
        </row>
        <row r="106">
          <cell r="AW106" t="str">
            <v>.</v>
          </cell>
        </row>
        <row r="107">
          <cell r="AW107" t="str">
            <v>.</v>
          </cell>
        </row>
        <row r="108">
          <cell r="AW108" t="str">
            <v>.</v>
          </cell>
        </row>
        <row r="109">
          <cell r="AW109" t="str">
            <v>.</v>
          </cell>
        </row>
        <row r="110">
          <cell r="AW110" t="str">
            <v>.</v>
          </cell>
        </row>
        <row r="111">
          <cell r="AW111" t="str">
            <v>.</v>
          </cell>
        </row>
        <row r="112">
          <cell r="AW112" t="str">
            <v>.</v>
          </cell>
        </row>
        <row r="113">
          <cell r="AW113" t="str">
            <v>.</v>
          </cell>
        </row>
        <row r="114">
          <cell r="AW114" t="str">
            <v>.</v>
          </cell>
        </row>
        <row r="115">
          <cell r="AW115" t="str">
            <v>.</v>
          </cell>
        </row>
        <row r="116">
          <cell r="AW116" t="str">
            <v>.</v>
          </cell>
        </row>
        <row r="117">
          <cell r="AW117" t="str">
            <v>.</v>
          </cell>
        </row>
        <row r="118">
          <cell r="AW118" t="str">
            <v>.</v>
          </cell>
        </row>
        <row r="119">
          <cell r="AW119" t="str">
            <v>.</v>
          </cell>
        </row>
        <row r="120">
          <cell r="AW120" t="str">
            <v>.</v>
          </cell>
        </row>
        <row r="121">
          <cell r="AW121" t="str">
            <v>.</v>
          </cell>
        </row>
        <row r="122">
          <cell r="AW122" t="str">
            <v>.</v>
          </cell>
        </row>
        <row r="123">
          <cell r="AW123" t="str">
            <v>.</v>
          </cell>
        </row>
        <row r="124">
          <cell r="AW124" t="str">
            <v>.</v>
          </cell>
        </row>
        <row r="125">
          <cell r="AW125" t="str">
            <v>.</v>
          </cell>
        </row>
        <row r="126">
          <cell r="AW126" t="str">
            <v>.</v>
          </cell>
        </row>
        <row r="127">
          <cell r="AW127" t="str">
            <v>.</v>
          </cell>
        </row>
        <row r="128">
          <cell r="AW128" t="str">
            <v>.</v>
          </cell>
        </row>
        <row r="129">
          <cell r="AW129" t="str">
            <v>.</v>
          </cell>
        </row>
        <row r="130">
          <cell r="AW130" t="str">
            <v>.</v>
          </cell>
        </row>
        <row r="131">
          <cell r="AW131" t="str">
            <v>.</v>
          </cell>
        </row>
        <row r="132">
          <cell r="AW132" t="str">
            <v>.</v>
          </cell>
        </row>
        <row r="133">
          <cell r="AW133" t="str">
            <v>.</v>
          </cell>
        </row>
        <row r="134">
          <cell r="AW134" t="str">
            <v>.</v>
          </cell>
        </row>
        <row r="135">
          <cell r="AW135" t="str">
            <v>.</v>
          </cell>
        </row>
        <row r="136">
          <cell r="AW136" t="str">
            <v>.</v>
          </cell>
        </row>
        <row r="137">
          <cell r="AW137" t="str">
            <v>.</v>
          </cell>
        </row>
        <row r="138">
          <cell r="AW138" t="str">
            <v>.</v>
          </cell>
        </row>
        <row r="139">
          <cell r="AW139" t="str">
            <v>.</v>
          </cell>
        </row>
        <row r="140">
          <cell r="AW140" t="str">
            <v>.</v>
          </cell>
        </row>
        <row r="141">
          <cell r="AW141" t="str">
            <v>.</v>
          </cell>
        </row>
        <row r="142">
          <cell r="AW142" t="str">
            <v>.</v>
          </cell>
        </row>
        <row r="143">
          <cell r="AW143" t="str">
            <v>.</v>
          </cell>
        </row>
        <row r="144">
          <cell r="AW144" t="str">
            <v>.</v>
          </cell>
        </row>
        <row r="145">
          <cell r="AW145" t="str">
            <v>.</v>
          </cell>
        </row>
        <row r="146">
          <cell r="AW146" t="str">
            <v>.</v>
          </cell>
        </row>
        <row r="147">
          <cell r="AW147" t="str">
            <v>.</v>
          </cell>
        </row>
        <row r="148">
          <cell r="AW148" t="str">
            <v>.</v>
          </cell>
        </row>
        <row r="149">
          <cell r="AW149" t="str">
            <v>.</v>
          </cell>
        </row>
        <row r="150">
          <cell r="AW150" t="str">
            <v>.</v>
          </cell>
        </row>
        <row r="151">
          <cell r="AW151" t="str">
            <v>.</v>
          </cell>
        </row>
        <row r="152">
          <cell r="AW152" t="str">
            <v>.</v>
          </cell>
        </row>
        <row r="153">
          <cell r="AW153" t="str">
            <v>.</v>
          </cell>
        </row>
        <row r="154">
          <cell r="AW154" t="str">
            <v>.</v>
          </cell>
        </row>
        <row r="155">
          <cell r="AW155" t="str">
            <v>.</v>
          </cell>
        </row>
        <row r="156">
          <cell r="AW156" t="str">
            <v>.</v>
          </cell>
        </row>
        <row r="157">
          <cell r="AW157" t="str">
            <v>.</v>
          </cell>
        </row>
        <row r="158">
          <cell r="AW158" t="str">
            <v>.</v>
          </cell>
        </row>
        <row r="159">
          <cell r="AW159" t="str">
            <v>.</v>
          </cell>
        </row>
        <row r="160">
          <cell r="AW160" t="str">
            <v>.</v>
          </cell>
        </row>
        <row r="161">
          <cell r="AW161" t="str">
            <v>.</v>
          </cell>
        </row>
        <row r="162">
          <cell r="AW162" t="str">
            <v>.</v>
          </cell>
        </row>
        <row r="163">
          <cell r="AW163" t="str">
            <v>.</v>
          </cell>
        </row>
        <row r="164">
          <cell r="AW164" t="str">
            <v>.</v>
          </cell>
        </row>
        <row r="165">
          <cell r="AW165" t="str">
            <v>.</v>
          </cell>
        </row>
        <row r="166">
          <cell r="AW166" t="str">
            <v>.</v>
          </cell>
        </row>
        <row r="167">
          <cell r="AW167" t="str">
            <v>.</v>
          </cell>
        </row>
        <row r="168">
          <cell r="AW168" t="str">
            <v>.</v>
          </cell>
        </row>
        <row r="169">
          <cell r="AW169" t="str">
            <v>.</v>
          </cell>
        </row>
        <row r="170">
          <cell r="AW170" t="str">
            <v>.</v>
          </cell>
        </row>
        <row r="171">
          <cell r="AW171" t="str">
            <v>.</v>
          </cell>
        </row>
        <row r="172">
          <cell r="AW172" t="str">
            <v>.</v>
          </cell>
        </row>
        <row r="173">
          <cell r="AW173" t="str">
            <v>.</v>
          </cell>
        </row>
        <row r="174">
          <cell r="AW174" t="str">
            <v>.</v>
          </cell>
        </row>
        <row r="175">
          <cell r="AW175" t="str">
            <v>.</v>
          </cell>
        </row>
        <row r="176">
          <cell r="AW176" t="str">
            <v>.</v>
          </cell>
        </row>
        <row r="177">
          <cell r="AW177" t="str">
            <v>.</v>
          </cell>
        </row>
        <row r="178">
          <cell r="AW178" t="str">
            <v>.</v>
          </cell>
        </row>
        <row r="179">
          <cell r="AW179" t="str">
            <v>.</v>
          </cell>
        </row>
        <row r="180">
          <cell r="AW180" t="str">
            <v>.</v>
          </cell>
        </row>
        <row r="181">
          <cell r="AW181" t="str">
            <v>.</v>
          </cell>
        </row>
        <row r="182">
          <cell r="AW182" t="str">
            <v>.</v>
          </cell>
        </row>
        <row r="183">
          <cell r="AW183" t="str">
            <v>.</v>
          </cell>
        </row>
        <row r="184">
          <cell r="AW184" t="str">
            <v>.</v>
          </cell>
        </row>
        <row r="185">
          <cell r="AW185" t="str">
            <v>.</v>
          </cell>
        </row>
        <row r="186">
          <cell r="AW186" t="str">
            <v>.</v>
          </cell>
        </row>
        <row r="187">
          <cell r="AW187" t="str">
            <v>.</v>
          </cell>
        </row>
        <row r="188">
          <cell r="AW188" t="str">
            <v>.</v>
          </cell>
        </row>
        <row r="189">
          <cell r="AW189" t="str">
            <v>.</v>
          </cell>
        </row>
        <row r="190">
          <cell r="AW190" t="str">
            <v>.</v>
          </cell>
        </row>
        <row r="191">
          <cell r="AW191" t="str">
            <v>.</v>
          </cell>
        </row>
        <row r="192">
          <cell r="AW192" t="str">
            <v>.</v>
          </cell>
        </row>
        <row r="193">
          <cell r="AW193" t="str">
            <v>.</v>
          </cell>
        </row>
        <row r="194">
          <cell r="AW194" t="str">
            <v>.</v>
          </cell>
        </row>
        <row r="195">
          <cell r="AW195" t="str">
            <v>.</v>
          </cell>
        </row>
        <row r="196">
          <cell r="AW196" t="str">
            <v>.</v>
          </cell>
        </row>
        <row r="197">
          <cell r="AW197" t="str">
            <v>.</v>
          </cell>
        </row>
        <row r="198">
          <cell r="AW198" t="str">
            <v>.</v>
          </cell>
        </row>
        <row r="199">
          <cell r="AW199" t="str">
            <v>.</v>
          </cell>
        </row>
        <row r="200">
          <cell r="AW200" t="str">
            <v>.</v>
          </cell>
        </row>
        <row r="201">
          <cell r="AW201" t="str">
            <v>.</v>
          </cell>
        </row>
        <row r="202">
          <cell r="AW202" t="str">
            <v>.</v>
          </cell>
        </row>
        <row r="203">
          <cell r="AW203" t="str">
            <v>.</v>
          </cell>
        </row>
        <row r="204">
          <cell r="AW204" t="str">
            <v>.</v>
          </cell>
        </row>
        <row r="205">
          <cell r="AW205" t="str">
            <v>.</v>
          </cell>
        </row>
        <row r="206">
          <cell r="AW206" t="str">
            <v>.</v>
          </cell>
        </row>
        <row r="207">
          <cell r="AW207" t="str">
            <v>.</v>
          </cell>
        </row>
        <row r="208">
          <cell r="AW208" t="str">
            <v>.</v>
          </cell>
        </row>
        <row r="209">
          <cell r="AW209" t="str">
            <v>.</v>
          </cell>
        </row>
        <row r="210">
          <cell r="AW210" t="str">
            <v>.</v>
          </cell>
        </row>
        <row r="211">
          <cell r="AW211" t="str">
            <v>.</v>
          </cell>
        </row>
        <row r="212">
          <cell r="AW212" t="str">
            <v>.</v>
          </cell>
        </row>
        <row r="213">
          <cell r="AW213" t="str">
            <v>.</v>
          </cell>
        </row>
        <row r="214">
          <cell r="AW214" t="str">
            <v>.</v>
          </cell>
        </row>
        <row r="215">
          <cell r="AW215" t="str">
            <v>.</v>
          </cell>
        </row>
        <row r="216">
          <cell r="AW216" t="str">
            <v>.</v>
          </cell>
        </row>
        <row r="217">
          <cell r="AW217" t="str">
            <v>.</v>
          </cell>
        </row>
        <row r="218">
          <cell r="AW218" t="str">
            <v>.</v>
          </cell>
        </row>
        <row r="219">
          <cell r="AW219" t="str">
            <v>.</v>
          </cell>
        </row>
        <row r="220">
          <cell r="AW220" t="str">
            <v>.</v>
          </cell>
        </row>
        <row r="221">
          <cell r="AW221" t="str">
            <v>.</v>
          </cell>
        </row>
        <row r="222">
          <cell r="AW222" t="str">
            <v>.</v>
          </cell>
        </row>
        <row r="223">
          <cell r="AW223" t="str">
            <v>.</v>
          </cell>
        </row>
        <row r="224">
          <cell r="AW224" t="str">
            <v>.</v>
          </cell>
        </row>
        <row r="225">
          <cell r="AW225" t="str">
            <v>.</v>
          </cell>
        </row>
        <row r="226">
          <cell r="AW226" t="str">
            <v>.</v>
          </cell>
        </row>
        <row r="227">
          <cell r="AW227" t="str">
            <v>.</v>
          </cell>
        </row>
        <row r="228">
          <cell r="AW228" t="str">
            <v>.</v>
          </cell>
        </row>
        <row r="229">
          <cell r="AW229" t="str">
            <v>.</v>
          </cell>
        </row>
        <row r="230">
          <cell r="AW230" t="str">
            <v>.</v>
          </cell>
        </row>
        <row r="231">
          <cell r="AW231" t="str">
            <v>.</v>
          </cell>
        </row>
        <row r="232">
          <cell r="AW232" t="str">
            <v>.</v>
          </cell>
        </row>
        <row r="233">
          <cell r="AW233" t="str">
            <v>.</v>
          </cell>
        </row>
        <row r="234">
          <cell r="AW234" t="str">
            <v>.</v>
          </cell>
        </row>
        <row r="235">
          <cell r="AW235" t="str">
            <v>.</v>
          </cell>
        </row>
        <row r="236">
          <cell r="AW236" t="str">
            <v>.</v>
          </cell>
        </row>
        <row r="237">
          <cell r="AW237" t="str">
            <v>.</v>
          </cell>
        </row>
        <row r="238">
          <cell r="AW238" t="str">
            <v>.</v>
          </cell>
        </row>
        <row r="239">
          <cell r="AW239" t="str">
            <v>.</v>
          </cell>
        </row>
        <row r="240">
          <cell r="AW240" t="str">
            <v>.</v>
          </cell>
        </row>
        <row r="241">
          <cell r="AW241" t="str">
            <v>.</v>
          </cell>
        </row>
        <row r="242">
          <cell r="AW242" t="str">
            <v>.</v>
          </cell>
        </row>
        <row r="243">
          <cell r="AW243" t="str">
            <v>.</v>
          </cell>
        </row>
        <row r="244">
          <cell r="AW244" t="str">
            <v>.</v>
          </cell>
        </row>
        <row r="245">
          <cell r="AW245" t="str">
            <v>.</v>
          </cell>
        </row>
        <row r="246">
          <cell r="AW246" t="str">
            <v>.</v>
          </cell>
        </row>
        <row r="247">
          <cell r="AW247" t="str">
            <v>.</v>
          </cell>
        </row>
        <row r="248">
          <cell r="AW248" t="str">
            <v>.</v>
          </cell>
        </row>
        <row r="249">
          <cell r="AW249" t="str">
            <v>.</v>
          </cell>
        </row>
        <row r="250">
          <cell r="AW250" t="str">
            <v>.</v>
          </cell>
        </row>
        <row r="251">
          <cell r="AW251" t="str">
            <v>.</v>
          </cell>
        </row>
        <row r="252">
          <cell r="AW252" t="str">
            <v>.</v>
          </cell>
        </row>
        <row r="253">
          <cell r="AW253" t="str">
            <v>.</v>
          </cell>
        </row>
        <row r="254">
          <cell r="AW254" t="str">
            <v>.</v>
          </cell>
        </row>
        <row r="255">
          <cell r="AW255" t="str">
            <v>.</v>
          </cell>
        </row>
        <row r="256">
          <cell r="AW256" t="str">
            <v>.</v>
          </cell>
        </row>
        <row r="257">
          <cell r="AW257" t="str">
            <v>.</v>
          </cell>
        </row>
        <row r="258">
          <cell r="AW258" t="str">
            <v>.</v>
          </cell>
        </row>
        <row r="259">
          <cell r="AW259" t="str">
            <v>.</v>
          </cell>
        </row>
        <row r="260">
          <cell r="AW260" t="str">
            <v>.</v>
          </cell>
        </row>
        <row r="261">
          <cell r="AW261" t="str">
            <v>.</v>
          </cell>
        </row>
        <row r="262">
          <cell r="AW262" t="str">
            <v>.</v>
          </cell>
        </row>
        <row r="263">
          <cell r="AW263" t="str">
            <v>.</v>
          </cell>
        </row>
        <row r="264">
          <cell r="AW264" t="str">
            <v>.</v>
          </cell>
        </row>
        <row r="265">
          <cell r="AW265" t="str">
            <v>.</v>
          </cell>
        </row>
        <row r="266">
          <cell r="AW266" t="str">
            <v>.</v>
          </cell>
        </row>
        <row r="267">
          <cell r="AW267" t="str">
            <v>.</v>
          </cell>
        </row>
        <row r="268">
          <cell r="AW268" t="str">
            <v>.</v>
          </cell>
        </row>
        <row r="269">
          <cell r="AW269" t="str">
            <v>.</v>
          </cell>
        </row>
        <row r="270">
          <cell r="AW270" t="str">
            <v>.</v>
          </cell>
        </row>
        <row r="271">
          <cell r="AW271" t="str">
            <v>.</v>
          </cell>
        </row>
        <row r="272">
          <cell r="AW272" t="str">
            <v>.</v>
          </cell>
        </row>
        <row r="273">
          <cell r="AW273" t="str">
            <v>.</v>
          </cell>
        </row>
        <row r="274">
          <cell r="AW274" t="str">
            <v>.</v>
          </cell>
        </row>
        <row r="275">
          <cell r="AW275" t="str">
            <v>.</v>
          </cell>
        </row>
        <row r="276">
          <cell r="AW276" t="str">
            <v>.</v>
          </cell>
        </row>
        <row r="277">
          <cell r="AW277" t="str">
            <v>.</v>
          </cell>
        </row>
        <row r="278">
          <cell r="AW278" t="str">
            <v>.</v>
          </cell>
        </row>
        <row r="279">
          <cell r="AW279" t="str">
            <v>.</v>
          </cell>
        </row>
        <row r="280">
          <cell r="AW280" t="str">
            <v>.</v>
          </cell>
        </row>
        <row r="281">
          <cell r="AW281" t="str">
            <v>.</v>
          </cell>
        </row>
        <row r="282">
          <cell r="AW282" t="str">
            <v>.</v>
          </cell>
        </row>
        <row r="283">
          <cell r="AW283" t="str">
            <v>.</v>
          </cell>
        </row>
        <row r="284">
          <cell r="AW284" t="str">
            <v>.</v>
          </cell>
        </row>
        <row r="285">
          <cell r="AW285" t="str">
            <v>.</v>
          </cell>
        </row>
        <row r="286">
          <cell r="AW286" t="str">
            <v>.</v>
          </cell>
        </row>
        <row r="287">
          <cell r="AW287" t="str">
            <v>.</v>
          </cell>
        </row>
        <row r="288">
          <cell r="AW288" t="str">
            <v>.</v>
          </cell>
        </row>
        <row r="289">
          <cell r="AW289" t="str">
            <v>.</v>
          </cell>
        </row>
        <row r="290">
          <cell r="AW290" t="str">
            <v>.</v>
          </cell>
        </row>
        <row r="291">
          <cell r="AW291" t="str">
            <v>.</v>
          </cell>
        </row>
        <row r="292">
          <cell r="AW292" t="str">
            <v>.</v>
          </cell>
        </row>
        <row r="293">
          <cell r="AW293" t="str">
            <v>.</v>
          </cell>
        </row>
        <row r="294">
          <cell r="AW294" t="str">
            <v>.</v>
          </cell>
        </row>
        <row r="295">
          <cell r="AW295" t="str">
            <v>.</v>
          </cell>
        </row>
        <row r="296">
          <cell r="AW296" t="str">
            <v>.</v>
          </cell>
        </row>
        <row r="297">
          <cell r="AW297" t="str">
            <v>.</v>
          </cell>
        </row>
        <row r="298">
          <cell r="AW298" t="str">
            <v>.</v>
          </cell>
        </row>
        <row r="299">
          <cell r="AW299" t="str">
            <v>.</v>
          </cell>
        </row>
        <row r="300">
          <cell r="AW300" t="str">
            <v>.</v>
          </cell>
        </row>
        <row r="301">
          <cell r="AW301" t="str">
            <v>.</v>
          </cell>
        </row>
        <row r="302">
          <cell r="AW302" t="str">
            <v>.</v>
          </cell>
        </row>
        <row r="303">
          <cell r="AW303" t="str">
            <v>.</v>
          </cell>
        </row>
        <row r="304">
          <cell r="AW304" t="str">
            <v>.</v>
          </cell>
        </row>
        <row r="305">
          <cell r="AW305" t="str">
            <v>.</v>
          </cell>
        </row>
        <row r="306">
          <cell r="AW306" t="str">
            <v>.</v>
          </cell>
        </row>
        <row r="307">
          <cell r="AW307" t="str">
            <v>.</v>
          </cell>
        </row>
        <row r="308">
          <cell r="AW308" t="str">
            <v>.</v>
          </cell>
        </row>
        <row r="309">
          <cell r="AW309" t="str">
            <v>.</v>
          </cell>
        </row>
        <row r="310">
          <cell r="AW310" t="str">
            <v>.</v>
          </cell>
        </row>
        <row r="311">
          <cell r="AW311" t="str">
            <v>.</v>
          </cell>
        </row>
        <row r="312">
          <cell r="AW312" t="str">
            <v>.</v>
          </cell>
        </row>
        <row r="313">
          <cell r="AW313" t="str">
            <v>.</v>
          </cell>
        </row>
        <row r="314">
          <cell r="AW314" t="str">
            <v>.</v>
          </cell>
        </row>
        <row r="315">
          <cell r="AW315" t="str">
            <v>.</v>
          </cell>
        </row>
        <row r="316">
          <cell r="AW316" t="str">
            <v>.</v>
          </cell>
        </row>
        <row r="317">
          <cell r="AW317" t="str">
            <v>.</v>
          </cell>
        </row>
        <row r="318">
          <cell r="AW318" t="str">
            <v>.</v>
          </cell>
        </row>
        <row r="319">
          <cell r="AW319" t="str">
            <v>.</v>
          </cell>
        </row>
        <row r="320">
          <cell r="AW320" t="str">
            <v>.</v>
          </cell>
        </row>
        <row r="321">
          <cell r="AW321" t="str">
            <v>.</v>
          </cell>
        </row>
        <row r="322">
          <cell r="AW322" t="str">
            <v>.</v>
          </cell>
        </row>
        <row r="323">
          <cell r="AW323" t="str">
            <v>.</v>
          </cell>
        </row>
        <row r="324">
          <cell r="AW324" t="str">
            <v>.</v>
          </cell>
        </row>
        <row r="325">
          <cell r="AW325" t="str">
            <v>.</v>
          </cell>
        </row>
        <row r="326">
          <cell r="AW326" t="str">
            <v>.</v>
          </cell>
        </row>
        <row r="327">
          <cell r="AW327" t="str">
            <v>.</v>
          </cell>
        </row>
        <row r="328">
          <cell r="AW328" t="str">
            <v>.</v>
          </cell>
        </row>
        <row r="329">
          <cell r="AW329" t="str">
            <v>.</v>
          </cell>
        </row>
        <row r="330">
          <cell r="AW330" t="str">
            <v>.</v>
          </cell>
        </row>
        <row r="331">
          <cell r="AW331" t="str">
            <v>.</v>
          </cell>
        </row>
        <row r="332">
          <cell r="AW332" t="str">
            <v>.</v>
          </cell>
        </row>
        <row r="333">
          <cell r="AW333" t="str">
            <v>.</v>
          </cell>
        </row>
        <row r="334">
          <cell r="AW334" t="str">
            <v>.</v>
          </cell>
        </row>
        <row r="335">
          <cell r="AW335" t="str">
            <v>.</v>
          </cell>
        </row>
        <row r="336">
          <cell r="AW336" t="str">
            <v>.</v>
          </cell>
        </row>
        <row r="337">
          <cell r="AW337" t="str">
            <v>.</v>
          </cell>
        </row>
        <row r="338">
          <cell r="AW338" t="str">
            <v>.</v>
          </cell>
        </row>
        <row r="339">
          <cell r="AW339" t="str">
            <v>.</v>
          </cell>
        </row>
        <row r="340">
          <cell r="AW340" t="str">
            <v>.</v>
          </cell>
        </row>
        <row r="341">
          <cell r="AW341" t="str">
            <v>.</v>
          </cell>
        </row>
        <row r="342">
          <cell r="AW342" t="str">
            <v>.</v>
          </cell>
        </row>
        <row r="343">
          <cell r="AW343" t="str">
            <v>.</v>
          </cell>
        </row>
        <row r="344">
          <cell r="AW344" t="str">
            <v>.</v>
          </cell>
        </row>
        <row r="345">
          <cell r="AW345" t="str">
            <v>.</v>
          </cell>
        </row>
        <row r="346">
          <cell r="AW346" t="str">
            <v>.</v>
          </cell>
        </row>
        <row r="347">
          <cell r="AW347" t="str">
            <v>.</v>
          </cell>
        </row>
        <row r="348">
          <cell r="AW348" t="str">
            <v>.</v>
          </cell>
        </row>
        <row r="349">
          <cell r="AW349" t="str">
            <v>.</v>
          </cell>
        </row>
        <row r="350">
          <cell r="AW350" t="str">
            <v>.</v>
          </cell>
        </row>
        <row r="351">
          <cell r="AW351" t="str">
            <v>.</v>
          </cell>
        </row>
        <row r="352">
          <cell r="AW352" t="str">
            <v>.</v>
          </cell>
        </row>
        <row r="353">
          <cell r="AW353" t="str">
            <v>.</v>
          </cell>
        </row>
        <row r="354">
          <cell r="AW354" t="str">
            <v>.</v>
          </cell>
        </row>
        <row r="355">
          <cell r="AW355" t="str">
            <v>.</v>
          </cell>
        </row>
        <row r="356">
          <cell r="AW356" t="str">
            <v>.</v>
          </cell>
        </row>
        <row r="357">
          <cell r="AW357" t="str">
            <v>.</v>
          </cell>
        </row>
        <row r="358">
          <cell r="AW358" t="str">
            <v>.</v>
          </cell>
        </row>
        <row r="359">
          <cell r="AW359" t="str">
            <v>.</v>
          </cell>
        </row>
        <row r="360">
          <cell r="AW360" t="str">
            <v>.</v>
          </cell>
        </row>
        <row r="361">
          <cell r="AW361" t="str">
            <v>.</v>
          </cell>
        </row>
        <row r="362">
          <cell r="AW362" t="str">
            <v>.</v>
          </cell>
        </row>
        <row r="363">
          <cell r="AW363" t="str">
            <v>.</v>
          </cell>
        </row>
        <row r="364">
          <cell r="AW364" t="str">
            <v>.</v>
          </cell>
        </row>
        <row r="365">
          <cell r="AW365" t="str">
            <v>.</v>
          </cell>
        </row>
        <row r="366">
          <cell r="AW366" t="str">
            <v>.</v>
          </cell>
        </row>
        <row r="367">
          <cell r="AW367" t="str">
            <v>.</v>
          </cell>
        </row>
        <row r="368">
          <cell r="AW368" t="str">
            <v>.</v>
          </cell>
        </row>
        <row r="369">
          <cell r="AW369" t="str">
            <v>.</v>
          </cell>
        </row>
        <row r="370">
          <cell r="AW370" t="str">
            <v>.</v>
          </cell>
        </row>
        <row r="371">
          <cell r="AW371" t="str">
            <v>.</v>
          </cell>
        </row>
        <row r="372">
          <cell r="AW372" t="str">
            <v>.</v>
          </cell>
        </row>
        <row r="373">
          <cell r="AW373" t="str">
            <v>.</v>
          </cell>
        </row>
        <row r="374">
          <cell r="AW374" t="str">
            <v>.</v>
          </cell>
        </row>
        <row r="375">
          <cell r="AW375" t="str">
            <v>.</v>
          </cell>
        </row>
        <row r="376">
          <cell r="AW376" t="str">
            <v>.</v>
          </cell>
        </row>
        <row r="377">
          <cell r="AW377" t="str">
            <v>.</v>
          </cell>
        </row>
        <row r="378">
          <cell r="AW378" t="str">
            <v>.</v>
          </cell>
        </row>
        <row r="379">
          <cell r="AW379" t="str">
            <v>.</v>
          </cell>
        </row>
        <row r="380">
          <cell r="AW380" t="str">
            <v>.</v>
          </cell>
        </row>
        <row r="381">
          <cell r="AW381" t="str">
            <v>.</v>
          </cell>
        </row>
        <row r="382">
          <cell r="AW382" t="str">
            <v>.</v>
          </cell>
        </row>
        <row r="383">
          <cell r="AW383" t="str">
            <v>.</v>
          </cell>
        </row>
        <row r="384">
          <cell r="AW384" t="str">
            <v>.</v>
          </cell>
        </row>
        <row r="385">
          <cell r="AW385" t="str">
            <v>.</v>
          </cell>
        </row>
        <row r="386">
          <cell r="AW386" t="str">
            <v>.</v>
          </cell>
        </row>
        <row r="387">
          <cell r="AW387" t="str">
            <v>.</v>
          </cell>
        </row>
        <row r="388">
          <cell r="AW388" t="str">
            <v>.</v>
          </cell>
        </row>
        <row r="389">
          <cell r="AW389" t="str">
            <v>.</v>
          </cell>
        </row>
        <row r="390">
          <cell r="AW390" t="str">
            <v>.</v>
          </cell>
        </row>
        <row r="391">
          <cell r="AW391" t="str">
            <v>.</v>
          </cell>
        </row>
        <row r="392">
          <cell r="AW392" t="str">
            <v>.</v>
          </cell>
        </row>
        <row r="393">
          <cell r="AW393" t="str">
            <v>.</v>
          </cell>
        </row>
        <row r="394">
          <cell r="AW394" t="str">
            <v>.</v>
          </cell>
        </row>
        <row r="395">
          <cell r="AW395" t="str">
            <v>.</v>
          </cell>
        </row>
        <row r="396">
          <cell r="AW396" t="str">
            <v>.</v>
          </cell>
        </row>
        <row r="397">
          <cell r="AW397" t="str">
            <v>.</v>
          </cell>
        </row>
        <row r="398">
          <cell r="AW398" t="str">
            <v>.</v>
          </cell>
        </row>
        <row r="399">
          <cell r="AW399" t="str">
            <v>.</v>
          </cell>
        </row>
        <row r="400">
          <cell r="AW400" t="str">
            <v>.</v>
          </cell>
        </row>
        <row r="401">
          <cell r="AW401" t="str">
            <v>.</v>
          </cell>
        </row>
        <row r="402">
          <cell r="AW402" t="str">
            <v>.</v>
          </cell>
        </row>
        <row r="403">
          <cell r="AW403" t="str">
            <v>.</v>
          </cell>
        </row>
        <row r="404">
          <cell r="AW404" t="str">
            <v>.</v>
          </cell>
        </row>
        <row r="405">
          <cell r="AW405" t="str">
            <v>.</v>
          </cell>
        </row>
        <row r="406">
          <cell r="AW406" t="str">
            <v>.</v>
          </cell>
        </row>
        <row r="407">
          <cell r="AW407" t="str">
            <v>.</v>
          </cell>
        </row>
        <row r="408">
          <cell r="AW408" t="str">
            <v>.</v>
          </cell>
        </row>
        <row r="409">
          <cell r="AW409" t="str">
            <v>.</v>
          </cell>
        </row>
        <row r="410">
          <cell r="AW410" t="str">
            <v>.</v>
          </cell>
        </row>
        <row r="411">
          <cell r="AW411" t="str">
            <v>.</v>
          </cell>
        </row>
        <row r="412">
          <cell r="AW412" t="str">
            <v>.</v>
          </cell>
        </row>
        <row r="413">
          <cell r="AW413" t="str">
            <v>.</v>
          </cell>
        </row>
        <row r="414">
          <cell r="AW414" t="str">
            <v>.</v>
          </cell>
        </row>
        <row r="415">
          <cell r="AW415" t="str">
            <v>.</v>
          </cell>
        </row>
        <row r="416">
          <cell r="AW416" t="str">
            <v>.</v>
          </cell>
        </row>
        <row r="417">
          <cell r="AW417" t="str">
            <v>.</v>
          </cell>
        </row>
        <row r="418">
          <cell r="AW418" t="str">
            <v>.</v>
          </cell>
        </row>
        <row r="419">
          <cell r="AW419" t="str">
            <v>.</v>
          </cell>
        </row>
        <row r="420">
          <cell r="AW420" t="str">
            <v>.</v>
          </cell>
        </row>
        <row r="421">
          <cell r="AW421" t="str">
            <v>.</v>
          </cell>
        </row>
        <row r="422">
          <cell r="AW422" t="str">
            <v>.</v>
          </cell>
        </row>
        <row r="423">
          <cell r="AW423" t="str">
            <v>.</v>
          </cell>
        </row>
        <row r="424">
          <cell r="AW424" t="str">
            <v>.</v>
          </cell>
        </row>
        <row r="425">
          <cell r="AW425" t="str">
            <v>.</v>
          </cell>
        </row>
        <row r="426">
          <cell r="AW426" t="str">
            <v>.</v>
          </cell>
        </row>
        <row r="427">
          <cell r="AW427" t="str">
            <v>.</v>
          </cell>
        </row>
        <row r="428">
          <cell r="AW428" t="str">
            <v>.</v>
          </cell>
        </row>
        <row r="429">
          <cell r="AW429" t="str">
            <v>.</v>
          </cell>
        </row>
        <row r="430">
          <cell r="AW430" t="str">
            <v>.</v>
          </cell>
        </row>
        <row r="431">
          <cell r="AW431" t="str">
            <v>.</v>
          </cell>
        </row>
        <row r="432">
          <cell r="AW432" t="str">
            <v>.</v>
          </cell>
        </row>
        <row r="433">
          <cell r="AW433" t="str">
            <v>.</v>
          </cell>
        </row>
        <row r="434">
          <cell r="AW434" t="str">
            <v>.</v>
          </cell>
        </row>
        <row r="435">
          <cell r="AW435" t="str">
            <v>.</v>
          </cell>
        </row>
        <row r="436">
          <cell r="AW436" t="str">
            <v>.</v>
          </cell>
        </row>
        <row r="437">
          <cell r="AW437" t="str">
            <v>.</v>
          </cell>
        </row>
        <row r="438">
          <cell r="AW438" t="str">
            <v>.</v>
          </cell>
        </row>
        <row r="439">
          <cell r="AW439" t="str">
            <v>.</v>
          </cell>
        </row>
        <row r="440">
          <cell r="AW440" t="str">
            <v>.</v>
          </cell>
        </row>
        <row r="441">
          <cell r="AW441" t="str">
            <v>.</v>
          </cell>
        </row>
        <row r="442">
          <cell r="AW442" t="str">
            <v>.</v>
          </cell>
        </row>
        <row r="443">
          <cell r="AW443" t="str">
            <v>.</v>
          </cell>
        </row>
        <row r="444">
          <cell r="AW444" t="str">
            <v>.</v>
          </cell>
        </row>
        <row r="445">
          <cell r="AW445" t="str">
            <v>.</v>
          </cell>
        </row>
        <row r="446">
          <cell r="AW446" t="str">
            <v>.</v>
          </cell>
        </row>
        <row r="447">
          <cell r="AW447" t="str">
            <v>.</v>
          </cell>
        </row>
        <row r="448">
          <cell r="AW448" t="str">
            <v>.</v>
          </cell>
        </row>
        <row r="449">
          <cell r="AW449" t="str">
            <v>.</v>
          </cell>
        </row>
        <row r="450">
          <cell r="AW450" t="str">
            <v>.</v>
          </cell>
        </row>
        <row r="451">
          <cell r="AW451" t="str">
            <v>.</v>
          </cell>
        </row>
        <row r="452">
          <cell r="AW452" t="str">
            <v>.</v>
          </cell>
        </row>
        <row r="453">
          <cell r="AW453" t="str">
            <v>.</v>
          </cell>
        </row>
        <row r="454">
          <cell r="AW454" t="str">
            <v>.</v>
          </cell>
        </row>
        <row r="455">
          <cell r="AW455" t="str">
            <v>.</v>
          </cell>
        </row>
        <row r="456">
          <cell r="AW456" t="str">
            <v>.</v>
          </cell>
        </row>
        <row r="457">
          <cell r="AW457" t="str">
            <v>.</v>
          </cell>
        </row>
        <row r="458">
          <cell r="AW458" t="str">
            <v>.</v>
          </cell>
        </row>
        <row r="459">
          <cell r="AW459" t="str">
            <v>.</v>
          </cell>
        </row>
        <row r="460">
          <cell r="AW460" t="str">
            <v>.</v>
          </cell>
        </row>
        <row r="461">
          <cell r="AW461" t="str">
            <v>.</v>
          </cell>
        </row>
        <row r="462">
          <cell r="AW462" t="str">
            <v>.</v>
          </cell>
        </row>
        <row r="463">
          <cell r="AW463" t="str">
            <v>.</v>
          </cell>
        </row>
        <row r="464">
          <cell r="AW464" t="str">
            <v>.</v>
          </cell>
        </row>
        <row r="465">
          <cell r="AW465" t="str">
            <v>.</v>
          </cell>
        </row>
        <row r="466">
          <cell r="AW466" t="str">
            <v>.</v>
          </cell>
        </row>
        <row r="467">
          <cell r="AW467" t="str">
            <v>.</v>
          </cell>
        </row>
        <row r="468">
          <cell r="AW468" t="str">
            <v>.</v>
          </cell>
        </row>
        <row r="469">
          <cell r="AW469" t="str">
            <v>.</v>
          </cell>
        </row>
        <row r="470">
          <cell r="AW470" t="str">
            <v>.</v>
          </cell>
        </row>
        <row r="471">
          <cell r="AW471" t="str">
            <v>.</v>
          </cell>
        </row>
        <row r="472">
          <cell r="AW472" t="str">
            <v>.</v>
          </cell>
        </row>
        <row r="473">
          <cell r="AW473" t="str">
            <v>.</v>
          </cell>
        </row>
        <row r="474">
          <cell r="AW474" t="str">
            <v>.</v>
          </cell>
        </row>
        <row r="475">
          <cell r="AW475" t="str">
            <v>.</v>
          </cell>
        </row>
        <row r="476">
          <cell r="AW476" t="str">
            <v>.</v>
          </cell>
        </row>
        <row r="477">
          <cell r="AW477" t="str">
            <v>.</v>
          </cell>
        </row>
        <row r="478">
          <cell r="AW478" t="str">
            <v>.</v>
          </cell>
        </row>
        <row r="479">
          <cell r="AW479" t="str">
            <v>.</v>
          </cell>
        </row>
        <row r="480">
          <cell r="AW480" t="str">
            <v>.</v>
          </cell>
        </row>
        <row r="481">
          <cell r="AW481" t="str">
            <v>.</v>
          </cell>
        </row>
        <row r="482">
          <cell r="AW482" t="str">
            <v>.</v>
          </cell>
        </row>
        <row r="483">
          <cell r="AW483" t="str">
            <v>.</v>
          </cell>
        </row>
        <row r="484">
          <cell r="AW484" t="str">
            <v>.</v>
          </cell>
        </row>
        <row r="485">
          <cell r="AW485" t="str">
            <v>.</v>
          </cell>
        </row>
        <row r="486">
          <cell r="AW486" t="str">
            <v>.</v>
          </cell>
        </row>
        <row r="487">
          <cell r="AW487" t="str">
            <v>.</v>
          </cell>
        </row>
        <row r="488">
          <cell r="AW488" t="str">
            <v>.</v>
          </cell>
        </row>
        <row r="489">
          <cell r="AW489" t="str">
            <v>.</v>
          </cell>
        </row>
        <row r="490">
          <cell r="AW490" t="str">
            <v>.</v>
          </cell>
        </row>
        <row r="491">
          <cell r="AW491" t="str">
            <v>.</v>
          </cell>
        </row>
        <row r="492">
          <cell r="AW492" t="str">
            <v>.</v>
          </cell>
        </row>
        <row r="493">
          <cell r="AW493" t="str">
            <v>.</v>
          </cell>
        </row>
        <row r="494">
          <cell r="AW494" t="str">
            <v>.</v>
          </cell>
        </row>
        <row r="495">
          <cell r="AW495" t="str">
            <v>.</v>
          </cell>
        </row>
        <row r="496">
          <cell r="AW496" t="str">
            <v>.</v>
          </cell>
        </row>
        <row r="497">
          <cell r="AW497" t="str">
            <v>.</v>
          </cell>
        </row>
        <row r="498">
          <cell r="AW498" t="str">
            <v>.</v>
          </cell>
        </row>
        <row r="499">
          <cell r="AW499" t="str">
            <v>.</v>
          </cell>
        </row>
        <row r="500">
          <cell r="AW500" t="str">
            <v>.</v>
          </cell>
        </row>
        <row r="501">
          <cell r="AW501" t="str">
            <v>.</v>
          </cell>
        </row>
        <row r="502">
          <cell r="AW502" t="str">
            <v>.</v>
          </cell>
        </row>
        <row r="503">
          <cell r="AW503" t="str">
            <v>.</v>
          </cell>
        </row>
        <row r="504">
          <cell r="AW504" t="str">
            <v>.</v>
          </cell>
        </row>
        <row r="505">
          <cell r="AW505" t="str">
            <v>.</v>
          </cell>
        </row>
        <row r="506">
          <cell r="AW506" t="str">
            <v>.</v>
          </cell>
        </row>
        <row r="507">
          <cell r="AW507" t="str">
            <v>.</v>
          </cell>
        </row>
        <row r="508">
          <cell r="AW508" t="str">
            <v>.</v>
          </cell>
        </row>
        <row r="509">
          <cell r="AW509" t="str">
            <v>.</v>
          </cell>
        </row>
        <row r="510">
          <cell r="AW510" t="str">
            <v>.</v>
          </cell>
        </row>
        <row r="511">
          <cell r="AW511" t="str">
            <v>.</v>
          </cell>
        </row>
        <row r="512">
          <cell r="AW512" t="str">
            <v>.</v>
          </cell>
        </row>
        <row r="513">
          <cell r="AW513" t="str">
            <v>.</v>
          </cell>
        </row>
        <row r="514">
          <cell r="AW514" t="str">
            <v>.</v>
          </cell>
        </row>
        <row r="515">
          <cell r="AW515" t="str">
            <v>.</v>
          </cell>
        </row>
        <row r="516">
          <cell r="AW516" t="str">
            <v>.</v>
          </cell>
        </row>
        <row r="517">
          <cell r="AW517" t="str">
            <v>.</v>
          </cell>
        </row>
        <row r="518">
          <cell r="AW518" t="str">
            <v>.</v>
          </cell>
        </row>
        <row r="519">
          <cell r="AW519" t="str">
            <v>.</v>
          </cell>
        </row>
        <row r="520">
          <cell r="AW520" t="str">
            <v>.</v>
          </cell>
        </row>
        <row r="521">
          <cell r="AW521" t="str">
            <v>.</v>
          </cell>
        </row>
        <row r="522">
          <cell r="AW522" t="str">
            <v>.</v>
          </cell>
        </row>
        <row r="523">
          <cell r="AW523" t="str">
            <v>.</v>
          </cell>
        </row>
        <row r="524">
          <cell r="AW524" t="str">
            <v>.</v>
          </cell>
        </row>
        <row r="525">
          <cell r="AW525" t="str">
            <v>.</v>
          </cell>
        </row>
        <row r="526">
          <cell r="AW526" t="str">
            <v>.</v>
          </cell>
        </row>
        <row r="527">
          <cell r="AW527" t="str">
            <v>.</v>
          </cell>
        </row>
        <row r="528">
          <cell r="AW528" t="str">
            <v>.</v>
          </cell>
        </row>
        <row r="529">
          <cell r="AW529" t="str">
            <v>.</v>
          </cell>
        </row>
        <row r="530">
          <cell r="AW530" t="str">
            <v>.</v>
          </cell>
        </row>
        <row r="531">
          <cell r="AW531" t="str">
            <v>.</v>
          </cell>
        </row>
        <row r="532">
          <cell r="AW532" t="str">
            <v>.</v>
          </cell>
        </row>
        <row r="533">
          <cell r="AW533" t="str">
            <v>.</v>
          </cell>
        </row>
        <row r="534">
          <cell r="AW534" t="str">
            <v>.</v>
          </cell>
        </row>
        <row r="535">
          <cell r="AW535" t="str">
            <v>.</v>
          </cell>
        </row>
        <row r="536">
          <cell r="AW536" t="str">
            <v>.</v>
          </cell>
        </row>
        <row r="537">
          <cell r="AW537" t="str">
            <v>.</v>
          </cell>
        </row>
        <row r="538">
          <cell r="AW538" t="str">
            <v>.</v>
          </cell>
        </row>
        <row r="539">
          <cell r="AW539" t="str">
            <v>.</v>
          </cell>
        </row>
        <row r="540">
          <cell r="AW540" t="str">
            <v>.</v>
          </cell>
        </row>
        <row r="541">
          <cell r="AW541" t="str">
            <v>.</v>
          </cell>
        </row>
        <row r="542">
          <cell r="AW542" t="str">
            <v>.</v>
          </cell>
        </row>
        <row r="543">
          <cell r="AW543" t="str">
            <v>.</v>
          </cell>
        </row>
        <row r="544">
          <cell r="AW544" t="str">
            <v>.</v>
          </cell>
        </row>
        <row r="545">
          <cell r="AW545" t="str">
            <v>.</v>
          </cell>
        </row>
        <row r="546">
          <cell r="AW546" t="str">
            <v>.</v>
          </cell>
        </row>
        <row r="547">
          <cell r="AW547" t="str">
            <v>.</v>
          </cell>
        </row>
        <row r="548">
          <cell r="AW548" t="str">
            <v>.</v>
          </cell>
        </row>
        <row r="549">
          <cell r="AW549" t="str">
            <v>.</v>
          </cell>
        </row>
        <row r="550">
          <cell r="AW550" t="str">
            <v>.</v>
          </cell>
        </row>
        <row r="551">
          <cell r="AW551" t="str">
            <v>.</v>
          </cell>
        </row>
        <row r="552">
          <cell r="AW552" t="str">
            <v>.</v>
          </cell>
        </row>
        <row r="553">
          <cell r="AW553" t="str">
            <v>.</v>
          </cell>
        </row>
        <row r="554">
          <cell r="AW554" t="str">
            <v>.</v>
          </cell>
        </row>
        <row r="555">
          <cell r="AW555" t="str">
            <v>.</v>
          </cell>
        </row>
        <row r="556">
          <cell r="AW556" t="str">
            <v>.</v>
          </cell>
        </row>
        <row r="557">
          <cell r="AW557" t="str">
            <v>.</v>
          </cell>
        </row>
        <row r="558">
          <cell r="AW558" t="str">
            <v>.</v>
          </cell>
        </row>
        <row r="559">
          <cell r="AW559" t="str">
            <v>.</v>
          </cell>
        </row>
        <row r="560">
          <cell r="AW560" t="str">
            <v>.</v>
          </cell>
        </row>
        <row r="561">
          <cell r="AW561" t="str">
            <v>.</v>
          </cell>
        </row>
        <row r="562">
          <cell r="AW562" t="str">
            <v>.</v>
          </cell>
        </row>
        <row r="563">
          <cell r="AW563" t="str">
            <v>.</v>
          </cell>
        </row>
        <row r="564">
          <cell r="AW564" t="str">
            <v>.</v>
          </cell>
        </row>
        <row r="565">
          <cell r="AW565" t="str">
            <v>.</v>
          </cell>
        </row>
        <row r="566">
          <cell r="AW566" t="str">
            <v>.</v>
          </cell>
        </row>
        <row r="567">
          <cell r="AW567" t="str">
            <v>.</v>
          </cell>
        </row>
        <row r="568">
          <cell r="AW568" t="str">
            <v>.</v>
          </cell>
        </row>
        <row r="569">
          <cell r="AW569" t="str">
            <v>.</v>
          </cell>
        </row>
        <row r="570">
          <cell r="AW570" t="str">
            <v>.</v>
          </cell>
        </row>
        <row r="571">
          <cell r="AW571" t="str">
            <v>.</v>
          </cell>
        </row>
        <row r="572">
          <cell r="AW572" t="str">
            <v>.</v>
          </cell>
        </row>
        <row r="573">
          <cell r="AW573" t="str">
            <v>.</v>
          </cell>
        </row>
        <row r="574">
          <cell r="AW574" t="str">
            <v>.</v>
          </cell>
        </row>
        <row r="575">
          <cell r="AW575" t="str">
            <v>.</v>
          </cell>
        </row>
        <row r="576">
          <cell r="AW576" t="str">
            <v>.</v>
          </cell>
        </row>
        <row r="577">
          <cell r="AW577" t="str">
            <v>.</v>
          </cell>
        </row>
        <row r="578">
          <cell r="AW578" t="str">
            <v>.</v>
          </cell>
        </row>
        <row r="579">
          <cell r="AW579" t="str">
            <v>.</v>
          </cell>
        </row>
        <row r="580">
          <cell r="AW580" t="str">
            <v>.</v>
          </cell>
        </row>
        <row r="581">
          <cell r="AW581" t="str">
            <v>.</v>
          </cell>
        </row>
        <row r="582">
          <cell r="AW582" t="str">
            <v>.</v>
          </cell>
        </row>
        <row r="583">
          <cell r="AW583" t="str">
            <v>.</v>
          </cell>
        </row>
        <row r="584">
          <cell r="AW584" t="str">
            <v>.</v>
          </cell>
        </row>
        <row r="585">
          <cell r="AW585" t="str">
            <v>.</v>
          </cell>
        </row>
        <row r="586">
          <cell r="AW586" t="str">
            <v>.</v>
          </cell>
        </row>
        <row r="587">
          <cell r="AW587" t="str">
            <v>.</v>
          </cell>
        </row>
        <row r="588">
          <cell r="AW588" t="str">
            <v>.</v>
          </cell>
        </row>
        <row r="589">
          <cell r="AW589" t="str">
            <v>.</v>
          </cell>
        </row>
        <row r="590">
          <cell r="AW590" t="str">
            <v>.</v>
          </cell>
        </row>
        <row r="591">
          <cell r="AW591" t="str">
            <v>.</v>
          </cell>
        </row>
        <row r="592">
          <cell r="AW592" t="str">
            <v>.</v>
          </cell>
        </row>
        <row r="593">
          <cell r="AW593" t="str">
            <v>.</v>
          </cell>
        </row>
        <row r="594">
          <cell r="AW594" t="str">
            <v>.</v>
          </cell>
        </row>
        <row r="595">
          <cell r="AW595" t="str">
            <v>.</v>
          </cell>
        </row>
        <row r="596">
          <cell r="AW596" t="str">
            <v>.</v>
          </cell>
        </row>
        <row r="597">
          <cell r="AW597" t="str">
            <v>.</v>
          </cell>
        </row>
        <row r="598">
          <cell r="AW598" t="str">
            <v>.</v>
          </cell>
        </row>
        <row r="599">
          <cell r="AW599" t="str">
            <v>.</v>
          </cell>
        </row>
        <row r="600">
          <cell r="AW600" t="str">
            <v>.</v>
          </cell>
        </row>
        <row r="601">
          <cell r="AW601" t="str">
            <v>.</v>
          </cell>
        </row>
        <row r="602">
          <cell r="AW602" t="str">
            <v>.</v>
          </cell>
        </row>
        <row r="603">
          <cell r="AW603" t="str">
            <v>.</v>
          </cell>
        </row>
        <row r="604">
          <cell r="AW604" t="str">
            <v>.</v>
          </cell>
        </row>
        <row r="605">
          <cell r="AW605" t="str">
            <v>.</v>
          </cell>
        </row>
        <row r="606">
          <cell r="AW606" t="str">
            <v>.</v>
          </cell>
        </row>
        <row r="607">
          <cell r="AW607" t="str">
            <v>.</v>
          </cell>
        </row>
        <row r="608">
          <cell r="AW608" t="str">
            <v>.</v>
          </cell>
        </row>
        <row r="609">
          <cell r="AW609" t="str">
            <v>.</v>
          </cell>
        </row>
        <row r="610">
          <cell r="AW610" t="str">
            <v>.</v>
          </cell>
        </row>
        <row r="611">
          <cell r="AW611" t="str">
            <v>.</v>
          </cell>
        </row>
        <row r="612">
          <cell r="AW612" t="str">
            <v>.</v>
          </cell>
        </row>
        <row r="613">
          <cell r="AW613" t="str">
            <v>.</v>
          </cell>
        </row>
        <row r="614">
          <cell r="AW614" t="str">
            <v>.</v>
          </cell>
        </row>
        <row r="615">
          <cell r="AW615" t="str">
            <v>.</v>
          </cell>
        </row>
        <row r="616">
          <cell r="AW616" t="str">
            <v>.</v>
          </cell>
        </row>
        <row r="617">
          <cell r="AW617" t="str">
            <v>.</v>
          </cell>
        </row>
        <row r="618">
          <cell r="AW618" t="str">
            <v>.</v>
          </cell>
        </row>
        <row r="619">
          <cell r="AW619" t="str">
            <v>.</v>
          </cell>
        </row>
        <row r="620">
          <cell r="AW620" t="str">
            <v>.</v>
          </cell>
        </row>
        <row r="621">
          <cell r="AW621" t="str">
            <v>.</v>
          </cell>
        </row>
        <row r="622">
          <cell r="AW622" t="str">
            <v>.</v>
          </cell>
        </row>
        <row r="623">
          <cell r="AW623" t="str">
            <v>.</v>
          </cell>
        </row>
        <row r="624">
          <cell r="AW624" t="str">
            <v>.</v>
          </cell>
        </row>
        <row r="625">
          <cell r="AW625" t="str">
            <v>.</v>
          </cell>
        </row>
        <row r="626">
          <cell r="AW626" t="str">
            <v>.</v>
          </cell>
        </row>
        <row r="627">
          <cell r="AW627" t="str">
            <v>.</v>
          </cell>
        </row>
        <row r="628">
          <cell r="AW628" t="str">
            <v>.</v>
          </cell>
        </row>
        <row r="629">
          <cell r="AW629" t="str">
            <v>.</v>
          </cell>
        </row>
        <row r="630">
          <cell r="AW630" t="str">
            <v>.</v>
          </cell>
        </row>
        <row r="631">
          <cell r="AW631" t="str">
            <v>.</v>
          </cell>
        </row>
        <row r="632">
          <cell r="AW632" t="str">
            <v>.</v>
          </cell>
        </row>
        <row r="633">
          <cell r="AW633" t="str">
            <v>.</v>
          </cell>
        </row>
        <row r="634">
          <cell r="AW634" t="str">
            <v>.</v>
          </cell>
        </row>
        <row r="635">
          <cell r="AW635" t="str">
            <v>.</v>
          </cell>
        </row>
        <row r="636">
          <cell r="AW636" t="str">
            <v>.</v>
          </cell>
        </row>
        <row r="637">
          <cell r="AW637" t="str">
            <v>.</v>
          </cell>
        </row>
        <row r="638">
          <cell r="AW638" t="str">
            <v>.</v>
          </cell>
        </row>
        <row r="639">
          <cell r="AW639" t="str">
            <v>.</v>
          </cell>
        </row>
        <row r="640">
          <cell r="AW640" t="str">
            <v>.</v>
          </cell>
        </row>
        <row r="641">
          <cell r="AW641" t="str">
            <v>.</v>
          </cell>
        </row>
        <row r="642">
          <cell r="AW642" t="str">
            <v>.</v>
          </cell>
        </row>
        <row r="643">
          <cell r="AW643" t="str">
            <v>.</v>
          </cell>
        </row>
        <row r="644">
          <cell r="AW644" t="str">
            <v>.</v>
          </cell>
        </row>
        <row r="645">
          <cell r="AW645" t="str">
            <v>.</v>
          </cell>
        </row>
        <row r="646">
          <cell r="AW646" t="str">
            <v>.</v>
          </cell>
        </row>
        <row r="647">
          <cell r="AW647" t="str">
            <v>.</v>
          </cell>
        </row>
        <row r="648">
          <cell r="AW648" t="str">
            <v>.</v>
          </cell>
        </row>
        <row r="649">
          <cell r="AW649" t="str">
            <v>.</v>
          </cell>
        </row>
        <row r="650">
          <cell r="AW650" t="str">
            <v>.</v>
          </cell>
        </row>
        <row r="651">
          <cell r="AW651" t="str">
            <v>.</v>
          </cell>
        </row>
        <row r="652">
          <cell r="AW652" t="str">
            <v>.</v>
          </cell>
        </row>
        <row r="653">
          <cell r="AW653" t="str">
            <v>.</v>
          </cell>
        </row>
        <row r="654">
          <cell r="AW654" t="str">
            <v>.</v>
          </cell>
        </row>
        <row r="655">
          <cell r="AW655" t="str">
            <v>.</v>
          </cell>
        </row>
        <row r="656">
          <cell r="AW656" t="str">
            <v>.</v>
          </cell>
        </row>
        <row r="657">
          <cell r="AW657" t="str">
            <v>.</v>
          </cell>
        </row>
        <row r="658">
          <cell r="AW658" t="str">
            <v>.</v>
          </cell>
        </row>
        <row r="659">
          <cell r="AW659" t="str">
            <v>.</v>
          </cell>
        </row>
        <row r="660">
          <cell r="AW660" t="str">
            <v>.</v>
          </cell>
        </row>
        <row r="661">
          <cell r="AW661" t="str">
            <v>.</v>
          </cell>
        </row>
        <row r="662">
          <cell r="AW662" t="str">
            <v>.</v>
          </cell>
        </row>
        <row r="663">
          <cell r="AW663" t="str">
            <v>.</v>
          </cell>
        </row>
        <row r="664">
          <cell r="AW664" t="str">
            <v>.</v>
          </cell>
        </row>
        <row r="665">
          <cell r="AW665" t="str">
            <v>.</v>
          </cell>
        </row>
        <row r="666">
          <cell r="AW666" t="str">
            <v>.</v>
          </cell>
        </row>
        <row r="667">
          <cell r="AW667" t="str">
            <v>.</v>
          </cell>
        </row>
        <row r="668">
          <cell r="AW668" t="str">
            <v>.</v>
          </cell>
        </row>
        <row r="669">
          <cell r="AW669" t="str">
            <v>.</v>
          </cell>
        </row>
        <row r="670">
          <cell r="AW670" t="str">
            <v>.</v>
          </cell>
        </row>
        <row r="671">
          <cell r="AW671" t="str">
            <v>.</v>
          </cell>
        </row>
        <row r="672">
          <cell r="AW672" t="str">
            <v>.</v>
          </cell>
        </row>
        <row r="673">
          <cell r="AW673" t="str">
            <v>.</v>
          </cell>
        </row>
        <row r="674">
          <cell r="AW674" t="str">
            <v>.</v>
          </cell>
        </row>
        <row r="675">
          <cell r="AW675" t="str">
            <v>.</v>
          </cell>
        </row>
        <row r="676">
          <cell r="AW676" t="str">
            <v>.</v>
          </cell>
        </row>
        <row r="677">
          <cell r="AW677" t="str">
            <v>.</v>
          </cell>
        </row>
        <row r="678">
          <cell r="AW678" t="str">
            <v>.</v>
          </cell>
        </row>
        <row r="679">
          <cell r="AW679" t="str">
            <v>.</v>
          </cell>
        </row>
        <row r="680">
          <cell r="AW680" t="str">
            <v>.</v>
          </cell>
        </row>
        <row r="681">
          <cell r="AW681" t="str">
            <v>.</v>
          </cell>
        </row>
        <row r="682">
          <cell r="AW682" t="str">
            <v>.</v>
          </cell>
        </row>
        <row r="683">
          <cell r="AW683" t="str">
            <v>.</v>
          </cell>
        </row>
        <row r="684">
          <cell r="AW684" t="str">
            <v>.</v>
          </cell>
        </row>
        <row r="685">
          <cell r="AW685" t="str">
            <v>.</v>
          </cell>
        </row>
        <row r="686">
          <cell r="AW686" t="str">
            <v>.</v>
          </cell>
        </row>
        <row r="687">
          <cell r="AW687" t="str">
            <v>.</v>
          </cell>
        </row>
        <row r="688">
          <cell r="AW688" t="str">
            <v>.</v>
          </cell>
        </row>
        <row r="689">
          <cell r="AW689" t="str">
            <v>.</v>
          </cell>
        </row>
        <row r="690">
          <cell r="AW690" t="str">
            <v>.</v>
          </cell>
        </row>
        <row r="691">
          <cell r="AW691" t="str">
            <v>.</v>
          </cell>
        </row>
        <row r="692">
          <cell r="AW692" t="str">
            <v>.</v>
          </cell>
        </row>
        <row r="693">
          <cell r="AW693" t="str">
            <v>.</v>
          </cell>
        </row>
        <row r="694">
          <cell r="AW694" t="str">
            <v>.</v>
          </cell>
        </row>
        <row r="695">
          <cell r="AW695" t="str">
            <v>.</v>
          </cell>
        </row>
        <row r="696">
          <cell r="AW696" t="str">
            <v>.</v>
          </cell>
        </row>
        <row r="697">
          <cell r="AW697" t="str">
            <v>.</v>
          </cell>
        </row>
        <row r="698">
          <cell r="AW698" t="str">
            <v>.</v>
          </cell>
        </row>
        <row r="699">
          <cell r="AW699" t="str">
            <v>.</v>
          </cell>
        </row>
        <row r="700">
          <cell r="AW700" t="str">
            <v>.</v>
          </cell>
        </row>
        <row r="701">
          <cell r="AW701" t="str">
            <v>.</v>
          </cell>
        </row>
        <row r="702">
          <cell r="AW702" t="str">
            <v>.</v>
          </cell>
        </row>
        <row r="703">
          <cell r="AW703" t="str">
            <v>.</v>
          </cell>
        </row>
        <row r="704">
          <cell r="AW704" t="str">
            <v>.</v>
          </cell>
        </row>
        <row r="705">
          <cell r="AW705" t="str">
            <v>.</v>
          </cell>
        </row>
        <row r="706">
          <cell r="AW706" t="str">
            <v>.</v>
          </cell>
        </row>
        <row r="707">
          <cell r="AW707" t="str">
            <v>.</v>
          </cell>
        </row>
        <row r="708">
          <cell r="AW708" t="str">
            <v>.</v>
          </cell>
        </row>
        <row r="709">
          <cell r="AW709" t="str">
            <v>.</v>
          </cell>
        </row>
        <row r="710">
          <cell r="AW710" t="str">
            <v>.</v>
          </cell>
        </row>
        <row r="711">
          <cell r="AW711" t="str">
            <v>.</v>
          </cell>
        </row>
        <row r="712">
          <cell r="AW712" t="str">
            <v>.</v>
          </cell>
        </row>
        <row r="713">
          <cell r="AW713" t="str">
            <v>.</v>
          </cell>
        </row>
        <row r="714">
          <cell r="AW714" t="str">
            <v>.</v>
          </cell>
        </row>
        <row r="715">
          <cell r="AW715" t="str">
            <v>.</v>
          </cell>
        </row>
        <row r="716">
          <cell r="AW716" t="str">
            <v>.</v>
          </cell>
        </row>
        <row r="717">
          <cell r="AW717" t="str">
            <v>.</v>
          </cell>
        </row>
        <row r="718">
          <cell r="AW718" t="str">
            <v>.</v>
          </cell>
        </row>
        <row r="719">
          <cell r="AW719" t="str">
            <v>.</v>
          </cell>
        </row>
        <row r="720">
          <cell r="AW720" t="str">
            <v>.</v>
          </cell>
        </row>
        <row r="721">
          <cell r="AW721" t="str">
            <v>.</v>
          </cell>
        </row>
        <row r="722">
          <cell r="AW722" t="str">
            <v>.</v>
          </cell>
        </row>
        <row r="723">
          <cell r="AW723" t="str">
            <v>.</v>
          </cell>
        </row>
        <row r="724">
          <cell r="AW724" t="str">
            <v>.</v>
          </cell>
        </row>
        <row r="725">
          <cell r="AW725" t="str">
            <v>.</v>
          </cell>
        </row>
        <row r="726">
          <cell r="AW726" t="str">
            <v>.</v>
          </cell>
        </row>
        <row r="727">
          <cell r="AW727" t="str">
            <v>.</v>
          </cell>
        </row>
        <row r="728">
          <cell r="AW728" t="str">
            <v>.</v>
          </cell>
        </row>
        <row r="729">
          <cell r="AW729" t="str">
            <v>.</v>
          </cell>
        </row>
        <row r="730">
          <cell r="AW730" t="str">
            <v>.</v>
          </cell>
        </row>
        <row r="731">
          <cell r="AW731" t="str">
            <v>.</v>
          </cell>
        </row>
        <row r="732">
          <cell r="AW732" t="str">
            <v>.</v>
          </cell>
        </row>
        <row r="733">
          <cell r="AW733" t="str">
            <v>.</v>
          </cell>
        </row>
        <row r="734">
          <cell r="AW734" t="str">
            <v>.</v>
          </cell>
        </row>
        <row r="735">
          <cell r="AW735" t="str">
            <v>.</v>
          </cell>
        </row>
        <row r="736">
          <cell r="AW736" t="str">
            <v>.</v>
          </cell>
        </row>
        <row r="737">
          <cell r="AW737" t="str">
            <v>.</v>
          </cell>
        </row>
        <row r="738">
          <cell r="AW738" t="str">
            <v>.</v>
          </cell>
        </row>
        <row r="739">
          <cell r="AW739" t="str">
            <v>.</v>
          </cell>
        </row>
        <row r="740">
          <cell r="AW740" t="str">
            <v>.</v>
          </cell>
        </row>
        <row r="741">
          <cell r="AW741" t="str">
            <v>.</v>
          </cell>
        </row>
        <row r="742">
          <cell r="AW742" t="str">
            <v>.</v>
          </cell>
        </row>
        <row r="743">
          <cell r="AW743" t="str">
            <v>.</v>
          </cell>
        </row>
        <row r="744">
          <cell r="AW744" t="str">
            <v>.</v>
          </cell>
        </row>
        <row r="745">
          <cell r="AW745" t="str">
            <v>.</v>
          </cell>
        </row>
        <row r="746">
          <cell r="AW746" t="str">
            <v>.</v>
          </cell>
        </row>
        <row r="747">
          <cell r="AW747" t="str">
            <v>.</v>
          </cell>
        </row>
        <row r="748">
          <cell r="AW748" t="str">
            <v>.</v>
          </cell>
        </row>
        <row r="749">
          <cell r="AW749" t="str">
            <v>.</v>
          </cell>
        </row>
        <row r="750">
          <cell r="AW750" t="str">
            <v>.</v>
          </cell>
        </row>
        <row r="751">
          <cell r="AW751" t="str">
            <v>.</v>
          </cell>
        </row>
        <row r="752">
          <cell r="AW752" t="str">
            <v>.</v>
          </cell>
        </row>
        <row r="753">
          <cell r="AW753" t="str">
            <v>.</v>
          </cell>
        </row>
        <row r="754">
          <cell r="AW754" t="str">
            <v>.</v>
          </cell>
        </row>
        <row r="755">
          <cell r="AW755" t="str">
            <v>.</v>
          </cell>
        </row>
        <row r="756">
          <cell r="AW756" t="str">
            <v>.</v>
          </cell>
        </row>
        <row r="757">
          <cell r="AW757" t="str">
            <v>.</v>
          </cell>
        </row>
        <row r="758">
          <cell r="AW758" t="str">
            <v>.</v>
          </cell>
        </row>
        <row r="759">
          <cell r="AW759" t="str">
            <v>.</v>
          </cell>
        </row>
        <row r="760">
          <cell r="AW760" t="str">
            <v>.</v>
          </cell>
        </row>
        <row r="761">
          <cell r="AW761" t="str">
            <v>.</v>
          </cell>
        </row>
        <row r="762">
          <cell r="AW762" t="str">
            <v>.</v>
          </cell>
        </row>
        <row r="763">
          <cell r="AW763" t="str">
            <v>.</v>
          </cell>
        </row>
        <row r="764">
          <cell r="AW764" t="str">
            <v>.</v>
          </cell>
        </row>
        <row r="765">
          <cell r="AW765" t="str">
            <v>.</v>
          </cell>
        </row>
        <row r="766">
          <cell r="AW766" t="str">
            <v>.</v>
          </cell>
        </row>
        <row r="767">
          <cell r="AW767" t="str">
            <v>.</v>
          </cell>
        </row>
        <row r="768">
          <cell r="AW768" t="str">
            <v>.</v>
          </cell>
        </row>
        <row r="769">
          <cell r="AW769" t="str">
            <v>.</v>
          </cell>
        </row>
        <row r="770">
          <cell r="AW770" t="str">
            <v>.</v>
          </cell>
        </row>
        <row r="771">
          <cell r="AW771" t="str">
            <v>.</v>
          </cell>
        </row>
        <row r="772">
          <cell r="AW772" t="str">
            <v>.</v>
          </cell>
        </row>
        <row r="773">
          <cell r="AW773" t="str">
            <v>.</v>
          </cell>
        </row>
        <row r="774">
          <cell r="AW774" t="str">
            <v>.</v>
          </cell>
        </row>
        <row r="775">
          <cell r="AW775" t="str">
            <v>.</v>
          </cell>
        </row>
        <row r="776">
          <cell r="AW776" t="str">
            <v>.</v>
          </cell>
        </row>
        <row r="777">
          <cell r="AW777" t="str">
            <v>.</v>
          </cell>
        </row>
        <row r="778">
          <cell r="AW778" t="str">
            <v>.</v>
          </cell>
        </row>
        <row r="779">
          <cell r="AW779" t="str">
            <v>.</v>
          </cell>
        </row>
        <row r="780">
          <cell r="AW780" t="str">
            <v>.</v>
          </cell>
        </row>
        <row r="781">
          <cell r="AW781" t="str">
            <v>.</v>
          </cell>
        </row>
        <row r="782">
          <cell r="AW782" t="str">
            <v>.</v>
          </cell>
        </row>
        <row r="783">
          <cell r="AW783" t="str">
            <v>.</v>
          </cell>
        </row>
        <row r="784">
          <cell r="AW784" t="str">
            <v>.</v>
          </cell>
        </row>
        <row r="785">
          <cell r="AW785" t="str">
            <v>.</v>
          </cell>
        </row>
        <row r="786">
          <cell r="AW786" t="str">
            <v>.</v>
          </cell>
        </row>
        <row r="787">
          <cell r="AW787" t="str">
            <v>.</v>
          </cell>
        </row>
        <row r="788">
          <cell r="AW788" t="str">
            <v>.</v>
          </cell>
        </row>
        <row r="789">
          <cell r="AW789" t="str">
            <v>.</v>
          </cell>
        </row>
        <row r="790">
          <cell r="AW790" t="str">
            <v>.</v>
          </cell>
        </row>
        <row r="791">
          <cell r="AW791" t="str">
            <v>.</v>
          </cell>
        </row>
        <row r="792">
          <cell r="AW792" t="str">
            <v>.</v>
          </cell>
        </row>
        <row r="793">
          <cell r="AW793" t="str">
            <v>.</v>
          </cell>
        </row>
        <row r="794">
          <cell r="AW794" t="str">
            <v>.</v>
          </cell>
        </row>
        <row r="795">
          <cell r="AW795" t="str">
            <v>.</v>
          </cell>
        </row>
        <row r="796">
          <cell r="AW796" t="str">
            <v>.</v>
          </cell>
        </row>
        <row r="797">
          <cell r="AW797" t="str">
            <v>.</v>
          </cell>
        </row>
        <row r="798">
          <cell r="AW798" t="str">
            <v>.</v>
          </cell>
        </row>
        <row r="799">
          <cell r="AW799" t="str">
            <v>.</v>
          </cell>
        </row>
        <row r="800">
          <cell r="AW800" t="str">
            <v>.</v>
          </cell>
        </row>
        <row r="801">
          <cell r="AW801" t="str">
            <v>.</v>
          </cell>
        </row>
        <row r="802">
          <cell r="AW802" t="str">
            <v>.</v>
          </cell>
        </row>
        <row r="803">
          <cell r="AW803" t="str">
            <v>.</v>
          </cell>
        </row>
        <row r="804">
          <cell r="AW804" t="str">
            <v>.</v>
          </cell>
        </row>
        <row r="805">
          <cell r="AW805" t="str">
            <v>.</v>
          </cell>
        </row>
        <row r="806">
          <cell r="AW806" t="str">
            <v>.</v>
          </cell>
        </row>
        <row r="807">
          <cell r="AW807" t="str">
            <v>.</v>
          </cell>
        </row>
        <row r="808">
          <cell r="AW808" t="str">
            <v>.</v>
          </cell>
        </row>
        <row r="809">
          <cell r="AW809" t="str">
            <v>.</v>
          </cell>
        </row>
        <row r="810">
          <cell r="AW810" t="str">
            <v>.</v>
          </cell>
        </row>
        <row r="811">
          <cell r="AW811" t="str">
            <v>.</v>
          </cell>
        </row>
        <row r="812">
          <cell r="AW812" t="str">
            <v>.</v>
          </cell>
        </row>
        <row r="813">
          <cell r="AW813" t="str">
            <v>.</v>
          </cell>
        </row>
        <row r="814">
          <cell r="AW814" t="str">
            <v>.</v>
          </cell>
        </row>
        <row r="815">
          <cell r="AW815" t="str">
            <v>.</v>
          </cell>
        </row>
        <row r="816">
          <cell r="AW816" t="str">
            <v>.</v>
          </cell>
        </row>
        <row r="817">
          <cell r="AW817" t="str">
            <v>.</v>
          </cell>
        </row>
        <row r="818">
          <cell r="AW818" t="str">
            <v>.</v>
          </cell>
        </row>
        <row r="819">
          <cell r="AW819" t="str">
            <v>.</v>
          </cell>
        </row>
        <row r="820">
          <cell r="AW820" t="str">
            <v>.</v>
          </cell>
        </row>
        <row r="821">
          <cell r="AW821" t="str">
            <v>.</v>
          </cell>
        </row>
        <row r="822">
          <cell r="AW822" t="str">
            <v>.</v>
          </cell>
        </row>
        <row r="823">
          <cell r="AW823" t="str">
            <v>.</v>
          </cell>
        </row>
        <row r="824">
          <cell r="AW824" t="str">
            <v>.</v>
          </cell>
        </row>
        <row r="825">
          <cell r="AW825" t="str">
            <v>.</v>
          </cell>
        </row>
        <row r="826">
          <cell r="AW826" t="str">
            <v>.</v>
          </cell>
        </row>
        <row r="827">
          <cell r="AW827" t="str">
            <v>.</v>
          </cell>
        </row>
        <row r="828">
          <cell r="AW828" t="str">
            <v>.</v>
          </cell>
        </row>
        <row r="829">
          <cell r="AW829" t="str">
            <v>.</v>
          </cell>
        </row>
        <row r="830">
          <cell r="AW830" t="str">
            <v>.</v>
          </cell>
        </row>
        <row r="831">
          <cell r="AW831" t="str">
            <v>.</v>
          </cell>
        </row>
        <row r="832">
          <cell r="AW832" t="str">
            <v>.</v>
          </cell>
        </row>
        <row r="833">
          <cell r="AW833" t="str">
            <v>.</v>
          </cell>
        </row>
        <row r="834">
          <cell r="AW834" t="str">
            <v>.</v>
          </cell>
        </row>
        <row r="835">
          <cell r="AW835" t="str">
            <v>.</v>
          </cell>
        </row>
        <row r="836">
          <cell r="AW836" t="str">
            <v>.</v>
          </cell>
        </row>
        <row r="837">
          <cell r="AW837" t="str">
            <v>.</v>
          </cell>
        </row>
        <row r="838">
          <cell r="AW838" t="str">
            <v>.</v>
          </cell>
        </row>
        <row r="839">
          <cell r="AW839" t="str">
            <v>.</v>
          </cell>
        </row>
        <row r="840">
          <cell r="AW840" t="str">
            <v>.</v>
          </cell>
        </row>
        <row r="841">
          <cell r="AW841" t="str">
            <v>.</v>
          </cell>
        </row>
        <row r="842">
          <cell r="AW842" t="str">
            <v>.</v>
          </cell>
        </row>
        <row r="843">
          <cell r="AW843" t="str">
            <v>.</v>
          </cell>
        </row>
        <row r="844">
          <cell r="AW844" t="str">
            <v>.</v>
          </cell>
        </row>
        <row r="845">
          <cell r="AW845" t="str">
            <v>.</v>
          </cell>
        </row>
        <row r="846">
          <cell r="AW846" t="str">
            <v>.</v>
          </cell>
        </row>
        <row r="847">
          <cell r="AW847" t="str">
            <v>.</v>
          </cell>
        </row>
        <row r="848">
          <cell r="AW848" t="str">
            <v>.</v>
          </cell>
        </row>
        <row r="849">
          <cell r="AW849" t="str">
            <v>.</v>
          </cell>
        </row>
        <row r="850">
          <cell r="AW850" t="str">
            <v>.</v>
          </cell>
        </row>
        <row r="851">
          <cell r="AW851" t="str">
            <v>.</v>
          </cell>
        </row>
        <row r="852">
          <cell r="AW852" t="str">
            <v>.</v>
          </cell>
        </row>
        <row r="853">
          <cell r="AW853" t="str">
            <v>.</v>
          </cell>
        </row>
        <row r="854">
          <cell r="AW854" t="str">
            <v>.</v>
          </cell>
        </row>
        <row r="855">
          <cell r="AW855" t="str">
            <v>.</v>
          </cell>
        </row>
        <row r="856">
          <cell r="AW856" t="str">
            <v>.</v>
          </cell>
        </row>
        <row r="857">
          <cell r="AW857" t="str">
            <v>.</v>
          </cell>
        </row>
        <row r="858">
          <cell r="AW858" t="str">
            <v>.</v>
          </cell>
        </row>
        <row r="859">
          <cell r="AW859" t="str">
            <v>.</v>
          </cell>
        </row>
        <row r="860">
          <cell r="AW860" t="str">
            <v>.</v>
          </cell>
        </row>
        <row r="861">
          <cell r="AW861" t="str">
            <v>.</v>
          </cell>
        </row>
        <row r="862">
          <cell r="AW862" t="str">
            <v>.</v>
          </cell>
        </row>
        <row r="863">
          <cell r="AW863" t="str">
            <v>.</v>
          </cell>
        </row>
        <row r="864">
          <cell r="AW864" t="str">
            <v>.</v>
          </cell>
        </row>
        <row r="865">
          <cell r="AW865" t="str">
            <v>.</v>
          </cell>
        </row>
        <row r="866">
          <cell r="AW866" t="str">
            <v>.</v>
          </cell>
        </row>
        <row r="867">
          <cell r="AW867" t="str">
            <v>.</v>
          </cell>
        </row>
        <row r="868">
          <cell r="AW868" t="str">
            <v>.</v>
          </cell>
        </row>
        <row r="869">
          <cell r="AW869" t="str">
            <v>.</v>
          </cell>
        </row>
        <row r="870">
          <cell r="AW870" t="str">
            <v>.</v>
          </cell>
        </row>
        <row r="871">
          <cell r="AW871" t="str">
            <v>.</v>
          </cell>
        </row>
        <row r="872">
          <cell r="AW872" t="str">
            <v>.</v>
          </cell>
        </row>
        <row r="873">
          <cell r="AW873" t="str">
            <v>.</v>
          </cell>
        </row>
        <row r="874">
          <cell r="AW874" t="str">
            <v>.</v>
          </cell>
        </row>
        <row r="875">
          <cell r="AW875" t="str">
            <v>.</v>
          </cell>
        </row>
        <row r="876">
          <cell r="AW876" t="str">
            <v>.</v>
          </cell>
        </row>
        <row r="877">
          <cell r="AW877" t="str">
            <v>.</v>
          </cell>
        </row>
        <row r="878">
          <cell r="AW878" t="str">
            <v>.</v>
          </cell>
        </row>
        <row r="879">
          <cell r="AW879" t="str">
            <v>.</v>
          </cell>
        </row>
        <row r="880">
          <cell r="AW880" t="str">
            <v>.</v>
          </cell>
        </row>
        <row r="881">
          <cell r="AW881" t="str">
            <v>.</v>
          </cell>
        </row>
        <row r="882">
          <cell r="AW882" t="str">
            <v>.</v>
          </cell>
        </row>
        <row r="883">
          <cell r="AW883" t="str">
            <v>.</v>
          </cell>
        </row>
        <row r="884">
          <cell r="AW884" t="str">
            <v>.</v>
          </cell>
        </row>
        <row r="885">
          <cell r="AW885" t="str">
            <v>.</v>
          </cell>
        </row>
        <row r="886">
          <cell r="AW886" t="str">
            <v>.</v>
          </cell>
        </row>
        <row r="887">
          <cell r="AW887" t="str">
            <v>.</v>
          </cell>
        </row>
        <row r="888">
          <cell r="AW888" t="str">
            <v>.</v>
          </cell>
        </row>
        <row r="889">
          <cell r="AW889" t="str">
            <v>.</v>
          </cell>
        </row>
        <row r="890">
          <cell r="AW890" t="str">
            <v>.</v>
          </cell>
        </row>
        <row r="891">
          <cell r="AW891" t="str">
            <v>.</v>
          </cell>
        </row>
        <row r="892">
          <cell r="AW892" t="str">
            <v>.</v>
          </cell>
        </row>
        <row r="893">
          <cell r="AW893" t="str">
            <v>.</v>
          </cell>
        </row>
        <row r="894">
          <cell r="AW894" t="str">
            <v>.</v>
          </cell>
        </row>
        <row r="895">
          <cell r="AW895" t="str">
            <v>.</v>
          </cell>
        </row>
        <row r="896">
          <cell r="AW896" t="str">
            <v>.</v>
          </cell>
        </row>
        <row r="897">
          <cell r="AW897" t="str">
            <v>.</v>
          </cell>
        </row>
        <row r="898">
          <cell r="AW898" t="str">
            <v>.</v>
          </cell>
        </row>
        <row r="899">
          <cell r="AW899" t="str">
            <v>.</v>
          </cell>
        </row>
        <row r="900">
          <cell r="AW900" t="str">
            <v>.</v>
          </cell>
        </row>
        <row r="901">
          <cell r="AW901" t="str">
            <v>.</v>
          </cell>
        </row>
        <row r="902">
          <cell r="AW902" t="str">
            <v>.</v>
          </cell>
        </row>
        <row r="903">
          <cell r="AW903" t="str">
            <v>.</v>
          </cell>
        </row>
        <row r="904">
          <cell r="AW904" t="str">
            <v>.</v>
          </cell>
        </row>
        <row r="905">
          <cell r="AW905" t="str">
            <v>.</v>
          </cell>
        </row>
        <row r="906">
          <cell r="AW906" t="str">
            <v>.</v>
          </cell>
        </row>
        <row r="907">
          <cell r="AW907" t="str">
            <v>.</v>
          </cell>
        </row>
        <row r="908">
          <cell r="AW908" t="str">
            <v>.</v>
          </cell>
        </row>
        <row r="909">
          <cell r="AW909" t="str">
            <v>.</v>
          </cell>
        </row>
        <row r="910">
          <cell r="AW910" t="str">
            <v>.</v>
          </cell>
        </row>
        <row r="911">
          <cell r="AW911" t="str">
            <v>.</v>
          </cell>
        </row>
        <row r="912">
          <cell r="AW912" t="str">
            <v>.</v>
          </cell>
        </row>
        <row r="913">
          <cell r="AW913" t="str">
            <v>.</v>
          </cell>
        </row>
        <row r="914">
          <cell r="AW914" t="str">
            <v>.</v>
          </cell>
        </row>
        <row r="915">
          <cell r="AW915" t="str">
            <v>.</v>
          </cell>
        </row>
        <row r="916">
          <cell r="AW916" t="str">
            <v>.</v>
          </cell>
        </row>
        <row r="917">
          <cell r="AW917" t="str">
            <v>.</v>
          </cell>
        </row>
        <row r="918">
          <cell r="AW918" t="str">
            <v>.</v>
          </cell>
        </row>
        <row r="919">
          <cell r="AW919" t="str">
            <v>.</v>
          </cell>
        </row>
        <row r="920">
          <cell r="AW920" t="str">
            <v>.</v>
          </cell>
        </row>
        <row r="921">
          <cell r="AW921" t="str">
            <v>.</v>
          </cell>
        </row>
        <row r="922">
          <cell r="AW922" t="str">
            <v>.</v>
          </cell>
        </row>
        <row r="923">
          <cell r="AW923" t="str">
            <v>.</v>
          </cell>
        </row>
        <row r="924">
          <cell r="AW924" t="str">
            <v>.</v>
          </cell>
        </row>
        <row r="925">
          <cell r="AW925" t="str">
            <v>.</v>
          </cell>
        </row>
        <row r="926">
          <cell r="AW926" t="str">
            <v>.</v>
          </cell>
        </row>
        <row r="927">
          <cell r="AW927" t="str">
            <v>.</v>
          </cell>
        </row>
        <row r="928">
          <cell r="AW928" t="str">
            <v>.</v>
          </cell>
        </row>
        <row r="929">
          <cell r="AW929" t="str">
            <v>.</v>
          </cell>
        </row>
        <row r="930">
          <cell r="AW930" t="str">
            <v>.</v>
          </cell>
        </row>
        <row r="931">
          <cell r="AW931" t="str">
            <v>.</v>
          </cell>
        </row>
        <row r="932">
          <cell r="AW932" t="str">
            <v>.</v>
          </cell>
        </row>
        <row r="933">
          <cell r="AW933" t="str">
            <v>.</v>
          </cell>
        </row>
        <row r="934">
          <cell r="AW934" t="str">
            <v>.</v>
          </cell>
        </row>
        <row r="935">
          <cell r="AW935" t="str">
            <v>.</v>
          </cell>
        </row>
        <row r="936">
          <cell r="AW936" t="str">
            <v>.</v>
          </cell>
        </row>
        <row r="937">
          <cell r="AW937" t="str">
            <v>.</v>
          </cell>
        </row>
        <row r="938">
          <cell r="AW938" t="str">
            <v>.</v>
          </cell>
        </row>
        <row r="939">
          <cell r="AW939" t="str">
            <v>.</v>
          </cell>
        </row>
        <row r="940">
          <cell r="AW940" t="str">
            <v>.</v>
          </cell>
        </row>
        <row r="941">
          <cell r="AW941" t="str">
            <v>.</v>
          </cell>
        </row>
        <row r="942">
          <cell r="AW942" t="str">
            <v>.</v>
          </cell>
        </row>
        <row r="943">
          <cell r="AW943" t="str">
            <v>.</v>
          </cell>
        </row>
        <row r="944">
          <cell r="AW944" t="str">
            <v>.</v>
          </cell>
        </row>
        <row r="945">
          <cell r="AW945" t="str">
            <v>.</v>
          </cell>
        </row>
        <row r="946">
          <cell r="AW946" t="str">
            <v>.</v>
          </cell>
        </row>
        <row r="947">
          <cell r="AW947" t="str">
            <v>.</v>
          </cell>
        </row>
        <row r="948">
          <cell r="AW948" t="str">
            <v>.</v>
          </cell>
        </row>
        <row r="949">
          <cell r="AW949" t="str">
            <v>.</v>
          </cell>
        </row>
        <row r="950">
          <cell r="AW950" t="str">
            <v>.</v>
          </cell>
        </row>
        <row r="951">
          <cell r="AW951" t="str">
            <v>.</v>
          </cell>
        </row>
        <row r="952">
          <cell r="AW952" t="str">
            <v>.</v>
          </cell>
        </row>
        <row r="953">
          <cell r="AW953" t="str">
            <v>.</v>
          </cell>
        </row>
        <row r="954">
          <cell r="AW954" t="str">
            <v>.</v>
          </cell>
        </row>
        <row r="955">
          <cell r="AW955" t="str">
            <v>.</v>
          </cell>
        </row>
        <row r="956">
          <cell r="AW956" t="str">
            <v>.</v>
          </cell>
        </row>
        <row r="957">
          <cell r="AW957" t="str">
            <v>.</v>
          </cell>
        </row>
        <row r="958">
          <cell r="AW958" t="str">
            <v>.</v>
          </cell>
        </row>
        <row r="959">
          <cell r="AW959" t="str">
            <v>.</v>
          </cell>
        </row>
        <row r="960">
          <cell r="AW960" t="str">
            <v>.</v>
          </cell>
        </row>
        <row r="961">
          <cell r="AW961" t="str">
            <v>.</v>
          </cell>
        </row>
        <row r="962">
          <cell r="AW962" t="str">
            <v>.</v>
          </cell>
        </row>
        <row r="963">
          <cell r="AW963" t="str">
            <v>.</v>
          </cell>
        </row>
        <row r="964">
          <cell r="AW964" t="str">
            <v>.</v>
          </cell>
        </row>
        <row r="965">
          <cell r="AW965" t="str">
            <v>.</v>
          </cell>
        </row>
        <row r="966">
          <cell r="AW966" t="str">
            <v>.</v>
          </cell>
        </row>
        <row r="967">
          <cell r="AW967" t="str">
            <v>.</v>
          </cell>
        </row>
        <row r="968">
          <cell r="AW968" t="str">
            <v>.</v>
          </cell>
        </row>
        <row r="969">
          <cell r="AW969" t="str">
            <v>.</v>
          </cell>
        </row>
        <row r="970">
          <cell r="AW970" t="str">
            <v>.</v>
          </cell>
        </row>
        <row r="971">
          <cell r="AW971" t="str">
            <v>.</v>
          </cell>
        </row>
        <row r="972">
          <cell r="AW972" t="str">
            <v>.</v>
          </cell>
        </row>
        <row r="973">
          <cell r="AW973" t="str">
            <v>.</v>
          </cell>
        </row>
        <row r="974">
          <cell r="AW974" t="str">
            <v>.</v>
          </cell>
        </row>
        <row r="975">
          <cell r="AW975" t="str">
            <v>.</v>
          </cell>
        </row>
        <row r="976">
          <cell r="AW976" t="str">
            <v>.</v>
          </cell>
        </row>
        <row r="977">
          <cell r="AW977" t="str">
            <v>.</v>
          </cell>
        </row>
        <row r="978">
          <cell r="AW978" t="str">
            <v>.</v>
          </cell>
        </row>
        <row r="979">
          <cell r="AW979" t="str">
            <v>.</v>
          </cell>
        </row>
        <row r="980">
          <cell r="AW980" t="str">
            <v>.</v>
          </cell>
        </row>
        <row r="981">
          <cell r="AW981" t="str">
            <v>.</v>
          </cell>
        </row>
        <row r="982">
          <cell r="AW982" t="str">
            <v>.</v>
          </cell>
        </row>
        <row r="983">
          <cell r="AW983" t="str">
            <v>.</v>
          </cell>
        </row>
        <row r="984">
          <cell r="AW984" t="str">
            <v>.</v>
          </cell>
        </row>
        <row r="985">
          <cell r="AW985" t="str">
            <v>.</v>
          </cell>
        </row>
        <row r="986">
          <cell r="AW986" t="str">
            <v>.</v>
          </cell>
        </row>
        <row r="987">
          <cell r="AW987" t="str">
            <v>.</v>
          </cell>
        </row>
        <row r="988">
          <cell r="AW988" t="str">
            <v>.</v>
          </cell>
        </row>
        <row r="989">
          <cell r="AW989" t="str">
            <v>.</v>
          </cell>
        </row>
        <row r="990">
          <cell r="AW990" t="str">
            <v>.</v>
          </cell>
        </row>
        <row r="991">
          <cell r="AW991" t="str">
            <v>.</v>
          </cell>
        </row>
        <row r="992">
          <cell r="AW992" t="str">
            <v>.</v>
          </cell>
        </row>
        <row r="993">
          <cell r="AW993" t="str">
            <v>.</v>
          </cell>
        </row>
        <row r="994">
          <cell r="AW994" t="str">
            <v>.</v>
          </cell>
        </row>
        <row r="995">
          <cell r="AW995" t="str">
            <v>.</v>
          </cell>
        </row>
        <row r="996">
          <cell r="A996" t="str">
            <v>.</v>
          </cell>
          <cell r="B996" t="str">
            <v>.</v>
          </cell>
          <cell r="C996" t="str">
            <v>.</v>
          </cell>
          <cell r="D996" t="str">
            <v>.</v>
          </cell>
          <cell r="E996" t="str">
            <v>.</v>
          </cell>
          <cell r="F996" t="str">
            <v>.</v>
          </cell>
          <cell r="O996" t="str">
            <v>.</v>
          </cell>
          <cell r="P996" t="str">
            <v>.</v>
          </cell>
          <cell r="Q996" t="str">
            <v>.</v>
          </cell>
          <cell r="R996" t="str">
            <v>.</v>
          </cell>
          <cell r="S996" t="str">
            <v>.</v>
          </cell>
          <cell r="T996" t="str">
            <v>.</v>
          </cell>
          <cell r="U996" t="str">
            <v>.</v>
          </cell>
          <cell r="V996" t="str">
            <v>.</v>
          </cell>
          <cell r="W996" t="str">
            <v>.</v>
          </cell>
          <cell r="X996" t="str">
            <v>.</v>
          </cell>
          <cell r="Y996" t="str">
            <v>.</v>
          </cell>
          <cell r="Z996" t="str">
            <v>.</v>
          </cell>
          <cell r="AA996" t="str">
            <v>.</v>
          </cell>
          <cell r="AB996" t="str">
            <v>.</v>
          </cell>
          <cell r="AC996" t="str">
            <v>.</v>
          </cell>
          <cell r="AD996" t="str">
            <v>.</v>
          </cell>
          <cell r="AE996" t="str">
            <v>.</v>
          </cell>
          <cell r="AF996" t="str">
            <v>.</v>
          </cell>
          <cell r="AG996" t="str">
            <v>.</v>
          </cell>
          <cell r="AH996" t="str">
            <v>.</v>
          </cell>
          <cell r="AI996" t="str">
            <v>.</v>
          </cell>
          <cell r="AJ996" t="str">
            <v>.</v>
          </cell>
          <cell r="AK996" t="str">
            <v>.</v>
          </cell>
          <cell r="AL996" t="str">
            <v>.</v>
          </cell>
          <cell r="AM996" t="str">
            <v>.</v>
          </cell>
          <cell r="AN996" t="str">
            <v>.</v>
          </cell>
          <cell r="AO996" t="str">
            <v>.</v>
          </cell>
          <cell r="AP996" t="str">
            <v>.</v>
          </cell>
          <cell r="AQ996" t="str">
            <v>.</v>
          </cell>
          <cell r="AR996" t="str">
            <v>.</v>
          </cell>
          <cell r="AS996" t="str">
            <v>.</v>
          </cell>
          <cell r="AT996" t="str">
            <v>.</v>
          </cell>
          <cell r="AU996" t="str">
            <v>.</v>
          </cell>
          <cell r="AV996" t="str">
            <v>.</v>
          </cell>
          <cell r="AW996" t="str">
            <v>.</v>
          </cell>
        </row>
      </sheetData>
      <sheetData sheetId="14" refreshError="1">
        <row r="1">
          <cell r="P1" t="str">
            <v>SmartCharts</v>
          </cell>
        </row>
        <row r="6">
          <cell r="C6" t="str">
            <v>Input value axis title here:</v>
          </cell>
        </row>
        <row r="7">
          <cell r="C7" t="str">
            <v>Current Dividend as % of Projected FCF</v>
          </cell>
        </row>
        <row r="10">
          <cell r="C10" t="str">
            <v>Input your data here:</v>
          </cell>
          <cell r="BB10" t="str">
            <v>.</v>
          </cell>
        </row>
        <row r="11">
          <cell r="D11" t="str">
            <v>Pre-Dividend FCF</v>
          </cell>
          <cell r="E11" t="str">
            <v>Current Dividend</v>
          </cell>
          <cell r="F11" t="str">
            <v>Div. / FCF</v>
          </cell>
          <cell r="AB11" t="str">
            <v>Cells below are used for chart calculations; please do not make any changes</v>
          </cell>
        </row>
        <row r="12">
          <cell r="AB12">
            <v>244.75657931408091</v>
          </cell>
          <cell r="AC12">
            <v>244.75657931408091</v>
          </cell>
        </row>
        <row r="13">
          <cell r="AB13">
            <v>244.75657931408091</v>
          </cell>
          <cell r="AC13">
            <v>244.75657931408091</v>
          </cell>
        </row>
        <row r="14">
          <cell r="C14" t="str">
            <v>2011e</v>
          </cell>
          <cell r="D14">
            <v>96.736330472514965</v>
          </cell>
          <cell r="E14">
            <v>113</v>
          </cell>
          <cell r="F14">
            <v>1.1681236971471223</v>
          </cell>
          <cell r="AB14">
            <v>148.02024884156594</v>
          </cell>
          <cell r="AC14">
            <v>131.75657931408091</v>
          </cell>
        </row>
        <row r="15">
          <cell r="C15" t="str">
            <v>2012e</v>
          </cell>
          <cell r="D15">
            <v>170.37541823634081</v>
          </cell>
          <cell r="E15">
            <v>113</v>
          </cell>
          <cell r="F15">
            <v>0.66324121853804663</v>
          </cell>
          <cell r="AB15">
            <v>74.381161077740103</v>
          </cell>
          <cell r="AC15">
            <v>131.75657931408091</v>
          </cell>
        </row>
        <row r="16">
          <cell r="C16" t="str">
            <v>2013e</v>
          </cell>
          <cell r="D16">
            <v>192.95025703722308</v>
          </cell>
          <cell r="E16">
            <v>113</v>
          </cell>
          <cell r="F16">
            <v>0.58564316904848979</v>
          </cell>
          <cell r="AB16">
            <v>51.806322276857827</v>
          </cell>
          <cell r="AC16">
            <v>131.75657931408091</v>
          </cell>
        </row>
        <row r="17">
          <cell r="C17" t="str">
            <v>2014e</v>
          </cell>
          <cell r="D17">
            <v>216.27040321437914</v>
          </cell>
          <cell r="E17">
            <v>113</v>
          </cell>
          <cell r="F17">
            <v>0.52249405522210157</v>
          </cell>
          <cell r="AB17">
            <v>28.486176099701765</v>
          </cell>
          <cell r="AC17">
            <v>131.75657931408091</v>
          </cell>
        </row>
        <row r="18">
          <cell r="C18" t="str">
            <v>2015e</v>
          </cell>
          <cell r="D18">
            <v>244.75657931408091</v>
          </cell>
          <cell r="E18">
            <v>113</v>
          </cell>
          <cell r="F18">
            <v>0.46168319689986403</v>
          </cell>
          <cell r="AB18">
            <v>0</v>
          </cell>
          <cell r="AC18">
            <v>131.75657931408091</v>
          </cell>
        </row>
        <row r="19">
          <cell r="AB19">
            <v>244.75657931408091</v>
          </cell>
          <cell r="AC19">
            <v>244.75657931408091</v>
          </cell>
        </row>
        <row r="20">
          <cell r="AB20">
            <v>244.75657931408091</v>
          </cell>
          <cell r="AC20">
            <v>244.75657931408091</v>
          </cell>
        </row>
        <row r="21">
          <cell r="AB21">
            <v>244.75657931408091</v>
          </cell>
          <cell r="AC21">
            <v>244.75657931408091</v>
          </cell>
        </row>
        <row r="22">
          <cell r="AB22">
            <v>244.75657931408091</v>
          </cell>
          <cell r="AC22">
            <v>244.75657931408091</v>
          </cell>
        </row>
        <row r="23">
          <cell r="AB23">
            <v>244.75657931408091</v>
          </cell>
          <cell r="AC23">
            <v>244.75657931408091</v>
          </cell>
        </row>
        <row r="24">
          <cell r="AB24">
            <v>244.75657931408091</v>
          </cell>
          <cell r="AC24">
            <v>244.75657931408091</v>
          </cell>
        </row>
        <row r="25">
          <cell r="AB25">
            <v>244.75657931408091</v>
          </cell>
          <cell r="AC25">
            <v>244.75657931408091</v>
          </cell>
        </row>
        <row r="26">
          <cell r="AB26">
            <v>244.75657931408091</v>
          </cell>
          <cell r="AC26">
            <v>244.75657931408091</v>
          </cell>
        </row>
        <row r="27">
          <cell r="AB27">
            <v>244.75657931408091</v>
          </cell>
          <cell r="AC27">
            <v>244.75657931408091</v>
          </cell>
        </row>
        <row r="28">
          <cell r="AB28">
            <v>244.75657931408091</v>
          </cell>
          <cell r="AC28">
            <v>244.75657931408091</v>
          </cell>
        </row>
        <row r="29">
          <cell r="AB29">
            <v>244.75657931408091</v>
          </cell>
          <cell r="AC29">
            <v>244.75657931408091</v>
          </cell>
        </row>
        <row r="30">
          <cell r="AB30">
            <v>244.75657931408091</v>
          </cell>
          <cell r="AC30">
            <v>244.75657931408091</v>
          </cell>
        </row>
        <row r="31">
          <cell r="AB31">
            <v>244.75657931408091</v>
          </cell>
          <cell r="AC31">
            <v>244.75657931408091</v>
          </cell>
        </row>
        <row r="998">
          <cell r="R998" t="str">
            <v>.</v>
          </cell>
          <cell r="S998" t="str">
            <v>.</v>
          </cell>
          <cell r="T998" t="str">
            <v>.</v>
          </cell>
          <cell r="U998" t="str">
            <v>.</v>
          </cell>
          <cell r="V998" t="str">
            <v>.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Valuation Summary"/>
      <sheetName val="__FDSCACHE__"/>
      <sheetName val="Financial Summary"/>
      <sheetName val="NVE - Consolidated"/>
      <sheetName val="Nevada Power"/>
      <sheetName val="Sierra Power"/>
      <sheetName val="Parent"/>
      <sheetName val="Debt"/>
      <sheetName val="EPS Walk"/>
      <sheetName val="Note Tables"/>
      <sheetName val="mwareDates"/>
      <sheetName val="Capex Chart"/>
      <sheetName val="FCF-Div. Working Chart"/>
      <sheetName val="MW FDS"/>
      <sheetName val="MWA RR (2)"/>
      <sheetName val="mwareSettings"/>
      <sheetName val="MW-Cache"/>
      <sheetName val="Summary"/>
      <sheetName val="Financials"/>
      <sheetName val="MWA RR"/>
    </sheetNames>
    <sheetDataSet>
      <sheetData sheetId="0" refreshError="1"/>
      <sheetData sheetId="1" refreshError="1"/>
      <sheetData sheetId="2" refreshError="1"/>
      <sheetData sheetId="3" refreshError="1">
        <row r="2">
          <cell r="B2" t="str">
            <v>NV Energy</v>
          </cell>
        </row>
        <row r="3">
          <cell r="B3" t="str">
            <v>Financial Summary</v>
          </cell>
        </row>
        <row r="4">
          <cell r="B4" t="str">
            <v>$m, unless stated otherwise</v>
          </cell>
        </row>
        <row r="5">
          <cell r="B5" t="str">
            <v>Period Ended</v>
          </cell>
          <cell r="I5">
            <v>2009</v>
          </cell>
          <cell r="N5">
            <v>2010</v>
          </cell>
          <cell r="S5">
            <v>2011</v>
          </cell>
          <cell r="X5">
            <v>2012</v>
          </cell>
          <cell r="AC5">
            <v>2013</v>
          </cell>
          <cell r="AH5">
            <v>2014</v>
          </cell>
          <cell r="AM5">
            <v>2015</v>
          </cell>
          <cell r="AO5" t="str">
            <v>Period Ended</v>
          </cell>
          <cell r="AW5">
            <v>2009</v>
          </cell>
          <cell r="BB5">
            <v>2010</v>
          </cell>
          <cell r="BG5">
            <v>2011</v>
          </cell>
          <cell r="BL5">
            <v>2012</v>
          </cell>
          <cell r="BQ5">
            <v>2013</v>
          </cell>
          <cell r="BV5">
            <v>2014</v>
          </cell>
          <cell r="CA5">
            <v>2015</v>
          </cell>
        </row>
        <row r="7">
          <cell r="B7" t="str">
            <v>EPS AND EBITDA PROFILE</v>
          </cell>
          <cell r="AP7" t="str">
            <v>CAPITALIZATION PROFILE</v>
          </cell>
        </row>
        <row r="9">
          <cell r="C9" t="str">
            <v>EPS by Business Segment</v>
          </cell>
          <cell r="AQ9" t="str">
            <v>Cash</v>
          </cell>
          <cell r="AW9">
            <v>62.706000000000003</v>
          </cell>
          <cell r="BB9">
            <v>86.188999999999993</v>
          </cell>
          <cell r="BG9">
            <v>214.61727950251523</v>
          </cell>
          <cell r="BL9">
            <v>240.56529358885604</v>
          </cell>
          <cell r="BQ9">
            <v>265.84944011607911</v>
          </cell>
          <cell r="BV9">
            <v>386.21502646045826</v>
          </cell>
          <cell r="CA9">
            <v>381.82808254453914</v>
          </cell>
        </row>
        <row r="10">
          <cell r="C10" t="str">
            <v>Nevada Power</v>
          </cell>
          <cell r="I10">
            <v>0.57098225684245008</v>
          </cell>
          <cell r="N10">
            <v>0.78691105583816123</v>
          </cell>
          <cell r="S10">
            <v>0.64430447573699823</v>
          </cell>
          <cell r="X10">
            <v>1.0234410013720265</v>
          </cell>
          <cell r="AC10">
            <v>1.0471710948644808</v>
          </cell>
          <cell r="AH10">
            <v>1.0830719624121479</v>
          </cell>
          <cell r="AM10">
            <v>1.1820805154946072</v>
          </cell>
        </row>
        <row r="11">
          <cell r="C11" t="str">
            <v>Sierra Pacific Power</v>
          </cell>
          <cell r="I11">
            <v>0.31076106044897717</v>
          </cell>
          <cell r="N11">
            <v>0.30629110892201944</v>
          </cell>
          <cell r="S11">
            <v>0.30268756480263276</v>
          </cell>
          <cell r="X11">
            <v>0.31215547901530016</v>
          </cell>
          <cell r="AC11">
            <v>0.32721191357364682</v>
          </cell>
          <cell r="AH11">
            <v>0.36481066593765932</v>
          </cell>
          <cell r="AM11">
            <v>0.36374936985680045</v>
          </cell>
          <cell r="AQ11" t="str">
            <v>Short Term Debt</v>
          </cell>
          <cell r="AW11">
            <v>0</v>
          </cell>
          <cell r="BB11">
            <v>0</v>
          </cell>
          <cell r="BG11">
            <v>0</v>
          </cell>
          <cell r="BL11">
            <v>0</v>
          </cell>
          <cell r="BQ11">
            <v>0</v>
          </cell>
          <cell r="BV11">
            <v>0</v>
          </cell>
          <cell r="CA11">
            <v>0</v>
          </cell>
        </row>
        <row r="12">
          <cell r="C12" t="str">
            <v>Parent &amp; Other</v>
          </cell>
          <cell r="I12">
            <v>-0.10389033303618954</v>
          </cell>
          <cell r="N12">
            <v>-0.13260553515664844</v>
          </cell>
          <cell r="S12">
            <v>-9.1192023357962365E-2</v>
          </cell>
          <cell r="X12">
            <v>-8.9444278664941604E-2</v>
          </cell>
          <cell r="AC12">
            <v>-8.7148762122346318E-2</v>
          </cell>
          <cell r="AH12">
            <v>-8.0633309316615026E-2</v>
          </cell>
          <cell r="AM12">
            <v>-7.5917040694008744E-2</v>
          </cell>
          <cell r="AQ12" t="str">
            <v>Long Term Debt</v>
          </cell>
          <cell r="AW12">
            <v>5437.8310000000001</v>
          </cell>
          <cell r="BB12">
            <v>5280.0380000000005</v>
          </cell>
          <cell r="BG12">
            <v>5230.0380000000005</v>
          </cell>
          <cell r="BL12">
            <v>5150.0380000000005</v>
          </cell>
          <cell r="BQ12">
            <v>5075.0380000000005</v>
          </cell>
          <cell r="BV12">
            <v>5100.0380000000005</v>
          </cell>
          <cell r="CA12">
            <v>5000.0380000000005</v>
          </cell>
        </row>
        <row r="13">
          <cell r="C13" t="str">
            <v>Consolidated EPS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0.77785298425523774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0.9605966296035322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0.85580001718166865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1.2461522017223849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1.2872342463157813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1.3672493190331922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1.4699128446573988</v>
          </cell>
          <cell r="AQ13" t="str">
            <v>Total Debt</v>
          </cell>
          <cell r="AW13">
            <v>5437.8310000000001</v>
          </cell>
          <cell r="BB13">
            <v>5280.0380000000005</v>
          </cell>
          <cell r="BG13">
            <v>5230.0380000000005</v>
          </cell>
          <cell r="BL13">
            <v>5150.0380000000005</v>
          </cell>
          <cell r="BQ13">
            <v>5075.0380000000005</v>
          </cell>
          <cell r="BV13">
            <v>5100.0380000000005</v>
          </cell>
          <cell r="CA13">
            <v>5000.0380000000005</v>
          </cell>
        </row>
        <row r="14">
          <cell r="C14" t="str">
            <v>Growth</v>
          </cell>
          <cell r="N14">
            <v>0.2349333987877722</v>
          </cell>
          <cell r="S14">
            <v>-0.10909533636935242</v>
          </cell>
          <cell r="X14">
            <v>0.45612546938971676</v>
          </cell>
          <cell r="AC14">
            <v>3.296711632544902E-2</v>
          </cell>
          <cell r="AH14">
            <v>6.2160459874668339E-2</v>
          </cell>
          <cell r="AM14">
            <v>7.5087640706818393E-2</v>
          </cell>
        </row>
        <row r="15">
          <cell r="AQ15" t="str">
            <v>Preferred Equity</v>
          </cell>
          <cell r="AW15">
            <v>0</v>
          </cell>
          <cell r="BB15">
            <v>0</v>
          </cell>
          <cell r="BG15">
            <v>0</v>
          </cell>
          <cell r="BL15">
            <v>0</v>
          </cell>
          <cell r="BQ15">
            <v>0</v>
          </cell>
          <cell r="BV15">
            <v>0</v>
          </cell>
          <cell r="CA15">
            <v>0</v>
          </cell>
        </row>
        <row r="16">
          <cell r="C16" t="str">
            <v>Regulated / Unregulated EPS</v>
          </cell>
          <cell r="AQ16" t="str">
            <v>Common Equity</v>
          </cell>
          <cell r="AW16">
            <v>3223.922</v>
          </cell>
          <cell r="BB16">
            <v>3350.8180000000002</v>
          </cell>
          <cell r="BG16">
            <v>3437.9657186990507</v>
          </cell>
          <cell r="BL16">
            <v>3603.339317189053</v>
          </cell>
          <cell r="BQ16">
            <v>3750.1929482659471</v>
          </cell>
          <cell r="BV16">
            <v>3887.7369601607984</v>
          </cell>
          <cell r="CA16">
            <v>4021.3292751369854</v>
          </cell>
        </row>
        <row r="17">
          <cell r="C17" t="str">
            <v>Regulated Utility (includes Parent)</v>
          </cell>
          <cell r="I17">
            <v>1</v>
          </cell>
          <cell r="N17">
            <v>1</v>
          </cell>
          <cell r="S17">
            <v>1</v>
          </cell>
          <cell r="X17">
            <v>1</v>
          </cell>
          <cell r="AC17">
            <v>1</v>
          </cell>
          <cell r="AH17">
            <v>1</v>
          </cell>
          <cell r="AM17">
            <v>1</v>
          </cell>
        </row>
        <row r="18">
          <cell r="C18" t="str">
            <v>Merchant Power</v>
          </cell>
          <cell r="I18">
            <v>0</v>
          </cell>
          <cell r="N18">
            <v>0</v>
          </cell>
          <cell r="S18">
            <v>0</v>
          </cell>
          <cell r="X18">
            <v>0</v>
          </cell>
          <cell r="AC18">
            <v>0</v>
          </cell>
          <cell r="AH18">
            <v>0</v>
          </cell>
          <cell r="AM18">
            <v>0</v>
          </cell>
          <cell r="AQ18" t="str">
            <v>Total Capitalization</v>
          </cell>
          <cell r="AW18">
            <v>8661.7530000000006</v>
          </cell>
          <cell r="BB18">
            <v>8630.8559999999998</v>
          </cell>
          <cell r="BG18">
            <v>8668.0037186990521</v>
          </cell>
          <cell r="BL18">
            <v>8753.3773171890534</v>
          </cell>
          <cell r="BQ18">
            <v>8825.2309482659475</v>
          </cell>
          <cell r="BV18">
            <v>8987.7749601607993</v>
          </cell>
          <cell r="CA18">
            <v>9021.367275136985</v>
          </cell>
        </row>
        <row r="19">
          <cell r="C19" t="str">
            <v>Other (Non-Utility / Power operations)</v>
          </cell>
          <cell r="I19">
            <v>0</v>
          </cell>
          <cell r="N19">
            <v>0</v>
          </cell>
          <cell r="S19">
            <v>0</v>
          </cell>
          <cell r="X19">
            <v>0</v>
          </cell>
          <cell r="AC19">
            <v>0</v>
          </cell>
          <cell r="AH19">
            <v>0</v>
          </cell>
          <cell r="AM19">
            <v>0</v>
          </cell>
        </row>
        <row r="20">
          <cell r="AQ20" t="str">
            <v>Leverage Ratios</v>
          </cell>
        </row>
        <row r="21">
          <cell r="C21" t="str">
            <v>EBITDA by Business Segment</v>
          </cell>
          <cell r="AQ21" t="str">
            <v>LT Debt  / Total Cap</v>
          </cell>
          <cell r="AW21">
            <v>0.62779797576772278</v>
          </cell>
          <cell r="BB21">
            <v>0.61176295839022232</v>
          </cell>
          <cell r="BG21">
            <v>0.60337283759090921</v>
          </cell>
          <cell r="BL21">
            <v>0.58834868112983585</v>
          </cell>
          <cell r="BQ21">
            <v>0.57506007828579087</v>
          </cell>
          <cell r="BV21">
            <v>0.56744166633081305</v>
          </cell>
          <cell r="CA21">
            <v>0.55424392417546009</v>
          </cell>
        </row>
        <row r="22">
          <cell r="C22" t="str">
            <v>Nevada Power</v>
          </cell>
          <cell r="I22">
            <v>638.06100000000015</v>
          </cell>
          <cell r="N22">
            <v>718.31899999999973</v>
          </cell>
          <cell r="S22">
            <v>692.29769453775964</v>
          </cell>
          <cell r="X22">
            <v>841.88870360407191</v>
          </cell>
          <cell r="AC22">
            <v>850.41700135407177</v>
          </cell>
          <cell r="AH22">
            <v>864.69057499275152</v>
          </cell>
          <cell r="AM22">
            <v>899.03739152422258</v>
          </cell>
          <cell r="AQ22" t="str">
            <v>Total Debt / Total Cap</v>
          </cell>
          <cell r="AW22">
            <v>0.62779797576772278</v>
          </cell>
          <cell r="BB22">
            <v>0.61176295839022232</v>
          </cell>
          <cell r="BG22">
            <v>0.60337283759090921</v>
          </cell>
          <cell r="BL22">
            <v>0.58834868112983585</v>
          </cell>
          <cell r="BQ22">
            <v>0.57506007828579087</v>
          </cell>
          <cell r="BV22">
            <v>0.56744166633081305</v>
          </cell>
          <cell r="CA22">
            <v>0.55424392417546009</v>
          </cell>
        </row>
        <row r="23">
          <cell r="C23" t="str">
            <v>Sierra Pacific Power</v>
          </cell>
          <cell r="I23">
            <v>279.77100000000007</v>
          </cell>
          <cell r="N23">
            <v>288.10000000000014</v>
          </cell>
          <cell r="S23">
            <v>279.46208999999993</v>
          </cell>
          <cell r="X23">
            <v>285.56132590000004</v>
          </cell>
          <cell r="AC23">
            <v>292.7860310609999</v>
          </cell>
          <cell r="AH23">
            <v>308.195814640295</v>
          </cell>
          <cell r="AM23">
            <v>310.7371373663899</v>
          </cell>
          <cell r="AQ23" t="str">
            <v>Net Debt / LTM EBITDA</v>
          </cell>
          <cell r="AW23">
            <v>9.5289611635167173</v>
          </cell>
          <cell r="BB23">
            <v>5.1586822630130387</v>
          </cell>
          <cell r="BG23">
            <v>5.1825058249274631</v>
          </cell>
          <cell r="BL23">
            <v>4.3699965085036743</v>
          </cell>
          <cell r="BQ23">
            <v>4.2215377092954229</v>
          </cell>
          <cell r="BV23">
            <v>4.0327469079517408</v>
          </cell>
          <cell r="CA23">
            <v>3.8300775201351303</v>
          </cell>
        </row>
        <row r="24">
          <cell r="C24" t="str">
            <v>Corporate &amp; Other</v>
          </cell>
          <cell r="I24">
            <v>-3.2100000000001785</v>
          </cell>
          <cell r="N24">
            <v>0.39800000000031943</v>
          </cell>
          <cell r="S24">
            <v>-4</v>
          </cell>
          <cell r="X24">
            <v>-4</v>
          </cell>
          <cell r="AC24">
            <v>-4</v>
          </cell>
          <cell r="AH24">
            <v>-4</v>
          </cell>
          <cell r="AM24">
            <v>-4</v>
          </cell>
          <cell r="AQ24" t="str">
            <v>FFO / Total Debt</v>
          </cell>
          <cell r="AW24">
            <v>9.2841612768031948E-2</v>
          </cell>
          <cell r="BB24">
            <v>0.10606798663191445</v>
          </cell>
          <cell r="BG24">
            <v>0.10614772684448458</v>
          </cell>
          <cell r="BL24">
            <v>0.12894625005493404</v>
          </cell>
          <cell r="BQ24">
            <v>0.13391727507747295</v>
          </cell>
          <cell r="BV24">
            <v>0.13783336634977697</v>
          </cell>
          <cell r="CA24">
            <v>0.14628720464754197</v>
          </cell>
        </row>
        <row r="25">
          <cell r="C25" t="str">
            <v>Consolidated EBITDA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914.62200000000007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1006.8170000000002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967.75978453775951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1123.4500295040721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1139.2030324150717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1168.8863896330465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1205.7745288906126</v>
          </cell>
        </row>
        <row r="26">
          <cell r="AQ26" t="str">
            <v>Coverage Ratios</v>
          </cell>
        </row>
        <row r="27">
          <cell r="C27" t="str">
            <v>Regulated / Unregulated EBITDA</v>
          </cell>
          <cell r="AQ27" t="str">
            <v>FFO Interest Coverage ((FFO + Int.) / Int.)</v>
          </cell>
          <cell r="AW27">
            <v>2.4998989880984213</v>
          </cell>
          <cell r="BB27">
            <v>2.6208371559964934</v>
          </cell>
          <cell r="BG27">
            <v>2.7123600298622179</v>
          </cell>
          <cell r="BL27">
            <v>3.1101216481176945</v>
          </cell>
          <cell r="BQ27">
            <v>3.1946835077986964</v>
          </cell>
          <cell r="BV27">
            <v>3.2984109011742175</v>
          </cell>
          <cell r="CA27">
            <v>3.4286793911401889</v>
          </cell>
        </row>
        <row r="28">
          <cell r="C28" t="str">
            <v>Regulated Utility (includes Parent)</v>
          </cell>
          <cell r="I28">
            <v>1</v>
          </cell>
          <cell r="N28">
            <v>1</v>
          </cell>
          <cell r="S28">
            <v>1</v>
          </cell>
          <cell r="X28">
            <v>1</v>
          </cell>
          <cell r="AC28">
            <v>1</v>
          </cell>
          <cell r="AH28">
            <v>1</v>
          </cell>
          <cell r="AM28">
            <v>1</v>
          </cell>
          <cell r="AQ28" t="str">
            <v>Pretax Interest Coverage (EBIT / Int.)</v>
          </cell>
          <cell r="AW28">
            <v>1.7608780905185477</v>
          </cell>
          <cell r="BB28">
            <v>1.9499431303487145</v>
          </cell>
          <cell r="BG28">
            <v>1.8971263364762765</v>
          </cell>
          <cell r="BL28">
            <v>2.3963998899974324</v>
          </cell>
          <cell r="BQ28">
            <v>2.4673973891223868</v>
          </cell>
          <cell r="BV28">
            <v>2.5809875708239618</v>
          </cell>
          <cell r="CA28">
            <v>2.7295980496810768</v>
          </cell>
        </row>
        <row r="29">
          <cell r="C29" t="str">
            <v>Merchant Power</v>
          </cell>
          <cell r="I29">
            <v>0</v>
          </cell>
          <cell r="N29">
            <v>0</v>
          </cell>
          <cell r="S29">
            <v>0</v>
          </cell>
          <cell r="X29">
            <v>0</v>
          </cell>
          <cell r="AC29">
            <v>0</v>
          </cell>
          <cell r="AH29">
            <v>0</v>
          </cell>
          <cell r="AM29">
            <v>0</v>
          </cell>
        </row>
        <row r="30">
          <cell r="C30" t="str">
            <v>Other (Non-Utility / Power operations)</v>
          </cell>
          <cell r="I30">
            <v>0</v>
          </cell>
          <cell r="N30">
            <v>0</v>
          </cell>
          <cell r="S30">
            <v>0</v>
          </cell>
          <cell r="X30">
            <v>0</v>
          </cell>
          <cell r="AC30">
            <v>0</v>
          </cell>
          <cell r="AH30">
            <v>0</v>
          </cell>
          <cell r="AM30">
            <v>0</v>
          </cell>
        </row>
        <row r="33">
          <cell r="B33" t="str">
            <v>DIVIDEND AND SHARE COUNT DATA</v>
          </cell>
          <cell r="AP33" t="str">
            <v>CASH FLOW PROFILE</v>
          </cell>
        </row>
        <row r="35">
          <cell r="C35" t="str">
            <v>Dividend Per Share</v>
          </cell>
          <cell r="E35">
            <v>0.1</v>
          </cell>
          <cell r="F35">
            <v>0.1</v>
          </cell>
          <cell r="G35">
            <v>0.1</v>
          </cell>
          <cell r="H35">
            <v>0.10999999999999993</v>
          </cell>
          <cell r="I35">
            <v>0.41</v>
          </cell>
          <cell r="J35">
            <v>0.11</v>
          </cell>
          <cell r="K35">
            <v>0.11</v>
          </cell>
          <cell r="L35">
            <v>0.11</v>
          </cell>
          <cell r="M35">
            <v>0.12</v>
          </cell>
          <cell r="N35">
            <v>0.45</v>
          </cell>
          <cell r="O35">
            <v>0.12</v>
          </cell>
          <cell r="P35">
            <v>0.12</v>
          </cell>
          <cell r="Q35">
            <v>0.12</v>
          </cell>
          <cell r="R35">
            <v>0.13</v>
          </cell>
          <cell r="S35">
            <v>0.49</v>
          </cell>
          <cell r="T35">
            <v>0.13</v>
          </cell>
          <cell r="U35">
            <v>0.13</v>
          </cell>
          <cell r="V35">
            <v>0.13</v>
          </cell>
          <cell r="W35">
            <v>0.16</v>
          </cell>
          <cell r="X35">
            <v>0.55000000000000004</v>
          </cell>
          <cell r="Y35">
            <v>0.16</v>
          </cell>
          <cell r="Z35">
            <v>0.16</v>
          </cell>
          <cell r="AA35">
            <v>0.16</v>
          </cell>
          <cell r="AB35">
            <v>0.19</v>
          </cell>
          <cell r="AC35">
            <v>0.66999999999999993</v>
          </cell>
          <cell r="AD35">
            <v>0.19</v>
          </cell>
          <cell r="AE35">
            <v>0.19</v>
          </cell>
          <cell r="AF35">
            <v>0.19</v>
          </cell>
          <cell r="AG35">
            <v>0.22</v>
          </cell>
          <cell r="AH35">
            <v>0.79</v>
          </cell>
          <cell r="AI35">
            <v>0.22</v>
          </cell>
          <cell r="AJ35">
            <v>0.22</v>
          </cell>
          <cell r="AK35">
            <v>0.22</v>
          </cell>
          <cell r="AL35">
            <v>0.25</v>
          </cell>
          <cell r="AM35">
            <v>0.91</v>
          </cell>
          <cell r="AQ35" t="str">
            <v>Regulated / Unregulated OCF</v>
          </cell>
        </row>
        <row r="36">
          <cell r="C36" t="str">
            <v>Dividend Yield</v>
          </cell>
          <cell r="I36">
            <v>2.8571428571428571E-2</v>
          </cell>
          <cell r="N36">
            <v>3.1358885017421602E-2</v>
          </cell>
          <cell r="S36">
            <v>3.4146341463414637E-2</v>
          </cell>
          <cell r="X36">
            <v>3.8327526132404185E-2</v>
          </cell>
          <cell r="AC36">
            <v>4.6689895470383269E-2</v>
          </cell>
          <cell r="AH36">
            <v>5.5052264808362374E-2</v>
          </cell>
          <cell r="AM36">
            <v>6.3414634146341464E-2</v>
          </cell>
          <cell r="AQ36" t="str">
            <v>Regulated Utility (includes parent)</v>
          </cell>
          <cell r="AW36">
            <v>751.52100000000007</v>
          </cell>
          <cell r="BB36">
            <v>886.452</v>
          </cell>
          <cell r="BG36">
            <v>649.91933047251496</v>
          </cell>
          <cell r="BL36">
            <v>708.55066823634081</v>
          </cell>
          <cell r="BQ36">
            <v>669.10784037055646</v>
          </cell>
          <cell r="BV36">
            <v>692.42798654771252</v>
          </cell>
          <cell r="CA36">
            <v>720.91416264741429</v>
          </cell>
        </row>
        <row r="37">
          <cell r="C37" t="str">
            <v>Dividend Payout Ratio</v>
          </cell>
          <cell r="I37">
            <v>0.52709189049722305</v>
          </cell>
          <cell r="N37">
            <v>0.46845885789306679</v>
          </cell>
          <cell r="S37">
            <v>0.57256367160832056</v>
          </cell>
          <cell r="X37">
            <v>0.44135860711060065</v>
          </cell>
          <cell r="AC37">
            <v>0.52049578537676433</v>
          </cell>
          <cell r="AH37">
            <v>0.57780244539351744</v>
          </cell>
          <cell r="AM37">
            <v>0.61908432415399373</v>
          </cell>
          <cell r="AQ37" t="str">
            <v>Merchant Power</v>
          </cell>
          <cell r="AW37">
            <v>0</v>
          </cell>
          <cell r="BB37">
            <v>0</v>
          </cell>
          <cell r="BG37">
            <v>0</v>
          </cell>
          <cell r="BL37">
            <v>0</v>
          </cell>
          <cell r="BQ37">
            <v>0</v>
          </cell>
          <cell r="BV37">
            <v>0</v>
          </cell>
          <cell r="CA37">
            <v>0</v>
          </cell>
        </row>
        <row r="38">
          <cell r="C38" t="str">
            <v>Dividend Growth Rate</v>
          </cell>
          <cell r="N38">
            <v>9.7560975609756184E-2</v>
          </cell>
          <cell r="S38">
            <v>8.8888888888888795E-2</v>
          </cell>
          <cell r="X38">
            <v>0.12244897959183687</v>
          </cell>
          <cell r="AC38">
            <v>0.21818181818181803</v>
          </cell>
          <cell r="AH38">
            <v>0.17910447761194037</v>
          </cell>
          <cell r="AM38">
            <v>0.15189873417721511</v>
          </cell>
          <cell r="AQ38" t="str">
            <v>Other (non-utility/power operations)</v>
          </cell>
          <cell r="AW38">
            <v>0</v>
          </cell>
          <cell r="BB38">
            <v>0</v>
          </cell>
          <cell r="BG38">
            <v>0</v>
          </cell>
          <cell r="BL38">
            <v>0</v>
          </cell>
          <cell r="BQ38">
            <v>0</v>
          </cell>
          <cell r="BV38">
            <v>0</v>
          </cell>
          <cell r="CA38">
            <v>0</v>
          </cell>
        </row>
        <row r="39">
          <cell r="AQ39" t="str">
            <v>Consolidated OCF</v>
          </cell>
          <cell r="AW39">
            <v>751.52100000000007</v>
          </cell>
          <cell r="BB39">
            <v>886.452</v>
          </cell>
          <cell r="BG39">
            <v>649.91933047251496</v>
          </cell>
          <cell r="BL39">
            <v>708.55066823634081</v>
          </cell>
          <cell r="BQ39">
            <v>669.10784037055646</v>
          </cell>
          <cell r="BV39">
            <v>692.42798654771252</v>
          </cell>
          <cell r="CA39">
            <v>720.91416264741429</v>
          </cell>
        </row>
        <row r="40">
          <cell r="C40" t="str">
            <v>Actual Shares Outstanding</v>
          </cell>
          <cell r="I40">
            <v>235.834169</v>
          </cell>
          <cell r="N40">
            <v>235.322553</v>
          </cell>
          <cell r="S40">
            <v>235.322553</v>
          </cell>
          <cell r="X40">
            <v>235.322553</v>
          </cell>
          <cell r="AC40">
            <v>235.322553</v>
          </cell>
          <cell r="AH40">
            <v>235.322553</v>
          </cell>
          <cell r="AM40">
            <v>235.322553</v>
          </cell>
        </row>
        <row r="41">
          <cell r="C41" t="str">
            <v>Average Shares Outstanding</v>
          </cell>
          <cell r="I41">
            <v>234.542292</v>
          </cell>
          <cell r="N41">
            <v>235.04834700000001</v>
          </cell>
          <cell r="S41">
            <v>235.322553</v>
          </cell>
          <cell r="X41">
            <v>235.322553</v>
          </cell>
          <cell r="AC41">
            <v>235.322553</v>
          </cell>
          <cell r="AH41">
            <v>235.322553</v>
          </cell>
          <cell r="AM41">
            <v>235.322553</v>
          </cell>
          <cell r="AQ41" t="str">
            <v>Regulated / Unregulated CapEx</v>
          </cell>
        </row>
        <row r="42">
          <cell r="C42" t="str">
            <v>Diluted Average Shares Outstanding</v>
          </cell>
          <cell r="I42">
            <v>235.180688</v>
          </cell>
          <cell r="N42">
            <v>236.29481200000001</v>
          </cell>
          <cell r="S42">
            <v>236.569018</v>
          </cell>
          <cell r="X42">
            <v>236.569018</v>
          </cell>
          <cell r="AC42">
            <v>236.569018</v>
          </cell>
          <cell r="AH42">
            <v>236.569018</v>
          </cell>
          <cell r="AM42">
            <v>236.569018</v>
          </cell>
          <cell r="AQ42" t="str">
            <v>Regulated Utility (includes parent)</v>
          </cell>
          <cell r="AW42">
            <v>843.13199999999995</v>
          </cell>
          <cell r="BB42">
            <v>629.49599999999998</v>
          </cell>
          <cell r="BG42">
            <v>553.18299999999999</v>
          </cell>
          <cell r="BL42">
            <v>538.17525000000001</v>
          </cell>
          <cell r="BQ42">
            <v>476.15758333333338</v>
          </cell>
          <cell r="BV42">
            <v>476.15758333333338</v>
          </cell>
          <cell r="CA42">
            <v>476.15758333333338</v>
          </cell>
        </row>
        <row r="43">
          <cell r="AQ43" t="str">
            <v>Merchant Power</v>
          </cell>
          <cell r="AW43">
            <v>0</v>
          </cell>
          <cell r="BB43">
            <v>0</v>
          </cell>
          <cell r="BG43">
            <v>0</v>
          </cell>
          <cell r="BL43">
            <v>0</v>
          </cell>
          <cell r="BQ43">
            <v>0</v>
          </cell>
          <cell r="BV43">
            <v>0</v>
          </cell>
          <cell r="CA43">
            <v>0</v>
          </cell>
        </row>
        <row r="44">
          <cell r="AQ44" t="str">
            <v>Other (non-utility/power operations)</v>
          </cell>
          <cell r="AW44">
            <v>0</v>
          </cell>
          <cell r="BB44">
            <v>0</v>
          </cell>
          <cell r="BG44">
            <v>0</v>
          </cell>
          <cell r="BL44">
            <v>0</v>
          </cell>
          <cell r="BQ44">
            <v>0</v>
          </cell>
          <cell r="BV44">
            <v>0</v>
          </cell>
          <cell r="CA44">
            <v>0</v>
          </cell>
        </row>
        <row r="45">
          <cell r="AQ45" t="str">
            <v>Consolidated CapEx</v>
          </cell>
          <cell r="AW45">
            <v>843.13199999999995</v>
          </cell>
          <cell r="BB45">
            <v>629.49599999999998</v>
          </cell>
          <cell r="BG45">
            <v>553.18299999999999</v>
          </cell>
          <cell r="BL45">
            <v>538.17525000000001</v>
          </cell>
          <cell r="BQ45">
            <v>476.15758333333338</v>
          </cell>
          <cell r="BV45">
            <v>476.15758333333338</v>
          </cell>
          <cell r="CA45">
            <v>476.15758333333338</v>
          </cell>
        </row>
        <row r="47">
          <cell r="B47" t="str">
            <v>VALUATION PROFILE</v>
          </cell>
          <cell r="AQ47" t="str">
            <v>Free Cash Flow</v>
          </cell>
        </row>
        <row r="48">
          <cell r="AQ48" t="str">
            <v>Regulated Utility (includes parent)</v>
          </cell>
          <cell r="AW48">
            <v>-91.610999999999876</v>
          </cell>
          <cell r="BB48">
            <v>256.95600000000002</v>
          </cell>
          <cell r="BG48">
            <v>96.736330472514965</v>
          </cell>
          <cell r="BL48">
            <v>170.37541823634081</v>
          </cell>
          <cell r="BQ48">
            <v>192.95025703722308</v>
          </cell>
          <cell r="BV48">
            <v>216.27040321437914</v>
          </cell>
          <cell r="CA48">
            <v>244.75657931408091</v>
          </cell>
        </row>
        <row r="49">
          <cell r="C49" t="str">
            <v>Price to Earnings</v>
          </cell>
          <cell r="F49" t="e">
            <v>#NAME?</v>
          </cell>
          <cell r="G49" t="e">
            <v>#NAME?</v>
          </cell>
          <cell r="H49" t="e">
            <v>#NAME?</v>
          </cell>
          <cell r="K49" t="e">
            <v>#NAME?</v>
          </cell>
          <cell r="L49" t="e">
            <v>#NAME?</v>
          </cell>
          <cell r="M49" t="e">
            <v>#NAME?</v>
          </cell>
          <cell r="N49">
            <v>14.938632468367796</v>
          </cell>
          <cell r="O49" t="e">
            <v>#NAME?</v>
          </cell>
          <cell r="P49" t="e">
            <v>#NAME?</v>
          </cell>
          <cell r="Q49" t="e">
            <v>#NAME?</v>
          </cell>
          <cell r="S49">
            <v>16.767936097100815</v>
          </cell>
          <cell r="T49" t="e">
            <v>#NAME?</v>
          </cell>
          <cell r="U49" t="e">
            <v>#NAME?</v>
          </cell>
          <cell r="V49" t="e">
            <v>#NAME?</v>
          </cell>
          <cell r="X49">
            <v>11.515447294612942</v>
          </cell>
          <cell r="Y49" t="e">
            <v>#NAME?</v>
          </cell>
          <cell r="Z49" t="e">
            <v>#NAME?</v>
          </cell>
          <cell r="AA49" t="e">
            <v>#NAME?</v>
          </cell>
          <cell r="AC49">
            <v>11.147932119636669</v>
          </cell>
          <cell r="AD49" t="e">
            <v>#NAME?</v>
          </cell>
          <cell r="AE49" t="e">
            <v>#NAME?</v>
          </cell>
          <cell r="AF49" t="e">
            <v>#NAME?</v>
          </cell>
          <cell r="AH49">
            <v>10.495525432148071</v>
          </cell>
          <cell r="AI49" t="e">
            <v>#NAME?</v>
          </cell>
          <cell r="AJ49" t="e">
            <v>#NAME?</v>
          </cell>
          <cell r="AK49" t="e">
            <v>#NAME?</v>
          </cell>
          <cell r="AM49">
            <v>9.7624835731975921</v>
          </cell>
          <cell r="AQ49" t="str">
            <v>Merchant Power</v>
          </cell>
          <cell r="AW49">
            <v>0</v>
          </cell>
          <cell r="BB49">
            <v>0</v>
          </cell>
          <cell r="BG49">
            <v>0</v>
          </cell>
          <cell r="BL49">
            <v>0</v>
          </cell>
          <cell r="BQ49">
            <v>0</v>
          </cell>
          <cell r="BV49">
            <v>0</v>
          </cell>
          <cell r="CA49">
            <v>0</v>
          </cell>
        </row>
        <row r="50">
          <cell r="C50" t="str">
            <v>EV / EBITDA</v>
          </cell>
          <cell r="F50" t="e">
            <v>#NAME?</v>
          </cell>
          <cell r="G50" t="e">
            <v>#NAME?</v>
          </cell>
          <cell r="H50" t="e">
            <v>#NAME?</v>
          </cell>
          <cell r="K50" t="e">
            <v>#NAME?</v>
          </cell>
          <cell r="L50" t="e">
            <v>#NAME?</v>
          </cell>
          <cell r="M50" t="e">
            <v>#NAME?</v>
          </cell>
          <cell r="N50">
            <v>8.5222238500144485</v>
          </cell>
          <cell r="O50" t="e">
            <v>#NAME?</v>
          </cell>
          <cell r="P50" t="e">
            <v>#NAME?</v>
          </cell>
          <cell r="Q50" t="e">
            <v>#NAME?</v>
          </cell>
          <cell r="S50">
            <v>8.681794495635673</v>
          </cell>
          <cell r="T50" t="e">
            <v>#NAME?</v>
          </cell>
          <cell r="U50" t="e">
            <v>#NAME?</v>
          </cell>
          <cell r="V50" t="e">
            <v>#NAME?</v>
          </cell>
          <cell r="X50">
            <v>7.3843458440899665</v>
          </cell>
          <cell r="Y50" t="e">
            <v>#NAME?</v>
          </cell>
          <cell r="Z50" t="e">
            <v>#NAME?</v>
          </cell>
          <cell r="AA50" t="e">
            <v>#NAME?</v>
          </cell>
          <cell r="AC50">
            <v>7.194204348727375</v>
          </cell>
          <cell r="AD50" t="e">
            <v>#NAME?</v>
          </cell>
          <cell r="AE50" t="e">
            <v>#NAME?</v>
          </cell>
          <cell r="AF50" t="e">
            <v>#NAME?</v>
          </cell>
          <cell r="AH50">
            <v>6.9299239818187148</v>
          </cell>
          <cell r="AI50" t="e">
            <v>#NAME?</v>
          </cell>
          <cell r="AJ50" t="e">
            <v>#NAME?</v>
          </cell>
          <cell r="AK50" t="e">
            <v>#NAME?</v>
          </cell>
          <cell r="AM50">
            <v>6.6386215462854947</v>
          </cell>
          <cell r="AQ50" t="str">
            <v>Other (non-utility/power operations)</v>
          </cell>
          <cell r="AW50">
            <v>0</v>
          </cell>
          <cell r="BB50">
            <v>0</v>
          </cell>
          <cell r="BG50">
            <v>0</v>
          </cell>
          <cell r="BL50">
            <v>0</v>
          </cell>
          <cell r="BQ50">
            <v>0</v>
          </cell>
          <cell r="BV50">
            <v>0</v>
          </cell>
          <cell r="CA50">
            <v>0</v>
          </cell>
        </row>
        <row r="51">
          <cell r="C51" t="str">
            <v>Dividend Yield</v>
          </cell>
          <cell r="F51" t="e">
            <v>#NAME?</v>
          </cell>
          <cell r="G51" t="e">
            <v>#NAME?</v>
          </cell>
          <cell r="H51" t="e">
            <v>#NAME?</v>
          </cell>
          <cell r="K51" t="e">
            <v>#NAME?</v>
          </cell>
          <cell r="L51" t="e">
            <v>#NAME?</v>
          </cell>
          <cell r="M51" t="e">
            <v>#NAME?</v>
          </cell>
          <cell r="N51">
            <v>3.1358885017421602E-2</v>
          </cell>
          <cell r="O51" t="e">
            <v>#NAME?</v>
          </cell>
          <cell r="P51" t="e">
            <v>#NAME?</v>
          </cell>
          <cell r="Q51" t="e">
            <v>#NAME?</v>
          </cell>
          <cell r="S51">
            <v>3.4146341463414637E-2</v>
          </cell>
          <cell r="T51" t="e">
            <v>#NAME?</v>
          </cell>
          <cell r="U51" t="e">
            <v>#NAME?</v>
          </cell>
          <cell r="V51" t="e">
            <v>#NAME?</v>
          </cell>
          <cell r="X51">
            <v>3.8327526132404185E-2</v>
          </cell>
          <cell r="Y51" t="e">
            <v>#NAME?</v>
          </cell>
          <cell r="Z51" t="e">
            <v>#NAME?</v>
          </cell>
          <cell r="AA51" t="e">
            <v>#NAME?</v>
          </cell>
          <cell r="AC51">
            <v>4.6689895470383269E-2</v>
          </cell>
          <cell r="AD51" t="e">
            <v>#NAME?</v>
          </cell>
          <cell r="AE51" t="e">
            <v>#NAME?</v>
          </cell>
          <cell r="AF51" t="e">
            <v>#NAME?</v>
          </cell>
          <cell r="AH51">
            <v>5.5052264808362374E-2</v>
          </cell>
          <cell r="AI51" t="e">
            <v>#NAME?</v>
          </cell>
          <cell r="AJ51" t="e">
            <v>#NAME?</v>
          </cell>
          <cell r="AK51" t="e">
            <v>#NAME?</v>
          </cell>
          <cell r="AM51">
            <v>6.3414634146341464E-2</v>
          </cell>
          <cell r="AQ51" t="str">
            <v>Consolidated FCF (Pre-Dividends)</v>
          </cell>
          <cell r="AW51">
            <v>-91.610999999999876</v>
          </cell>
          <cell r="BB51">
            <v>256.95600000000002</v>
          </cell>
          <cell r="BG51">
            <v>96.736330472514965</v>
          </cell>
          <cell r="BL51">
            <v>170.37541823634081</v>
          </cell>
          <cell r="BQ51">
            <v>192.95025703722308</v>
          </cell>
          <cell r="BV51">
            <v>216.27040321437914</v>
          </cell>
          <cell r="CA51">
            <v>244.75657931408091</v>
          </cell>
        </row>
        <row r="52">
          <cell r="C52" t="str">
            <v>Book Value Per Share</v>
          </cell>
          <cell r="N52">
            <v>14.198922840277808</v>
          </cell>
          <cell r="S52">
            <v>14.568206917632667</v>
          </cell>
          <cell r="X52">
            <v>15.268969228441138</v>
          </cell>
          <cell r="AC52">
            <v>15.89125410827509</v>
          </cell>
          <cell r="AH52">
            <v>16.474089944789412</v>
          </cell>
          <cell r="AM52">
            <v>17.040180664249846</v>
          </cell>
          <cell r="AQ52" t="str">
            <v>Asset Sales and Other Investing Activities</v>
          </cell>
          <cell r="AW52">
            <v>42.51</v>
          </cell>
          <cell r="BB52">
            <v>61.439000000000007</v>
          </cell>
          <cell r="BG52">
            <v>197</v>
          </cell>
          <cell r="BL52">
            <v>65</v>
          </cell>
          <cell r="BQ52">
            <v>65</v>
          </cell>
          <cell r="BV52">
            <v>65</v>
          </cell>
          <cell r="CA52">
            <v>65</v>
          </cell>
        </row>
        <row r="53">
          <cell r="AI53" t="e">
            <v>#DIV/0!</v>
          </cell>
          <cell r="AJ53" t="e">
            <v>#DIV/0!</v>
          </cell>
          <cell r="AK53" t="e">
            <v>#DIV/0!</v>
          </cell>
          <cell r="AQ53" t="str">
            <v>Dividends</v>
          </cell>
          <cell r="AW53">
            <v>96.125</v>
          </cell>
          <cell r="BB53">
            <v>105.79900000000001</v>
          </cell>
          <cell r="BG53">
            <v>115.30805097</v>
          </cell>
          <cell r="BL53">
            <v>129.42740415</v>
          </cell>
          <cell r="BQ53">
            <v>157.66611051000001</v>
          </cell>
          <cell r="BV53">
            <v>185.90481686999999</v>
          </cell>
          <cell r="CA53">
            <v>214.14352322999997</v>
          </cell>
        </row>
        <row r="54">
          <cell r="C54" t="str">
            <v>Return on Average Equity</v>
          </cell>
          <cell r="G54">
            <v>0.28369855101953462</v>
          </cell>
          <cell r="H54">
            <v>0.30626823266015091</v>
          </cell>
          <cell r="L54">
            <v>0.30626823266015091</v>
          </cell>
          <cell r="M54">
            <v>0.28510549890465897</v>
          </cell>
          <cell r="N54">
            <v>6.9047293124899323E-2</v>
          </cell>
          <cell r="O54">
            <v>0.30983831750266577</v>
          </cell>
          <cell r="P54">
            <v>0.30607413360613378</v>
          </cell>
          <cell r="Q54">
            <v>0.30490945277694065</v>
          </cell>
          <cell r="S54">
            <v>5.9644194912677972E-2</v>
          </cell>
          <cell r="T54">
            <v>0.30607413360613378</v>
          </cell>
          <cell r="U54">
            <v>0.30490945277694065</v>
          </cell>
          <cell r="V54" t="e">
            <v>#DIV/0!</v>
          </cell>
          <cell r="X54">
            <v>8.3734762558208067E-2</v>
          </cell>
          <cell r="Y54">
            <v>0.30490945277694065</v>
          </cell>
          <cell r="Z54" t="e">
            <v>#DIV/0!</v>
          </cell>
          <cell r="AA54" t="e">
            <v>#DIV/0!</v>
          </cell>
          <cell r="AC54">
            <v>8.2822711751045081E-2</v>
          </cell>
          <cell r="AD54" t="e">
            <v>#DIV/0!</v>
          </cell>
          <cell r="AE54" t="e">
            <v>#DIV/0!</v>
          </cell>
          <cell r="AF54" t="e">
            <v>#DIV/0!</v>
          </cell>
          <cell r="AH54">
            <v>8.469541685843375E-2</v>
          </cell>
          <cell r="AI54" t="e">
            <v>#NAME?</v>
          </cell>
          <cell r="AJ54" t="e">
            <v>#NAME?</v>
          </cell>
          <cell r="AK54" t="e">
            <v>#NAME?</v>
          </cell>
          <cell r="AM54">
            <v>8.7933474789794783E-2</v>
          </cell>
          <cell r="AQ54" t="str">
            <v>Free Cash Flow (Post Dividends)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-145.22599999999989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212.59600000000003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178.42827950251495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105.94801408634081</v>
          </cell>
          <cell r="BM54">
            <v>0</v>
          </cell>
          <cell r="BN54">
            <v>0</v>
          </cell>
          <cell r="BO54">
            <v>0</v>
          </cell>
          <cell r="BP54">
            <v>0</v>
          </cell>
          <cell r="BQ54">
            <v>100.28414652722307</v>
          </cell>
          <cell r="BR54">
            <v>0</v>
          </cell>
          <cell r="BS54">
            <v>0</v>
          </cell>
          <cell r="BT54">
            <v>0</v>
          </cell>
          <cell r="BU54">
            <v>0</v>
          </cell>
          <cell r="BV54">
            <v>95.365586344379153</v>
          </cell>
          <cell r="BW54">
            <v>0</v>
          </cell>
          <cell r="BX54">
            <v>0</v>
          </cell>
          <cell r="BY54">
            <v>0</v>
          </cell>
          <cell r="BZ54">
            <v>0</v>
          </cell>
          <cell r="CA54">
            <v>95.613056084080938</v>
          </cell>
        </row>
        <row r="55">
          <cell r="C55" t="str">
            <v>Return on Invested Capital</v>
          </cell>
          <cell r="N55">
            <v>4.229627105248112E-2</v>
          </cell>
          <cell r="S55">
            <v>3.8399818426003991E-2</v>
          </cell>
          <cell r="X55">
            <v>4.6137780781766967E-2</v>
          </cell>
          <cell r="AC55">
            <v>4.6378463031126062E-2</v>
          </cell>
          <cell r="AH55">
            <v>4.7684134169814332E-2</v>
          </cell>
          <cell r="AM55">
            <v>4.9436807811758167E-2</v>
          </cell>
        </row>
        <row r="56">
          <cell r="C56" t="str">
            <v>Return on Average Assets</v>
          </cell>
          <cell r="G56" t="e">
            <v>#REF!</v>
          </cell>
          <cell r="H56" t="e">
            <v>#NAME?</v>
          </cell>
          <cell r="L56" t="e">
            <v>#REF!</v>
          </cell>
          <cell r="M56" t="e">
            <v>#NAME?</v>
          </cell>
          <cell r="N56">
            <v>1.9666656139498605E-2</v>
          </cell>
          <cell r="O56" t="e">
            <v>#NAME?</v>
          </cell>
          <cell r="P56" t="e">
            <v>#NAME?</v>
          </cell>
          <cell r="Q56" t="e">
            <v>#NAME?</v>
          </cell>
          <cell r="S56">
            <v>1.7240194155403763E-2</v>
          </cell>
          <cell r="T56" t="e">
            <v>#NAME?</v>
          </cell>
          <cell r="U56" t="e">
            <v>#NAME?</v>
          </cell>
          <cell r="V56" t="e">
            <v>#NAME?</v>
          </cell>
          <cell r="X56">
            <v>2.4800280995565121E-2</v>
          </cell>
          <cell r="Y56" t="e">
            <v>#NAME?</v>
          </cell>
          <cell r="Z56" t="e">
            <v>#NAME?</v>
          </cell>
          <cell r="AA56" t="e">
            <v>#NAME?</v>
          </cell>
          <cell r="AC56">
            <v>2.5391210942742704E-2</v>
          </cell>
          <cell r="AD56" t="e">
            <v>#NAME?</v>
          </cell>
          <cell r="AE56" t="e">
            <v>#NAME?</v>
          </cell>
          <cell r="AF56" t="e">
            <v>#NAME?</v>
          </cell>
          <cell r="AH56">
            <v>2.6708539785112523E-2</v>
          </cell>
          <cell r="AM56">
            <v>2.8483365475604015E-2</v>
          </cell>
          <cell r="AQ56" t="str">
            <v>Other Financing Activities</v>
          </cell>
        </row>
        <row r="57">
          <cell r="AQ57" t="str">
            <v>Equity Issuance / Buyback, Net</v>
          </cell>
          <cell r="AW57">
            <v>6.0510000000000002</v>
          </cell>
          <cell r="BB57">
            <v>6.1139999999999999</v>
          </cell>
          <cell r="BG57">
            <v>0</v>
          </cell>
          <cell r="BL57">
            <v>0</v>
          </cell>
          <cell r="BQ57">
            <v>0</v>
          </cell>
          <cell r="BV57">
            <v>0</v>
          </cell>
          <cell r="CA57">
            <v>0</v>
          </cell>
        </row>
        <row r="58">
          <cell r="C58" t="str">
            <v>Current Share Price:</v>
          </cell>
          <cell r="N58">
            <v>14.35</v>
          </cell>
          <cell r="S58">
            <v>14.35</v>
          </cell>
          <cell r="X58">
            <v>14.35</v>
          </cell>
          <cell r="AC58">
            <v>14.35</v>
          </cell>
          <cell r="AH58">
            <v>14.35</v>
          </cell>
          <cell r="AM58">
            <v>14.35</v>
          </cell>
          <cell r="AQ58" t="str">
            <v>LT Debt Issuance</v>
          </cell>
          <cell r="AW58">
            <v>1418.8720000000001</v>
          </cell>
          <cell r="BB58">
            <v>985.41899999999998</v>
          </cell>
          <cell r="BG58">
            <v>300</v>
          </cell>
          <cell r="BL58">
            <v>50</v>
          </cell>
          <cell r="BQ58">
            <v>175</v>
          </cell>
          <cell r="BV58">
            <v>150</v>
          </cell>
          <cell r="CA58">
            <v>150</v>
          </cell>
        </row>
        <row r="59">
          <cell r="C59" t="str">
            <v>Current Shares Outstanding</v>
          </cell>
          <cell r="N59">
            <v>235.99100000000001</v>
          </cell>
          <cell r="S59">
            <v>235.99100000000001</v>
          </cell>
          <cell r="X59">
            <v>235.99100000000001</v>
          </cell>
          <cell r="AC59">
            <v>235.99100000000001</v>
          </cell>
          <cell r="AH59">
            <v>235.99100000000001</v>
          </cell>
          <cell r="AM59">
            <v>235.99100000000001</v>
          </cell>
          <cell r="AQ59" t="str">
            <v>LT Debt Retirement</v>
          </cell>
          <cell r="AW59">
            <v>-1271.3499999999999</v>
          </cell>
          <cell r="BB59">
            <v>-1180.646</v>
          </cell>
          <cell r="BG59">
            <v>-350</v>
          </cell>
          <cell r="BL59">
            <v>-130</v>
          </cell>
          <cell r="BQ59">
            <v>-250</v>
          </cell>
          <cell r="BV59">
            <v>-125</v>
          </cell>
          <cell r="CA59">
            <v>-250</v>
          </cell>
        </row>
        <row r="60">
          <cell r="C60" t="str">
            <v>Equity Market Capitalization</v>
          </cell>
          <cell r="N60">
            <v>3386.4708500000002</v>
          </cell>
          <cell r="S60">
            <v>3386.4708500000002</v>
          </cell>
          <cell r="X60">
            <v>3386.4708500000002</v>
          </cell>
          <cell r="AC60">
            <v>3386.4708500000002</v>
          </cell>
          <cell r="AH60">
            <v>3386.4708500000002</v>
          </cell>
          <cell r="AM60">
            <v>3386.4708500000002</v>
          </cell>
          <cell r="AQ60" t="str">
            <v>ST Debt Change, Net</v>
          </cell>
          <cell r="AW60">
            <v>0</v>
          </cell>
          <cell r="BB60">
            <v>0</v>
          </cell>
          <cell r="BG60">
            <v>0</v>
          </cell>
          <cell r="BL60">
            <v>0</v>
          </cell>
          <cell r="BQ60">
            <v>0</v>
          </cell>
          <cell r="BV60">
            <v>0</v>
          </cell>
          <cell r="CA60">
            <v>0</v>
          </cell>
        </row>
        <row r="61">
          <cell r="C61" t="str">
            <v>Net Debt (Forecasted)</v>
          </cell>
          <cell r="N61">
            <v>5193.8490000000002</v>
          </cell>
          <cell r="S61">
            <v>5015.4207204974855</v>
          </cell>
          <cell r="X61">
            <v>4909.4727064111448</v>
          </cell>
          <cell r="AC61">
            <v>4809.1885598839217</v>
          </cell>
          <cell r="AH61">
            <v>4713.8229735395425</v>
          </cell>
          <cell r="AM61">
            <v>4618.2099174554614</v>
          </cell>
          <cell r="AQ61" t="str">
            <v>Other</v>
          </cell>
          <cell r="AW61">
            <v>0</v>
          </cell>
          <cell r="BB61">
            <v>0</v>
          </cell>
          <cell r="BG61">
            <v>0</v>
          </cell>
          <cell r="BL61">
            <v>0</v>
          </cell>
          <cell r="BQ61">
            <v>0</v>
          </cell>
          <cell r="BV61">
            <v>0</v>
          </cell>
          <cell r="CA61">
            <v>0</v>
          </cell>
        </row>
        <row r="62">
          <cell r="C62" t="str">
            <v>Enterprise Value</v>
          </cell>
          <cell r="N62">
            <v>8580.3198499999999</v>
          </cell>
          <cell r="S62">
            <v>8401.8915704974861</v>
          </cell>
          <cell r="X62">
            <v>8295.9435564111445</v>
          </cell>
          <cell r="AC62">
            <v>8195.6594098839214</v>
          </cell>
          <cell r="AH62">
            <v>8100.2938235395432</v>
          </cell>
          <cell r="AM62">
            <v>8004.680767455462</v>
          </cell>
          <cell r="AQ62" t="str">
            <v>Annual Change in Cash</v>
          </cell>
          <cell r="AW62">
            <v>8.3470000000002074</v>
          </cell>
          <cell r="BB62">
            <v>23.482999999999947</v>
          </cell>
          <cell r="BG62">
            <v>128.42827950251495</v>
          </cell>
          <cell r="BL62">
            <v>25.948014086340805</v>
          </cell>
          <cell r="BQ62">
            <v>25.284146527223072</v>
          </cell>
          <cell r="BV62">
            <v>120.36558634437915</v>
          </cell>
          <cell r="CA62">
            <v>-4.386943915919062</v>
          </cell>
        </row>
        <row r="65">
          <cell r="AQ65" t="str">
            <v>OCF</v>
          </cell>
          <cell r="AW65">
            <v>751.52100000000007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886.452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649.91933047251496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708.55066823634081</v>
          </cell>
          <cell r="BM65">
            <v>0</v>
          </cell>
          <cell r="BN65">
            <v>0</v>
          </cell>
          <cell r="BO65">
            <v>0</v>
          </cell>
          <cell r="BP65">
            <v>0</v>
          </cell>
          <cell r="BQ65">
            <v>669.10784037055646</v>
          </cell>
          <cell r="BR65">
            <v>0</v>
          </cell>
          <cell r="BS65">
            <v>0</v>
          </cell>
          <cell r="BT65">
            <v>0</v>
          </cell>
          <cell r="BU65">
            <v>0</v>
          </cell>
          <cell r="BV65">
            <v>692.42798654771252</v>
          </cell>
          <cell r="BW65">
            <v>0</v>
          </cell>
          <cell r="BX65">
            <v>0</v>
          </cell>
          <cell r="BY65">
            <v>0</v>
          </cell>
          <cell r="BZ65">
            <v>0</v>
          </cell>
          <cell r="CA65">
            <v>720.91416264741429</v>
          </cell>
        </row>
        <row r="66">
          <cell r="AQ66" t="str">
            <v>Capex</v>
          </cell>
          <cell r="AW66">
            <v>800.62199999999996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568.05700000000002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356.18299999999999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473.17525000000001</v>
          </cell>
          <cell r="BM66">
            <v>0</v>
          </cell>
          <cell r="BN66">
            <v>0</v>
          </cell>
          <cell r="BO66">
            <v>0</v>
          </cell>
          <cell r="BP66">
            <v>0</v>
          </cell>
          <cell r="BQ66">
            <v>411.15758333333338</v>
          </cell>
          <cell r="BR66">
            <v>0</v>
          </cell>
          <cell r="BS66">
            <v>0</v>
          </cell>
          <cell r="BT66">
            <v>0</v>
          </cell>
          <cell r="BU66">
            <v>0</v>
          </cell>
          <cell r="BV66">
            <v>411.15758333333338</v>
          </cell>
          <cell r="BW66">
            <v>0</v>
          </cell>
          <cell r="BX66">
            <v>0</v>
          </cell>
          <cell r="BY66">
            <v>0</v>
          </cell>
          <cell r="BZ66">
            <v>0</v>
          </cell>
          <cell r="CA66">
            <v>411.15758333333338</v>
          </cell>
        </row>
        <row r="67">
          <cell r="AQ67" t="str">
            <v>Dividend</v>
          </cell>
          <cell r="AW67">
            <v>113</v>
          </cell>
          <cell r="AX67">
            <v>113</v>
          </cell>
          <cell r="AY67">
            <v>113</v>
          </cell>
          <cell r="AZ67">
            <v>113</v>
          </cell>
          <cell r="BA67">
            <v>113</v>
          </cell>
          <cell r="BB67">
            <v>113</v>
          </cell>
          <cell r="BC67">
            <v>113</v>
          </cell>
          <cell r="BD67">
            <v>113</v>
          </cell>
          <cell r="BE67">
            <v>113</v>
          </cell>
          <cell r="BF67">
            <v>113</v>
          </cell>
          <cell r="BG67">
            <v>113</v>
          </cell>
          <cell r="BH67">
            <v>113</v>
          </cell>
          <cell r="BI67">
            <v>113</v>
          </cell>
          <cell r="BJ67">
            <v>113</v>
          </cell>
          <cell r="BK67">
            <v>113</v>
          </cell>
          <cell r="BL67">
            <v>113</v>
          </cell>
          <cell r="BM67">
            <v>113</v>
          </cell>
          <cell r="BN67">
            <v>113</v>
          </cell>
          <cell r="BO67">
            <v>113</v>
          </cell>
          <cell r="BP67">
            <v>113</v>
          </cell>
          <cell r="BQ67">
            <v>113</v>
          </cell>
          <cell r="BR67">
            <v>113</v>
          </cell>
          <cell r="BS67">
            <v>113</v>
          </cell>
          <cell r="BT67">
            <v>113</v>
          </cell>
          <cell r="BU67">
            <v>113</v>
          </cell>
          <cell r="BV67">
            <v>113</v>
          </cell>
          <cell r="BW67">
            <v>113</v>
          </cell>
          <cell r="BX67">
            <v>113</v>
          </cell>
          <cell r="BY67">
            <v>113</v>
          </cell>
          <cell r="BZ67">
            <v>113</v>
          </cell>
          <cell r="CA67">
            <v>113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Cover Sheet"/>
      <sheetName val="Valuation Summary"/>
      <sheetName val="SE Asset Sale PPAs"/>
      <sheetName val="Dispatch Assumptions"/>
      <sheetName val="Consolidated"/>
      <sheetName val="Southeast"/>
      <sheetName val="West"/>
      <sheetName val="Texas"/>
      <sheetName val="MW-Cache"/>
      <sheetName val="Northeast"/>
      <sheetName val="Parent"/>
      <sheetName val="Market Prices"/>
      <sheetName val="Debts"/>
      <sheetName val="SE Assets &amp; RFPs"/>
      <sheetName val="CPN Operating Plants"/>
      <sheetName val="Trading Vol"/>
      <sheetName val="Peak Dmnd"/>
      <sheetName val="New Resources"/>
      <sheetName val="ERCOT Res Margin"/>
      <sheetName val="ERCOT Margin Upside"/>
      <sheetName val="TX Brownfield"/>
      <sheetName val="mwareDates"/>
      <sheetName val="Sheet3"/>
      <sheetName val="Sheet2"/>
      <sheetName val="Plant Details"/>
      <sheetName val="Note Summary"/>
      <sheetName val="Financial Summary"/>
      <sheetName val="MWA RR"/>
      <sheetName val="Plants"/>
      <sheetName val="mwareSettings"/>
      <sheetName val="Summary"/>
      <sheetName val="ModelPaste"/>
      <sheetName val="Bal Sheet &amp; Cash Flow"/>
      <sheetName val="Gas"/>
      <sheetName val="Off Peak"/>
      <sheetName val="Peak"/>
    </sheetNames>
    <sheetDataSet>
      <sheetData sheetId="0" refreshError="1"/>
      <sheetData sheetId="1" refreshError="1"/>
      <sheetData sheetId="2" refreshError="1">
        <row r="27">
          <cell r="AN27">
            <v>12</v>
          </cell>
          <cell r="AQ27">
            <v>0.95</v>
          </cell>
        </row>
        <row r="28">
          <cell r="AN28">
            <v>7</v>
          </cell>
          <cell r="AQ28">
            <v>0.8</v>
          </cell>
        </row>
        <row r="29">
          <cell r="AN29">
            <v>2</v>
          </cell>
          <cell r="AQ29">
            <v>0.5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>
        <row r="1">
          <cell r="P1" t="str">
            <v>SmartCharts</v>
          </cell>
        </row>
        <row r="4">
          <cell r="A4">
            <v>2018</v>
          </cell>
          <cell r="B4">
            <v>2018</v>
          </cell>
          <cell r="C4">
            <v>2018</v>
          </cell>
          <cell r="D4">
            <v>2018</v>
          </cell>
        </row>
        <row r="5">
          <cell r="C5" t="str">
            <v>Define value axis here:</v>
          </cell>
        </row>
        <row r="6">
          <cell r="C6" t="str">
            <v>New Resources Needed (MW)</v>
          </cell>
        </row>
        <row r="8">
          <cell r="H8" t="str">
            <v/>
          </cell>
        </row>
        <row r="9">
          <cell r="C9" t="str">
            <v>Input your data here:</v>
          </cell>
        </row>
        <row r="11">
          <cell r="D11" t="str">
            <v>ERCOT 10/22 Moody's Low Case</v>
          </cell>
          <cell r="E11" t="str">
            <v>MS Case I</v>
          </cell>
          <cell r="F11" t="str">
            <v>MS Case II</v>
          </cell>
          <cell r="G11" t="str">
            <v>MS Case III</v>
          </cell>
          <cell r="AA11" t="str">
            <v>ERCOT 10/22 Moody's Low Case</v>
          </cell>
          <cell r="AB11" t="str">
            <v>MS Case I</v>
          </cell>
          <cell r="AC11" t="str">
            <v>MS Case II</v>
          </cell>
          <cell r="AD11" t="str">
            <v>MS Case III</v>
          </cell>
        </row>
        <row r="12">
          <cell r="C12">
            <v>2015</v>
          </cell>
          <cell r="D12">
            <v>1829.1000000000008</v>
          </cell>
          <cell r="E12">
            <v>8563.9671936000123</v>
          </cell>
          <cell r="F12">
            <v>5737.6133217900006</v>
          </cell>
          <cell r="G12">
            <v>3309.6342930000051</v>
          </cell>
          <cell r="Z12">
            <v>2015</v>
          </cell>
          <cell r="AA12">
            <v>1829.1000000000008</v>
          </cell>
          <cell r="AB12">
            <v>8563.9671936000123</v>
          </cell>
          <cell r="AC12">
            <v>5737.6133217900006</v>
          </cell>
          <cell r="AD12">
            <v>3309.6342930000051</v>
          </cell>
        </row>
        <row r="13">
          <cell r="C13">
            <v>2016</v>
          </cell>
          <cell r="D13">
            <v>1672.8625000000006</v>
          </cell>
          <cell r="E13">
            <v>11972.445881344011</v>
          </cell>
          <cell r="F13">
            <v>8199.4317214437051</v>
          </cell>
          <cell r="G13">
            <v>5698.6133217900006</v>
          </cell>
          <cell r="Z13">
            <v>2016</v>
          </cell>
          <cell r="AA13">
            <v>1672.8625000000006</v>
          </cell>
          <cell r="AB13">
            <v>11972.445881344011</v>
          </cell>
          <cell r="AC13">
            <v>8199.4317214437051</v>
          </cell>
          <cell r="AD13">
            <v>5698.6133217900006</v>
          </cell>
        </row>
        <row r="14">
          <cell r="C14">
            <v>2017</v>
          </cell>
          <cell r="D14">
            <v>1666.7750000000008</v>
          </cell>
          <cell r="E14">
            <v>14501.823716597781</v>
          </cell>
          <cell r="F14">
            <v>9719.2746730870258</v>
          </cell>
          <cell r="G14">
            <v>7143.4317214437051</v>
          </cell>
          <cell r="Z14">
            <v>2017</v>
          </cell>
          <cell r="AA14">
            <v>1666.7750000000008</v>
          </cell>
          <cell r="AB14">
            <v>14501.823716597781</v>
          </cell>
          <cell r="AC14">
            <v>9719.2746730870258</v>
          </cell>
          <cell r="AD14">
            <v>7143.4317214437051</v>
          </cell>
        </row>
        <row r="15">
          <cell r="C15">
            <v>2018</v>
          </cell>
          <cell r="D15">
            <v>1268.825000000001</v>
          </cell>
          <cell r="E15">
            <v>17054.616665261696</v>
          </cell>
          <cell r="F15">
            <v>11196.392913279642</v>
          </cell>
          <cell r="G15">
            <v>8543.2746730870258</v>
          </cell>
          <cell r="Z15">
            <v>2018</v>
          </cell>
          <cell r="AA15">
            <v>1268.825000000001</v>
          </cell>
          <cell r="AB15">
            <v>17054.616665261696</v>
          </cell>
          <cell r="AC15">
            <v>11196.392913279642</v>
          </cell>
          <cell r="AD15">
            <v>8543.2746730870258</v>
          </cell>
        </row>
        <row r="16">
          <cell r="Z16" t="b">
            <v>0</v>
          </cell>
          <cell r="AA16" t="b">
            <v>0</v>
          </cell>
          <cell r="AB16" t="b">
            <v>0</v>
          </cell>
          <cell r="AC16" t="b">
            <v>0</v>
          </cell>
          <cell r="AD16" t="b">
            <v>0</v>
          </cell>
        </row>
        <row r="17">
          <cell r="Z17" t="b">
            <v>0</v>
          </cell>
          <cell r="AA17" t="b">
            <v>0</v>
          </cell>
          <cell r="AB17" t="b">
            <v>0</v>
          </cell>
          <cell r="AC17" t="b">
            <v>0</v>
          </cell>
          <cell r="AD17" t="b">
            <v>0</v>
          </cell>
        </row>
        <row r="18">
          <cell r="Z18" t="b">
            <v>0</v>
          </cell>
          <cell r="AA18" t="b">
            <v>0</v>
          </cell>
          <cell r="AB18" t="b">
            <v>0</v>
          </cell>
          <cell r="AC18" t="b">
            <v>0</v>
          </cell>
          <cell r="AD18" t="b">
            <v>0</v>
          </cell>
        </row>
        <row r="19">
          <cell r="Z19" t="b">
            <v>0</v>
          </cell>
          <cell r="AA19" t="b">
            <v>0</v>
          </cell>
          <cell r="AB19" t="b">
            <v>0</v>
          </cell>
          <cell r="AC19" t="b">
            <v>0</v>
          </cell>
          <cell r="AD19" t="b">
            <v>0</v>
          </cell>
        </row>
        <row r="20">
          <cell r="Z20" t="b">
            <v>0</v>
          </cell>
          <cell r="AA20" t="b">
            <v>0</v>
          </cell>
          <cell r="AB20" t="b">
            <v>0</v>
          </cell>
          <cell r="AC20" t="b">
            <v>0</v>
          </cell>
          <cell r="AD20" t="b">
            <v>0</v>
          </cell>
        </row>
        <row r="21">
          <cell r="Z21" t="b">
            <v>0</v>
          </cell>
          <cell r="AA21" t="b">
            <v>0</v>
          </cell>
          <cell r="AB21" t="b">
            <v>0</v>
          </cell>
          <cell r="AC21" t="b">
            <v>0</v>
          </cell>
          <cell r="AD21" t="b">
            <v>0</v>
          </cell>
        </row>
        <row r="22">
          <cell r="Z22" t="b">
            <v>0</v>
          </cell>
          <cell r="AA22" t="b">
            <v>0</v>
          </cell>
          <cell r="AB22" t="b">
            <v>0</v>
          </cell>
          <cell r="AC22" t="b">
            <v>0</v>
          </cell>
          <cell r="AD22" t="b">
            <v>0</v>
          </cell>
        </row>
        <row r="23">
          <cell r="Z23" t="b">
            <v>0</v>
          </cell>
          <cell r="AA23" t="b">
            <v>0</v>
          </cell>
          <cell r="AB23" t="b">
            <v>0</v>
          </cell>
          <cell r="AC23" t="b">
            <v>0</v>
          </cell>
          <cell r="AD23" t="b">
            <v>0</v>
          </cell>
        </row>
        <row r="24">
          <cell r="Z24" t="b">
            <v>0</v>
          </cell>
          <cell r="AA24" t="b">
            <v>0</v>
          </cell>
          <cell r="AB24" t="b">
            <v>0</v>
          </cell>
          <cell r="AC24" t="b">
            <v>0</v>
          </cell>
          <cell r="AD24" t="b">
            <v>0</v>
          </cell>
        </row>
        <row r="25">
          <cell r="Z25" t="b">
            <v>0</v>
          </cell>
          <cell r="AA25" t="b">
            <v>0</v>
          </cell>
          <cell r="AB25" t="b">
            <v>0</v>
          </cell>
          <cell r="AC25" t="b">
            <v>0</v>
          </cell>
          <cell r="AD25" t="b">
            <v>0</v>
          </cell>
        </row>
        <row r="26">
          <cell r="Z26" t="b">
            <v>0</v>
          </cell>
          <cell r="AA26" t="b">
            <v>0</v>
          </cell>
          <cell r="AB26" t="b">
            <v>0</v>
          </cell>
          <cell r="AC26" t="b">
            <v>0</v>
          </cell>
          <cell r="AD26" t="b">
            <v>0</v>
          </cell>
        </row>
        <row r="27">
          <cell r="Z27" t="b">
            <v>0</v>
          </cell>
          <cell r="AA27" t="b">
            <v>0</v>
          </cell>
          <cell r="AB27" t="b">
            <v>0</v>
          </cell>
          <cell r="AC27" t="b">
            <v>0</v>
          </cell>
          <cell r="AD27" t="b">
            <v>0</v>
          </cell>
        </row>
        <row r="28">
          <cell r="Z28" t="b">
            <v>0</v>
          </cell>
          <cell r="AA28" t="b">
            <v>0</v>
          </cell>
          <cell r="AB28" t="b">
            <v>0</v>
          </cell>
          <cell r="AC28" t="b">
            <v>0</v>
          </cell>
          <cell r="AD28" t="b">
            <v>0</v>
          </cell>
        </row>
        <row r="29">
          <cell r="Z29" t="b">
            <v>0</v>
          </cell>
          <cell r="AA29" t="b">
            <v>0</v>
          </cell>
          <cell r="AB29" t="b">
            <v>0</v>
          </cell>
          <cell r="AC29" t="b">
            <v>0</v>
          </cell>
          <cell r="AD29" t="b">
            <v>0</v>
          </cell>
        </row>
        <row r="30">
          <cell r="Z30" t="b">
            <v>0</v>
          </cell>
          <cell r="AA30" t="b">
            <v>0</v>
          </cell>
          <cell r="AB30" t="b">
            <v>0</v>
          </cell>
          <cell r="AC30" t="b">
            <v>0</v>
          </cell>
          <cell r="AD30" t="b">
            <v>0</v>
          </cell>
        </row>
        <row r="31">
          <cell r="Z31" t="b">
            <v>0</v>
          </cell>
          <cell r="AA31" t="b">
            <v>0</v>
          </cell>
          <cell r="AB31" t="b">
            <v>0</v>
          </cell>
          <cell r="AC31" t="b">
            <v>0</v>
          </cell>
          <cell r="AD31" t="b">
            <v>0</v>
          </cell>
        </row>
        <row r="32">
          <cell r="Z32" t="b">
            <v>0</v>
          </cell>
          <cell r="AA32" t="b">
            <v>0</v>
          </cell>
          <cell r="AB32" t="b">
            <v>0</v>
          </cell>
          <cell r="AC32" t="b">
            <v>0</v>
          </cell>
          <cell r="AD32" t="b">
            <v>0</v>
          </cell>
        </row>
        <row r="33">
          <cell r="Z33" t="b">
            <v>0</v>
          </cell>
          <cell r="AA33" t="b">
            <v>0</v>
          </cell>
          <cell r="AB33" t="b">
            <v>0</v>
          </cell>
          <cell r="AC33" t="b">
            <v>0</v>
          </cell>
          <cell r="AD33" t="b">
            <v>0</v>
          </cell>
        </row>
        <row r="34">
          <cell r="Z34" t="b">
            <v>0</v>
          </cell>
          <cell r="AA34" t="b">
            <v>0</v>
          </cell>
          <cell r="AB34" t="b">
            <v>0</v>
          </cell>
          <cell r="AC34" t="b">
            <v>0</v>
          </cell>
          <cell r="AD34" t="b">
            <v>0</v>
          </cell>
        </row>
        <row r="35">
          <cell r="Z35" t="b">
            <v>0</v>
          </cell>
          <cell r="AA35" t="b">
            <v>0</v>
          </cell>
          <cell r="AB35" t="b">
            <v>0</v>
          </cell>
          <cell r="AC35" t="b">
            <v>0</v>
          </cell>
          <cell r="AD35" t="b">
            <v>0</v>
          </cell>
        </row>
        <row r="36">
          <cell r="Z36" t="b">
            <v>0</v>
          </cell>
          <cell r="AA36" t="b">
            <v>0</v>
          </cell>
          <cell r="AB36" t="b">
            <v>0</v>
          </cell>
          <cell r="AC36" t="b">
            <v>0</v>
          </cell>
          <cell r="AD36" t="b">
            <v>0</v>
          </cell>
        </row>
        <row r="37">
          <cell r="Z37" t="b">
            <v>0</v>
          </cell>
          <cell r="AA37" t="b">
            <v>0</v>
          </cell>
          <cell r="AB37" t="b">
            <v>0</v>
          </cell>
          <cell r="AC37" t="b">
            <v>0</v>
          </cell>
          <cell r="AD37" t="b">
            <v>0</v>
          </cell>
        </row>
        <row r="38">
          <cell r="Z38" t="b">
            <v>0</v>
          </cell>
          <cell r="AA38" t="b">
            <v>0</v>
          </cell>
          <cell r="AB38" t="b">
            <v>0</v>
          </cell>
          <cell r="AC38" t="b">
            <v>0</v>
          </cell>
          <cell r="AD38" t="b">
            <v>0</v>
          </cell>
        </row>
        <row r="39">
          <cell r="Z39" t="b">
            <v>0</v>
          </cell>
          <cell r="AA39" t="b">
            <v>0</v>
          </cell>
          <cell r="AB39" t="b">
            <v>0</v>
          </cell>
          <cell r="AC39" t="b">
            <v>0</v>
          </cell>
          <cell r="AD39" t="b">
            <v>0</v>
          </cell>
        </row>
        <row r="40">
          <cell r="Z40" t="b">
            <v>0</v>
          </cell>
          <cell r="AA40" t="b">
            <v>0</v>
          </cell>
          <cell r="AB40" t="b">
            <v>0</v>
          </cell>
          <cell r="AC40" t="b">
            <v>0</v>
          </cell>
          <cell r="AD40" t="b">
            <v>0</v>
          </cell>
        </row>
        <row r="41">
          <cell r="Z41" t="b">
            <v>0</v>
          </cell>
          <cell r="AA41" t="b">
            <v>0</v>
          </cell>
          <cell r="AB41" t="b">
            <v>0</v>
          </cell>
          <cell r="AC41" t="b">
            <v>0</v>
          </cell>
          <cell r="AD41" t="b">
            <v>0</v>
          </cell>
        </row>
        <row r="42">
          <cell r="Z42" t="b">
            <v>0</v>
          </cell>
          <cell r="AA42" t="b">
            <v>0</v>
          </cell>
          <cell r="AB42" t="b">
            <v>0</v>
          </cell>
          <cell r="AC42" t="b">
            <v>0</v>
          </cell>
          <cell r="AD42" t="b">
            <v>0</v>
          </cell>
        </row>
        <row r="43">
          <cell r="Z43" t="b">
            <v>0</v>
          </cell>
          <cell r="AA43" t="b">
            <v>0</v>
          </cell>
          <cell r="AB43" t="b">
            <v>0</v>
          </cell>
          <cell r="AC43" t="b">
            <v>0</v>
          </cell>
          <cell r="AD43" t="b">
            <v>0</v>
          </cell>
        </row>
        <row r="44">
          <cell r="Z44" t="b">
            <v>0</v>
          </cell>
          <cell r="AA44" t="b">
            <v>0</v>
          </cell>
          <cell r="AB44" t="b">
            <v>0</v>
          </cell>
          <cell r="AC44" t="b">
            <v>0</v>
          </cell>
          <cell r="AD44" t="b">
            <v>0</v>
          </cell>
        </row>
        <row r="45">
          <cell r="Z45" t="b">
            <v>0</v>
          </cell>
          <cell r="AA45" t="b">
            <v>0</v>
          </cell>
          <cell r="AB45" t="b">
            <v>0</v>
          </cell>
          <cell r="AC45" t="b">
            <v>0</v>
          </cell>
          <cell r="AD45" t="b">
            <v>0</v>
          </cell>
        </row>
        <row r="46">
          <cell r="Z46" t="b">
            <v>0</v>
          </cell>
          <cell r="AA46" t="b">
            <v>0</v>
          </cell>
          <cell r="AB46" t="b">
            <v>0</v>
          </cell>
          <cell r="AC46" t="b">
            <v>0</v>
          </cell>
          <cell r="AD46" t="b">
            <v>0</v>
          </cell>
        </row>
        <row r="47">
          <cell r="Z47" t="b">
            <v>0</v>
          </cell>
          <cell r="AA47" t="b">
            <v>0</v>
          </cell>
          <cell r="AB47" t="b">
            <v>0</v>
          </cell>
          <cell r="AC47" t="b">
            <v>0</v>
          </cell>
          <cell r="AD47" t="b">
            <v>0</v>
          </cell>
        </row>
        <row r="48">
          <cell r="Z48" t="b">
            <v>0</v>
          </cell>
          <cell r="AA48" t="b">
            <v>0</v>
          </cell>
          <cell r="AB48" t="b">
            <v>0</v>
          </cell>
          <cell r="AC48" t="b">
            <v>0</v>
          </cell>
          <cell r="AD48" t="b">
            <v>0</v>
          </cell>
        </row>
        <row r="49">
          <cell r="Z49" t="b">
            <v>0</v>
          </cell>
          <cell r="AA49" t="b">
            <v>0</v>
          </cell>
          <cell r="AB49" t="b">
            <v>0</v>
          </cell>
          <cell r="AC49" t="b">
            <v>0</v>
          </cell>
          <cell r="AD49" t="b">
            <v>0</v>
          </cell>
        </row>
        <row r="50">
          <cell r="Z50" t="b">
            <v>0</v>
          </cell>
          <cell r="AA50" t="b">
            <v>0</v>
          </cell>
          <cell r="AB50" t="b">
            <v>0</v>
          </cell>
          <cell r="AC50" t="b">
            <v>0</v>
          </cell>
          <cell r="AD50" t="b">
            <v>0</v>
          </cell>
        </row>
        <row r="51">
          <cell r="Z51" t="b">
            <v>0</v>
          </cell>
          <cell r="AA51" t="b">
            <v>0</v>
          </cell>
          <cell r="AB51" t="b">
            <v>0</v>
          </cell>
          <cell r="AC51" t="b">
            <v>0</v>
          </cell>
          <cell r="AD51" t="b">
            <v>0</v>
          </cell>
        </row>
        <row r="52">
          <cell r="Z52" t="b">
            <v>0</v>
          </cell>
          <cell r="AA52" t="b">
            <v>0</v>
          </cell>
          <cell r="AB52" t="b">
            <v>0</v>
          </cell>
          <cell r="AC52" t="b">
            <v>0</v>
          </cell>
          <cell r="AD52" t="b">
            <v>0</v>
          </cell>
        </row>
        <row r="53">
          <cell r="Z53" t="b">
            <v>0</v>
          </cell>
          <cell r="AA53" t="b">
            <v>0</v>
          </cell>
          <cell r="AB53" t="b">
            <v>0</v>
          </cell>
          <cell r="AC53" t="b">
            <v>0</v>
          </cell>
          <cell r="AD53" t="b">
            <v>0</v>
          </cell>
        </row>
        <row r="54">
          <cell r="Z54" t="b">
            <v>0</v>
          </cell>
          <cell r="AA54" t="b">
            <v>0</v>
          </cell>
          <cell r="AB54" t="b">
            <v>0</v>
          </cell>
          <cell r="AC54" t="b">
            <v>0</v>
          </cell>
          <cell r="AD54" t="b">
            <v>0</v>
          </cell>
        </row>
        <row r="55">
          <cell r="Z55" t="b">
            <v>0</v>
          </cell>
          <cell r="AA55" t="b">
            <v>0</v>
          </cell>
          <cell r="AB55" t="b">
            <v>0</v>
          </cell>
          <cell r="AC55" t="b">
            <v>0</v>
          </cell>
          <cell r="AD55" t="b">
            <v>0</v>
          </cell>
        </row>
        <row r="56">
          <cell r="Z56" t="b">
            <v>0</v>
          </cell>
          <cell r="AA56" t="b">
            <v>0</v>
          </cell>
          <cell r="AB56" t="b">
            <v>0</v>
          </cell>
          <cell r="AC56" t="b">
            <v>0</v>
          </cell>
          <cell r="AD56" t="b">
            <v>0</v>
          </cell>
        </row>
        <row r="57">
          <cell r="Z57" t="b">
            <v>0</v>
          </cell>
          <cell r="AA57" t="b">
            <v>0</v>
          </cell>
          <cell r="AB57" t="b">
            <v>0</v>
          </cell>
          <cell r="AC57" t="b">
            <v>0</v>
          </cell>
          <cell r="AD57" t="b">
            <v>0</v>
          </cell>
        </row>
        <row r="58">
          <cell r="Z58" t="b">
            <v>0</v>
          </cell>
          <cell r="AA58" t="b">
            <v>0</v>
          </cell>
          <cell r="AB58" t="b">
            <v>0</v>
          </cell>
          <cell r="AC58" t="b">
            <v>0</v>
          </cell>
          <cell r="AD58" t="b">
            <v>0</v>
          </cell>
        </row>
        <row r="59">
          <cell r="Z59" t="b">
            <v>0</v>
          </cell>
          <cell r="AA59" t="b">
            <v>0</v>
          </cell>
          <cell r="AB59" t="b">
            <v>0</v>
          </cell>
          <cell r="AC59" t="b">
            <v>0</v>
          </cell>
          <cell r="AD59" t="b">
            <v>0</v>
          </cell>
        </row>
        <row r="60">
          <cell r="Z60" t="b">
            <v>0</v>
          </cell>
          <cell r="AA60" t="b">
            <v>0</v>
          </cell>
          <cell r="AB60" t="b">
            <v>0</v>
          </cell>
          <cell r="AC60" t="b">
            <v>0</v>
          </cell>
          <cell r="AD60" t="b">
            <v>0</v>
          </cell>
        </row>
        <row r="61">
          <cell r="Z61" t="b">
            <v>0</v>
          </cell>
          <cell r="AA61" t="b">
            <v>0</v>
          </cell>
          <cell r="AB61" t="b">
            <v>0</v>
          </cell>
          <cell r="AC61" t="b">
            <v>0</v>
          </cell>
          <cell r="AD61" t="b">
            <v>0</v>
          </cell>
        </row>
        <row r="62">
          <cell r="Z62" t="b">
            <v>0</v>
          </cell>
          <cell r="AA62" t="b">
            <v>0</v>
          </cell>
          <cell r="AB62" t="b">
            <v>0</v>
          </cell>
          <cell r="AC62" t="b">
            <v>0</v>
          </cell>
          <cell r="AD62" t="b">
            <v>0</v>
          </cell>
        </row>
        <row r="63">
          <cell r="Z63" t="b">
            <v>0</v>
          </cell>
          <cell r="AA63" t="b">
            <v>0</v>
          </cell>
          <cell r="AB63" t="b">
            <v>0</v>
          </cell>
          <cell r="AC63" t="b">
            <v>0</v>
          </cell>
          <cell r="AD63" t="b">
            <v>0</v>
          </cell>
        </row>
        <row r="64">
          <cell r="Z64" t="b">
            <v>0</v>
          </cell>
          <cell r="AA64" t="b">
            <v>0</v>
          </cell>
          <cell r="AB64" t="b">
            <v>0</v>
          </cell>
          <cell r="AC64" t="b">
            <v>0</v>
          </cell>
          <cell r="AD64" t="b">
            <v>0</v>
          </cell>
        </row>
        <row r="65">
          <cell r="Z65" t="b">
            <v>0</v>
          </cell>
          <cell r="AA65" t="b">
            <v>0</v>
          </cell>
          <cell r="AB65" t="b">
            <v>0</v>
          </cell>
          <cell r="AC65" t="b">
            <v>0</v>
          </cell>
          <cell r="AD65" t="b">
            <v>0</v>
          </cell>
        </row>
        <row r="66">
          <cell r="Z66" t="b">
            <v>0</v>
          </cell>
          <cell r="AA66" t="b">
            <v>0</v>
          </cell>
          <cell r="AB66" t="b">
            <v>0</v>
          </cell>
          <cell r="AC66" t="b">
            <v>0</v>
          </cell>
          <cell r="AD66" t="b">
            <v>0</v>
          </cell>
        </row>
        <row r="67">
          <cell r="Z67" t="b">
            <v>0</v>
          </cell>
          <cell r="AA67" t="b">
            <v>0</v>
          </cell>
          <cell r="AB67" t="b">
            <v>0</v>
          </cell>
          <cell r="AC67" t="b">
            <v>0</v>
          </cell>
          <cell r="AD67" t="b">
            <v>0</v>
          </cell>
        </row>
        <row r="68">
          <cell r="Z68" t="b">
            <v>0</v>
          </cell>
          <cell r="AA68" t="b">
            <v>0</v>
          </cell>
          <cell r="AB68" t="b">
            <v>0</v>
          </cell>
          <cell r="AC68" t="b">
            <v>0</v>
          </cell>
          <cell r="AD68" t="b">
            <v>0</v>
          </cell>
        </row>
        <row r="69">
          <cell r="Z69" t="b">
            <v>0</v>
          </cell>
          <cell r="AA69" t="b">
            <v>0</v>
          </cell>
          <cell r="AB69" t="b">
            <v>0</v>
          </cell>
          <cell r="AC69" t="b">
            <v>0</v>
          </cell>
          <cell r="AD69" t="b">
            <v>0</v>
          </cell>
        </row>
        <row r="70">
          <cell r="Z70" t="b">
            <v>0</v>
          </cell>
          <cell r="AA70" t="b">
            <v>0</v>
          </cell>
          <cell r="AB70" t="b">
            <v>0</v>
          </cell>
          <cell r="AC70" t="b">
            <v>0</v>
          </cell>
          <cell r="AD70" t="b">
            <v>0</v>
          </cell>
        </row>
        <row r="71">
          <cell r="Z71" t="b">
            <v>0</v>
          </cell>
          <cell r="AA71" t="b">
            <v>0</v>
          </cell>
          <cell r="AB71" t="b">
            <v>0</v>
          </cell>
          <cell r="AC71" t="b">
            <v>0</v>
          </cell>
          <cell r="AD71" t="b">
            <v>0</v>
          </cell>
        </row>
        <row r="72">
          <cell r="Z72" t="b">
            <v>0</v>
          </cell>
          <cell r="AA72" t="b">
            <v>0</v>
          </cell>
          <cell r="AB72" t="b">
            <v>0</v>
          </cell>
          <cell r="AC72" t="b">
            <v>0</v>
          </cell>
          <cell r="AD72" t="b">
            <v>0</v>
          </cell>
        </row>
        <row r="73">
          <cell r="Z73" t="b">
            <v>0</v>
          </cell>
          <cell r="AA73" t="b">
            <v>0</v>
          </cell>
          <cell r="AB73" t="b">
            <v>0</v>
          </cell>
          <cell r="AC73" t="b">
            <v>0</v>
          </cell>
          <cell r="AD73" t="b">
            <v>0</v>
          </cell>
        </row>
        <row r="74">
          <cell r="Z74" t="b">
            <v>0</v>
          </cell>
          <cell r="AA74" t="b">
            <v>0</v>
          </cell>
          <cell r="AB74" t="b">
            <v>0</v>
          </cell>
          <cell r="AC74" t="b">
            <v>0</v>
          </cell>
          <cell r="AD74" t="b">
            <v>0</v>
          </cell>
        </row>
        <row r="75">
          <cell r="Z75" t="b">
            <v>0</v>
          </cell>
          <cell r="AA75" t="b">
            <v>0</v>
          </cell>
          <cell r="AB75" t="b">
            <v>0</v>
          </cell>
          <cell r="AC75" t="b">
            <v>0</v>
          </cell>
          <cell r="AD75" t="b">
            <v>0</v>
          </cell>
        </row>
        <row r="76">
          <cell r="Z76" t="b">
            <v>0</v>
          </cell>
          <cell r="AA76" t="b">
            <v>0</v>
          </cell>
          <cell r="AB76" t="b">
            <v>0</v>
          </cell>
          <cell r="AC76" t="b">
            <v>0</v>
          </cell>
          <cell r="AD76" t="b">
            <v>0</v>
          </cell>
        </row>
        <row r="77">
          <cell r="Z77" t="b">
            <v>0</v>
          </cell>
          <cell r="AA77" t="b">
            <v>0</v>
          </cell>
          <cell r="AB77" t="b">
            <v>0</v>
          </cell>
          <cell r="AC77" t="b">
            <v>0</v>
          </cell>
          <cell r="AD77" t="b">
            <v>0</v>
          </cell>
        </row>
        <row r="78">
          <cell r="Z78" t="b">
            <v>0</v>
          </cell>
          <cell r="AA78" t="b">
            <v>0</v>
          </cell>
          <cell r="AB78" t="b">
            <v>0</v>
          </cell>
          <cell r="AC78" t="b">
            <v>0</v>
          </cell>
          <cell r="AD78" t="b">
            <v>0</v>
          </cell>
        </row>
        <row r="79">
          <cell r="Z79" t="b">
            <v>0</v>
          </cell>
          <cell r="AA79" t="b">
            <v>0</v>
          </cell>
          <cell r="AB79" t="b">
            <v>0</v>
          </cell>
          <cell r="AC79" t="b">
            <v>0</v>
          </cell>
          <cell r="AD79" t="b">
            <v>0</v>
          </cell>
        </row>
        <row r="80">
          <cell r="Z80" t="b">
            <v>0</v>
          </cell>
          <cell r="AA80" t="b">
            <v>0</v>
          </cell>
          <cell r="AB80" t="b">
            <v>0</v>
          </cell>
          <cell r="AC80" t="b">
            <v>0</v>
          </cell>
          <cell r="AD80" t="b">
            <v>0</v>
          </cell>
        </row>
        <row r="81">
          <cell r="Z81" t="b">
            <v>0</v>
          </cell>
          <cell r="AA81" t="b">
            <v>0</v>
          </cell>
          <cell r="AB81" t="b">
            <v>0</v>
          </cell>
          <cell r="AC81" t="b">
            <v>0</v>
          </cell>
          <cell r="AD81" t="b">
            <v>0</v>
          </cell>
        </row>
        <row r="82">
          <cell r="Z82" t="b">
            <v>0</v>
          </cell>
          <cell r="AA82" t="b">
            <v>0</v>
          </cell>
          <cell r="AB82" t="b">
            <v>0</v>
          </cell>
          <cell r="AC82" t="b">
            <v>0</v>
          </cell>
          <cell r="AD82" t="b">
            <v>0</v>
          </cell>
        </row>
        <row r="83">
          <cell r="Z83" t="b">
            <v>0</v>
          </cell>
          <cell r="AA83" t="b">
            <v>0</v>
          </cell>
          <cell r="AB83" t="b">
            <v>0</v>
          </cell>
          <cell r="AC83" t="b">
            <v>0</v>
          </cell>
          <cell r="AD83" t="b">
            <v>0</v>
          </cell>
        </row>
        <row r="84">
          <cell r="Z84" t="b">
            <v>0</v>
          </cell>
          <cell r="AA84" t="b">
            <v>0</v>
          </cell>
          <cell r="AB84" t="b">
            <v>0</v>
          </cell>
          <cell r="AC84" t="b">
            <v>0</v>
          </cell>
          <cell r="AD84" t="b">
            <v>0</v>
          </cell>
        </row>
        <row r="85">
          <cell r="Z85" t="b">
            <v>0</v>
          </cell>
          <cell r="AA85" t="b">
            <v>0</v>
          </cell>
          <cell r="AB85" t="b">
            <v>0</v>
          </cell>
          <cell r="AC85" t="b">
            <v>0</v>
          </cell>
          <cell r="AD85" t="b">
            <v>0</v>
          </cell>
        </row>
        <row r="86">
          <cell r="Z86" t="b">
            <v>0</v>
          </cell>
          <cell r="AA86" t="b">
            <v>0</v>
          </cell>
          <cell r="AB86" t="b">
            <v>0</v>
          </cell>
          <cell r="AC86" t="b">
            <v>0</v>
          </cell>
          <cell r="AD86" t="b">
            <v>0</v>
          </cell>
        </row>
        <row r="87">
          <cell r="Z87" t="b">
            <v>0</v>
          </cell>
          <cell r="AA87" t="b">
            <v>0</v>
          </cell>
          <cell r="AB87" t="b">
            <v>0</v>
          </cell>
          <cell r="AC87" t="b">
            <v>0</v>
          </cell>
          <cell r="AD87" t="b">
            <v>0</v>
          </cell>
        </row>
        <row r="88">
          <cell r="Z88" t="b">
            <v>0</v>
          </cell>
          <cell r="AA88" t="b">
            <v>0</v>
          </cell>
          <cell r="AB88" t="b">
            <v>0</v>
          </cell>
          <cell r="AC88" t="b">
            <v>0</v>
          </cell>
          <cell r="AD88" t="b">
            <v>0</v>
          </cell>
        </row>
        <row r="89">
          <cell r="Z89" t="b">
            <v>0</v>
          </cell>
          <cell r="AA89" t="b">
            <v>0</v>
          </cell>
          <cell r="AB89" t="b">
            <v>0</v>
          </cell>
          <cell r="AC89" t="b">
            <v>0</v>
          </cell>
          <cell r="AD89" t="b">
            <v>0</v>
          </cell>
        </row>
        <row r="90">
          <cell r="Z90" t="b">
            <v>0</v>
          </cell>
          <cell r="AA90" t="b">
            <v>0</v>
          </cell>
          <cell r="AB90" t="b">
            <v>0</v>
          </cell>
          <cell r="AC90" t="b">
            <v>0</v>
          </cell>
          <cell r="AD90" t="b">
            <v>0</v>
          </cell>
        </row>
        <row r="91">
          <cell r="Z91" t="b">
            <v>0</v>
          </cell>
          <cell r="AA91" t="b">
            <v>0</v>
          </cell>
          <cell r="AB91" t="b">
            <v>0</v>
          </cell>
          <cell r="AC91" t="b">
            <v>0</v>
          </cell>
          <cell r="AD91" t="b">
            <v>0</v>
          </cell>
        </row>
        <row r="92">
          <cell r="Z92" t="b">
            <v>0</v>
          </cell>
          <cell r="AA92" t="b">
            <v>0</v>
          </cell>
          <cell r="AB92" t="b">
            <v>0</v>
          </cell>
          <cell r="AC92" t="b">
            <v>0</v>
          </cell>
          <cell r="AD92" t="b">
            <v>0</v>
          </cell>
        </row>
        <row r="93">
          <cell r="Z93" t="b">
            <v>0</v>
          </cell>
          <cell r="AA93" t="b">
            <v>0</v>
          </cell>
          <cell r="AB93" t="b">
            <v>0</v>
          </cell>
          <cell r="AC93" t="b">
            <v>0</v>
          </cell>
          <cell r="AD93" t="b">
            <v>0</v>
          </cell>
        </row>
        <row r="94">
          <cell r="Z94" t="b">
            <v>0</v>
          </cell>
          <cell r="AA94" t="b">
            <v>0</v>
          </cell>
          <cell r="AB94" t="b">
            <v>0</v>
          </cell>
          <cell r="AC94" t="b">
            <v>0</v>
          </cell>
          <cell r="AD94" t="b">
            <v>0</v>
          </cell>
        </row>
        <row r="95">
          <cell r="Z95" t="b">
            <v>0</v>
          </cell>
          <cell r="AA95" t="b">
            <v>0</v>
          </cell>
          <cell r="AB95" t="b">
            <v>0</v>
          </cell>
          <cell r="AC95" t="b">
            <v>0</v>
          </cell>
          <cell r="AD95" t="b">
            <v>0</v>
          </cell>
        </row>
        <row r="96">
          <cell r="Z96" t="b">
            <v>0</v>
          </cell>
          <cell r="AA96" t="b">
            <v>0</v>
          </cell>
          <cell r="AB96" t="b">
            <v>0</v>
          </cell>
          <cell r="AC96" t="b">
            <v>0</v>
          </cell>
          <cell r="AD96" t="b">
            <v>0</v>
          </cell>
        </row>
        <row r="97">
          <cell r="Z97" t="b">
            <v>0</v>
          </cell>
          <cell r="AA97" t="b">
            <v>0</v>
          </cell>
          <cell r="AB97" t="b">
            <v>0</v>
          </cell>
          <cell r="AC97" t="b">
            <v>0</v>
          </cell>
          <cell r="AD97" t="b">
            <v>0</v>
          </cell>
        </row>
        <row r="98">
          <cell r="Z98" t="b">
            <v>0</v>
          </cell>
          <cell r="AA98" t="b">
            <v>0</v>
          </cell>
          <cell r="AB98" t="b">
            <v>0</v>
          </cell>
          <cell r="AC98" t="b">
            <v>0</v>
          </cell>
          <cell r="AD98" t="b">
            <v>0</v>
          </cell>
        </row>
        <row r="99">
          <cell r="Z99" t="b">
            <v>0</v>
          </cell>
          <cell r="AA99" t="b">
            <v>0</v>
          </cell>
          <cell r="AB99" t="b">
            <v>0</v>
          </cell>
          <cell r="AC99" t="b">
            <v>0</v>
          </cell>
          <cell r="AD99" t="b">
            <v>0</v>
          </cell>
        </row>
        <row r="100">
          <cell r="Z100" t="b">
            <v>0</v>
          </cell>
          <cell r="AA100" t="b">
            <v>0</v>
          </cell>
          <cell r="AB100" t="b">
            <v>0</v>
          </cell>
          <cell r="AC100" t="b">
            <v>0</v>
          </cell>
          <cell r="AD100" t="b">
            <v>0</v>
          </cell>
        </row>
        <row r="101">
          <cell r="Z101" t="b">
            <v>0</v>
          </cell>
          <cell r="AA101" t="b">
            <v>0</v>
          </cell>
          <cell r="AB101" t="b">
            <v>0</v>
          </cell>
          <cell r="AC101" t="b">
            <v>0</v>
          </cell>
          <cell r="AD101" t="b">
            <v>0</v>
          </cell>
        </row>
        <row r="102">
          <cell r="Z102" t="b">
            <v>0</v>
          </cell>
          <cell r="AA102" t="b">
            <v>0</v>
          </cell>
          <cell r="AB102" t="b">
            <v>0</v>
          </cell>
          <cell r="AC102" t="b">
            <v>0</v>
          </cell>
          <cell r="AD102" t="b">
            <v>0</v>
          </cell>
        </row>
        <row r="103">
          <cell r="Z103" t="b">
            <v>0</v>
          </cell>
          <cell r="AA103" t="b">
            <v>0</v>
          </cell>
          <cell r="AB103" t="b">
            <v>0</v>
          </cell>
          <cell r="AC103" t="b">
            <v>0</v>
          </cell>
          <cell r="AD103" t="b">
            <v>0</v>
          </cell>
        </row>
        <row r="104">
          <cell r="Z104" t="b">
            <v>0</v>
          </cell>
          <cell r="AA104" t="b">
            <v>0</v>
          </cell>
          <cell r="AB104" t="b">
            <v>0</v>
          </cell>
          <cell r="AC104" t="b">
            <v>0</v>
          </cell>
          <cell r="AD104" t="b">
            <v>0</v>
          </cell>
        </row>
        <row r="105">
          <cell r="Z105" t="b">
            <v>0</v>
          </cell>
          <cell r="AA105" t="b">
            <v>0</v>
          </cell>
          <cell r="AB105" t="b">
            <v>0</v>
          </cell>
          <cell r="AC105" t="b">
            <v>0</v>
          </cell>
          <cell r="AD105" t="b">
            <v>0</v>
          </cell>
        </row>
        <row r="106">
          <cell r="Z106" t="b">
            <v>0</v>
          </cell>
          <cell r="AA106" t="b">
            <v>0</v>
          </cell>
          <cell r="AB106" t="b">
            <v>0</v>
          </cell>
          <cell r="AC106" t="b">
            <v>0</v>
          </cell>
          <cell r="AD106" t="b">
            <v>0</v>
          </cell>
        </row>
        <row r="107">
          <cell r="Z107" t="b">
            <v>0</v>
          </cell>
          <cell r="AA107" t="b">
            <v>0</v>
          </cell>
          <cell r="AB107" t="b">
            <v>0</v>
          </cell>
          <cell r="AC107" t="b">
            <v>0</v>
          </cell>
          <cell r="AD107" t="b">
            <v>0</v>
          </cell>
        </row>
        <row r="108">
          <cell r="Z108" t="b">
            <v>0</v>
          </cell>
          <cell r="AA108" t="b">
            <v>0</v>
          </cell>
          <cell r="AB108" t="b">
            <v>0</v>
          </cell>
          <cell r="AC108" t="b">
            <v>0</v>
          </cell>
          <cell r="AD108" t="b">
            <v>0</v>
          </cell>
        </row>
        <row r="109">
          <cell r="Z109" t="b">
            <v>0</v>
          </cell>
          <cell r="AA109" t="b">
            <v>0</v>
          </cell>
          <cell r="AB109" t="b">
            <v>0</v>
          </cell>
          <cell r="AC109" t="b">
            <v>0</v>
          </cell>
          <cell r="AD109" t="b">
            <v>0</v>
          </cell>
        </row>
        <row r="110">
          <cell r="Z110" t="b">
            <v>0</v>
          </cell>
          <cell r="AA110" t="b">
            <v>0</v>
          </cell>
          <cell r="AB110" t="b">
            <v>0</v>
          </cell>
          <cell r="AC110" t="b">
            <v>0</v>
          </cell>
          <cell r="AD110" t="b">
            <v>0</v>
          </cell>
        </row>
        <row r="111">
          <cell r="Z111" t="b">
            <v>0</v>
          </cell>
          <cell r="AA111" t="b">
            <v>0</v>
          </cell>
          <cell r="AB111" t="b">
            <v>0</v>
          </cell>
          <cell r="AC111" t="b">
            <v>0</v>
          </cell>
          <cell r="AD111" t="b">
            <v>0</v>
          </cell>
        </row>
        <row r="112">
          <cell r="Z112" t="b">
            <v>0</v>
          </cell>
          <cell r="AA112" t="b">
            <v>0</v>
          </cell>
          <cell r="AB112" t="b">
            <v>0</v>
          </cell>
          <cell r="AC112" t="b">
            <v>0</v>
          </cell>
          <cell r="AD112" t="b">
            <v>0</v>
          </cell>
        </row>
        <row r="113">
          <cell r="Z113" t="b">
            <v>0</v>
          </cell>
          <cell r="AA113" t="b">
            <v>0</v>
          </cell>
          <cell r="AB113" t="b">
            <v>0</v>
          </cell>
          <cell r="AC113" t="b">
            <v>0</v>
          </cell>
          <cell r="AD113" t="b">
            <v>0</v>
          </cell>
        </row>
        <row r="114">
          <cell r="Z114" t="b">
            <v>0</v>
          </cell>
          <cell r="AA114" t="b">
            <v>0</v>
          </cell>
          <cell r="AB114" t="b">
            <v>0</v>
          </cell>
          <cell r="AC114" t="b">
            <v>0</v>
          </cell>
          <cell r="AD114" t="b">
            <v>0</v>
          </cell>
        </row>
        <row r="115">
          <cell r="Z115" t="b">
            <v>0</v>
          </cell>
          <cell r="AA115" t="b">
            <v>0</v>
          </cell>
          <cell r="AB115" t="b">
            <v>0</v>
          </cell>
          <cell r="AC115" t="b">
            <v>0</v>
          </cell>
          <cell r="AD115" t="b">
            <v>0</v>
          </cell>
        </row>
        <row r="116">
          <cell r="Z116" t="b">
            <v>0</v>
          </cell>
          <cell r="AA116" t="b">
            <v>0</v>
          </cell>
          <cell r="AB116" t="b">
            <v>0</v>
          </cell>
          <cell r="AC116" t="b">
            <v>0</v>
          </cell>
          <cell r="AD116" t="b">
            <v>0</v>
          </cell>
        </row>
        <row r="117">
          <cell r="Z117" t="b">
            <v>0</v>
          </cell>
          <cell r="AA117" t="b">
            <v>0</v>
          </cell>
          <cell r="AB117" t="b">
            <v>0</v>
          </cell>
          <cell r="AC117" t="b">
            <v>0</v>
          </cell>
          <cell r="AD117" t="b">
            <v>0</v>
          </cell>
        </row>
        <row r="118">
          <cell r="Z118" t="b">
            <v>0</v>
          </cell>
          <cell r="AA118" t="b">
            <v>0</v>
          </cell>
          <cell r="AB118" t="b">
            <v>0</v>
          </cell>
          <cell r="AC118" t="b">
            <v>0</v>
          </cell>
          <cell r="AD118" t="b">
            <v>0</v>
          </cell>
        </row>
        <row r="119">
          <cell r="Z119" t="b">
            <v>0</v>
          </cell>
          <cell r="AA119" t="b">
            <v>0</v>
          </cell>
          <cell r="AB119" t="b">
            <v>0</v>
          </cell>
          <cell r="AC119" t="b">
            <v>0</v>
          </cell>
          <cell r="AD119" t="b">
            <v>0</v>
          </cell>
        </row>
        <row r="120">
          <cell r="Z120" t="b">
            <v>0</v>
          </cell>
          <cell r="AA120" t="b">
            <v>0</v>
          </cell>
          <cell r="AB120" t="b">
            <v>0</v>
          </cell>
          <cell r="AC120" t="b">
            <v>0</v>
          </cell>
          <cell r="AD120" t="b">
            <v>0</v>
          </cell>
        </row>
        <row r="121">
          <cell r="Z121" t="b">
            <v>0</v>
          </cell>
          <cell r="AA121" t="b">
            <v>0</v>
          </cell>
          <cell r="AB121" t="b">
            <v>0</v>
          </cell>
          <cell r="AC121" t="b">
            <v>0</v>
          </cell>
          <cell r="AD121" t="b">
            <v>0</v>
          </cell>
        </row>
        <row r="122">
          <cell r="Z122" t="b">
            <v>0</v>
          </cell>
          <cell r="AA122" t="b">
            <v>0</v>
          </cell>
          <cell r="AB122" t="b">
            <v>0</v>
          </cell>
          <cell r="AC122" t="b">
            <v>0</v>
          </cell>
          <cell r="AD122" t="b">
            <v>0</v>
          </cell>
        </row>
        <row r="123">
          <cell r="Z123" t="b">
            <v>0</v>
          </cell>
          <cell r="AA123" t="b">
            <v>0</v>
          </cell>
          <cell r="AB123" t="b">
            <v>0</v>
          </cell>
          <cell r="AC123" t="b">
            <v>0</v>
          </cell>
          <cell r="AD123" t="b">
            <v>0</v>
          </cell>
        </row>
        <row r="124">
          <cell r="Z124" t="b">
            <v>0</v>
          </cell>
          <cell r="AA124" t="b">
            <v>0</v>
          </cell>
          <cell r="AB124" t="b">
            <v>0</v>
          </cell>
          <cell r="AC124" t="b">
            <v>0</v>
          </cell>
          <cell r="AD124" t="b">
            <v>0</v>
          </cell>
        </row>
        <row r="125">
          <cell r="Z125" t="b">
            <v>0</v>
          </cell>
          <cell r="AA125" t="b">
            <v>0</v>
          </cell>
          <cell r="AB125" t="b">
            <v>0</v>
          </cell>
          <cell r="AC125" t="b">
            <v>0</v>
          </cell>
          <cell r="AD125" t="b">
            <v>0</v>
          </cell>
        </row>
        <row r="126">
          <cell r="Z126" t="b">
            <v>0</v>
          </cell>
          <cell r="AA126" t="b">
            <v>0</v>
          </cell>
          <cell r="AB126" t="b">
            <v>0</v>
          </cell>
          <cell r="AC126" t="b">
            <v>0</v>
          </cell>
          <cell r="AD126" t="b">
            <v>0</v>
          </cell>
        </row>
        <row r="127">
          <cell r="Z127" t="b">
            <v>0</v>
          </cell>
          <cell r="AA127" t="b">
            <v>0</v>
          </cell>
          <cell r="AB127" t="b">
            <v>0</v>
          </cell>
          <cell r="AC127" t="b">
            <v>0</v>
          </cell>
          <cell r="AD127" t="b">
            <v>0</v>
          </cell>
        </row>
        <row r="128">
          <cell r="Z128" t="b">
            <v>0</v>
          </cell>
          <cell r="AA128" t="b">
            <v>0</v>
          </cell>
          <cell r="AB128" t="b">
            <v>0</v>
          </cell>
          <cell r="AC128" t="b">
            <v>0</v>
          </cell>
          <cell r="AD128" t="b">
            <v>0</v>
          </cell>
        </row>
        <row r="129">
          <cell r="Z129" t="b">
            <v>0</v>
          </cell>
          <cell r="AA129" t="b">
            <v>0</v>
          </cell>
          <cell r="AB129" t="b">
            <v>0</v>
          </cell>
          <cell r="AC129" t="b">
            <v>0</v>
          </cell>
          <cell r="AD129" t="b">
            <v>0</v>
          </cell>
        </row>
        <row r="130">
          <cell r="Z130" t="b">
            <v>0</v>
          </cell>
          <cell r="AA130" t="b">
            <v>0</v>
          </cell>
          <cell r="AB130" t="b">
            <v>0</v>
          </cell>
          <cell r="AC130" t="b">
            <v>0</v>
          </cell>
          <cell r="AD130" t="b">
            <v>0</v>
          </cell>
        </row>
        <row r="131">
          <cell r="Z131" t="b">
            <v>0</v>
          </cell>
          <cell r="AA131" t="b">
            <v>0</v>
          </cell>
          <cell r="AB131" t="b">
            <v>0</v>
          </cell>
          <cell r="AC131" t="b">
            <v>0</v>
          </cell>
          <cell r="AD131" t="b">
            <v>0</v>
          </cell>
        </row>
        <row r="132">
          <cell r="Z132" t="b">
            <v>0</v>
          </cell>
          <cell r="AA132" t="b">
            <v>0</v>
          </cell>
          <cell r="AB132" t="b">
            <v>0</v>
          </cell>
          <cell r="AC132" t="b">
            <v>0</v>
          </cell>
          <cell r="AD132" t="b">
            <v>0</v>
          </cell>
        </row>
        <row r="133">
          <cell r="Z133" t="b">
            <v>0</v>
          </cell>
          <cell r="AA133" t="b">
            <v>0</v>
          </cell>
          <cell r="AB133" t="b">
            <v>0</v>
          </cell>
          <cell r="AC133" t="b">
            <v>0</v>
          </cell>
          <cell r="AD133" t="b">
            <v>0</v>
          </cell>
        </row>
        <row r="134">
          <cell r="Z134" t="b">
            <v>0</v>
          </cell>
          <cell r="AA134" t="b">
            <v>0</v>
          </cell>
          <cell r="AB134" t="b">
            <v>0</v>
          </cell>
          <cell r="AC134" t="b">
            <v>0</v>
          </cell>
          <cell r="AD134" t="b">
            <v>0</v>
          </cell>
        </row>
        <row r="135">
          <cell r="Z135" t="b">
            <v>0</v>
          </cell>
          <cell r="AA135" t="b">
            <v>0</v>
          </cell>
          <cell r="AB135" t="b">
            <v>0</v>
          </cell>
          <cell r="AC135" t="b">
            <v>0</v>
          </cell>
          <cell r="AD135" t="b">
            <v>0</v>
          </cell>
        </row>
        <row r="136">
          <cell r="Z136" t="b">
            <v>0</v>
          </cell>
          <cell r="AA136" t="b">
            <v>0</v>
          </cell>
          <cell r="AB136" t="b">
            <v>0</v>
          </cell>
          <cell r="AC136" t="b">
            <v>0</v>
          </cell>
          <cell r="AD136" t="b">
            <v>0</v>
          </cell>
        </row>
        <row r="137">
          <cell r="Z137" t="b">
            <v>0</v>
          </cell>
          <cell r="AA137" t="b">
            <v>0</v>
          </cell>
          <cell r="AB137" t="b">
            <v>0</v>
          </cell>
          <cell r="AC137" t="b">
            <v>0</v>
          </cell>
          <cell r="AD137" t="b">
            <v>0</v>
          </cell>
        </row>
        <row r="138">
          <cell r="Z138" t="b">
            <v>0</v>
          </cell>
          <cell r="AA138" t="b">
            <v>0</v>
          </cell>
          <cell r="AB138" t="b">
            <v>0</v>
          </cell>
          <cell r="AC138" t="b">
            <v>0</v>
          </cell>
          <cell r="AD138" t="b">
            <v>0</v>
          </cell>
        </row>
        <row r="139">
          <cell r="Z139" t="b">
            <v>0</v>
          </cell>
          <cell r="AA139" t="b">
            <v>0</v>
          </cell>
          <cell r="AB139" t="b">
            <v>0</v>
          </cell>
          <cell r="AC139" t="b">
            <v>0</v>
          </cell>
          <cell r="AD139" t="b">
            <v>0</v>
          </cell>
        </row>
        <row r="140">
          <cell r="Z140" t="b">
            <v>0</v>
          </cell>
          <cell r="AA140" t="b">
            <v>0</v>
          </cell>
          <cell r="AB140" t="b">
            <v>0</v>
          </cell>
          <cell r="AC140" t="b">
            <v>0</v>
          </cell>
          <cell r="AD140" t="b">
            <v>0</v>
          </cell>
        </row>
        <row r="141">
          <cell r="Z141" t="b">
            <v>0</v>
          </cell>
          <cell r="AA141" t="b">
            <v>0</v>
          </cell>
          <cell r="AB141" t="b">
            <v>0</v>
          </cell>
          <cell r="AC141" t="b">
            <v>0</v>
          </cell>
          <cell r="AD141" t="b">
            <v>0</v>
          </cell>
        </row>
        <row r="142">
          <cell r="Z142" t="b">
            <v>0</v>
          </cell>
          <cell r="AA142" t="b">
            <v>0</v>
          </cell>
          <cell r="AB142" t="b">
            <v>0</v>
          </cell>
          <cell r="AC142" t="b">
            <v>0</v>
          </cell>
          <cell r="AD142" t="b">
            <v>0</v>
          </cell>
        </row>
        <row r="143">
          <cell r="Z143" t="b">
            <v>0</v>
          </cell>
          <cell r="AA143" t="b">
            <v>0</v>
          </cell>
          <cell r="AB143" t="b">
            <v>0</v>
          </cell>
          <cell r="AC143" t="b">
            <v>0</v>
          </cell>
          <cell r="AD143" t="b">
            <v>0</v>
          </cell>
        </row>
        <row r="144">
          <cell r="Z144" t="b">
            <v>0</v>
          </cell>
          <cell r="AA144" t="b">
            <v>0</v>
          </cell>
          <cell r="AB144" t="b">
            <v>0</v>
          </cell>
          <cell r="AC144" t="b">
            <v>0</v>
          </cell>
          <cell r="AD144" t="b">
            <v>0</v>
          </cell>
        </row>
        <row r="145">
          <cell r="Z145" t="b">
            <v>0</v>
          </cell>
          <cell r="AA145" t="b">
            <v>0</v>
          </cell>
          <cell r="AB145" t="b">
            <v>0</v>
          </cell>
          <cell r="AC145" t="b">
            <v>0</v>
          </cell>
          <cell r="AD145" t="b">
            <v>0</v>
          </cell>
        </row>
        <row r="146">
          <cell r="Z146" t="b">
            <v>0</v>
          </cell>
          <cell r="AA146" t="b">
            <v>0</v>
          </cell>
          <cell r="AB146" t="b">
            <v>0</v>
          </cell>
          <cell r="AC146" t="b">
            <v>0</v>
          </cell>
          <cell r="AD146" t="b">
            <v>0</v>
          </cell>
        </row>
        <row r="147">
          <cell r="Z147" t="b">
            <v>0</v>
          </cell>
          <cell r="AA147" t="b">
            <v>0</v>
          </cell>
          <cell r="AB147" t="b">
            <v>0</v>
          </cell>
          <cell r="AC147" t="b">
            <v>0</v>
          </cell>
          <cell r="AD147" t="b">
            <v>0</v>
          </cell>
        </row>
        <row r="148">
          <cell r="Z148" t="b">
            <v>0</v>
          </cell>
          <cell r="AA148" t="b">
            <v>0</v>
          </cell>
          <cell r="AB148" t="b">
            <v>0</v>
          </cell>
          <cell r="AC148" t="b">
            <v>0</v>
          </cell>
          <cell r="AD148" t="b">
            <v>0</v>
          </cell>
        </row>
        <row r="149">
          <cell r="Z149" t="b">
            <v>0</v>
          </cell>
          <cell r="AA149" t="b">
            <v>0</v>
          </cell>
          <cell r="AB149" t="b">
            <v>0</v>
          </cell>
          <cell r="AC149" t="b">
            <v>0</v>
          </cell>
          <cell r="AD149" t="b">
            <v>0</v>
          </cell>
        </row>
        <row r="150">
          <cell r="Z150" t="b">
            <v>0</v>
          </cell>
          <cell r="AA150" t="b">
            <v>0</v>
          </cell>
          <cell r="AB150" t="b">
            <v>0</v>
          </cell>
          <cell r="AC150" t="b">
            <v>0</v>
          </cell>
          <cell r="AD150" t="b">
            <v>0</v>
          </cell>
        </row>
        <row r="151">
          <cell r="Z151" t="b">
            <v>0</v>
          </cell>
          <cell r="AA151" t="b">
            <v>0</v>
          </cell>
          <cell r="AB151" t="b">
            <v>0</v>
          </cell>
          <cell r="AC151" t="b">
            <v>0</v>
          </cell>
          <cell r="AD151" t="b">
            <v>0</v>
          </cell>
        </row>
        <row r="152">
          <cell r="Z152" t="b">
            <v>0</v>
          </cell>
          <cell r="AA152" t="b">
            <v>0</v>
          </cell>
          <cell r="AB152" t="b">
            <v>0</v>
          </cell>
          <cell r="AC152" t="b">
            <v>0</v>
          </cell>
          <cell r="AD152" t="b">
            <v>0</v>
          </cell>
        </row>
        <row r="153">
          <cell r="Z153" t="b">
            <v>0</v>
          </cell>
          <cell r="AA153" t="b">
            <v>0</v>
          </cell>
          <cell r="AB153" t="b">
            <v>0</v>
          </cell>
          <cell r="AC153" t="b">
            <v>0</v>
          </cell>
          <cell r="AD153" t="b">
            <v>0</v>
          </cell>
        </row>
        <row r="154">
          <cell r="Z154" t="b">
            <v>0</v>
          </cell>
          <cell r="AA154" t="b">
            <v>0</v>
          </cell>
          <cell r="AB154" t="b">
            <v>0</v>
          </cell>
          <cell r="AC154" t="b">
            <v>0</v>
          </cell>
          <cell r="AD154" t="b">
            <v>0</v>
          </cell>
        </row>
        <row r="155">
          <cell r="Z155" t="b">
            <v>0</v>
          </cell>
          <cell r="AA155" t="b">
            <v>0</v>
          </cell>
          <cell r="AB155" t="b">
            <v>0</v>
          </cell>
          <cell r="AC155" t="b">
            <v>0</v>
          </cell>
          <cell r="AD155" t="b">
            <v>0</v>
          </cell>
        </row>
        <row r="156">
          <cell r="Z156" t="b">
            <v>0</v>
          </cell>
          <cell r="AA156" t="b">
            <v>0</v>
          </cell>
          <cell r="AB156" t="b">
            <v>0</v>
          </cell>
          <cell r="AC156" t="b">
            <v>0</v>
          </cell>
          <cell r="AD156" t="b">
            <v>0</v>
          </cell>
        </row>
        <row r="157">
          <cell r="Z157" t="b">
            <v>0</v>
          </cell>
          <cell r="AA157" t="b">
            <v>0</v>
          </cell>
          <cell r="AB157" t="b">
            <v>0</v>
          </cell>
          <cell r="AC157" t="b">
            <v>0</v>
          </cell>
          <cell r="AD157" t="b">
            <v>0</v>
          </cell>
        </row>
        <row r="158">
          <cell r="Z158" t="b">
            <v>0</v>
          </cell>
          <cell r="AA158" t="b">
            <v>0</v>
          </cell>
          <cell r="AB158" t="b">
            <v>0</v>
          </cell>
          <cell r="AC158" t="b">
            <v>0</v>
          </cell>
          <cell r="AD158" t="b">
            <v>0</v>
          </cell>
        </row>
        <row r="159">
          <cell r="Z159" t="b">
            <v>0</v>
          </cell>
          <cell r="AA159" t="b">
            <v>0</v>
          </cell>
          <cell r="AB159" t="b">
            <v>0</v>
          </cell>
          <cell r="AC159" t="b">
            <v>0</v>
          </cell>
          <cell r="AD159" t="b">
            <v>0</v>
          </cell>
        </row>
        <row r="160">
          <cell r="Z160" t="b">
            <v>0</v>
          </cell>
          <cell r="AA160" t="b">
            <v>0</v>
          </cell>
          <cell r="AB160" t="b">
            <v>0</v>
          </cell>
          <cell r="AC160" t="b">
            <v>0</v>
          </cell>
          <cell r="AD160" t="b">
            <v>0</v>
          </cell>
        </row>
        <row r="161">
          <cell r="Z161" t="b">
            <v>0</v>
          </cell>
          <cell r="AA161" t="b">
            <v>0</v>
          </cell>
          <cell r="AB161" t="b">
            <v>0</v>
          </cell>
          <cell r="AC161" t="b">
            <v>0</v>
          </cell>
          <cell r="AD161" t="b">
            <v>0</v>
          </cell>
        </row>
        <row r="162">
          <cell r="Z162" t="b">
            <v>0</v>
          </cell>
          <cell r="AA162" t="b">
            <v>0</v>
          </cell>
          <cell r="AB162" t="b">
            <v>0</v>
          </cell>
          <cell r="AC162" t="b">
            <v>0</v>
          </cell>
          <cell r="AD162" t="b">
            <v>0</v>
          </cell>
        </row>
        <row r="163">
          <cell r="Z163" t="b">
            <v>0</v>
          </cell>
          <cell r="AA163" t="b">
            <v>0</v>
          </cell>
          <cell r="AB163" t="b">
            <v>0</v>
          </cell>
          <cell r="AC163" t="b">
            <v>0</v>
          </cell>
          <cell r="AD163" t="b">
            <v>0</v>
          </cell>
        </row>
        <row r="164">
          <cell r="Z164" t="b">
            <v>0</v>
          </cell>
          <cell r="AA164" t="b">
            <v>0</v>
          </cell>
          <cell r="AB164" t="b">
            <v>0</v>
          </cell>
          <cell r="AC164" t="b">
            <v>0</v>
          </cell>
          <cell r="AD164" t="b">
            <v>0</v>
          </cell>
        </row>
        <row r="165">
          <cell r="Z165" t="b">
            <v>0</v>
          </cell>
          <cell r="AA165" t="b">
            <v>0</v>
          </cell>
          <cell r="AB165" t="b">
            <v>0</v>
          </cell>
          <cell r="AC165" t="b">
            <v>0</v>
          </cell>
          <cell r="AD165" t="b">
            <v>0</v>
          </cell>
        </row>
        <row r="166">
          <cell r="Z166" t="b">
            <v>0</v>
          </cell>
          <cell r="AA166" t="b">
            <v>0</v>
          </cell>
          <cell r="AB166" t="b">
            <v>0</v>
          </cell>
          <cell r="AC166" t="b">
            <v>0</v>
          </cell>
          <cell r="AD166" t="b">
            <v>0</v>
          </cell>
        </row>
        <row r="167">
          <cell r="Z167" t="b">
            <v>0</v>
          </cell>
          <cell r="AA167" t="b">
            <v>0</v>
          </cell>
          <cell r="AB167" t="b">
            <v>0</v>
          </cell>
          <cell r="AC167" t="b">
            <v>0</v>
          </cell>
          <cell r="AD167" t="b">
            <v>0</v>
          </cell>
        </row>
        <row r="168">
          <cell r="Z168" t="b">
            <v>0</v>
          </cell>
          <cell r="AA168" t="b">
            <v>0</v>
          </cell>
          <cell r="AB168" t="b">
            <v>0</v>
          </cell>
          <cell r="AC168" t="b">
            <v>0</v>
          </cell>
          <cell r="AD168" t="b">
            <v>0</v>
          </cell>
        </row>
        <row r="169">
          <cell r="Z169" t="b">
            <v>0</v>
          </cell>
          <cell r="AA169" t="b">
            <v>0</v>
          </cell>
          <cell r="AB169" t="b">
            <v>0</v>
          </cell>
          <cell r="AC169" t="b">
            <v>0</v>
          </cell>
          <cell r="AD169" t="b">
            <v>0</v>
          </cell>
        </row>
        <row r="170">
          <cell r="Z170" t="b">
            <v>0</v>
          </cell>
          <cell r="AA170" t="b">
            <v>0</v>
          </cell>
          <cell r="AB170" t="b">
            <v>0</v>
          </cell>
          <cell r="AC170" t="b">
            <v>0</v>
          </cell>
          <cell r="AD170" t="b">
            <v>0</v>
          </cell>
        </row>
        <row r="171">
          <cell r="Z171" t="b">
            <v>0</v>
          </cell>
          <cell r="AA171" t="b">
            <v>0</v>
          </cell>
          <cell r="AB171" t="b">
            <v>0</v>
          </cell>
          <cell r="AC171" t="b">
            <v>0</v>
          </cell>
          <cell r="AD171" t="b">
            <v>0</v>
          </cell>
        </row>
        <row r="172">
          <cell r="Z172" t="b">
            <v>0</v>
          </cell>
          <cell r="AA172" t="b">
            <v>0</v>
          </cell>
          <cell r="AB172" t="b">
            <v>0</v>
          </cell>
          <cell r="AC172" t="b">
            <v>0</v>
          </cell>
          <cell r="AD172" t="b">
            <v>0</v>
          </cell>
        </row>
        <row r="173">
          <cell r="Z173" t="b">
            <v>0</v>
          </cell>
          <cell r="AA173" t="b">
            <v>0</v>
          </cell>
          <cell r="AB173" t="b">
            <v>0</v>
          </cell>
          <cell r="AC173" t="b">
            <v>0</v>
          </cell>
          <cell r="AD173" t="b">
            <v>0</v>
          </cell>
        </row>
        <row r="174">
          <cell r="Z174" t="b">
            <v>0</v>
          </cell>
          <cell r="AA174" t="b">
            <v>0</v>
          </cell>
          <cell r="AB174" t="b">
            <v>0</v>
          </cell>
          <cell r="AC174" t="b">
            <v>0</v>
          </cell>
          <cell r="AD174" t="b">
            <v>0</v>
          </cell>
        </row>
        <row r="175">
          <cell r="Z175" t="b">
            <v>0</v>
          </cell>
          <cell r="AA175" t="b">
            <v>0</v>
          </cell>
          <cell r="AB175" t="b">
            <v>0</v>
          </cell>
          <cell r="AC175" t="b">
            <v>0</v>
          </cell>
          <cell r="AD175" t="b">
            <v>0</v>
          </cell>
        </row>
        <row r="176">
          <cell r="Z176" t="b">
            <v>0</v>
          </cell>
          <cell r="AA176" t="b">
            <v>0</v>
          </cell>
          <cell r="AB176" t="b">
            <v>0</v>
          </cell>
          <cell r="AC176" t="b">
            <v>0</v>
          </cell>
          <cell r="AD176" t="b">
            <v>0</v>
          </cell>
        </row>
        <row r="177">
          <cell r="Z177" t="b">
            <v>0</v>
          </cell>
          <cell r="AA177" t="b">
            <v>0</v>
          </cell>
          <cell r="AB177" t="b">
            <v>0</v>
          </cell>
          <cell r="AC177" t="b">
            <v>0</v>
          </cell>
          <cell r="AD177" t="b">
            <v>0</v>
          </cell>
        </row>
        <row r="178">
          <cell r="Z178" t="b">
            <v>0</v>
          </cell>
          <cell r="AA178" t="b">
            <v>0</v>
          </cell>
          <cell r="AB178" t="b">
            <v>0</v>
          </cell>
          <cell r="AC178" t="b">
            <v>0</v>
          </cell>
          <cell r="AD178" t="b">
            <v>0</v>
          </cell>
        </row>
        <row r="179">
          <cell r="Z179" t="b">
            <v>0</v>
          </cell>
          <cell r="AA179" t="b">
            <v>0</v>
          </cell>
          <cell r="AB179" t="b">
            <v>0</v>
          </cell>
          <cell r="AC179" t="b">
            <v>0</v>
          </cell>
          <cell r="AD179" t="b">
            <v>0</v>
          </cell>
        </row>
        <row r="180">
          <cell r="Z180" t="b">
            <v>0</v>
          </cell>
          <cell r="AA180" t="b">
            <v>0</v>
          </cell>
          <cell r="AB180" t="b">
            <v>0</v>
          </cell>
          <cell r="AC180" t="b">
            <v>0</v>
          </cell>
          <cell r="AD180" t="b">
            <v>0</v>
          </cell>
        </row>
        <row r="181">
          <cell r="Z181" t="b">
            <v>0</v>
          </cell>
          <cell r="AA181" t="b">
            <v>0</v>
          </cell>
          <cell r="AB181" t="b">
            <v>0</v>
          </cell>
          <cell r="AC181" t="b">
            <v>0</v>
          </cell>
          <cell r="AD181" t="b">
            <v>0</v>
          </cell>
        </row>
        <row r="182">
          <cell r="Z182" t="b">
            <v>0</v>
          </cell>
          <cell r="AA182" t="b">
            <v>0</v>
          </cell>
          <cell r="AB182" t="b">
            <v>0</v>
          </cell>
          <cell r="AC182" t="b">
            <v>0</v>
          </cell>
          <cell r="AD182" t="b">
            <v>0</v>
          </cell>
        </row>
        <row r="183">
          <cell r="Z183" t="b">
            <v>0</v>
          </cell>
          <cell r="AA183" t="b">
            <v>0</v>
          </cell>
          <cell r="AB183" t="b">
            <v>0</v>
          </cell>
          <cell r="AC183" t="b">
            <v>0</v>
          </cell>
          <cell r="AD183" t="b">
            <v>0</v>
          </cell>
        </row>
        <row r="184">
          <cell r="Z184" t="b">
            <v>0</v>
          </cell>
          <cell r="AA184" t="b">
            <v>0</v>
          </cell>
          <cell r="AB184" t="b">
            <v>0</v>
          </cell>
          <cell r="AC184" t="b">
            <v>0</v>
          </cell>
          <cell r="AD184" t="b">
            <v>0</v>
          </cell>
        </row>
        <row r="185">
          <cell r="Z185" t="b">
            <v>0</v>
          </cell>
          <cell r="AA185" t="b">
            <v>0</v>
          </cell>
          <cell r="AB185" t="b">
            <v>0</v>
          </cell>
          <cell r="AC185" t="b">
            <v>0</v>
          </cell>
          <cell r="AD185" t="b">
            <v>0</v>
          </cell>
        </row>
        <row r="186">
          <cell r="Z186" t="b">
            <v>0</v>
          </cell>
          <cell r="AA186" t="b">
            <v>0</v>
          </cell>
          <cell r="AB186" t="b">
            <v>0</v>
          </cell>
          <cell r="AC186" t="b">
            <v>0</v>
          </cell>
          <cell r="AD186" t="b">
            <v>0</v>
          </cell>
        </row>
        <row r="187">
          <cell r="Z187" t="b">
            <v>0</v>
          </cell>
          <cell r="AA187" t="b">
            <v>0</v>
          </cell>
          <cell r="AB187" t="b">
            <v>0</v>
          </cell>
          <cell r="AC187" t="b">
            <v>0</v>
          </cell>
          <cell r="AD187" t="b">
            <v>0</v>
          </cell>
        </row>
        <row r="188">
          <cell r="Z188" t="b">
            <v>0</v>
          </cell>
          <cell r="AA188" t="b">
            <v>0</v>
          </cell>
          <cell r="AB188" t="b">
            <v>0</v>
          </cell>
          <cell r="AC188" t="b">
            <v>0</v>
          </cell>
          <cell r="AD188" t="b">
            <v>0</v>
          </cell>
        </row>
        <row r="189">
          <cell r="Z189" t="b">
            <v>0</v>
          </cell>
          <cell r="AA189" t="b">
            <v>0</v>
          </cell>
          <cell r="AB189" t="b">
            <v>0</v>
          </cell>
          <cell r="AC189" t="b">
            <v>0</v>
          </cell>
          <cell r="AD189" t="b">
            <v>0</v>
          </cell>
        </row>
        <row r="190">
          <cell r="Z190" t="b">
            <v>0</v>
          </cell>
          <cell r="AA190" t="b">
            <v>0</v>
          </cell>
          <cell r="AB190" t="b">
            <v>0</v>
          </cell>
          <cell r="AC190" t="b">
            <v>0</v>
          </cell>
          <cell r="AD190" t="b">
            <v>0</v>
          </cell>
        </row>
        <row r="191">
          <cell r="Z191" t="b">
            <v>0</v>
          </cell>
          <cell r="AA191" t="b">
            <v>0</v>
          </cell>
          <cell r="AB191" t="b">
            <v>0</v>
          </cell>
          <cell r="AC191" t="b">
            <v>0</v>
          </cell>
          <cell r="AD191" t="b">
            <v>0</v>
          </cell>
        </row>
        <row r="192">
          <cell r="Z192" t="b">
            <v>0</v>
          </cell>
          <cell r="AA192" t="b">
            <v>0</v>
          </cell>
          <cell r="AB192" t="b">
            <v>0</v>
          </cell>
          <cell r="AC192" t="b">
            <v>0</v>
          </cell>
          <cell r="AD192" t="b">
            <v>0</v>
          </cell>
        </row>
        <row r="193">
          <cell r="Z193" t="b">
            <v>0</v>
          </cell>
          <cell r="AA193" t="b">
            <v>0</v>
          </cell>
          <cell r="AB193" t="b">
            <v>0</v>
          </cell>
          <cell r="AC193" t="b">
            <v>0</v>
          </cell>
          <cell r="AD193" t="b">
            <v>0</v>
          </cell>
        </row>
        <row r="194">
          <cell r="Z194" t="b">
            <v>0</v>
          </cell>
          <cell r="AA194" t="b">
            <v>0</v>
          </cell>
          <cell r="AB194" t="b">
            <v>0</v>
          </cell>
          <cell r="AC194" t="b">
            <v>0</v>
          </cell>
          <cell r="AD194" t="b">
            <v>0</v>
          </cell>
        </row>
        <row r="195">
          <cell r="Z195" t="b">
            <v>0</v>
          </cell>
          <cell r="AA195" t="b">
            <v>0</v>
          </cell>
          <cell r="AB195" t="b">
            <v>0</v>
          </cell>
          <cell r="AC195" t="b">
            <v>0</v>
          </cell>
          <cell r="AD195" t="b">
            <v>0</v>
          </cell>
        </row>
        <row r="196">
          <cell r="Z196" t="b">
            <v>0</v>
          </cell>
          <cell r="AA196" t="b">
            <v>0</v>
          </cell>
          <cell r="AB196" t="b">
            <v>0</v>
          </cell>
          <cell r="AC196" t="b">
            <v>0</v>
          </cell>
          <cell r="AD196" t="b">
            <v>0</v>
          </cell>
        </row>
        <row r="197">
          <cell r="Z197" t="b">
            <v>0</v>
          </cell>
          <cell r="AA197" t="b">
            <v>0</v>
          </cell>
          <cell r="AB197" t="b">
            <v>0</v>
          </cell>
          <cell r="AC197" t="b">
            <v>0</v>
          </cell>
          <cell r="AD197" t="b">
            <v>0</v>
          </cell>
        </row>
        <row r="198">
          <cell r="Z198" t="b">
            <v>0</v>
          </cell>
          <cell r="AA198" t="b">
            <v>0</v>
          </cell>
          <cell r="AB198" t="b">
            <v>0</v>
          </cell>
          <cell r="AC198" t="b">
            <v>0</v>
          </cell>
          <cell r="AD198" t="b">
            <v>0</v>
          </cell>
        </row>
        <row r="199">
          <cell r="Z199" t="b">
            <v>0</v>
          </cell>
          <cell r="AA199" t="b">
            <v>0</v>
          </cell>
          <cell r="AB199" t="b">
            <v>0</v>
          </cell>
          <cell r="AC199" t="b">
            <v>0</v>
          </cell>
          <cell r="AD199" t="b">
            <v>0</v>
          </cell>
        </row>
        <row r="200">
          <cell r="Z200" t="b">
            <v>0</v>
          </cell>
          <cell r="AA200" t="b">
            <v>0</v>
          </cell>
          <cell r="AB200" t="b">
            <v>0</v>
          </cell>
          <cell r="AC200" t="b">
            <v>0</v>
          </cell>
          <cell r="AD200" t="b">
            <v>0</v>
          </cell>
        </row>
        <row r="201">
          <cell r="Z201" t="b">
            <v>0</v>
          </cell>
          <cell r="AA201" t="b">
            <v>0</v>
          </cell>
          <cell r="AB201" t="b">
            <v>0</v>
          </cell>
          <cell r="AC201" t="b">
            <v>0</v>
          </cell>
          <cell r="AD201" t="b">
            <v>0</v>
          </cell>
        </row>
        <row r="202">
          <cell r="Z202" t="b">
            <v>0</v>
          </cell>
          <cell r="AA202" t="b">
            <v>0</v>
          </cell>
          <cell r="AB202" t="b">
            <v>0</v>
          </cell>
          <cell r="AC202" t="b">
            <v>0</v>
          </cell>
          <cell r="AD202" t="b">
            <v>0</v>
          </cell>
        </row>
        <row r="203">
          <cell r="Z203" t="b">
            <v>0</v>
          </cell>
          <cell r="AA203" t="b">
            <v>0</v>
          </cell>
          <cell r="AB203" t="b">
            <v>0</v>
          </cell>
          <cell r="AC203" t="b">
            <v>0</v>
          </cell>
          <cell r="AD203" t="b">
            <v>0</v>
          </cell>
        </row>
        <row r="204">
          <cell r="Z204" t="b">
            <v>0</v>
          </cell>
          <cell r="AA204" t="b">
            <v>0</v>
          </cell>
          <cell r="AB204" t="b">
            <v>0</v>
          </cell>
          <cell r="AC204" t="b">
            <v>0</v>
          </cell>
          <cell r="AD204" t="b">
            <v>0</v>
          </cell>
        </row>
        <row r="205">
          <cell r="Z205" t="b">
            <v>0</v>
          </cell>
          <cell r="AA205" t="b">
            <v>0</v>
          </cell>
          <cell r="AB205" t="b">
            <v>0</v>
          </cell>
          <cell r="AC205" t="b">
            <v>0</v>
          </cell>
          <cell r="AD205" t="b">
            <v>0</v>
          </cell>
        </row>
        <row r="206">
          <cell r="Z206" t="b">
            <v>0</v>
          </cell>
          <cell r="AA206" t="b">
            <v>0</v>
          </cell>
          <cell r="AB206" t="b">
            <v>0</v>
          </cell>
          <cell r="AC206" t="b">
            <v>0</v>
          </cell>
          <cell r="AD206" t="b">
            <v>0</v>
          </cell>
        </row>
        <row r="207">
          <cell r="Z207" t="b">
            <v>0</v>
          </cell>
          <cell r="AA207" t="b">
            <v>0</v>
          </cell>
          <cell r="AB207" t="b">
            <v>0</v>
          </cell>
          <cell r="AC207" t="b">
            <v>0</v>
          </cell>
          <cell r="AD207" t="b">
            <v>0</v>
          </cell>
        </row>
        <row r="208">
          <cell r="Z208" t="b">
            <v>0</v>
          </cell>
          <cell r="AA208" t="b">
            <v>0</v>
          </cell>
          <cell r="AB208" t="b">
            <v>0</v>
          </cell>
          <cell r="AC208" t="b">
            <v>0</v>
          </cell>
          <cell r="AD208" t="b">
            <v>0</v>
          </cell>
        </row>
        <row r="209">
          <cell r="Z209" t="b">
            <v>0</v>
          </cell>
          <cell r="AA209" t="b">
            <v>0</v>
          </cell>
          <cell r="AB209" t="b">
            <v>0</v>
          </cell>
          <cell r="AC209" t="b">
            <v>0</v>
          </cell>
          <cell r="AD209" t="b">
            <v>0</v>
          </cell>
        </row>
        <row r="210">
          <cell r="Z210" t="b">
            <v>0</v>
          </cell>
          <cell r="AA210" t="b">
            <v>0</v>
          </cell>
          <cell r="AB210" t="b">
            <v>0</v>
          </cell>
          <cell r="AC210" t="b">
            <v>0</v>
          </cell>
          <cell r="AD210" t="b">
            <v>0</v>
          </cell>
        </row>
        <row r="211">
          <cell r="Z211" t="b">
            <v>0</v>
          </cell>
          <cell r="AA211" t="b">
            <v>0</v>
          </cell>
          <cell r="AB211" t="b">
            <v>0</v>
          </cell>
          <cell r="AC211" t="b">
            <v>0</v>
          </cell>
          <cell r="AD211" t="b">
            <v>0</v>
          </cell>
        </row>
        <row r="212">
          <cell r="Z212" t="b">
            <v>0</v>
          </cell>
          <cell r="AA212" t="b">
            <v>0</v>
          </cell>
          <cell r="AB212" t="b">
            <v>0</v>
          </cell>
          <cell r="AC212" t="b">
            <v>0</v>
          </cell>
          <cell r="AD212" t="b">
            <v>0</v>
          </cell>
        </row>
        <row r="213">
          <cell r="Z213" t="b">
            <v>0</v>
          </cell>
          <cell r="AA213" t="b">
            <v>0</v>
          </cell>
          <cell r="AB213" t="b">
            <v>0</v>
          </cell>
          <cell r="AC213" t="b">
            <v>0</v>
          </cell>
          <cell r="AD213" t="b">
            <v>0</v>
          </cell>
        </row>
        <row r="214">
          <cell r="Z214" t="b">
            <v>0</v>
          </cell>
          <cell r="AA214" t="b">
            <v>0</v>
          </cell>
          <cell r="AB214" t="b">
            <v>0</v>
          </cell>
          <cell r="AC214" t="b">
            <v>0</v>
          </cell>
          <cell r="AD214" t="b">
            <v>0</v>
          </cell>
        </row>
        <row r="215">
          <cell r="Z215" t="b">
            <v>0</v>
          </cell>
          <cell r="AA215" t="b">
            <v>0</v>
          </cell>
          <cell r="AB215" t="b">
            <v>0</v>
          </cell>
          <cell r="AC215" t="b">
            <v>0</v>
          </cell>
          <cell r="AD215" t="b">
            <v>0</v>
          </cell>
        </row>
        <row r="216">
          <cell r="Z216" t="b">
            <v>0</v>
          </cell>
          <cell r="AA216" t="b">
            <v>0</v>
          </cell>
          <cell r="AB216" t="b">
            <v>0</v>
          </cell>
          <cell r="AC216" t="b">
            <v>0</v>
          </cell>
          <cell r="AD216" t="b">
            <v>0</v>
          </cell>
        </row>
        <row r="217">
          <cell r="Z217" t="b">
            <v>0</v>
          </cell>
          <cell r="AA217" t="b">
            <v>0</v>
          </cell>
          <cell r="AB217" t="b">
            <v>0</v>
          </cell>
          <cell r="AC217" t="b">
            <v>0</v>
          </cell>
          <cell r="AD217" t="b">
            <v>0</v>
          </cell>
        </row>
        <row r="218">
          <cell r="Z218" t="b">
            <v>0</v>
          </cell>
          <cell r="AA218" t="b">
            <v>0</v>
          </cell>
          <cell r="AB218" t="b">
            <v>0</v>
          </cell>
          <cell r="AC218" t="b">
            <v>0</v>
          </cell>
          <cell r="AD218" t="b">
            <v>0</v>
          </cell>
        </row>
        <row r="219">
          <cell r="Z219" t="b">
            <v>0</v>
          </cell>
          <cell r="AA219" t="b">
            <v>0</v>
          </cell>
          <cell r="AB219" t="b">
            <v>0</v>
          </cell>
          <cell r="AC219" t="b">
            <v>0</v>
          </cell>
          <cell r="AD219" t="b">
            <v>0</v>
          </cell>
        </row>
        <row r="220">
          <cell r="Z220" t="b">
            <v>0</v>
          </cell>
          <cell r="AA220" t="b">
            <v>0</v>
          </cell>
          <cell r="AB220" t="b">
            <v>0</v>
          </cell>
          <cell r="AC220" t="b">
            <v>0</v>
          </cell>
          <cell r="AD220" t="b">
            <v>0</v>
          </cell>
        </row>
        <row r="221">
          <cell r="Z221" t="b">
            <v>0</v>
          </cell>
          <cell r="AA221" t="b">
            <v>0</v>
          </cell>
          <cell r="AB221" t="b">
            <v>0</v>
          </cell>
          <cell r="AC221" t="b">
            <v>0</v>
          </cell>
          <cell r="AD221" t="b">
            <v>0</v>
          </cell>
        </row>
        <row r="222">
          <cell r="Z222" t="b">
            <v>0</v>
          </cell>
          <cell r="AA222" t="b">
            <v>0</v>
          </cell>
          <cell r="AB222" t="b">
            <v>0</v>
          </cell>
          <cell r="AC222" t="b">
            <v>0</v>
          </cell>
          <cell r="AD222" t="b">
            <v>0</v>
          </cell>
        </row>
        <row r="223">
          <cell r="Z223" t="b">
            <v>0</v>
          </cell>
          <cell r="AA223" t="b">
            <v>0</v>
          </cell>
          <cell r="AB223" t="b">
            <v>0</v>
          </cell>
          <cell r="AC223" t="b">
            <v>0</v>
          </cell>
          <cell r="AD223" t="b">
            <v>0</v>
          </cell>
        </row>
        <row r="224">
          <cell r="Z224" t="b">
            <v>0</v>
          </cell>
          <cell r="AA224" t="b">
            <v>0</v>
          </cell>
          <cell r="AB224" t="b">
            <v>0</v>
          </cell>
          <cell r="AC224" t="b">
            <v>0</v>
          </cell>
          <cell r="AD224" t="b">
            <v>0</v>
          </cell>
        </row>
        <row r="225">
          <cell r="Z225" t="b">
            <v>0</v>
          </cell>
          <cell r="AA225" t="b">
            <v>0</v>
          </cell>
          <cell r="AB225" t="b">
            <v>0</v>
          </cell>
          <cell r="AC225" t="b">
            <v>0</v>
          </cell>
          <cell r="AD225" t="b">
            <v>0</v>
          </cell>
        </row>
        <row r="226">
          <cell r="Z226" t="b">
            <v>0</v>
          </cell>
          <cell r="AA226" t="b">
            <v>0</v>
          </cell>
          <cell r="AB226" t="b">
            <v>0</v>
          </cell>
          <cell r="AC226" t="b">
            <v>0</v>
          </cell>
          <cell r="AD226" t="b">
            <v>0</v>
          </cell>
        </row>
        <row r="227">
          <cell r="Z227" t="b">
            <v>0</v>
          </cell>
          <cell r="AA227" t="b">
            <v>0</v>
          </cell>
          <cell r="AB227" t="b">
            <v>0</v>
          </cell>
          <cell r="AC227" t="b">
            <v>0</v>
          </cell>
          <cell r="AD227" t="b">
            <v>0</v>
          </cell>
        </row>
        <row r="228">
          <cell r="Z228" t="b">
            <v>0</v>
          </cell>
          <cell r="AA228" t="b">
            <v>0</v>
          </cell>
          <cell r="AB228" t="b">
            <v>0</v>
          </cell>
          <cell r="AC228" t="b">
            <v>0</v>
          </cell>
          <cell r="AD228" t="b">
            <v>0</v>
          </cell>
        </row>
        <row r="229">
          <cell r="Z229" t="b">
            <v>0</v>
          </cell>
          <cell r="AA229" t="b">
            <v>0</v>
          </cell>
          <cell r="AB229" t="b">
            <v>0</v>
          </cell>
          <cell r="AC229" t="b">
            <v>0</v>
          </cell>
          <cell r="AD229" t="b">
            <v>0</v>
          </cell>
        </row>
        <row r="230">
          <cell r="Z230" t="b">
            <v>0</v>
          </cell>
          <cell r="AA230" t="b">
            <v>0</v>
          </cell>
          <cell r="AB230" t="b">
            <v>0</v>
          </cell>
          <cell r="AC230" t="b">
            <v>0</v>
          </cell>
          <cell r="AD230" t="b">
            <v>0</v>
          </cell>
        </row>
        <row r="231">
          <cell r="Z231" t="b">
            <v>0</v>
          </cell>
          <cell r="AA231" t="b">
            <v>0</v>
          </cell>
          <cell r="AB231" t="b">
            <v>0</v>
          </cell>
          <cell r="AC231" t="b">
            <v>0</v>
          </cell>
          <cell r="AD231" t="b">
            <v>0</v>
          </cell>
        </row>
        <row r="232">
          <cell r="Z232" t="b">
            <v>0</v>
          </cell>
          <cell r="AA232" t="b">
            <v>0</v>
          </cell>
          <cell r="AB232" t="b">
            <v>0</v>
          </cell>
          <cell r="AC232" t="b">
            <v>0</v>
          </cell>
          <cell r="AD232" t="b">
            <v>0</v>
          </cell>
        </row>
        <row r="233">
          <cell r="Z233" t="b">
            <v>0</v>
          </cell>
          <cell r="AA233" t="b">
            <v>0</v>
          </cell>
          <cell r="AB233" t="b">
            <v>0</v>
          </cell>
          <cell r="AC233" t="b">
            <v>0</v>
          </cell>
          <cell r="AD233" t="b">
            <v>0</v>
          </cell>
        </row>
        <row r="234">
          <cell r="Z234" t="b">
            <v>0</v>
          </cell>
          <cell r="AA234" t="b">
            <v>0</v>
          </cell>
          <cell r="AB234" t="b">
            <v>0</v>
          </cell>
          <cell r="AC234" t="b">
            <v>0</v>
          </cell>
          <cell r="AD234" t="b">
            <v>0</v>
          </cell>
        </row>
        <row r="235">
          <cell r="Z235" t="b">
            <v>0</v>
          </cell>
          <cell r="AA235" t="b">
            <v>0</v>
          </cell>
          <cell r="AB235" t="b">
            <v>0</v>
          </cell>
          <cell r="AC235" t="b">
            <v>0</v>
          </cell>
          <cell r="AD235" t="b">
            <v>0</v>
          </cell>
        </row>
        <row r="236">
          <cell r="Z236" t="b">
            <v>0</v>
          </cell>
          <cell r="AA236" t="b">
            <v>0</v>
          </cell>
          <cell r="AB236" t="b">
            <v>0</v>
          </cell>
          <cell r="AC236" t="b">
            <v>0</v>
          </cell>
          <cell r="AD236" t="b">
            <v>0</v>
          </cell>
        </row>
        <row r="237">
          <cell r="Z237" t="b">
            <v>0</v>
          </cell>
          <cell r="AA237" t="b">
            <v>0</v>
          </cell>
          <cell r="AB237" t="b">
            <v>0</v>
          </cell>
          <cell r="AC237" t="b">
            <v>0</v>
          </cell>
          <cell r="AD237" t="b">
            <v>0</v>
          </cell>
        </row>
        <row r="238">
          <cell r="Z238" t="b">
            <v>0</v>
          </cell>
          <cell r="AA238" t="b">
            <v>0</v>
          </cell>
          <cell r="AB238" t="b">
            <v>0</v>
          </cell>
          <cell r="AC238" t="b">
            <v>0</v>
          </cell>
          <cell r="AD238" t="b">
            <v>0</v>
          </cell>
        </row>
        <row r="239">
          <cell r="Z239" t="b">
            <v>0</v>
          </cell>
          <cell r="AA239" t="b">
            <v>0</v>
          </cell>
          <cell r="AB239" t="b">
            <v>0</v>
          </cell>
          <cell r="AC239" t="b">
            <v>0</v>
          </cell>
          <cell r="AD239" t="b">
            <v>0</v>
          </cell>
        </row>
        <row r="240">
          <cell r="Z240" t="b">
            <v>0</v>
          </cell>
          <cell r="AA240" t="b">
            <v>0</v>
          </cell>
          <cell r="AB240" t="b">
            <v>0</v>
          </cell>
          <cell r="AC240" t="b">
            <v>0</v>
          </cell>
          <cell r="AD240" t="b">
            <v>0</v>
          </cell>
        </row>
        <row r="241">
          <cell r="Z241" t="b">
            <v>0</v>
          </cell>
          <cell r="AA241" t="b">
            <v>0</v>
          </cell>
          <cell r="AB241" t="b">
            <v>0</v>
          </cell>
          <cell r="AC241" t="b">
            <v>0</v>
          </cell>
          <cell r="AD241" t="b">
            <v>0</v>
          </cell>
        </row>
        <row r="242">
          <cell r="Z242" t="b">
            <v>0</v>
          </cell>
          <cell r="AA242" t="b">
            <v>0</v>
          </cell>
          <cell r="AB242" t="b">
            <v>0</v>
          </cell>
          <cell r="AC242" t="b">
            <v>0</v>
          </cell>
          <cell r="AD242" t="b">
            <v>0</v>
          </cell>
        </row>
        <row r="243">
          <cell r="Z243" t="b">
            <v>0</v>
          </cell>
          <cell r="AA243" t="b">
            <v>0</v>
          </cell>
          <cell r="AB243" t="b">
            <v>0</v>
          </cell>
          <cell r="AC243" t="b">
            <v>0</v>
          </cell>
          <cell r="AD243" t="b">
            <v>0</v>
          </cell>
        </row>
        <row r="244">
          <cell r="Z244" t="b">
            <v>0</v>
          </cell>
          <cell r="AA244" t="b">
            <v>0</v>
          </cell>
          <cell r="AB244" t="b">
            <v>0</v>
          </cell>
          <cell r="AC244" t="b">
            <v>0</v>
          </cell>
          <cell r="AD244" t="b">
            <v>0</v>
          </cell>
        </row>
        <row r="245">
          <cell r="Z245" t="b">
            <v>0</v>
          </cell>
          <cell r="AA245" t="b">
            <v>0</v>
          </cell>
          <cell r="AB245" t="b">
            <v>0</v>
          </cell>
          <cell r="AC245" t="b">
            <v>0</v>
          </cell>
          <cell r="AD245" t="b">
            <v>0</v>
          </cell>
        </row>
        <row r="246">
          <cell r="Z246" t="b">
            <v>0</v>
          </cell>
          <cell r="AA246" t="b">
            <v>0</v>
          </cell>
          <cell r="AB246" t="b">
            <v>0</v>
          </cell>
          <cell r="AC246" t="b">
            <v>0</v>
          </cell>
          <cell r="AD246" t="b">
            <v>0</v>
          </cell>
        </row>
        <row r="247">
          <cell r="Z247" t="b">
            <v>0</v>
          </cell>
          <cell r="AA247" t="b">
            <v>0</v>
          </cell>
          <cell r="AB247" t="b">
            <v>0</v>
          </cell>
          <cell r="AC247" t="b">
            <v>0</v>
          </cell>
          <cell r="AD247" t="b">
            <v>0</v>
          </cell>
        </row>
        <row r="248">
          <cell r="Z248" t="b">
            <v>0</v>
          </cell>
          <cell r="AA248" t="b">
            <v>0</v>
          </cell>
          <cell r="AB248" t="b">
            <v>0</v>
          </cell>
          <cell r="AC248" t="b">
            <v>0</v>
          </cell>
          <cell r="AD248" t="b">
            <v>0</v>
          </cell>
        </row>
        <row r="249">
          <cell r="Z249" t="b">
            <v>0</v>
          </cell>
          <cell r="AA249" t="b">
            <v>0</v>
          </cell>
          <cell r="AB249" t="b">
            <v>0</v>
          </cell>
          <cell r="AC249" t="b">
            <v>0</v>
          </cell>
          <cell r="AD249" t="b">
            <v>0</v>
          </cell>
        </row>
        <row r="250">
          <cell r="Z250" t="b">
            <v>0</v>
          </cell>
          <cell r="AA250" t="b">
            <v>0</v>
          </cell>
          <cell r="AB250" t="b">
            <v>0</v>
          </cell>
          <cell r="AC250" t="b">
            <v>0</v>
          </cell>
          <cell r="AD250" t="b">
            <v>0</v>
          </cell>
        </row>
        <row r="251">
          <cell r="Z251" t="b">
            <v>0</v>
          </cell>
          <cell r="AA251" t="b">
            <v>0</v>
          </cell>
          <cell r="AB251" t="b">
            <v>0</v>
          </cell>
          <cell r="AC251" t="b">
            <v>0</v>
          </cell>
          <cell r="AD251" t="b">
            <v>0</v>
          </cell>
        </row>
        <row r="252">
          <cell r="Z252" t="b">
            <v>0</v>
          </cell>
          <cell r="AA252" t="b">
            <v>0</v>
          </cell>
          <cell r="AB252" t="b">
            <v>0</v>
          </cell>
          <cell r="AC252" t="b">
            <v>0</v>
          </cell>
          <cell r="AD252" t="b">
            <v>0</v>
          </cell>
        </row>
        <row r="253">
          <cell r="Z253" t="b">
            <v>0</v>
          </cell>
          <cell r="AA253" t="b">
            <v>0</v>
          </cell>
          <cell r="AB253" t="b">
            <v>0</v>
          </cell>
          <cell r="AC253" t="b">
            <v>0</v>
          </cell>
          <cell r="AD253" t="b">
            <v>0</v>
          </cell>
        </row>
        <row r="254">
          <cell r="Z254" t="b">
            <v>0</v>
          </cell>
          <cell r="AA254" t="b">
            <v>0</v>
          </cell>
          <cell r="AB254" t="b">
            <v>0</v>
          </cell>
          <cell r="AC254" t="b">
            <v>0</v>
          </cell>
          <cell r="AD254" t="b">
            <v>0</v>
          </cell>
        </row>
        <row r="255">
          <cell r="Z255" t="b">
            <v>0</v>
          </cell>
          <cell r="AA255" t="b">
            <v>0</v>
          </cell>
          <cell r="AB255" t="b">
            <v>0</v>
          </cell>
          <cell r="AC255" t="b">
            <v>0</v>
          </cell>
          <cell r="AD255" t="b">
            <v>0</v>
          </cell>
        </row>
        <row r="256">
          <cell r="Z256" t="b">
            <v>0</v>
          </cell>
          <cell r="AA256" t="b">
            <v>0</v>
          </cell>
          <cell r="AB256" t="b">
            <v>0</v>
          </cell>
          <cell r="AC256" t="b">
            <v>0</v>
          </cell>
          <cell r="AD256" t="b">
            <v>0</v>
          </cell>
        </row>
        <row r="257">
          <cell r="Z257" t="b">
            <v>0</v>
          </cell>
          <cell r="AA257" t="b">
            <v>0</v>
          </cell>
          <cell r="AB257" t="b">
            <v>0</v>
          </cell>
          <cell r="AC257" t="b">
            <v>0</v>
          </cell>
          <cell r="AD257" t="b">
            <v>0</v>
          </cell>
        </row>
        <row r="258">
          <cell r="Z258" t="b">
            <v>0</v>
          </cell>
          <cell r="AA258" t="b">
            <v>0</v>
          </cell>
          <cell r="AB258" t="b">
            <v>0</v>
          </cell>
          <cell r="AC258" t="b">
            <v>0</v>
          </cell>
          <cell r="AD258" t="b">
            <v>0</v>
          </cell>
        </row>
        <row r="259">
          <cell r="Z259" t="b">
            <v>0</v>
          </cell>
          <cell r="AA259" t="b">
            <v>0</v>
          </cell>
          <cell r="AB259" t="b">
            <v>0</v>
          </cell>
          <cell r="AC259" t="b">
            <v>0</v>
          </cell>
          <cell r="AD259" t="b">
            <v>0</v>
          </cell>
        </row>
        <row r="260">
          <cell r="Z260" t="b">
            <v>0</v>
          </cell>
          <cell r="AA260" t="b">
            <v>0</v>
          </cell>
          <cell r="AB260" t="b">
            <v>0</v>
          </cell>
          <cell r="AC260" t="b">
            <v>0</v>
          </cell>
          <cell r="AD260" t="b">
            <v>0</v>
          </cell>
        </row>
        <row r="261">
          <cell r="Z261" t="b">
            <v>0</v>
          </cell>
          <cell r="AA261" t="b">
            <v>0</v>
          </cell>
          <cell r="AB261" t="b">
            <v>0</v>
          </cell>
          <cell r="AC261" t="b">
            <v>0</v>
          </cell>
          <cell r="AD261" t="b">
            <v>0</v>
          </cell>
        </row>
        <row r="262">
          <cell r="Z262" t="b">
            <v>0</v>
          </cell>
          <cell r="AA262" t="b">
            <v>0</v>
          </cell>
          <cell r="AB262" t="b">
            <v>0</v>
          </cell>
          <cell r="AC262" t="b">
            <v>0</v>
          </cell>
          <cell r="AD262" t="b">
            <v>0</v>
          </cell>
        </row>
        <row r="263">
          <cell r="Z263" t="b">
            <v>0</v>
          </cell>
          <cell r="AA263" t="b">
            <v>0</v>
          </cell>
          <cell r="AB263" t="b">
            <v>0</v>
          </cell>
          <cell r="AC263" t="b">
            <v>0</v>
          </cell>
          <cell r="AD263" t="b">
            <v>0</v>
          </cell>
        </row>
        <row r="264">
          <cell r="Z264" t="b">
            <v>0</v>
          </cell>
          <cell r="AA264" t="b">
            <v>0</v>
          </cell>
          <cell r="AB264" t="b">
            <v>0</v>
          </cell>
          <cell r="AC264" t="b">
            <v>0</v>
          </cell>
          <cell r="AD264" t="b">
            <v>0</v>
          </cell>
        </row>
        <row r="265">
          <cell r="Z265" t="b">
            <v>0</v>
          </cell>
          <cell r="AA265" t="b">
            <v>0</v>
          </cell>
          <cell r="AB265" t="b">
            <v>0</v>
          </cell>
          <cell r="AC265" t="b">
            <v>0</v>
          </cell>
          <cell r="AD265" t="b">
            <v>0</v>
          </cell>
        </row>
        <row r="266">
          <cell r="Z266" t="b">
            <v>0</v>
          </cell>
          <cell r="AA266" t="b">
            <v>0</v>
          </cell>
          <cell r="AB266" t="b">
            <v>0</v>
          </cell>
          <cell r="AC266" t="b">
            <v>0</v>
          </cell>
          <cell r="AD266" t="b">
            <v>0</v>
          </cell>
        </row>
        <row r="267">
          <cell r="Z267" t="b">
            <v>0</v>
          </cell>
          <cell r="AA267" t="b">
            <v>0</v>
          </cell>
          <cell r="AB267" t="b">
            <v>0</v>
          </cell>
          <cell r="AC267" t="b">
            <v>0</v>
          </cell>
          <cell r="AD267" t="b">
            <v>0</v>
          </cell>
        </row>
        <row r="268">
          <cell r="Z268" t="b">
            <v>0</v>
          </cell>
          <cell r="AA268" t="b">
            <v>0</v>
          </cell>
          <cell r="AB268" t="b">
            <v>0</v>
          </cell>
          <cell r="AC268" t="b">
            <v>0</v>
          </cell>
          <cell r="AD268" t="b">
            <v>0</v>
          </cell>
        </row>
        <row r="269">
          <cell r="Z269" t="b">
            <v>0</v>
          </cell>
          <cell r="AA269" t="b">
            <v>0</v>
          </cell>
          <cell r="AB269" t="b">
            <v>0</v>
          </cell>
          <cell r="AC269" t="b">
            <v>0</v>
          </cell>
          <cell r="AD269" t="b">
            <v>0</v>
          </cell>
        </row>
        <row r="270">
          <cell r="Z270" t="b">
            <v>0</v>
          </cell>
          <cell r="AA270" t="b">
            <v>0</v>
          </cell>
          <cell r="AB270" t="b">
            <v>0</v>
          </cell>
          <cell r="AC270" t="b">
            <v>0</v>
          </cell>
          <cell r="AD270" t="b">
            <v>0</v>
          </cell>
        </row>
        <row r="271">
          <cell r="Z271" t="b">
            <v>0</v>
          </cell>
          <cell r="AA271" t="b">
            <v>0</v>
          </cell>
          <cell r="AB271" t="b">
            <v>0</v>
          </cell>
          <cell r="AC271" t="b">
            <v>0</v>
          </cell>
          <cell r="AD271" t="b">
            <v>0</v>
          </cell>
        </row>
        <row r="272">
          <cell r="Z272" t="b">
            <v>0</v>
          </cell>
          <cell r="AA272" t="b">
            <v>0</v>
          </cell>
          <cell r="AB272" t="b">
            <v>0</v>
          </cell>
          <cell r="AC272" t="b">
            <v>0</v>
          </cell>
          <cell r="AD272" t="b">
            <v>0</v>
          </cell>
        </row>
        <row r="273">
          <cell r="Z273" t="b">
            <v>0</v>
          </cell>
          <cell r="AA273" t="b">
            <v>0</v>
          </cell>
          <cell r="AB273" t="b">
            <v>0</v>
          </cell>
          <cell r="AC273" t="b">
            <v>0</v>
          </cell>
          <cell r="AD273" t="b">
            <v>0</v>
          </cell>
        </row>
        <row r="274">
          <cell r="Z274" t="b">
            <v>0</v>
          </cell>
          <cell r="AA274" t="b">
            <v>0</v>
          </cell>
          <cell r="AB274" t="b">
            <v>0</v>
          </cell>
          <cell r="AC274" t="b">
            <v>0</v>
          </cell>
          <cell r="AD274" t="b">
            <v>0</v>
          </cell>
        </row>
        <row r="275">
          <cell r="Z275" t="b">
            <v>0</v>
          </cell>
          <cell r="AA275" t="b">
            <v>0</v>
          </cell>
          <cell r="AB275" t="b">
            <v>0</v>
          </cell>
          <cell r="AC275" t="b">
            <v>0</v>
          </cell>
          <cell r="AD275" t="b">
            <v>0</v>
          </cell>
        </row>
        <row r="276">
          <cell r="Z276" t="b">
            <v>0</v>
          </cell>
          <cell r="AA276" t="b">
            <v>0</v>
          </cell>
          <cell r="AB276" t="b">
            <v>0</v>
          </cell>
          <cell r="AC276" t="b">
            <v>0</v>
          </cell>
          <cell r="AD276" t="b">
            <v>0</v>
          </cell>
        </row>
        <row r="277">
          <cell r="Z277" t="b">
            <v>0</v>
          </cell>
          <cell r="AA277" t="b">
            <v>0</v>
          </cell>
          <cell r="AB277" t="b">
            <v>0</v>
          </cell>
          <cell r="AC277" t="b">
            <v>0</v>
          </cell>
          <cell r="AD277" t="b">
            <v>0</v>
          </cell>
        </row>
        <row r="278">
          <cell r="Z278" t="b">
            <v>0</v>
          </cell>
          <cell r="AA278" t="b">
            <v>0</v>
          </cell>
          <cell r="AB278" t="b">
            <v>0</v>
          </cell>
          <cell r="AC278" t="b">
            <v>0</v>
          </cell>
          <cell r="AD278" t="b">
            <v>0</v>
          </cell>
        </row>
        <row r="279">
          <cell r="Z279" t="b">
            <v>0</v>
          </cell>
          <cell r="AA279" t="b">
            <v>0</v>
          </cell>
          <cell r="AB279" t="b">
            <v>0</v>
          </cell>
          <cell r="AC279" t="b">
            <v>0</v>
          </cell>
          <cell r="AD279" t="b">
            <v>0</v>
          </cell>
        </row>
        <row r="280">
          <cell r="Z280" t="b">
            <v>0</v>
          </cell>
          <cell r="AA280" t="b">
            <v>0</v>
          </cell>
          <cell r="AB280" t="b">
            <v>0</v>
          </cell>
          <cell r="AC280" t="b">
            <v>0</v>
          </cell>
          <cell r="AD280" t="b">
            <v>0</v>
          </cell>
        </row>
        <row r="281">
          <cell r="Z281" t="b">
            <v>0</v>
          </cell>
          <cell r="AA281" t="b">
            <v>0</v>
          </cell>
          <cell r="AB281" t="b">
            <v>0</v>
          </cell>
          <cell r="AC281" t="b">
            <v>0</v>
          </cell>
          <cell r="AD281" t="b">
            <v>0</v>
          </cell>
        </row>
        <row r="282">
          <cell r="Z282" t="b">
            <v>0</v>
          </cell>
          <cell r="AA282" t="b">
            <v>0</v>
          </cell>
          <cell r="AB282" t="b">
            <v>0</v>
          </cell>
          <cell r="AC282" t="b">
            <v>0</v>
          </cell>
          <cell r="AD282" t="b">
            <v>0</v>
          </cell>
        </row>
        <row r="283">
          <cell r="Z283" t="b">
            <v>0</v>
          </cell>
          <cell r="AA283" t="b">
            <v>0</v>
          </cell>
          <cell r="AB283" t="b">
            <v>0</v>
          </cell>
          <cell r="AC283" t="b">
            <v>0</v>
          </cell>
          <cell r="AD283" t="b">
            <v>0</v>
          </cell>
        </row>
        <row r="284">
          <cell r="Z284" t="b">
            <v>0</v>
          </cell>
          <cell r="AA284" t="b">
            <v>0</v>
          </cell>
          <cell r="AB284" t="b">
            <v>0</v>
          </cell>
          <cell r="AC284" t="b">
            <v>0</v>
          </cell>
          <cell r="AD284" t="b">
            <v>0</v>
          </cell>
        </row>
        <row r="285">
          <cell r="Z285" t="b">
            <v>0</v>
          </cell>
          <cell r="AA285" t="b">
            <v>0</v>
          </cell>
          <cell r="AB285" t="b">
            <v>0</v>
          </cell>
          <cell r="AC285" t="b">
            <v>0</v>
          </cell>
          <cell r="AD285" t="b">
            <v>0</v>
          </cell>
        </row>
        <row r="286">
          <cell r="Z286" t="b">
            <v>0</v>
          </cell>
          <cell r="AA286" t="b">
            <v>0</v>
          </cell>
          <cell r="AB286" t="b">
            <v>0</v>
          </cell>
          <cell r="AC286" t="b">
            <v>0</v>
          </cell>
          <cell r="AD286" t="b">
            <v>0</v>
          </cell>
        </row>
        <row r="287">
          <cell r="Z287" t="b">
            <v>0</v>
          </cell>
          <cell r="AA287" t="b">
            <v>0</v>
          </cell>
          <cell r="AB287" t="b">
            <v>0</v>
          </cell>
          <cell r="AC287" t="b">
            <v>0</v>
          </cell>
          <cell r="AD287" t="b">
            <v>0</v>
          </cell>
        </row>
        <row r="288">
          <cell r="Z288" t="b">
            <v>0</v>
          </cell>
          <cell r="AA288" t="b">
            <v>0</v>
          </cell>
          <cell r="AB288" t="b">
            <v>0</v>
          </cell>
          <cell r="AC288" t="b">
            <v>0</v>
          </cell>
          <cell r="AD288" t="b">
            <v>0</v>
          </cell>
        </row>
        <row r="289">
          <cell r="Z289" t="b">
            <v>0</v>
          </cell>
          <cell r="AA289" t="b">
            <v>0</v>
          </cell>
          <cell r="AB289" t="b">
            <v>0</v>
          </cell>
          <cell r="AC289" t="b">
            <v>0</v>
          </cell>
          <cell r="AD289" t="b">
            <v>0</v>
          </cell>
        </row>
        <row r="290">
          <cell r="Z290" t="b">
            <v>0</v>
          </cell>
          <cell r="AA290" t="b">
            <v>0</v>
          </cell>
          <cell r="AB290" t="b">
            <v>0</v>
          </cell>
          <cell r="AC290" t="b">
            <v>0</v>
          </cell>
          <cell r="AD290" t="b">
            <v>0</v>
          </cell>
        </row>
        <row r="291">
          <cell r="Z291" t="b">
            <v>0</v>
          </cell>
          <cell r="AA291" t="b">
            <v>0</v>
          </cell>
          <cell r="AB291" t="b">
            <v>0</v>
          </cell>
          <cell r="AC291" t="b">
            <v>0</v>
          </cell>
          <cell r="AD291" t="b">
            <v>0</v>
          </cell>
        </row>
        <row r="292">
          <cell r="Z292" t="b">
            <v>0</v>
          </cell>
          <cell r="AA292" t="b">
            <v>0</v>
          </cell>
          <cell r="AB292" t="b">
            <v>0</v>
          </cell>
          <cell r="AC292" t="b">
            <v>0</v>
          </cell>
          <cell r="AD292" t="b">
            <v>0</v>
          </cell>
        </row>
        <row r="293">
          <cell r="Z293" t="b">
            <v>0</v>
          </cell>
          <cell r="AA293" t="b">
            <v>0</v>
          </cell>
          <cell r="AB293" t="b">
            <v>0</v>
          </cell>
          <cell r="AC293" t="b">
            <v>0</v>
          </cell>
          <cell r="AD293" t="b">
            <v>0</v>
          </cell>
        </row>
        <row r="294">
          <cell r="Z294" t="b">
            <v>0</v>
          </cell>
          <cell r="AA294" t="b">
            <v>0</v>
          </cell>
          <cell r="AB294" t="b">
            <v>0</v>
          </cell>
          <cell r="AC294" t="b">
            <v>0</v>
          </cell>
          <cell r="AD294" t="b">
            <v>0</v>
          </cell>
        </row>
        <row r="295">
          <cell r="Z295" t="b">
            <v>0</v>
          </cell>
          <cell r="AA295" t="b">
            <v>0</v>
          </cell>
          <cell r="AB295" t="b">
            <v>0</v>
          </cell>
          <cell r="AC295" t="b">
            <v>0</v>
          </cell>
          <cell r="AD295" t="b">
            <v>0</v>
          </cell>
        </row>
        <row r="296">
          <cell r="Z296" t="b">
            <v>0</v>
          </cell>
          <cell r="AA296" t="b">
            <v>0</v>
          </cell>
          <cell r="AB296" t="b">
            <v>0</v>
          </cell>
          <cell r="AC296" t="b">
            <v>0</v>
          </cell>
          <cell r="AD296" t="b">
            <v>0</v>
          </cell>
        </row>
        <row r="297">
          <cell r="Z297" t="b">
            <v>0</v>
          </cell>
          <cell r="AA297" t="b">
            <v>0</v>
          </cell>
          <cell r="AB297" t="b">
            <v>0</v>
          </cell>
          <cell r="AC297" t="b">
            <v>0</v>
          </cell>
          <cell r="AD297" t="b">
            <v>0</v>
          </cell>
        </row>
        <row r="298">
          <cell r="Z298" t="b">
            <v>0</v>
          </cell>
          <cell r="AA298" t="b">
            <v>0</v>
          </cell>
          <cell r="AB298" t="b">
            <v>0</v>
          </cell>
          <cell r="AC298" t="b">
            <v>0</v>
          </cell>
          <cell r="AD298" t="b">
            <v>0</v>
          </cell>
        </row>
        <row r="299">
          <cell r="Z299" t="b">
            <v>0</v>
          </cell>
          <cell r="AA299" t="b">
            <v>0</v>
          </cell>
          <cell r="AB299" t="b">
            <v>0</v>
          </cell>
          <cell r="AC299" t="b">
            <v>0</v>
          </cell>
          <cell r="AD299" t="b">
            <v>0</v>
          </cell>
        </row>
        <row r="300">
          <cell r="Z300" t="b">
            <v>0</v>
          </cell>
          <cell r="AA300" t="b">
            <v>0</v>
          </cell>
          <cell r="AB300" t="b">
            <v>0</v>
          </cell>
          <cell r="AC300" t="b">
            <v>0</v>
          </cell>
          <cell r="AD300" t="b">
            <v>0</v>
          </cell>
        </row>
        <row r="301">
          <cell r="Z301" t="b">
            <v>0</v>
          </cell>
          <cell r="AA301" t="b">
            <v>0</v>
          </cell>
          <cell r="AB301" t="b">
            <v>0</v>
          </cell>
          <cell r="AC301" t="b">
            <v>0</v>
          </cell>
          <cell r="AD301" t="b">
            <v>0</v>
          </cell>
        </row>
        <row r="302">
          <cell r="Z302" t="b">
            <v>0</v>
          </cell>
          <cell r="AA302" t="b">
            <v>0</v>
          </cell>
          <cell r="AB302" t="b">
            <v>0</v>
          </cell>
          <cell r="AC302" t="b">
            <v>0</v>
          </cell>
          <cell r="AD302" t="b">
            <v>0</v>
          </cell>
        </row>
        <row r="303">
          <cell r="Z303" t="b">
            <v>0</v>
          </cell>
          <cell r="AA303" t="b">
            <v>0</v>
          </cell>
          <cell r="AB303" t="b">
            <v>0</v>
          </cell>
          <cell r="AC303" t="b">
            <v>0</v>
          </cell>
          <cell r="AD303" t="b">
            <v>0</v>
          </cell>
        </row>
        <row r="304">
          <cell r="Z304" t="b">
            <v>0</v>
          </cell>
          <cell r="AA304" t="b">
            <v>0</v>
          </cell>
          <cell r="AB304" t="b">
            <v>0</v>
          </cell>
          <cell r="AC304" t="b">
            <v>0</v>
          </cell>
          <cell r="AD304" t="b">
            <v>0</v>
          </cell>
        </row>
        <row r="305">
          <cell r="Z305" t="b">
            <v>0</v>
          </cell>
          <cell r="AA305" t="b">
            <v>0</v>
          </cell>
          <cell r="AB305" t="b">
            <v>0</v>
          </cell>
          <cell r="AC305" t="b">
            <v>0</v>
          </cell>
          <cell r="AD305" t="b">
            <v>0</v>
          </cell>
        </row>
        <row r="306">
          <cell r="Z306" t="b">
            <v>0</v>
          </cell>
          <cell r="AA306" t="b">
            <v>0</v>
          </cell>
          <cell r="AB306" t="b">
            <v>0</v>
          </cell>
          <cell r="AC306" t="b">
            <v>0</v>
          </cell>
          <cell r="AD306" t="b">
            <v>0</v>
          </cell>
        </row>
        <row r="307">
          <cell r="Z307" t="b">
            <v>0</v>
          </cell>
          <cell r="AA307" t="b">
            <v>0</v>
          </cell>
          <cell r="AB307" t="b">
            <v>0</v>
          </cell>
          <cell r="AC307" t="b">
            <v>0</v>
          </cell>
          <cell r="AD307" t="b">
            <v>0</v>
          </cell>
        </row>
        <row r="308">
          <cell r="Z308" t="b">
            <v>0</v>
          </cell>
          <cell r="AA308" t="b">
            <v>0</v>
          </cell>
          <cell r="AB308" t="b">
            <v>0</v>
          </cell>
          <cell r="AC308" t="b">
            <v>0</v>
          </cell>
          <cell r="AD308" t="b">
            <v>0</v>
          </cell>
        </row>
        <row r="309">
          <cell r="Z309" t="b">
            <v>0</v>
          </cell>
          <cell r="AA309" t="b">
            <v>0</v>
          </cell>
          <cell r="AB309" t="b">
            <v>0</v>
          </cell>
          <cell r="AC309" t="b">
            <v>0</v>
          </cell>
          <cell r="AD309" t="b">
            <v>0</v>
          </cell>
        </row>
        <row r="310">
          <cell r="Z310" t="b">
            <v>0</v>
          </cell>
          <cell r="AA310" t="b">
            <v>0</v>
          </cell>
          <cell r="AB310" t="b">
            <v>0</v>
          </cell>
          <cell r="AC310" t="b">
            <v>0</v>
          </cell>
          <cell r="AD310" t="b">
            <v>0</v>
          </cell>
        </row>
        <row r="311">
          <cell r="Z311" t="b">
            <v>0</v>
          </cell>
          <cell r="AA311" t="b">
            <v>0</v>
          </cell>
          <cell r="AB311" t="b">
            <v>0</v>
          </cell>
          <cell r="AC311" t="b">
            <v>0</v>
          </cell>
          <cell r="AD311" t="b">
            <v>0</v>
          </cell>
        </row>
        <row r="312">
          <cell r="Z312" t="b">
            <v>0</v>
          </cell>
          <cell r="AA312" t="b">
            <v>0</v>
          </cell>
          <cell r="AB312" t="b">
            <v>0</v>
          </cell>
          <cell r="AC312" t="b">
            <v>0</v>
          </cell>
          <cell r="AD312" t="b">
            <v>0</v>
          </cell>
        </row>
        <row r="313">
          <cell r="Z313" t="b">
            <v>0</v>
          </cell>
          <cell r="AA313" t="b">
            <v>0</v>
          </cell>
          <cell r="AB313" t="b">
            <v>0</v>
          </cell>
          <cell r="AC313" t="b">
            <v>0</v>
          </cell>
          <cell r="AD313" t="b">
            <v>0</v>
          </cell>
        </row>
        <row r="314">
          <cell r="Z314" t="b">
            <v>0</v>
          </cell>
          <cell r="AA314" t="b">
            <v>0</v>
          </cell>
          <cell r="AB314" t="b">
            <v>0</v>
          </cell>
          <cell r="AC314" t="b">
            <v>0</v>
          </cell>
          <cell r="AD314" t="b">
            <v>0</v>
          </cell>
        </row>
        <row r="315">
          <cell r="Z315" t="b">
            <v>0</v>
          </cell>
          <cell r="AA315" t="b">
            <v>0</v>
          </cell>
          <cell r="AB315" t="b">
            <v>0</v>
          </cell>
          <cell r="AC315" t="b">
            <v>0</v>
          </cell>
          <cell r="AD315" t="b">
            <v>0</v>
          </cell>
        </row>
        <row r="316">
          <cell r="Z316" t="b">
            <v>0</v>
          </cell>
          <cell r="AA316" t="b">
            <v>0</v>
          </cell>
          <cell r="AB316" t="b">
            <v>0</v>
          </cell>
          <cell r="AC316" t="b">
            <v>0</v>
          </cell>
          <cell r="AD316" t="b">
            <v>0</v>
          </cell>
        </row>
        <row r="317">
          <cell r="Z317" t="b">
            <v>0</v>
          </cell>
          <cell r="AA317" t="b">
            <v>0</v>
          </cell>
          <cell r="AB317" t="b">
            <v>0</v>
          </cell>
          <cell r="AC317" t="b">
            <v>0</v>
          </cell>
          <cell r="AD317" t="b">
            <v>0</v>
          </cell>
        </row>
        <row r="318">
          <cell r="Z318" t="b">
            <v>0</v>
          </cell>
          <cell r="AA318" t="b">
            <v>0</v>
          </cell>
          <cell r="AB318" t="b">
            <v>0</v>
          </cell>
          <cell r="AC318" t="b">
            <v>0</v>
          </cell>
          <cell r="AD318" t="b">
            <v>0</v>
          </cell>
        </row>
        <row r="319">
          <cell r="Z319" t="b">
            <v>0</v>
          </cell>
          <cell r="AA319" t="b">
            <v>0</v>
          </cell>
          <cell r="AB319" t="b">
            <v>0</v>
          </cell>
          <cell r="AC319" t="b">
            <v>0</v>
          </cell>
          <cell r="AD319" t="b">
            <v>0</v>
          </cell>
        </row>
        <row r="320">
          <cell r="Z320" t="b">
            <v>0</v>
          </cell>
          <cell r="AA320" t="b">
            <v>0</v>
          </cell>
          <cell r="AB320" t="b">
            <v>0</v>
          </cell>
          <cell r="AC320" t="b">
            <v>0</v>
          </cell>
          <cell r="AD320" t="b">
            <v>0</v>
          </cell>
        </row>
        <row r="321">
          <cell r="Z321" t="b">
            <v>0</v>
          </cell>
          <cell r="AA321" t="b">
            <v>0</v>
          </cell>
          <cell r="AB321" t="b">
            <v>0</v>
          </cell>
          <cell r="AC321" t="b">
            <v>0</v>
          </cell>
          <cell r="AD321" t="b">
            <v>0</v>
          </cell>
        </row>
        <row r="322">
          <cell r="Z322" t="b">
            <v>0</v>
          </cell>
          <cell r="AA322" t="b">
            <v>0</v>
          </cell>
          <cell r="AB322" t="b">
            <v>0</v>
          </cell>
          <cell r="AC322" t="b">
            <v>0</v>
          </cell>
          <cell r="AD322" t="b">
            <v>0</v>
          </cell>
        </row>
        <row r="323">
          <cell r="Z323" t="b">
            <v>0</v>
          </cell>
          <cell r="AA323" t="b">
            <v>0</v>
          </cell>
          <cell r="AB323" t="b">
            <v>0</v>
          </cell>
          <cell r="AC323" t="b">
            <v>0</v>
          </cell>
          <cell r="AD323" t="b">
            <v>0</v>
          </cell>
        </row>
        <row r="324">
          <cell r="Z324" t="b">
            <v>0</v>
          </cell>
          <cell r="AA324" t="b">
            <v>0</v>
          </cell>
          <cell r="AB324" t="b">
            <v>0</v>
          </cell>
          <cell r="AC324" t="b">
            <v>0</v>
          </cell>
          <cell r="AD324" t="b">
            <v>0</v>
          </cell>
        </row>
        <row r="325">
          <cell r="Z325" t="b">
            <v>0</v>
          </cell>
          <cell r="AA325" t="b">
            <v>0</v>
          </cell>
          <cell r="AB325" t="b">
            <v>0</v>
          </cell>
          <cell r="AC325" t="b">
            <v>0</v>
          </cell>
          <cell r="AD325" t="b">
            <v>0</v>
          </cell>
        </row>
        <row r="326">
          <cell r="Z326" t="b">
            <v>0</v>
          </cell>
          <cell r="AA326" t="b">
            <v>0</v>
          </cell>
          <cell r="AB326" t="b">
            <v>0</v>
          </cell>
          <cell r="AC326" t="b">
            <v>0</v>
          </cell>
          <cell r="AD326" t="b">
            <v>0</v>
          </cell>
        </row>
        <row r="327">
          <cell r="Z327" t="b">
            <v>0</v>
          </cell>
          <cell r="AA327" t="b">
            <v>0</v>
          </cell>
          <cell r="AB327" t="b">
            <v>0</v>
          </cell>
          <cell r="AC327" t="b">
            <v>0</v>
          </cell>
          <cell r="AD327" t="b">
            <v>0</v>
          </cell>
        </row>
        <row r="328">
          <cell r="Z328" t="b">
            <v>0</v>
          </cell>
          <cell r="AA328" t="b">
            <v>0</v>
          </cell>
          <cell r="AB328" t="b">
            <v>0</v>
          </cell>
          <cell r="AC328" t="b">
            <v>0</v>
          </cell>
          <cell r="AD328" t="b">
            <v>0</v>
          </cell>
        </row>
        <row r="329">
          <cell r="Z329" t="b">
            <v>0</v>
          </cell>
          <cell r="AA329" t="b">
            <v>0</v>
          </cell>
          <cell r="AB329" t="b">
            <v>0</v>
          </cell>
          <cell r="AC329" t="b">
            <v>0</v>
          </cell>
          <cell r="AD329" t="b">
            <v>0</v>
          </cell>
        </row>
        <row r="330">
          <cell r="Z330" t="b">
            <v>0</v>
          </cell>
          <cell r="AA330" t="b">
            <v>0</v>
          </cell>
          <cell r="AB330" t="b">
            <v>0</v>
          </cell>
          <cell r="AC330" t="b">
            <v>0</v>
          </cell>
          <cell r="AD330" t="b">
            <v>0</v>
          </cell>
        </row>
        <row r="331">
          <cell r="Z331" t="b">
            <v>0</v>
          </cell>
          <cell r="AA331" t="b">
            <v>0</v>
          </cell>
          <cell r="AB331" t="b">
            <v>0</v>
          </cell>
          <cell r="AC331" t="b">
            <v>0</v>
          </cell>
          <cell r="AD331" t="b">
            <v>0</v>
          </cell>
        </row>
        <row r="332">
          <cell r="Z332" t="b">
            <v>0</v>
          </cell>
          <cell r="AA332" t="b">
            <v>0</v>
          </cell>
          <cell r="AB332" t="b">
            <v>0</v>
          </cell>
          <cell r="AC332" t="b">
            <v>0</v>
          </cell>
          <cell r="AD332" t="b">
            <v>0</v>
          </cell>
        </row>
        <row r="333">
          <cell r="Z333" t="b">
            <v>0</v>
          </cell>
          <cell r="AA333" t="b">
            <v>0</v>
          </cell>
          <cell r="AB333" t="b">
            <v>0</v>
          </cell>
          <cell r="AC333" t="b">
            <v>0</v>
          </cell>
          <cell r="AD333" t="b">
            <v>0</v>
          </cell>
        </row>
        <row r="334">
          <cell r="Z334" t="b">
            <v>0</v>
          </cell>
          <cell r="AA334" t="b">
            <v>0</v>
          </cell>
          <cell r="AB334" t="b">
            <v>0</v>
          </cell>
          <cell r="AC334" t="b">
            <v>0</v>
          </cell>
          <cell r="AD334" t="b">
            <v>0</v>
          </cell>
        </row>
        <row r="335">
          <cell r="Z335" t="b">
            <v>0</v>
          </cell>
          <cell r="AA335" t="b">
            <v>0</v>
          </cell>
          <cell r="AB335" t="b">
            <v>0</v>
          </cell>
          <cell r="AC335" t="b">
            <v>0</v>
          </cell>
          <cell r="AD335" t="b">
            <v>0</v>
          </cell>
        </row>
        <row r="336">
          <cell r="Z336" t="b">
            <v>0</v>
          </cell>
          <cell r="AA336" t="b">
            <v>0</v>
          </cell>
          <cell r="AB336" t="b">
            <v>0</v>
          </cell>
          <cell r="AC336" t="b">
            <v>0</v>
          </cell>
          <cell r="AD336" t="b">
            <v>0</v>
          </cell>
        </row>
        <row r="337">
          <cell r="Z337" t="b">
            <v>0</v>
          </cell>
          <cell r="AA337" t="b">
            <v>0</v>
          </cell>
          <cell r="AB337" t="b">
            <v>0</v>
          </cell>
          <cell r="AC337" t="b">
            <v>0</v>
          </cell>
          <cell r="AD337" t="b">
            <v>0</v>
          </cell>
        </row>
        <row r="338">
          <cell r="Z338" t="b">
            <v>0</v>
          </cell>
          <cell r="AA338" t="b">
            <v>0</v>
          </cell>
          <cell r="AB338" t="b">
            <v>0</v>
          </cell>
          <cell r="AC338" t="b">
            <v>0</v>
          </cell>
          <cell r="AD338" t="b">
            <v>0</v>
          </cell>
        </row>
        <row r="339">
          <cell r="Z339" t="b">
            <v>0</v>
          </cell>
          <cell r="AA339" t="b">
            <v>0</v>
          </cell>
          <cell r="AB339" t="b">
            <v>0</v>
          </cell>
          <cell r="AC339" t="b">
            <v>0</v>
          </cell>
          <cell r="AD339" t="b">
            <v>0</v>
          </cell>
        </row>
        <row r="340">
          <cell r="Z340" t="b">
            <v>0</v>
          </cell>
          <cell r="AA340" t="b">
            <v>0</v>
          </cell>
          <cell r="AB340" t="b">
            <v>0</v>
          </cell>
          <cell r="AC340" t="b">
            <v>0</v>
          </cell>
          <cell r="AD340" t="b">
            <v>0</v>
          </cell>
        </row>
        <row r="341">
          <cell r="Z341" t="b">
            <v>0</v>
          </cell>
          <cell r="AA341" t="b">
            <v>0</v>
          </cell>
          <cell r="AB341" t="b">
            <v>0</v>
          </cell>
          <cell r="AC341" t="b">
            <v>0</v>
          </cell>
          <cell r="AD341" t="b">
            <v>0</v>
          </cell>
        </row>
        <row r="342">
          <cell r="Z342" t="b">
            <v>0</v>
          </cell>
          <cell r="AA342" t="b">
            <v>0</v>
          </cell>
          <cell r="AB342" t="b">
            <v>0</v>
          </cell>
          <cell r="AC342" t="b">
            <v>0</v>
          </cell>
          <cell r="AD342" t="b">
            <v>0</v>
          </cell>
        </row>
        <row r="343">
          <cell r="Z343" t="b">
            <v>0</v>
          </cell>
          <cell r="AA343" t="b">
            <v>0</v>
          </cell>
          <cell r="AB343" t="b">
            <v>0</v>
          </cell>
          <cell r="AC343" t="b">
            <v>0</v>
          </cell>
          <cell r="AD343" t="b">
            <v>0</v>
          </cell>
        </row>
        <row r="344">
          <cell r="Z344" t="b">
            <v>0</v>
          </cell>
          <cell r="AA344" t="b">
            <v>0</v>
          </cell>
          <cell r="AB344" t="b">
            <v>0</v>
          </cell>
          <cell r="AC344" t="b">
            <v>0</v>
          </cell>
          <cell r="AD344" t="b">
            <v>0</v>
          </cell>
        </row>
        <row r="345">
          <cell r="Z345" t="b">
            <v>0</v>
          </cell>
          <cell r="AA345" t="b">
            <v>0</v>
          </cell>
          <cell r="AB345" t="b">
            <v>0</v>
          </cell>
          <cell r="AC345" t="b">
            <v>0</v>
          </cell>
          <cell r="AD345" t="b">
            <v>0</v>
          </cell>
        </row>
        <row r="346">
          <cell r="Z346" t="b">
            <v>0</v>
          </cell>
          <cell r="AA346" t="b">
            <v>0</v>
          </cell>
          <cell r="AB346" t="b">
            <v>0</v>
          </cell>
          <cell r="AC346" t="b">
            <v>0</v>
          </cell>
          <cell r="AD346" t="b">
            <v>0</v>
          </cell>
        </row>
        <row r="347">
          <cell r="Z347" t="b">
            <v>0</v>
          </cell>
          <cell r="AA347" t="b">
            <v>0</v>
          </cell>
          <cell r="AB347" t="b">
            <v>0</v>
          </cell>
          <cell r="AC347" t="b">
            <v>0</v>
          </cell>
          <cell r="AD347" t="b">
            <v>0</v>
          </cell>
        </row>
        <row r="348">
          <cell r="Z348" t="b">
            <v>0</v>
          </cell>
          <cell r="AA348" t="b">
            <v>0</v>
          </cell>
          <cell r="AB348" t="b">
            <v>0</v>
          </cell>
          <cell r="AC348" t="b">
            <v>0</v>
          </cell>
          <cell r="AD348" t="b">
            <v>0</v>
          </cell>
        </row>
        <row r="349">
          <cell r="Z349" t="b">
            <v>0</v>
          </cell>
          <cell r="AA349" t="b">
            <v>0</v>
          </cell>
          <cell r="AB349" t="b">
            <v>0</v>
          </cell>
          <cell r="AC349" t="b">
            <v>0</v>
          </cell>
          <cell r="AD349" t="b">
            <v>0</v>
          </cell>
        </row>
        <row r="350">
          <cell r="Z350" t="b">
            <v>0</v>
          </cell>
          <cell r="AA350" t="b">
            <v>0</v>
          </cell>
          <cell r="AB350" t="b">
            <v>0</v>
          </cell>
          <cell r="AC350" t="b">
            <v>0</v>
          </cell>
          <cell r="AD350" t="b">
            <v>0</v>
          </cell>
        </row>
        <row r="351">
          <cell r="Z351" t="b">
            <v>0</v>
          </cell>
          <cell r="AA351" t="b">
            <v>0</v>
          </cell>
          <cell r="AB351" t="b">
            <v>0</v>
          </cell>
          <cell r="AC351" t="b">
            <v>0</v>
          </cell>
          <cell r="AD351" t="b">
            <v>0</v>
          </cell>
        </row>
        <row r="352">
          <cell r="Z352" t="b">
            <v>0</v>
          </cell>
          <cell r="AA352" t="b">
            <v>0</v>
          </cell>
          <cell r="AB352" t="b">
            <v>0</v>
          </cell>
          <cell r="AC352" t="b">
            <v>0</v>
          </cell>
          <cell r="AD352" t="b">
            <v>0</v>
          </cell>
        </row>
        <row r="353">
          <cell r="Z353" t="b">
            <v>0</v>
          </cell>
          <cell r="AA353" t="b">
            <v>0</v>
          </cell>
          <cell r="AB353" t="b">
            <v>0</v>
          </cell>
          <cell r="AC353" t="b">
            <v>0</v>
          </cell>
          <cell r="AD353" t="b">
            <v>0</v>
          </cell>
        </row>
        <row r="354">
          <cell r="Z354" t="b">
            <v>0</v>
          </cell>
          <cell r="AA354" t="b">
            <v>0</v>
          </cell>
          <cell r="AB354" t="b">
            <v>0</v>
          </cell>
          <cell r="AC354" t="b">
            <v>0</v>
          </cell>
          <cell r="AD354" t="b">
            <v>0</v>
          </cell>
        </row>
        <row r="355">
          <cell r="Z355" t="b">
            <v>0</v>
          </cell>
          <cell r="AA355" t="b">
            <v>0</v>
          </cell>
          <cell r="AB355" t="b">
            <v>0</v>
          </cell>
          <cell r="AC355" t="b">
            <v>0</v>
          </cell>
          <cell r="AD355" t="b">
            <v>0</v>
          </cell>
        </row>
        <row r="356">
          <cell r="Z356" t="b">
            <v>0</v>
          </cell>
          <cell r="AA356" t="b">
            <v>0</v>
          </cell>
          <cell r="AB356" t="b">
            <v>0</v>
          </cell>
          <cell r="AC356" t="b">
            <v>0</v>
          </cell>
          <cell r="AD356" t="b">
            <v>0</v>
          </cell>
        </row>
        <row r="357">
          <cell r="Z357" t="b">
            <v>0</v>
          </cell>
          <cell r="AA357" t="b">
            <v>0</v>
          </cell>
          <cell r="AB357" t="b">
            <v>0</v>
          </cell>
          <cell r="AC357" t="b">
            <v>0</v>
          </cell>
          <cell r="AD357" t="b">
            <v>0</v>
          </cell>
        </row>
        <row r="358">
          <cell r="Z358" t="b">
            <v>0</v>
          </cell>
          <cell r="AA358" t="b">
            <v>0</v>
          </cell>
          <cell r="AB358" t="b">
            <v>0</v>
          </cell>
          <cell r="AC358" t="b">
            <v>0</v>
          </cell>
          <cell r="AD358" t="b">
            <v>0</v>
          </cell>
        </row>
        <row r="359">
          <cell r="Z359" t="b">
            <v>0</v>
          </cell>
          <cell r="AA359" t="b">
            <v>0</v>
          </cell>
          <cell r="AB359" t="b">
            <v>0</v>
          </cell>
          <cell r="AC359" t="b">
            <v>0</v>
          </cell>
          <cell r="AD359" t="b">
            <v>0</v>
          </cell>
        </row>
        <row r="360">
          <cell r="Z360" t="b">
            <v>0</v>
          </cell>
          <cell r="AA360" t="b">
            <v>0</v>
          </cell>
          <cell r="AB360" t="b">
            <v>0</v>
          </cell>
          <cell r="AC360" t="b">
            <v>0</v>
          </cell>
          <cell r="AD360" t="b">
            <v>0</v>
          </cell>
        </row>
        <row r="361">
          <cell r="Z361" t="b">
            <v>0</v>
          </cell>
          <cell r="AA361" t="b">
            <v>0</v>
          </cell>
          <cell r="AB361" t="b">
            <v>0</v>
          </cell>
          <cell r="AC361" t="b">
            <v>0</v>
          </cell>
          <cell r="AD361" t="b">
            <v>0</v>
          </cell>
        </row>
        <row r="362">
          <cell r="Z362" t="b">
            <v>0</v>
          </cell>
          <cell r="AA362" t="b">
            <v>0</v>
          </cell>
          <cell r="AB362" t="b">
            <v>0</v>
          </cell>
          <cell r="AC362" t="b">
            <v>0</v>
          </cell>
          <cell r="AD362" t="b">
            <v>0</v>
          </cell>
        </row>
        <row r="363">
          <cell r="Z363" t="b">
            <v>0</v>
          </cell>
          <cell r="AA363" t="b">
            <v>0</v>
          </cell>
          <cell r="AB363" t="b">
            <v>0</v>
          </cell>
          <cell r="AC363" t="b">
            <v>0</v>
          </cell>
          <cell r="AD363" t="b">
            <v>0</v>
          </cell>
        </row>
        <row r="364">
          <cell r="Z364" t="b">
            <v>0</v>
          </cell>
          <cell r="AA364" t="b">
            <v>0</v>
          </cell>
          <cell r="AB364" t="b">
            <v>0</v>
          </cell>
          <cell r="AC364" t="b">
            <v>0</v>
          </cell>
          <cell r="AD364" t="b">
            <v>0</v>
          </cell>
        </row>
        <row r="365">
          <cell r="Z365" t="b">
            <v>0</v>
          </cell>
          <cell r="AA365" t="b">
            <v>0</v>
          </cell>
          <cell r="AB365" t="b">
            <v>0</v>
          </cell>
          <cell r="AC365" t="b">
            <v>0</v>
          </cell>
          <cell r="AD365" t="b">
            <v>0</v>
          </cell>
        </row>
        <row r="366">
          <cell r="Z366" t="b">
            <v>0</v>
          </cell>
          <cell r="AA366" t="b">
            <v>0</v>
          </cell>
          <cell r="AB366" t="b">
            <v>0</v>
          </cell>
          <cell r="AC366" t="b">
            <v>0</v>
          </cell>
          <cell r="AD366" t="b">
            <v>0</v>
          </cell>
        </row>
        <row r="367">
          <cell r="Z367" t="b">
            <v>0</v>
          </cell>
          <cell r="AA367" t="b">
            <v>0</v>
          </cell>
          <cell r="AB367" t="b">
            <v>0</v>
          </cell>
          <cell r="AC367" t="b">
            <v>0</v>
          </cell>
          <cell r="AD367" t="b">
            <v>0</v>
          </cell>
        </row>
        <row r="368">
          <cell r="Z368" t="b">
            <v>0</v>
          </cell>
          <cell r="AA368" t="b">
            <v>0</v>
          </cell>
          <cell r="AB368" t="b">
            <v>0</v>
          </cell>
          <cell r="AC368" t="b">
            <v>0</v>
          </cell>
          <cell r="AD368" t="b">
            <v>0</v>
          </cell>
        </row>
        <row r="369">
          <cell r="Z369" t="b">
            <v>0</v>
          </cell>
          <cell r="AA369" t="b">
            <v>0</v>
          </cell>
          <cell r="AB369" t="b">
            <v>0</v>
          </cell>
          <cell r="AC369" t="b">
            <v>0</v>
          </cell>
          <cell r="AD369" t="b">
            <v>0</v>
          </cell>
        </row>
        <row r="370">
          <cell r="Z370" t="b">
            <v>0</v>
          </cell>
          <cell r="AA370" t="b">
            <v>0</v>
          </cell>
          <cell r="AB370" t="b">
            <v>0</v>
          </cell>
          <cell r="AC370" t="b">
            <v>0</v>
          </cell>
          <cell r="AD370" t="b">
            <v>0</v>
          </cell>
        </row>
        <row r="371">
          <cell r="Z371" t="b">
            <v>0</v>
          </cell>
          <cell r="AA371" t="b">
            <v>0</v>
          </cell>
          <cell r="AB371" t="b">
            <v>0</v>
          </cell>
          <cell r="AC371" t="b">
            <v>0</v>
          </cell>
          <cell r="AD371" t="b">
            <v>0</v>
          </cell>
        </row>
        <row r="372">
          <cell r="Z372" t="b">
            <v>0</v>
          </cell>
          <cell r="AA372" t="b">
            <v>0</v>
          </cell>
          <cell r="AB372" t="b">
            <v>0</v>
          </cell>
          <cell r="AC372" t="b">
            <v>0</v>
          </cell>
          <cell r="AD372" t="b">
            <v>0</v>
          </cell>
        </row>
        <row r="373">
          <cell r="Z373" t="b">
            <v>0</v>
          </cell>
          <cell r="AA373" t="b">
            <v>0</v>
          </cell>
          <cell r="AB373" t="b">
            <v>0</v>
          </cell>
          <cell r="AC373" t="b">
            <v>0</v>
          </cell>
          <cell r="AD373" t="b">
            <v>0</v>
          </cell>
        </row>
        <row r="374">
          <cell r="Z374" t="b">
            <v>0</v>
          </cell>
          <cell r="AA374" t="b">
            <v>0</v>
          </cell>
          <cell r="AB374" t="b">
            <v>0</v>
          </cell>
          <cell r="AC374" t="b">
            <v>0</v>
          </cell>
          <cell r="AD374" t="b">
            <v>0</v>
          </cell>
        </row>
        <row r="375">
          <cell r="Z375" t="b">
            <v>0</v>
          </cell>
          <cell r="AA375" t="b">
            <v>0</v>
          </cell>
          <cell r="AB375" t="b">
            <v>0</v>
          </cell>
          <cell r="AC375" t="b">
            <v>0</v>
          </cell>
          <cell r="AD375" t="b">
            <v>0</v>
          </cell>
        </row>
        <row r="376">
          <cell r="Z376" t="b">
            <v>0</v>
          </cell>
          <cell r="AA376" t="b">
            <v>0</v>
          </cell>
          <cell r="AB376" t="b">
            <v>0</v>
          </cell>
          <cell r="AC376" t="b">
            <v>0</v>
          </cell>
          <cell r="AD376" t="b">
            <v>0</v>
          </cell>
        </row>
        <row r="377">
          <cell r="Z377" t="b">
            <v>0</v>
          </cell>
          <cell r="AA377" t="b">
            <v>0</v>
          </cell>
          <cell r="AB377" t="b">
            <v>0</v>
          </cell>
          <cell r="AC377" t="b">
            <v>0</v>
          </cell>
          <cell r="AD377" t="b">
            <v>0</v>
          </cell>
        </row>
        <row r="378">
          <cell r="Z378" t="b">
            <v>0</v>
          </cell>
          <cell r="AA378" t="b">
            <v>0</v>
          </cell>
          <cell r="AB378" t="b">
            <v>0</v>
          </cell>
          <cell r="AC378" t="b">
            <v>0</v>
          </cell>
          <cell r="AD378" t="b">
            <v>0</v>
          </cell>
        </row>
        <row r="379">
          <cell r="Z379" t="b">
            <v>0</v>
          </cell>
          <cell r="AA379" t="b">
            <v>0</v>
          </cell>
          <cell r="AB379" t="b">
            <v>0</v>
          </cell>
          <cell r="AC379" t="b">
            <v>0</v>
          </cell>
          <cell r="AD379" t="b">
            <v>0</v>
          </cell>
        </row>
        <row r="380">
          <cell r="Z380" t="b">
            <v>0</v>
          </cell>
          <cell r="AA380" t="b">
            <v>0</v>
          </cell>
          <cell r="AB380" t="b">
            <v>0</v>
          </cell>
          <cell r="AC380" t="b">
            <v>0</v>
          </cell>
          <cell r="AD380" t="b">
            <v>0</v>
          </cell>
        </row>
        <row r="381">
          <cell r="Z381" t="b">
            <v>0</v>
          </cell>
          <cell r="AA381" t="b">
            <v>0</v>
          </cell>
          <cell r="AB381" t="b">
            <v>0</v>
          </cell>
          <cell r="AC381" t="b">
            <v>0</v>
          </cell>
          <cell r="AD381" t="b">
            <v>0</v>
          </cell>
        </row>
        <row r="382">
          <cell r="Z382" t="b">
            <v>0</v>
          </cell>
          <cell r="AA382" t="b">
            <v>0</v>
          </cell>
          <cell r="AB382" t="b">
            <v>0</v>
          </cell>
          <cell r="AC382" t="b">
            <v>0</v>
          </cell>
          <cell r="AD382" t="b">
            <v>0</v>
          </cell>
        </row>
        <row r="383">
          <cell r="Z383" t="b">
            <v>0</v>
          </cell>
          <cell r="AA383" t="b">
            <v>0</v>
          </cell>
          <cell r="AB383" t="b">
            <v>0</v>
          </cell>
          <cell r="AC383" t="b">
            <v>0</v>
          </cell>
          <cell r="AD383" t="b">
            <v>0</v>
          </cell>
        </row>
        <row r="384">
          <cell r="Z384" t="b">
            <v>0</v>
          </cell>
          <cell r="AA384" t="b">
            <v>0</v>
          </cell>
          <cell r="AB384" t="b">
            <v>0</v>
          </cell>
          <cell r="AC384" t="b">
            <v>0</v>
          </cell>
          <cell r="AD384" t="b">
            <v>0</v>
          </cell>
        </row>
        <row r="385">
          <cell r="Z385" t="b">
            <v>0</v>
          </cell>
          <cell r="AA385" t="b">
            <v>0</v>
          </cell>
          <cell r="AB385" t="b">
            <v>0</v>
          </cell>
          <cell r="AC385" t="b">
            <v>0</v>
          </cell>
          <cell r="AD385" t="b">
            <v>0</v>
          </cell>
        </row>
        <row r="386">
          <cell r="Z386" t="b">
            <v>0</v>
          </cell>
          <cell r="AA386" t="b">
            <v>0</v>
          </cell>
          <cell r="AB386" t="b">
            <v>0</v>
          </cell>
          <cell r="AC386" t="b">
            <v>0</v>
          </cell>
          <cell r="AD386" t="b">
            <v>0</v>
          </cell>
        </row>
        <row r="387">
          <cell r="Z387" t="b">
            <v>0</v>
          </cell>
          <cell r="AA387" t="b">
            <v>0</v>
          </cell>
          <cell r="AB387" t="b">
            <v>0</v>
          </cell>
          <cell r="AC387" t="b">
            <v>0</v>
          </cell>
          <cell r="AD387" t="b">
            <v>0</v>
          </cell>
        </row>
        <row r="388">
          <cell r="Z388" t="b">
            <v>0</v>
          </cell>
          <cell r="AA388" t="b">
            <v>0</v>
          </cell>
          <cell r="AB388" t="b">
            <v>0</v>
          </cell>
          <cell r="AC388" t="b">
            <v>0</v>
          </cell>
          <cell r="AD388" t="b">
            <v>0</v>
          </cell>
        </row>
        <row r="389">
          <cell r="Z389" t="b">
            <v>0</v>
          </cell>
          <cell r="AA389" t="b">
            <v>0</v>
          </cell>
          <cell r="AB389" t="b">
            <v>0</v>
          </cell>
          <cell r="AC389" t="b">
            <v>0</v>
          </cell>
          <cell r="AD389" t="b">
            <v>0</v>
          </cell>
        </row>
        <row r="390">
          <cell r="Z390" t="b">
            <v>0</v>
          </cell>
          <cell r="AA390" t="b">
            <v>0</v>
          </cell>
          <cell r="AB390" t="b">
            <v>0</v>
          </cell>
          <cell r="AC390" t="b">
            <v>0</v>
          </cell>
          <cell r="AD390" t="b">
            <v>0</v>
          </cell>
        </row>
        <row r="391">
          <cell r="Z391" t="b">
            <v>0</v>
          </cell>
          <cell r="AA391" t="b">
            <v>0</v>
          </cell>
          <cell r="AB391" t="b">
            <v>0</v>
          </cell>
          <cell r="AC391" t="b">
            <v>0</v>
          </cell>
          <cell r="AD391" t="b">
            <v>0</v>
          </cell>
        </row>
        <row r="392">
          <cell r="Z392" t="b">
            <v>0</v>
          </cell>
          <cell r="AA392" t="b">
            <v>0</v>
          </cell>
          <cell r="AB392" t="b">
            <v>0</v>
          </cell>
          <cell r="AC392" t="b">
            <v>0</v>
          </cell>
          <cell r="AD392" t="b">
            <v>0</v>
          </cell>
        </row>
        <row r="393">
          <cell r="Z393" t="b">
            <v>0</v>
          </cell>
          <cell r="AA393" t="b">
            <v>0</v>
          </cell>
          <cell r="AB393" t="b">
            <v>0</v>
          </cell>
          <cell r="AC393" t="b">
            <v>0</v>
          </cell>
          <cell r="AD393" t="b">
            <v>0</v>
          </cell>
        </row>
        <row r="394">
          <cell r="Z394" t="b">
            <v>0</v>
          </cell>
          <cell r="AA394" t="b">
            <v>0</v>
          </cell>
          <cell r="AB394" t="b">
            <v>0</v>
          </cell>
          <cell r="AC394" t="b">
            <v>0</v>
          </cell>
          <cell r="AD394" t="b">
            <v>0</v>
          </cell>
        </row>
        <row r="395">
          <cell r="Z395" t="b">
            <v>0</v>
          </cell>
          <cell r="AA395" t="b">
            <v>0</v>
          </cell>
          <cell r="AB395" t="b">
            <v>0</v>
          </cell>
          <cell r="AC395" t="b">
            <v>0</v>
          </cell>
          <cell r="AD395" t="b">
            <v>0</v>
          </cell>
        </row>
        <row r="396">
          <cell r="Z396" t="b">
            <v>0</v>
          </cell>
          <cell r="AA396" t="b">
            <v>0</v>
          </cell>
          <cell r="AB396" t="b">
            <v>0</v>
          </cell>
          <cell r="AC396" t="b">
            <v>0</v>
          </cell>
          <cell r="AD396" t="b">
            <v>0</v>
          </cell>
        </row>
        <row r="397">
          <cell r="Z397" t="b">
            <v>0</v>
          </cell>
          <cell r="AA397" t="b">
            <v>0</v>
          </cell>
          <cell r="AB397" t="b">
            <v>0</v>
          </cell>
          <cell r="AC397" t="b">
            <v>0</v>
          </cell>
          <cell r="AD397" t="b">
            <v>0</v>
          </cell>
        </row>
        <row r="398">
          <cell r="Z398" t="b">
            <v>0</v>
          </cell>
          <cell r="AA398" t="b">
            <v>0</v>
          </cell>
          <cell r="AB398" t="b">
            <v>0</v>
          </cell>
          <cell r="AC398" t="b">
            <v>0</v>
          </cell>
          <cell r="AD398" t="b">
            <v>0</v>
          </cell>
        </row>
        <row r="399">
          <cell r="Z399" t="b">
            <v>0</v>
          </cell>
          <cell r="AA399" t="b">
            <v>0</v>
          </cell>
          <cell r="AB399" t="b">
            <v>0</v>
          </cell>
          <cell r="AC399" t="b">
            <v>0</v>
          </cell>
          <cell r="AD399" t="b">
            <v>0</v>
          </cell>
        </row>
        <row r="400">
          <cell r="Z400" t="b">
            <v>0</v>
          </cell>
          <cell r="AA400" t="b">
            <v>0</v>
          </cell>
          <cell r="AB400" t="b">
            <v>0</v>
          </cell>
          <cell r="AC400" t="b">
            <v>0</v>
          </cell>
          <cell r="AD400" t="b">
            <v>0</v>
          </cell>
        </row>
        <row r="401">
          <cell r="Z401" t="b">
            <v>0</v>
          </cell>
          <cell r="AA401" t="b">
            <v>0</v>
          </cell>
          <cell r="AB401" t="b">
            <v>0</v>
          </cell>
          <cell r="AC401" t="b">
            <v>0</v>
          </cell>
          <cell r="AD401" t="b">
            <v>0</v>
          </cell>
        </row>
        <row r="402">
          <cell r="Z402" t="b">
            <v>0</v>
          </cell>
          <cell r="AA402" t="b">
            <v>0</v>
          </cell>
          <cell r="AB402" t="b">
            <v>0</v>
          </cell>
          <cell r="AC402" t="b">
            <v>0</v>
          </cell>
          <cell r="AD402" t="b">
            <v>0</v>
          </cell>
        </row>
        <row r="403">
          <cell r="Z403" t="b">
            <v>0</v>
          </cell>
          <cell r="AA403" t="b">
            <v>0</v>
          </cell>
          <cell r="AB403" t="b">
            <v>0</v>
          </cell>
          <cell r="AC403" t="b">
            <v>0</v>
          </cell>
          <cell r="AD403" t="b">
            <v>0</v>
          </cell>
        </row>
        <row r="404">
          <cell r="Z404" t="b">
            <v>0</v>
          </cell>
          <cell r="AA404" t="b">
            <v>0</v>
          </cell>
          <cell r="AB404" t="b">
            <v>0</v>
          </cell>
          <cell r="AC404" t="b">
            <v>0</v>
          </cell>
          <cell r="AD404" t="b">
            <v>0</v>
          </cell>
        </row>
        <row r="405">
          <cell r="Z405" t="b">
            <v>0</v>
          </cell>
          <cell r="AA405" t="b">
            <v>0</v>
          </cell>
          <cell r="AB405" t="b">
            <v>0</v>
          </cell>
          <cell r="AC405" t="b">
            <v>0</v>
          </cell>
          <cell r="AD405" t="b">
            <v>0</v>
          </cell>
        </row>
        <row r="406">
          <cell r="Z406" t="b">
            <v>0</v>
          </cell>
          <cell r="AA406" t="b">
            <v>0</v>
          </cell>
          <cell r="AB406" t="b">
            <v>0</v>
          </cell>
          <cell r="AC406" t="b">
            <v>0</v>
          </cell>
          <cell r="AD406" t="b">
            <v>0</v>
          </cell>
        </row>
        <row r="407">
          <cell r="Z407" t="b">
            <v>0</v>
          </cell>
          <cell r="AA407" t="b">
            <v>0</v>
          </cell>
          <cell r="AB407" t="b">
            <v>0</v>
          </cell>
          <cell r="AC407" t="b">
            <v>0</v>
          </cell>
          <cell r="AD407" t="b">
            <v>0</v>
          </cell>
        </row>
        <row r="408">
          <cell r="Z408" t="b">
            <v>0</v>
          </cell>
          <cell r="AA408" t="b">
            <v>0</v>
          </cell>
          <cell r="AB408" t="b">
            <v>0</v>
          </cell>
          <cell r="AC408" t="b">
            <v>0</v>
          </cell>
          <cell r="AD408" t="b">
            <v>0</v>
          </cell>
        </row>
        <row r="409">
          <cell r="Z409" t="b">
            <v>0</v>
          </cell>
          <cell r="AA409" t="b">
            <v>0</v>
          </cell>
          <cell r="AB409" t="b">
            <v>0</v>
          </cell>
          <cell r="AC409" t="b">
            <v>0</v>
          </cell>
          <cell r="AD409" t="b">
            <v>0</v>
          </cell>
        </row>
        <row r="410">
          <cell r="Z410" t="b">
            <v>0</v>
          </cell>
          <cell r="AA410" t="b">
            <v>0</v>
          </cell>
          <cell r="AB410" t="b">
            <v>0</v>
          </cell>
          <cell r="AC410" t="b">
            <v>0</v>
          </cell>
          <cell r="AD410" t="b">
            <v>0</v>
          </cell>
        </row>
        <row r="411">
          <cell r="Z411" t="b">
            <v>0</v>
          </cell>
          <cell r="AA411" t="b">
            <v>0</v>
          </cell>
          <cell r="AB411" t="b">
            <v>0</v>
          </cell>
          <cell r="AC411" t="b">
            <v>0</v>
          </cell>
          <cell r="AD411" t="b">
            <v>0</v>
          </cell>
        </row>
        <row r="412">
          <cell r="Z412" t="b">
            <v>0</v>
          </cell>
          <cell r="AA412" t="b">
            <v>0</v>
          </cell>
          <cell r="AB412" t="b">
            <v>0</v>
          </cell>
          <cell r="AC412" t="b">
            <v>0</v>
          </cell>
          <cell r="AD412" t="b">
            <v>0</v>
          </cell>
        </row>
        <row r="413">
          <cell r="Z413" t="b">
            <v>0</v>
          </cell>
          <cell r="AA413" t="b">
            <v>0</v>
          </cell>
          <cell r="AB413" t="b">
            <v>0</v>
          </cell>
          <cell r="AC413" t="b">
            <v>0</v>
          </cell>
          <cell r="AD413" t="b">
            <v>0</v>
          </cell>
        </row>
        <row r="414">
          <cell r="Z414" t="b">
            <v>0</v>
          </cell>
          <cell r="AA414" t="b">
            <v>0</v>
          </cell>
          <cell r="AB414" t="b">
            <v>0</v>
          </cell>
          <cell r="AC414" t="b">
            <v>0</v>
          </cell>
          <cell r="AD414" t="b">
            <v>0</v>
          </cell>
        </row>
        <row r="415">
          <cell r="Z415" t="b">
            <v>0</v>
          </cell>
          <cell r="AA415" t="b">
            <v>0</v>
          </cell>
          <cell r="AB415" t="b">
            <v>0</v>
          </cell>
          <cell r="AC415" t="b">
            <v>0</v>
          </cell>
          <cell r="AD415" t="b">
            <v>0</v>
          </cell>
        </row>
        <row r="416">
          <cell r="Z416" t="b">
            <v>0</v>
          </cell>
          <cell r="AA416" t="b">
            <v>0</v>
          </cell>
          <cell r="AB416" t="b">
            <v>0</v>
          </cell>
          <cell r="AC416" t="b">
            <v>0</v>
          </cell>
          <cell r="AD416" t="b">
            <v>0</v>
          </cell>
        </row>
        <row r="417">
          <cell r="Z417" t="b">
            <v>0</v>
          </cell>
          <cell r="AA417" t="b">
            <v>0</v>
          </cell>
          <cell r="AB417" t="b">
            <v>0</v>
          </cell>
          <cell r="AC417" t="b">
            <v>0</v>
          </cell>
          <cell r="AD417" t="b">
            <v>0</v>
          </cell>
        </row>
        <row r="418">
          <cell r="Z418" t="b">
            <v>0</v>
          </cell>
          <cell r="AA418" t="b">
            <v>0</v>
          </cell>
          <cell r="AB418" t="b">
            <v>0</v>
          </cell>
          <cell r="AC418" t="b">
            <v>0</v>
          </cell>
          <cell r="AD418" t="b">
            <v>0</v>
          </cell>
        </row>
        <row r="419">
          <cell r="Z419" t="b">
            <v>0</v>
          </cell>
          <cell r="AA419" t="b">
            <v>0</v>
          </cell>
          <cell r="AB419" t="b">
            <v>0</v>
          </cell>
          <cell r="AC419" t="b">
            <v>0</v>
          </cell>
          <cell r="AD419" t="b">
            <v>0</v>
          </cell>
        </row>
        <row r="420">
          <cell r="Z420" t="b">
            <v>0</v>
          </cell>
          <cell r="AA420" t="b">
            <v>0</v>
          </cell>
          <cell r="AB420" t="b">
            <v>0</v>
          </cell>
          <cell r="AC420" t="b">
            <v>0</v>
          </cell>
          <cell r="AD420" t="b">
            <v>0</v>
          </cell>
        </row>
        <row r="421">
          <cell r="Z421" t="b">
            <v>0</v>
          </cell>
          <cell r="AA421" t="b">
            <v>0</v>
          </cell>
          <cell r="AB421" t="b">
            <v>0</v>
          </cell>
          <cell r="AC421" t="b">
            <v>0</v>
          </cell>
          <cell r="AD421" t="b">
            <v>0</v>
          </cell>
        </row>
        <row r="422">
          <cell r="Z422" t="b">
            <v>0</v>
          </cell>
          <cell r="AA422" t="b">
            <v>0</v>
          </cell>
          <cell r="AB422" t="b">
            <v>0</v>
          </cell>
          <cell r="AC422" t="b">
            <v>0</v>
          </cell>
          <cell r="AD422" t="b">
            <v>0</v>
          </cell>
        </row>
        <row r="423">
          <cell r="Z423" t="b">
            <v>0</v>
          </cell>
          <cell r="AA423" t="b">
            <v>0</v>
          </cell>
          <cell r="AB423" t="b">
            <v>0</v>
          </cell>
          <cell r="AC423" t="b">
            <v>0</v>
          </cell>
          <cell r="AD423" t="b">
            <v>0</v>
          </cell>
        </row>
        <row r="424">
          <cell r="Z424" t="b">
            <v>0</v>
          </cell>
          <cell r="AA424" t="b">
            <v>0</v>
          </cell>
          <cell r="AB424" t="b">
            <v>0</v>
          </cell>
          <cell r="AC424" t="b">
            <v>0</v>
          </cell>
          <cell r="AD424" t="b">
            <v>0</v>
          </cell>
        </row>
        <row r="425">
          <cell r="Z425" t="b">
            <v>0</v>
          </cell>
          <cell r="AA425" t="b">
            <v>0</v>
          </cell>
          <cell r="AB425" t="b">
            <v>0</v>
          </cell>
          <cell r="AC425" t="b">
            <v>0</v>
          </cell>
          <cell r="AD425" t="b">
            <v>0</v>
          </cell>
        </row>
        <row r="426">
          <cell r="Z426" t="b">
            <v>0</v>
          </cell>
          <cell r="AA426" t="b">
            <v>0</v>
          </cell>
          <cell r="AB426" t="b">
            <v>0</v>
          </cell>
          <cell r="AC426" t="b">
            <v>0</v>
          </cell>
          <cell r="AD426" t="b">
            <v>0</v>
          </cell>
        </row>
        <row r="427">
          <cell r="Z427" t="b">
            <v>0</v>
          </cell>
          <cell r="AA427" t="b">
            <v>0</v>
          </cell>
          <cell r="AB427" t="b">
            <v>0</v>
          </cell>
          <cell r="AC427" t="b">
            <v>0</v>
          </cell>
          <cell r="AD427" t="b">
            <v>0</v>
          </cell>
        </row>
        <row r="428">
          <cell r="Z428" t="b">
            <v>0</v>
          </cell>
          <cell r="AA428" t="b">
            <v>0</v>
          </cell>
          <cell r="AB428" t="b">
            <v>0</v>
          </cell>
          <cell r="AC428" t="b">
            <v>0</v>
          </cell>
          <cell r="AD428" t="b">
            <v>0</v>
          </cell>
        </row>
        <row r="429">
          <cell r="Z429" t="b">
            <v>0</v>
          </cell>
          <cell r="AA429" t="b">
            <v>0</v>
          </cell>
          <cell r="AB429" t="b">
            <v>0</v>
          </cell>
          <cell r="AC429" t="b">
            <v>0</v>
          </cell>
          <cell r="AD429" t="b">
            <v>0</v>
          </cell>
        </row>
        <row r="430">
          <cell r="Z430" t="b">
            <v>0</v>
          </cell>
          <cell r="AA430" t="b">
            <v>0</v>
          </cell>
          <cell r="AB430" t="b">
            <v>0</v>
          </cell>
          <cell r="AC430" t="b">
            <v>0</v>
          </cell>
          <cell r="AD430" t="b">
            <v>0</v>
          </cell>
        </row>
        <row r="431">
          <cell r="Z431" t="b">
            <v>0</v>
          </cell>
          <cell r="AA431" t="b">
            <v>0</v>
          </cell>
          <cell r="AB431" t="b">
            <v>0</v>
          </cell>
          <cell r="AC431" t="b">
            <v>0</v>
          </cell>
          <cell r="AD431" t="b">
            <v>0</v>
          </cell>
        </row>
        <row r="432">
          <cell r="Z432" t="b">
            <v>0</v>
          </cell>
          <cell r="AA432" t="b">
            <v>0</v>
          </cell>
          <cell r="AB432" t="b">
            <v>0</v>
          </cell>
          <cell r="AC432" t="b">
            <v>0</v>
          </cell>
          <cell r="AD432" t="b">
            <v>0</v>
          </cell>
        </row>
        <row r="433">
          <cell r="Z433" t="b">
            <v>0</v>
          </cell>
          <cell r="AA433" t="b">
            <v>0</v>
          </cell>
          <cell r="AB433" t="b">
            <v>0</v>
          </cell>
          <cell r="AC433" t="b">
            <v>0</v>
          </cell>
          <cell r="AD433" t="b">
            <v>0</v>
          </cell>
        </row>
        <row r="434">
          <cell r="Z434" t="b">
            <v>0</v>
          </cell>
          <cell r="AA434" t="b">
            <v>0</v>
          </cell>
          <cell r="AB434" t="b">
            <v>0</v>
          </cell>
          <cell r="AC434" t="b">
            <v>0</v>
          </cell>
          <cell r="AD434" t="b">
            <v>0</v>
          </cell>
        </row>
        <row r="435">
          <cell r="Z435" t="b">
            <v>0</v>
          </cell>
          <cell r="AA435" t="b">
            <v>0</v>
          </cell>
          <cell r="AB435" t="b">
            <v>0</v>
          </cell>
          <cell r="AC435" t="b">
            <v>0</v>
          </cell>
          <cell r="AD435" t="b">
            <v>0</v>
          </cell>
        </row>
        <row r="436">
          <cell r="Z436" t="b">
            <v>0</v>
          </cell>
          <cell r="AA436" t="b">
            <v>0</v>
          </cell>
          <cell r="AB436" t="b">
            <v>0</v>
          </cell>
          <cell r="AC436" t="b">
            <v>0</v>
          </cell>
          <cell r="AD436" t="b">
            <v>0</v>
          </cell>
        </row>
        <row r="437">
          <cell r="Z437" t="b">
            <v>0</v>
          </cell>
          <cell r="AA437" t="b">
            <v>0</v>
          </cell>
          <cell r="AB437" t="b">
            <v>0</v>
          </cell>
          <cell r="AC437" t="b">
            <v>0</v>
          </cell>
          <cell r="AD437" t="b">
            <v>0</v>
          </cell>
        </row>
        <row r="438">
          <cell r="Z438" t="b">
            <v>0</v>
          </cell>
          <cell r="AA438" t="b">
            <v>0</v>
          </cell>
          <cell r="AB438" t="b">
            <v>0</v>
          </cell>
          <cell r="AC438" t="b">
            <v>0</v>
          </cell>
          <cell r="AD438" t="b">
            <v>0</v>
          </cell>
        </row>
        <row r="439">
          <cell r="Z439" t="b">
            <v>0</v>
          </cell>
          <cell r="AA439" t="b">
            <v>0</v>
          </cell>
          <cell r="AB439" t="b">
            <v>0</v>
          </cell>
          <cell r="AC439" t="b">
            <v>0</v>
          </cell>
          <cell r="AD439" t="b">
            <v>0</v>
          </cell>
        </row>
        <row r="440">
          <cell r="Z440" t="b">
            <v>0</v>
          </cell>
          <cell r="AA440" t="b">
            <v>0</v>
          </cell>
          <cell r="AB440" t="b">
            <v>0</v>
          </cell>
          <cell r="AC440" t="b">
            <v>0</v>
          </cell>
          <cell r="AD440" t="b">
            <v>0</v>
          </cell>
        </row>
        <row r="441">
          <cell r="Z441" t="b">
            <v>0</v>
          </cell>
          <cell r="AA441" t="b">
            <v>0</v>
          </cell>
          <cell r="AB441" t="b">
            <v>0</v>
          </cell>
          <cell r="AC441" t="b">
            <v>0</v>
          </cell>
          <cell r="AD441" t="b">
            <v>0</v>
          </cell>
        </row>
        <row r="442">
          <cell r="Z442" t="b">
            <v>0</v>
          </cell>
          <cell r="AA442" t="b">
            <v>0</v>
          </cell>
          <cell r="AB442" t="b">
            <v>0</v>
          </cell>
          <cell r="AC442" t="b">
            <v>0</v>
          </cell>
          <cell r="AD442" t="b">
            <v>0</v>
          </cell>
        </row>
        <row r="443">
          <cell r="Z443" t="b">
            <v>0</v>
          </cell>
          <cell r="AA443" t="b">
            <v>0</v>
          </cell>
          <cell r="AB443" t="b">
            <v>0</v>
          </cell>
          <cell r="AC443" t="b">
            <v>0</v>
          </cell>
          <cell r="AD443" t="b">
            <v>0</v>
          </cell>
        </row>
        <row r="444">
          <cell r="Z444" t="b">
            <v>0</v>
          </cell>
          <cell r="AA444" t="b">
            <v>0</v>
          </cell>
          <cell r="AB444" t="b">
            <v>0</v>
          </cell>
          <cell r="AC444" t="b">
            <v>0</v>
          </cell>
          <cell r="AD444" t="b">
            <v>0</v>
          </cell>
        </row>
        <row r="445">
          <cell r="Z445" t="b">
            <v>0</v>
          </cell>
          <cell r="AA445" t="b">
            <v>0</v>
          </cell>
          <cell r="AB445" t="b">
            <v>0</v>
          </cell>
          <cell r="AC445" t="b">
            <v>0</v>
          </cell>
          <cell r="AD445" t="b">
            <v>0</v>
          </cell>
        </row>
        <row r="446">
          <cell r="Z446" t="b">
            <v>0</v>
          </cell>
          <cell r="AA446" t="b">
            <v>0</v>
          </cell>
          <cell r="AB446" t="b">
            <v>0</v>
          </cell>
          <cell r="AC446" t="b">
            <v>0</v>
          </cell>
          <cell r="AD446" t="b">
            <v>0</v>
          </cell>
        </row>
        <row r="447">
          <cell r="Z447" t="b">
            <v>0</v>
          </cell>
          <cell r="AA447" t="b">
            <v>0</v>
          </cell>
          <cell r="AB447" t="b">
            <v>0</v>
          </cell>
          <cell r="AC447" t="b">
            <v>0</v>
          </cell>
          <cell r="AD447" t="b">
            <v>0</v>
          </cell>
        </row>
        <row r="448">
          <cell r="Z448" t="b">
            <v>0</v>
          </cell>
          <cell r="AA448" t="b">
            <v>0</v>
          </cell>
          <cell r="AB448" t="b">
            <v>0</v>
          </cell>
          <cell r="AC448" t="b">
            <v>0</v>
          </cell>
          <cell r="AD448" t="b">
            <v>0</v>
          </cell>
        </row>
        <row r="449">
          <cell r="Z449" t="b">
            <v>0</v>
          </cell>
          <cell r="AA449" t="b">
            <v>0</v>
          </cell>
          <cell r="AB449" t="b">
            <v>0</v>
          </cell>
          <cell r="AC449" t="b">
            <v>0</v>
          </cell>
          <cell r="AD449" t="b">
            <v>0</v>
          </cell>
        </row>
        <row r="450">
          <cell r="Z450" t="b">
            <v>0</v>
          </cell>
          <cell r="AA450" t="b">
            <v>0</v>
          </cell>
          <cell r="AB450" t="b">
            <v>0</v>
          </cell>
          <cell r="AC450" t="b">
            <v>0</v>
          </cell>
          <cell r="AD450" t="b">
            <v>0</v>
          </cell>
        </row>
        <row r="451">
          <cell r="Z451" t="b">
            <v>0</v>
          </cell>
          <cell r="AA451" t="b">
            <v>0</v>
          </cell>
          <cell r="AB451" t="b">
            <v>0</v>
          </cell>
          <cell r="AC451" t="b">
            <v>0</v>
          </cell>
          <cell r="AD451" t="b">
            <v>0</v>
          </cell>
        </row>
        <row r="452">
          <cell r="Z452" t="b">
            <v>0</v>
          </cell>
          <cell r="AA452" t="b">
            <v>0</v>
          </cell>
          <cell r="AB452" t="b">
            <v>0</v>
          </cell>
          <cell r="AC452" t="b">
            <v>0</v>
          </cell>
          <cell r="AD452" t="b">
            <v>0</v>
          </cell>
        </row>
        <row r="453">
          <cell r="Z453" t="b">
            <v>0</v>
          </cell>
          <cell r="AA453" t="b">
            <v>0</v>
          </cell>
          <cell r="AB453" t="b">
            <v>0</v>
          </cell>
          <cell r="AC453" t="b">
            <v>0</v>
          </cell>
          <cell r="AD453" t="b">
            <v>0</v>
          </cell>
        </row>
        <row r="454">
          <cell r="Z454" t="b">
            <v>0</v>
          </cell>
          <cell r="AA454" t="b">
            <v>0</v>
          </cell>
          <cell r="AB454" t="b">
            <v>0</v>
          </cell>
          <cell r="AC454" t="b">
            <v>0</v>
          </cell>
          <cell r="AD454" t="b">
            <v>0</v>
          </cell>
        </row>
        <row r="455">
          <cell r="Z455" t="b">
            <v>0</v>
          </cell>
          <cell r="AA455" t="b">
            <v>0</v>
          </cell>
          <cell r="AB455" t="b">
            <v>0</v>
          </cell>
          <cell r="AC455" t="b">
            <v>0</v>
          </cell>
          <cell r="AD455" t="b">
            <v>0</v>
          </cell>
        </row>
        <row r="456">
          <cell r="Z456" t="b">
            <v>0</v>
          </cell>
          <cell r="AA456" t="b">
            <v>0</v>
          </cell>
          <cell r="AB456" t="b">
            <v>0</v>
          </cell>
          <cell r="AC456" t="b">
            <v>0</v>
          </cell>
          <cell r="AD456" t="b">
            <v>0</v>
          </cell>
        </row>
        <row r="457">
          <cell r="Z457" t="b">
            <v>0</v>
          </cell>
          <cell r="AA457" t="b">
            <v>0</v>
          </cell>
          <cell r="AB457" t="b">
            <v>0</v>
          </cell>
          <cell r="AC457" t="b">
            <v>0</v>
          </cell>
          <cell r="AD457" t="b">
            <v>0</v>
          </cell>
        </row>
        <row r="458">
          <cell r="Z458" t="b">
            <v>0</v>
          </cell>
          <cell r="AA458" t="b">
            <v>0</v>
          </cell>
          <cell r="AB458" t="b">
            <v>0</v>
          </cell>
          <cell r="AC458" t="b">
            <v>0</v>
          </cell>
          <cell r="AD458" t="b">
            <v>0</v>
          </cell>
        </row>
        <row r="459">
          <cell r="Z459" t="b">
            <v>0</v>
          </cell>
          <cell r="AA459" t="b">
            <v>0</v>
          </cell>
          <cell r="AB459" t="b">
            <v>0</v>
          </cell>
          <cell r="AC459" t="b">
            <v>0</v>
          </cell>
          <cell r="AD459" t="b">
            <v>0</v>
          </cell>
        </row>
        <row r="460">
          <cell r="Z460" t="b">
            <v>0</v>
          </cell>
          <cell r="AA460" t="b">
            <v>0</v>
          </cell>
          <cell r="AB460" t="b">
            <v>0</v>
          </cell>
          <cell r="AC460" t="b">
            <v>0</v>
          </cell>
          <cell r="AD460" t="b">
            <v>0</v>
          </cell>
        </row>
        <row r="461">
          <cell r="Z461" t="b">
            <v>0</v>
          </cell>
          <cell r="AA461" t="b">
            <v>0</v>
          </cell>
          <cell r="AB461" t="b">
            <v>0</v>
          </cell>
          <cell r="AC461" t="b">
            <v>0</v>
          </cell>
          <cell r="AD461" t="b">
            <v>0</v>
          </cell>
        </row>
        <row r="462">
          <cell r="Z462" t="b">
            <v>0</v>
          </cell>
          <cell r="AA462" t="b">
            <v>0</v>
          </cell>
          <cell r="AB462" t="b">
            <v>0</v>
          </cell>
          <cell r="AC462" t="b">
            <v>0</v>
          </cell>
          <cell r="AD462" t="b">
            <v>0</v>
          </cell>
        </row>
        <row r="463">
          <cell r="Z463" t="b">
            <v>0</v>
          </cell>
          <cell r="AA463" t="b">
            <v>0</v>
          </cell>
          <cell r="AB463" t="b">
            <v>0</v>
          </cell>
          <cell r="AC463" t="b">
            <v>0</v>
          </cell>
          <cell r="AD463" t="b">
            <v>0</v>
          </cell>
        </row>
        <row r="464">
          <cell r="Z464" t="b">
            <v>0</v>
          </cell>
          <cell r="AA464" t="b">
            <v>0</v>
          </cell>
          <cell r="AB464" t="b">
            <v>0</v>
          </cell>
          <cell r="AC464" t="b">
            <v>0</v>
          </cell>
          <cell r="AD464" t="b">
            <v>0</v>
          </cell>
        </row>
        <row r="465">
          <cell r="Z465" t="b">
            <v>0</v>
          </cell>
          <cell r="AA465" t="b">
            <v>0</v>
          </cell>
          <cell r="AB465" t="b">
            <v>0</v>
          </cell>
          <cell r="AC465" t="b">
            <v>0</v>
          </cell>
          <cell r="AD465" t="b">
            <v>0</v>
          </cell>
        </row>
        <row r="466">
          <cell r="Z466" t="b">
            <v>0</v>
          </cell>
          <cell r="AA466" t="b">
            <v>0</v>
          </cell>
          <cell r="AB466" t="b">
            <v>0</v>
          </cell>
          <cell r="AC466" t="b">
            <v>0</v>
          </cell>
          <cell r="AD466" t="b">
            <v>0</v>
          </cell>
        </row>
        <row r="467">
          <cell r="Z467" t="b">
            <v>0</v>
          </cell>
          <cell r="AA467" t="b">
            <v>0</v>
          </cell>
          <cell r="AB467" t="b">
            <v>0</v>
          </cell>
          <cell r="AC467" t="b">
            <v>0</v>
          </cell>
          <cell r="AD467" t="b">
            <v>0</v>
          </cell>
        </row>
        <row r="468">
          <cell r="Z468" t="b">
            <v>0</v>
          </cell>
          <cell r="AA468" t="b">
            <v>0</v>
          </cell>
          <cell r="AB468" t="b">
            <v>0</v>
          </cell>
          <cell r="AC468" t="b">
            <v>0</v>
          </cell>
          <cell r="AD468" t="b">
            <v>0</v>
          </cell>
        </row>
        <row r="469">
          <cell r="Z469" t="b">
            <v>0</v>
          </cell>
          <cell r="AA469" t="b">
            <v>0</v>
          </cell>
          <cell r="AB469" t="b">
            <v>0</v>
          </cell>
          <cell r="AC469" t="b">
            <v>0</v>
          </cell>
          <cell r="AD469" t="b">
            <v>0</v>
          </cell>
        </row>
        <row r="470">
          <cell r="Z470" t="b">
            <v>0</v>
          </cell>
          <cell r="AA470" t="b">
            <v>0</v>
          </cell>
          <cell r="AB470" t="b">
            <v>0</v>
          </cell>
          <cell r="AC470" t="b">
            <v>0</v>
          </cell>
          <cell r="AD470" t="b">
            <v>0</v>
          </cell>
        </row>
        <row r="471">
          <cell r="Z471" t="b">
            <v>0</v>
          </cell>
          <cell r="AA471" t="b">
            <v>0</v>
          </cell>
          <cell r="AB471" t="b">
            <v>0</v>
          </cell>
          <cell r="AC471" t="b">
            <v>0</v>
          </cell>
          <cell r="AD471" t="b">
            <v>0</v>
          </cell>
        </row>
        <row r="472">
          <cell r="Z472" t="b">
            <v>0</v>
          </cell>
          <cell r="AA472" t="b">
            <v>0</v>
          </cell>
          <cell r="AB472" t="b">
            <v>0</v>
          </cell>
          <cell r="AC472" t="b">
            <v>0</v>
          </cell>
          <cell r="AD472" t="b">
            <v>0</v>
          </cell>
        </row>
        <row r="473">
          <cell r="Z473" t="b">
            <v>0</v>
          </cell>
          <cell r="AA473" t="b">
            <v>0</v>
          </cell>
          <cell r="AB473" t="b">
            <v>0</v>
          </cell>
          <cell r="AC473" t="b">
            <v>0</v>
          </cell>
          <cell r="AD473" t="b">
            <v>0</v>
          </cell>
        </row>
        <row r="474">
          <cell r="Z474" t="b">
            <v>0</v>
          </cell>
          <cell r="AA474" t="b">
            <v>0</v>
          </cell>
          <cell r="AB474" t="b">
            <v>0</v>
          </cell>
          <cell r="AC474" t="b">
            <v>0</v>
          </cell>
          <cell r="AD474" t="b">
            <v>0</v>
          </cell>
        </row>
        <row r="475">
          <cell r="Z475" t="b">
            <v>0</v>
          </cell>
          <cell r="AA475" t="b">
            <v>0</v>
          </cell>
          <cell r="AB475" t="b">
            <v>0</v>
          </cell>
          <cell r="AC475" t="b">
            <v>0</v>
          </cell>
          <cell r="AD475" t="b">
            <v>0</v>
          </cell>
        </row>
        <row r="476">
          <cell r="Z476" t="b">
            <v>0</v>
          </cell>
          <cell r="AA476" t="b">
            <v>0</v>
          </cell>
          <cell r="AB476" t="b">
            <v>0</v>
          </cell>
          <cell r="AC476" t="b">
            <v>0</v>
          </cell>
          <cell r="AD476" t="b">
            <v>0</v>
          </cell>
        </row>
        <row r="477">
          <cell r="Z477" t="b">
            <v>0</v>
          </cell>
          <cell r="AA477" t="b">
            <v>0</v>
          </cell>
          <cell r="AB477" t="b">
            <v>0</v>
          </cell>
          <cell r="AC477" t="b">
            <v>0</v>
          </cell>
          <cell r="AD477" t="b">
            <v>0</v>
          </cell>
        </row>
        <row r="478">
          <cell r="Z478" t="b">
            <v>0</v>
          </cell>
          <cell r="AA478" t="b">
            <v>0</v>
          </cell>
          <cell r="AB478" t="b">
            <v>0</v>
          </cell>
          <cell r="AC478" t="b">
            <v>0</v>
          </cell>
          <cell r="AD478" t="b">
            <v>0</v>
          </cell>
        </row>
        <row r="479">
          <cell r="Z479" t="b">
            <v>0</v>
          </cell>
          <cell r="AA479" t="b">
            <v>0</v>
          </cell>
          <cell r="AB479" t="b">
            <v>0</v>
          </cell>
          <cell r="AC479" t="b">
            <v>0</v>
          </cell>
          <cell r="AD479" t="b">
            <v>0</v>
          </cell>
        </row>
        <row r="480">
          <cell r="Z480" t="b">
            <v>0</v>
          </cell>
          <cell r="AA480" t="b">
            <v>0</v>
          </cell>
          <cell r="AB480" t="b">
            <v>0</v>
          </cell>
          <cell r="AC480" t="b">
            <v>0</v>
          </cell>
          <cell r="AD480" t="b">
            <v>0</v>
          </cell>
        </row>
        <row r="481">
          <cell r="Z481" t="b">
            <v>0</v>
          </cell>
          <cell r="AA481" t="b">
            <v>0</v>
          </cell>
          <cell r="AB481" t="b">
            <v>0</v>
          </cell>
          <cell r="AC481" t="b">
            <v>0</v>
          </cell>
          <cell r="AD481" t="b">
            <v>0</v>
          </cell>
        </row>
        <row r="482">
          <cell r="Z482" t="b">
            <v>0</v>
          </cell>
          <cell r="AA482" t="b">
            <v>0</v>
          </cell>
          <cell r="AB482" t="b">
            <v>0</v>
          </cell>
          <cell r="AC482" t="b">
            <v>0</v>
          </cell>
          <cell r="AD482" t="b">
            <v>0</v>
          </cell>
        </row>
        <row r="483">
          <cell r="Z483" t="b">
            <v>0</v>
          </cell>
          <cell r="AA483" t="b">
            <v>0</v>
          </cell>
          <cell r="AB483" t="b">
            <v>0</v>
          </cell>
          <cell r="AC483" t="b">
            <v>0</v>
          </cell>
          <cell r="AD483" t="b">
            <v>0</v>
          </cell>
        </row>
        <row r="484">
          <cell r="Z484" t="b">
            <v>0</v>
          </cell>
          <cell r="AA484" t="b">
            <v>0</v>
          </cell>
          <cell r="AB484" t="b">
            <v>0</v>
          </cell>
          <cell r="AC484" t="b">
            <v>0</v>
          </cell>
          <cell r="AD484" t="b">
            <v>0</v>
          </cell>
        </row>
        <row r="485">
          <cell r="Z485" t="b">
            <v>0</v>
          </cell>
          <cell r="AA485" t="b">
            <v>0</v>
          </cell>
          <cell r="AB485" t="b">
            <v>0</v>
          </cell>
          <cell r="AC485" t="b">
            <v>0</v>
          </cell>
          <cell r="AD485" t="b">
            <v>0</v>
          </cell>
        </row>
        <row r="486">
          <cell r="Z486" t="b">
            <v>0</v>
          </cell>
          <cell r="AA486" t="b">
            <v>0</v>
          </cell>
          <cell r="AB486" t="b">
            <v>0</v>
          </cell>
          <cell r="AC486" t="b">
            <v>0</v>
          </cell>
          <cell r="AD486" t="b">
            <v>0</v>
          </cell>
        </row>
        <row r="487">
          <cell r="Z487" t="b">
            <v>0</v>
          </cell>
          <cell r="AA487" t="b">
            <v>0</v>
          </cell>
          <cell r="AB487" t="b">
            <v>0</v>
          </cell>
          <cell r="AC487" t="b">
            <v>0</v>
          </cell>
          <cell r="AD487" t="b">
            <v>0</v>
          </cell>
        </row>
        <row r="488">
          <cell r="Z488" t="b">
            <v>0</v>
          </cell>
          <cell r="AA488" t="b">
            <v>0</v>
          </cell>
          <cell r="AB488" t="b">
            <v>0</v>
          </cell>
          <cell r="AC488" t="b">
            <v>0</v>
          </cell>
          <cell r="AD488" t="b">
            <v>0</v>
          </cell>
        </row>
        <row r="489">
          <cell r="Z489" t="b">
            <v>0</v>
          </cell>
          <cell r="AA489" t="b">
            <v>0</v>
          </cell>
          <cell r="AB489" t="b">
            <v>0</v>
          </cell>
          <cell r="AC489" t="b">
            <v>0</v>
          </cell>
          <cell r="AD489" t="b">
            <v>0</v>
          </cell>
        </row>
        <row r="490">
          <cell r="Z490" t="b">
            <v>0</v>
          </cell>
          <cell r="AA490" t="b">
            <v>0</v>
          </cell>
          <cell r="AB490" t="b">
            <v>0</v>
          </cell>
          <cell r="AC490" t="b">
            <v>0</v>
          </cell>
          <cell r="AD490" t="b">
            <v>0</v>
          </cell>
        </row>
        <row r="491">
          <cell r="Z491" t="b">
            <v>0</v>
          </cell>
          <cell r="AA491" t="b">
            <v>0</v>
          </cell>
          <cell r="AB491" t="b">
            <v>0</v>
          </cell>
          <cell r="AC491" t="b">
            <v>0</v>
          </cell>
          <cell r="AD491" t="b">
            <v>0</v>
          </cell>
        </row>
        <row r="492">
          <cell r="Z492" t="b">
            <v>0</v>
          </cell>
          <cell r="AA492" t="b">
            <v>0</v>
          </cell>
          <cell r="AB492" t="b">
            <v>0</v>
          </cell>
          <cell r="AC492" t="b">
            <v>0</v>
          </cell>
          <cell r="AD492" t="b">
            <v>0</v>
          </cell>
        </row>
        <row r="493">
          <cell r="Z493" t="b">
            <v>0</v>
          </cell>
          <cell r="AA493" t="b">
            <v>0</v>
          </cell>
          <cell r="AB493" t="b">
            <v>0</v>
          </cell>
          <cell r="AC493" t="b">
            <v>0</v>
          </cell>
          <cell r="AD493" t="b">
            <v>0</v>
          </cell>
        </row>
        <row r="494">
          <cell r="Z494" t="b">
            <v>0</v>
          </cell>
          <cell r="AA494" t="b">
            <v>0</v>
          </cell>
          <cell r="AB494" t="b">
            <v>0</v>
          </cell>
          <cell r="AC494" t="b">
            <v>0</v>
          </cell>
          <cell r="AD494" t="b">
            <v>0</v>
          </cell>
        </row>
        <row r="495">
          <cell r="Z495" t="b">
            <v>0</v>
          </cell>
          <cell r="AA495" t="b">
            <v>0</v>
          </cell>
          <cell r="AB495" t="b">
            <v>0</v>
          </cell>
          <cell r="AC495" t="b">
            <v>0</v>
          </cell>
          <cell r="AD495" t="b">
            <v>0</v>
          </cell>
        </row>
        <row r="496">
          <cell r="Z496" t="b">
            <v>0</v>
          </cell>
          <cell r="AA496" t="b">
            <v>0</v>
          </cell>
          <cell r="AB496" t="b">
            <v>0</v>
          </cell>
          <cell r="AC496" t="b">
            <v>0</v>
          </cell>
          <cell r="AD496" t="b">
            <v>0</v>
          </cell>
        </row>
        <row r="497">
          <cell r="Z497" t="b">
            <v>0</v>
          </cell>
          <cell r="AA497" t="b">
            <v>0</v>
          </cell>
          <cell r="AB497" t="b">
            <v>0</v>
          </cell>
          <cell r="AC497" t="b">
            <v>0</v>
          </cell>
          <cell r="AD497" t="b">
            <v>0</v>
          </cell>
        </row>
        <row r="498">
          <cell r="Z498" t="b">
            <v>0</v>
          </cell>
          <cell r="AA498" t="b">
            <v>0</v>
          </cell>
          <cell r="AB498" t="b">
            <v>0</v>
          </cell>
          <cell r="AC498" t="b">
            <v>0</v>
          </cell>
          <cell r="AD498" t="b">
            <v>0</v>
          </cell>
        </row>
        <row r="499">
          <cell r="Z499" t="b">
            <v>0</v>
          </cell>
          <cell r="AA499" t="b">
            <v>0</v>
          </cell>
          <cell r="AB499" t="b">
            <v>0</v>
          </cell>
          <cell r="AC499" t="b">
            <v>0</v>
          </cell>
          <cell r="AD499" t="b">
            <v>0</v>
          </cell>
        </row>
        <row r="500">
          <cell r="Z500" t="b">
            <v>0</v>
          </cell>
          <cell r="AA500" t="b">
            <v>0</v>
          </cell>
          <cell r="AB500" t="b">
            <v>0</v>
          </cell>
          <cell r="AC500" t="b">
            <v>0</v>
          </cell>
          <cell r="AD500" t="b">
            <v>0</v>
          </cell>
        </row>
        <row r="501">
          <cell r="Z501" t="b">
            <v>0</v>
          </cell>
          <cell r="AA501" t="b">
            <v>0</v>
          </cell>
          <cell r="AB501" t="b">
            <v>0</v>
          </cell>
          <cell r="AC501" t="b">
            <v>0</v>
          </cell>
          <cell r="AD501" t="b">
            <v>0</v>
          </cell>
        </row>
        <row r="502">
          <cell r="Z502" t="b">
            <v>0</v>
          </cell>
          <cell r="AA502" t="b">
            <v>0</v>
          </cell>
          <cell r="AB502" t="b">
            <v>0</v>
          </cell>
          <cell r="AC502" t="b">
            <v>0</v>
          </cell>
          <cell r="AD502" t="b">
            <v>0</v>
          </cell>
        </row>
        <row r="503">
          <cell r="Z503" t="b">
            <v>0</v>
          </cell>
          <cell r="AA503" t="b">
            <v>0</v>
          </cell>
          <cell r="AB503" t="b">
            <v>0</v>
          </cell>
          <cell r="AC503" t="b">
            <v>0</v>
          </cell>
          <cell r="AD503" t="b">
            <v>0</v>
          </cell>
        </row>
        <row r="504">
          <cell r="Z504" t="b">
            <v>0</v>
          </cell>
          <cell r="AA504" t="b">
            <v>0</v>
          </cell>
          <cell r="AB504" t="b">
            <v>0</v>
          </cell>
          <cell r="AC504" t="b">
            <v>0</v>
          </cell>
          <cell r="AD504" t="b">
            <v>0</v>
          </cell>
        </row>
        <row r="505">
          <cell r="Z505" t="b">
            <v>0</v>
          </cell>
          <cell r="AA505" t="b">
            <v>0</v>
          </cell>
          <cell r="AB505" t="b">
            <v>0</v>
          </cell>
          <cell r="AC505" t="b">
            <v>0</v>
          </cell>
          <cell r="AD505" t="b">
            <v>0</v>
          </cell>
        </row>
        <row r="506">
          <cell r="Z506" t="b">
            <v>0</v>
          </cell>
          <cell r="AA506" t="b">
            <v>0</v>
          </cell>
          <cell r="AB506" t="b">
            <v>0</v>
          </cell>
          <cell r="AC506" t="b">
            <v>0</v>
          </cell>
          <cell r="AD506" t="b">
            <v>0</v>
          </cell>
        </row>
        <row r="507">
          <cell r="Z507" t="b">
            <v>0</v>
          </cell>
          <cell r="AA507" t="b">
            <v>0</v>
          </cell>
          <cell r="AB507" t="b">
            <v>0</v>
          </cell>
          <cell r="AC507" t="b">
            <v>0</v>
          </cell>
          <cell r="AD507" t="b">
            <v>0</v>
          </cell>
        </row>
        <row r="508">
          <cell r="Z508" t="b">
            <v>0</v>
          </cell>
          <cell r="AA508" t="b">
            <v>0</v>
          </cell>
          <cell r="AB508" t="b">
            <v>0</v>
          </cell>
          <cell r="AC508" t="b">
            <v>0</v>
          </cell>
          <cell r="AD508" t="b">
            <v>0</v>
          </cell>
        </row>
        <row r="509">
          <cell r="Z509" t="b">
            <v>0</v>
          </cell>
          <cell r="AA509" t="b">
            <v>0</v>
          </cell>
          <cell r="AB509" t="b">
            <v>0</v>
          </cell>
          <cell r="AC509" t="b">
            <v>0</v>
          </cell>
          <cell r="AD509" t="b">
            <v>0</v>
          </cell>
        </row>
        <row r="510">
          <cell r="Z510" t="b">
            <v>0</v>
          </cell>
          <cell r="AA510" t="b">
            <v>0</v>
          </cell>
          <cell r="AB510" t="b">
            <v>0</v>
          </cell>
          <cell r="AC510" t="b">
            <v>0</v>
          </cell>
          <cell r="AD510" t="b">
            <v>0</v>
          </cell>
        </row>
        <row r="511">
          <cell r="Z511" t="b">
            <v>0</v>
          </cell>
          <cell r="AA511" t="b">
            <v>0</v>
          </cell>
          <cell r="AB511" t="b">
            <v>0</v>
          </cell>
          <cell r="AC511" t="b">
            <v>0</v>
          </cell>
          <cell r="AD511" t="b">
            <v>0</v>
          </cell>
        </row>
        <row r="512">
          <cell r="Z512" t="b">
            <v>0</v>
          </cell>
          <cell r="AA512" t="b">
            <v>0</v>
          </cell>
          <cell r="AB512" t="b">
            <v>0</v>
          </cell>
          <cell r="AC512" t="b">
            <v>0</v>
          </cell>
          <cell r="AD512" t="b">
            <v>0</v>
          </cell>
        </row>
        <row r="513">
          <cell r="Z513" t="b">
            <v>0</v>
          </cell>
          <cell r="AA513" t="b">
            <v>0</v>
          </cell>
          <cell r="AB513" t="b">
            <v>0</v>
          </cell>
          <cell r="AC513" t="b">
            <v>0</v>
          </cell>
          <cell r="AD513" t="b">
            <v>0</v>
          </cell>
        </row>
        <row r="514">
          <cell r="Z514" t="b">
            <v>0</v>
          </cell>
          <cell r="AA514" t="b">
            <v>0</v>
          </cell>
          <cell r="AB514" t="b">
            <v>0</v>
          </cell>
          <cell r="AC514" t="b">
            <v>0</v>
          </cell>
          <cell r="AD514" t="b">
            <v>0</v>
          </cell>
        </row>
        <row r="515">
          <cell r="Z515" t="b">
            <v>0</v>
          </cell>
          <cell r="AA515" t="b">
            <v>0</v>
          </cell>
          <cell r="AB515" t="b">
            <v>0</v>
          </cell>
          <cell r="AC515" t="b">
            <v>0</v>
          </cell>
          <cell r="AD515" t="b">
            <v>0</v>
          </cell>
        </row>
        <row r="516">
          <cell r="Z516" t="b">
            <v>0</v>
          </cell>
          <cell r="AA516" t="b">
            <v>0</v>
          </cell>
          <cell r="AB516" t="b">
            <v>0</v>
          </cell>
          <cell r="AC516" t="b">
            <v>0</v>
          </cell>
          <cell r="AD516" t="b">
            <v>0</v>
          </cell>
        </row>
        <row r="517">
          <cell r="Z517" t="b">
            <v>0</v>
          </cell>
          <cell r="AA517" t="b">
            <v>0</v>
          </cell>
          <cell r="AB517" t="b">
            <v>0</v>
          </cell>
          <cell r="AC517" t="b">
            <v>0</v>
          </cell>
          <cell r="AD517" t="b">
            <v>0</v>
          </cell>
        </row>
        <row r="518">
          <cell r="Z518" t="b">
            <v>0</v>
          </cell>
          <cell r="AA518" t="b">
            <v>0</v>
          </cell>
          <cell r="AB518" t="b">
            <v>0</v>
          </cell>
          <cell r="AC518" t="b">
            <v>0</v>
          </cell>
          <cell r="AD518" t="b">
            <v>0</v>
          </cell>
        </row>
        <row r="519">
          <cell r="Z519" t="b">
            <v>0</v>
          </cell>
          <cell r="AA519" t="b">
            <v>0</v>
          </cell>
          <cell r="AB519" t="b">
            <v>0</v>
          </cell>
          <cell r="AC519" t="b">
            <v>0</v>
          </cell>
          <cell r="AD519" t="b">
            <v>0</v>
          </cell>
        </row>
        <row r="520">
          <cell r="Z520" t="b">
            <v>0</v>
          </cell>
          <cell r="AA520" t="b">
            <v>0</v>
          </cell>
          <cell r="AB520" t="b">
            <v>0</v>
          </cell>
          <cell r="AC520" t="b">
            <v>0</v>
          </cell>
          <cell r="AD520" t="b">
            <v>0</v>
          </cell>
        </row>
        <row r="521">
          <cell r="Z521" t="b">
            <v>0</v>
          </cell>
          <cell r="AA521" t="b">
            <v>0</v>
          </cell>
          <cell r="AB521" t="b">
            <v>0</v>
          </cell>
          <cell r="AC521" t="b">
            <v>0</v>
          </cell>
          <cell r="AD521" t="b">
            <v>0</v>
          </cell>
        </row>
        <row r="522">
          <cell r="Z522" t="b">
            <v>0</v>
          </cell>
          <cell r="AA522" t="b">
            <v>0</v>
          </cell>
          <cell r="AB522" t="b">
            <v>0</v>
          </cell>
          <cell r="AC522" t="b">
            <v>0</v>
          </cell>
          <cell r="AD522" t="b">
            <v>0</v>
          </cell>
        </row>
        <row r="523">
          <cell r="Z523" t="b">
            <v>0</v>
          </cell>
          <cell r="AA523" t="b">
            <v>0</v>
          </cell>
          <cell r="AB523" t="b">
            <v>0</v>
          </cell>
          <cell r="AC523" t="b">
            <v>0</v>
          </cell>
          <cell r="AD523" t="b">
            <v>0</v>
          </cell>
        </row>
        <row r="524">
          <cell r="Z524" t="b">
            <v>0</v>
          </cell>
          <cell r="AA524" t="b">
            <v>0</v>
          </cell>
          <cell r="AB524" t="b">
            <v>0</v>
          </cell>
          <cell r="AC524" t="b">
            <v>0</v>
          </cell>
          <cell r="AD524" t="b">
            <v>0</v>
          </cell>
        </row>
        <row r="525">
          <cell r="Z525" t="b">
            <v>0</v>
          </cell>
          <cell r="AA525" t="b">
            <v>0</v>
          </cell>
          <cell r="AB525" t="b">
            <v>0</v>
          </cell>
          <cell r="AC525" t="b">
            <v>0</v>
          </cell>
          <cell r="AD525" t="b">
            <v>0</v>
          </cell>
        </row>
        <row r="526">
          <cell r="Z526" t="b">
            <v>0</v>
          </cell>
          <cell r="AA526" t="b">
            <v>0</v>
          </cell>
          <cell r="AB526" t="b">
            <v>0</v>
          </cell>
          <cell r="AC526" t="b">
            <v>0</v>
          </cell>
          <cell r="AD526" t="b">
            <v>0</v>
          </cell>
        </row>
        <row r="527">
          <cell r="Z527" t="b">
            <v>0</v>
          </cell>
          <cell r="AA527" t="b">
            <v>0</v>
          </cell>
          <cell r="AB527" t="b">
            <v>0</v>
          </cell>
          <cell r="AC527" t="b">
            <v>0</v>
          </cell>
          <cell r="AD527" t="b">
            <v>0</v>
          </cell>
        </row>
        <row r="528">
          <cell r="Z528" t="b">
            <v>0</v>
          </cell>
          <cell r="AA528" t="b">
            <v>0</v>
          </cell>
          <cell r="AB528" t="b">
            <v>0</v>
          </cell>
          <cell r="AC528" t="b">
            <v>0</v>
          </cell>
          <cell r="AD528" t="b">
            <v>0</v>
          </cell>
        </row>
        <row r="529">
          <cell r="Z529" t="b">
            <v>0</v>
          </cell>
          <cell r="AA529" t="b">
            <v>0</v>
          </cell>
          <cell r="AB529" t="b">
            <v>0</v>
          </cell>
          <cell r="AC529" t="b">
            <v>0</v>
          </cell>
          <cell r="AD529" t="b">
            <v>0</v>
          </cell>
        </row>
        <row r="530">
          <cell r="Z530" t="b">
            <v>0</v>
          </cell>
          <cell r="AA530" t="b">
            <v>0</v>
          </cell>
          <cell r="AB530" t="b">
            <v>0</v>
          </cell>
          <cell r="AC530" t="b">
            <v>0</v>
          </cell>
          <cell r="AD530" t="b">
            <v>0</v>
          </cell>
        </row>
        <row r="531">
          <cell r="Z531" t="b">
            <v>0</v>
          </cell>
          <cell r="AA531" t="b">
            <v>0</v>
          </cell>
          <cell r="AB531" t="b">
            <v>0</v>
          </cell>
          <cell r="AC531" t="b">
            <v>0</v>
          </cell>
          <cell r="AD531" t="b">
            <v>0</v>
          </cell>
        </row>
        <row r="532">
          <cell r="Z532" t="b">
            <v>0</v>
          </cell>
          <cell r="AA532" t="b">
            <v>0</v>
          </cell>
          <cell r="AB532" t="b">
            <v>0</v>
          </cell>
          <cell r="AC532" t="b">
            <v>0</v>
          </cell>
          <cell r="AD532" t="b">
            <v>0</v>
          </cell>
        </row>
        <row r="533">
          <cell r="Z533" t="b">
            <v>0</v>
          </cell>
          <cell r="AA533" t="b">
            <v>0</v>
          </cell>
          <cell r="AB533" t="b">
            <v>0</v>
          </cell>
          <cell r="AC533" t="b">
            <v>0</v>
          </cell>
          <cell r="AD533" t="b">
            <v>0</v>
          </cell>
        </row>
        <row r="534">
          <cell r="Z534" t="b">
            <v>0</v>
          </cell>
          <cell r="AA534" t="b">
            <v>0</v>
          </cell>
          <cell r="AB534" t="b">
            <v>0</v>
          </cell>
          <cell r="AC534" t="b">
            <v>0</v>
          </cell>
          <cell r="AD534" t="b">
            <v>0</v>
          </cell>
        </row>
        <row r="535">
          <cell r="Z535" t="b">
            <v>0</v>
          </cell>
          <cell r="AA535" t="b">
            <v>0</v>
          </cell>
          <cell r="AB535" t="b">
            <v>0</v>
          </cell>
          <cell r="AC535" t="b">
            <v>0</v>
          </cell>
          <cell r="AD535" t="b">
            <v>0</v>
          </cell>
        </row>
        <row r="536">
          <cell r="Z536" t="b">
            <v>0</v>
          </cell>
          <cell r="AA536" t="b">
            <v>0</v>
          </cell>
          <cell r="AB536" t="b">
            <v>0</v>
          </cell>
          <cell r="AC536" t="b">
            <v>0</v>
          </cell>
          <cell r="AD536" t="b">
            <v>0</v>
          </cell>
        </row>
        <row r="537">
          <cell r="Z537" t="b">
            <v>0</v>
          </cell>
          <cell r="AA537" t="b">
            <v>0</v>
          </cell>
          <cell r="AB537" t="b">
            <v>0</v>
          </cell>
          <cell r="AC537" t="b">
            <v>0</v>
          </cell>
          <cell r="AD537" t="b">
            <v>0</v>
          </cell>
        </row>
        <row r="538">
          <cell r="Z538" t="b">
            <v>0</v>
          </cell>
          <cell r="AA538" t="b">
            <v>0</v>
          </cell>
          <cell r="AB538" t="b">
            <v>0</v>
          </cell>
          <cell r="AC538" t="b">
            <v>0</v>
          </cell>
          <cell r="AD538" t="b">
            <v>0</v>
          </cell>
        </row>
        <row r="539">
          <cell r="Z539" t="b">
            <v>0</v>
          </cell>
          <cell r="AA539" t="b">
            <v>0</v>
          </cell>
          <cell r="AB539" t="b">
            <v>0</v>
          </cell>
          <cell r="AC539" t="b">
            <v>0</v>
          </cell>
          <cell r="AD539" t="b">
            <v>0</v>
          </cell>
        </row>
        <row r="540">
          <cell r="Z540" t="b">
            <v>0</v>
          </cell>
          <cell r="AA540" t="b">
            <v>0</v>
          </cell>
          <cell r="AB540" t="b">
            <v>0</v>
          </cell>
          <cell r="AC540" t="b">
            <v>0</v>
          </cell>
          <cell r="AD540" t="b">
            <v>0</v>
          </cell>
        </row>
        <row r="541">
          <cell r="Z541" t="b">
            <v>0</v>
          </cell>
          <cell r="AA541" t="b">
            <v>0</v>
          </cell>
          <cell r="AB541" t="b">
            <v>0</v>
          </cell>
          <cell r="AC541" t="b">
            <v>0</v>
          </cell>
          <cell r="AD541" t="b">
            <v>0</v>
          </cell>
        </row>
        <row r="542">
          <cell r="Z542" t="b">
            <v>0</v>
          </cell>
          <cell r="AA542" t="b">
            <v>0</v>
          </cell>
          <cell r="AB542" t="b">
            <v>0</v>
          </cell>
          <cell r="AC542" t="b">
            <v>0</v>
          </cell>
          <cell r="AD542" t="b">
            <v>0</v>
          </cell>
        </row>
        <row r="543">
          <cell r="Z543" t="b">
            <v>0</v>
          </cell>
          <cell r="AA543" t="b">
            <v>0</v>
          </cell>
          <cell r="AB543" t="b">
            <v>0</v>
          </cell>
          <cell r="AC543" t="b">
            <v>0</v>
          </cell>
          <cell r="AD543" t="b">
            <v>0</v>
          </cell>
        </row>
        <row r="544">
          <cell r="Z544" t="b">
            <v>0</v>
          </cell>
          <cell r="AA544" t="b">
            <v>0</v>
          </cell>
          <cell r="AB544" t="b">
            <v>0</v>
          </cell>
          <cell r="AC544" t="b">
            <v>0</v>
          </cell>
          <cell r="AD544" t="b">
            <v>0</v>
          </cell>
        </row>
        <row r="545">
          <cell r="Z545" t="b">
            <v>0</v>
          </cell>
          <cell r="AA545" t="b">
            <v>0</v>
          </cell>
          <cell r="AB545" t="b">
            <v>0</v>
          </cell>
          <cell r="AC545" t="b">
            <v>0</v>
          </cell>
          <cell r="AD545" t="b">
            <v>0</v>
          </cell>
        </row>
        <row r="546">
          <cell r="Z546" t="b">
            <v>0</v>
          </cell>
          <cell r="AA546" t="b">
            <v>0</v>
          </cell>
          <cell r="AB546" t="b">
            <v>0</v>
          </cell>
          <cell r="AC546" t="b">
            <v>0</v>
          </cell>
          <cell r="AD546" t="b">
            <v>0</v>
          </cell>
        </row>
        <row r="547">
          <cell r="Z547" t="b">
            <v>0</v>
          </cell>
          <cell r="AA547" t="b">
            <v>0</v>
          </cell>
          <cell r="AB547" t="b">
            <v>0</v>
          </cell>
          <cell r="AC547" t="b">
            <v>0</v>
          </cell>
          <cell r="AD547" t="b">
            <v>0</v>
          </cell>
        </row>
        <row r="548">
          <cell r="Z548" t="b">
            <v>0</v>
          </cell>
          <cell r="AA548" t="b">
            <v>0</v>
          </cell>
          <cell r="AB548" t="b">
            <v>0</v>
          </cell>
          <cell r="AC548" t="b">
            <v>0</v>
          </cell>
          <cell r="AD548" t="b">
            <v>0</v>
          </cell>
        </row>
        <row r="549">
          <cell r="Z549" t="b">
            <v>0</v>
          </cell>
          <cell r="AA549" t="b">
            <v>0</v>
          </cell>
          <cell r="AB549" t="b">
            <v>0</v>
          </cell>
          <cell r="AC549" t="b">
            <v>0</v>
          </cell>
          <cell r="AD549" t="b">
            <v>0</v>
          </cell>
        </row>
        <row r="550">
          <cell r="Z550" t="b">
            <v>0</v>
          </cell>
          <cell r="AA550" t="b">
            <v>0</v>
          </cell>
          <cell r="AB550" t="b">
            <v>0</v>
          </cell>
          <cell r="AC550" t="b">
            <v>0</v>
          </cell>
          <cell r="AD550" t="b">
            <v>0</v>
          </cell>
        </row>
        <row r="551">
          <cell r="Z551" t="b">
            <v>0</v>
          </cell>
          <cell r="AA551" t="b">
            <v>0</v>
          </cell>
          <cell r="AB551" t="b">
            <v>0</v>
          </cell>
          <cell r="AC551" t="b">
            <v>0</v>
          </cell>
          <cell r="AD551" t="b">
            <v>0</v>
          </cell>
        </row>
        <row r="552">
          <cell r="Z552" t="b">
            <v>0</v>
          </cell>
          <cell r="AA552" t="b">
            <v>0</v>
          </cell>
          <cell r="AB552" t="b">
            <v>0</v>
          </cell>
          <cell r="AC552" t="b">
            <v>0</v>
          </cell>
          <cell r="AD552" t="b">
            <v>0</v>
          </cell>
        </row>
        <row r="553">
          <cell r="Z553" t="b">
            <v>0</v>
          </cell>
          <cell r="AA553" t="b">
            <v>0</v>
          </cell>
          <cell r="AB553" t="b">
            <v>0</v>
          </cell>
          <cell r="AC553" t="b">
            <v>0</v>
          </cell>
          <cell r="AD553" t="b">
            <v>0</v>
          </cell>
        </row>
        <row r="554">
          <cell r="Z554" t="b">
            <v>0</v>
          </cell>
          <cell r="AA554" t="b">
            <v>0</v>
          </cell>
          <cell r="AB554" t="b">
            <v>0</v>
          </cell>
          <cell r="AC554" t="b">
            <v>0</v>
          </cell>
          <cell r="AD554" t="b">
            <v>0</v>
          </cell>
        </row>
        <row r="555">
          <cell r="Z555" t="b">
            <v>0</v>
          </cell>
          <cell r="AA555" t="b">
            <v>0</v>
          </cell>
          <cell r="AB555" t="b">
            <v>0</v>
          </cell>
          <cell r="AC555" t="b">
            <v>0</v>
          </cell>
          <cell r="AD555" t="b">
            <v>0</v>
          </cell>
        </row>
        <row r="556">
          <cell r="Z556" t="b">
            <v>0</v>
          </cell>
          <cell r="AA556" t="b">
            <v>0</v>
          </cell>
          <cell r="AB556" t="b">
            <v>0</v>
          </cell>
          <cell r="AC556" t="b">
            <v>0</v>
          </cell>
          <cell r="AD556" t="b">
            <v>0</v>
          </cell>
        </row>
        <row r="557">
          <cell r="Z557" t="b">
            <v>0</v>
          </cell>
          <cell r="AA557" t="b">
            <v>0</v>
          </cell>
          <cell r="AB557" t="b">
            <v>0</v>
          </cell>
          <cell r="AC557" t="b">
            <v>0</v>
          </cell>
          <cell r="AD557" t="b">
            <v>0</v>
          </cell>
        </row>
        <row r="558">
          <cell r="Z558" t="b">
            <v>0</v>
          </cell>
          <cell r="AA558" t="b">
            <v>0</v>
          </cell>
          <cell r="AB558" t="b">
            <v>0</v>
          </cell>
          <cell r="AC558" t="b">
            <v>0</v>
          </cell>
          <cell r="AD558" t="b">
            <v>0</v>
          </cell>
        </row>
        <row r="559">
          <cell r="Z559" t="b">
            <v>0</v>
          </cell>
          <cell r="AA559" t="b">
            <v>0</v>
          </cell>
          <cell r="AB559" t="b">
            <v>0</v>
          </cell>
          <cell r="AC559" t="b">
            <v>0</v>
          </cell>
          <cell r="AD559" t="b">
            <v>0</v>
          </cell>
        </row>
        <row r="560">
          <cell r="Z560" t="b">
            <v>0</v>
          </cell>
          <cell r="AA560" t="b">
            <v>0</v>
          </cell>
          <cell r="AB560" t="b">
            <v>0</v>
          </cell>
          <cell r="AC560" t="b">
            <v>0</v>
          </cell>
          <cell r="AD560" t="b">
            <v>0</v>
          </cell>
        </row>
        <row r="561">
          <cell r="Z561" t="b">
            <v>0</v>
          </cell>
          <cell r="AA561" t="b">
            <v>0</v>
          </cell>
          <cell r="AB561" t="b">
            <v>0</v>
          </cell>
          <cell r="AC561" t="b">
            <v>0</v>
          </cell>
          <cell r="AD561" t="b">
            <v>0</v>
          </cell>
        </row>
        <row r="562">
          <cell r="Z562" t="b">
            <v>0</v>
          </cell>
          <cell r="AA562" t="b">
            <v>0</v>
          </cell>
          <cell r="AB562" t="b">
            <v>0</v>
          </cell>
          <cell r="AC562" t="b">
            <v>0</v>
          </cell>
          <cell r="AD562" t="b">
            <v>0</v>
          </cell>
        </row>
        <row r="563">
          <cell r="Z563" t="b">
            <v>0</v>
          </cell>
          <cell r="AA563" t="b">
            <v>0</v>
          </cell>
          <cell r="AB563" t="b">
            <v>0</v>
          </cell>
          <cell r="AC563" t="b">
            <v>0</v>
          </cell>
          <cell r="AD563" t="b">
            <v>0</v>
          </cell>
        </row>
        <row r="564">
          <cell r="Z564" t="b">
            <v>0</v>
          </cell>
          <cell r="AA564" t="b">
            <v>0</v>
          </cell>
          <cell r="AB564" t="b">
            <v>0</v>
          </cell>
          <cell r="AC564" t="b">
            <v>0</v>
          </cell>
          <cell r="AD564" t="b">
            <v>0</v>
          </cell>
        </row>
        <row r="565">
          <cell r="Z565" t="b">
            <v>0</v>
          </cell>
          <cell r="AA565" t="b">
            <v>0</v>
          </cell>
          <cell r="AB565" t="b">
            <v>0</v>
          </cell>
          <cell r="AC565" t="b">
            <v>0</v>
          </cell>
          <cell r="AD565" t="b">
            <v>0</v>
          </cell>
        </row>
        <row r="566">
          <cell r="Z566" t="b">
            <v>0</v>
          </cell>
          <cell r="AA566" t="b">
            <v>0</v>
          </cell>
          <cell r="AB566" t="b">
            <v>0</v>
          </cell>
          <cell r="AC566" t="b">
            <v>0</v>
          </cell>
          <cell r="AD566" t="b">
            <v>0</v>
          </cell>
        </row>
        <row r="567">
          <cell r="Z567" t="b">
            <v>0</v>
          </cell>
          <cell r="AA567" t="b">
            <v>0</v>
          </cell>
          <cell r="AB567" t="b">
            <v>0</v>
          </cell>
          <cell r="AC567" t="b">
            <v>0</v>
          </cell>
          <cell r="AD567" t="b">
            <v>0</v>
          </cell>
        </row>
        <row r="568">
          <cell r="Z568" t="b">
            <v>0</v>
          </cell>
          <cell r="AA568" t="b">
            <v>0</v>
          </cell>
          <cell r="AB568" t="b">
            <v>0</v>
          </cell>
          <cell r="AC568" t="b">
            <v>0</v>
          </cell>
          <cell r="AD568" t="b">
            <v>0</v>
          </cell>
        </row>
        <row r="569">
          <cell r="Z569" t="b">
            <v>0</v>
          </cell>
          <cell r="AA569" t="b">
            <v>0</v>
          </cell>
          <cell r="AB569" t="b">
            <v>0</v>
          </cell>
          <cell r="AC569" t="b">
            <v>0</v>
          </cell>
          <cell r="AD569" t="b">
            <v>0</v>
          </cell>
        </row>
        <row r="570">
          <cell r="Z570" t="b">
            <v>0</v>
          </cell>
          <cell r="AA570" t="b">
            <v>0</v>
          </cell>
          <cell r="AB570" t="b">
            <v>0</v>
          </cell>
          <cell r="AC570" t="b">
            <v>0</v>
          </cell>
          <cell r="AD570" t="b">
            <v>0</v>
          </cell>
        </row>
        <row r="571">
          <cell r="Z571" t="b">
            <v>0</v>
          </cell>
          <cell r="AA571" t="b">
            <v>0</v>
          </cell>
          <cell r="AB571" t="b">
            <v>0</v>
          </cell>
          <cell r="AC571" t="b">
            <v>0</v>
          </cell>
          <cell r="AD571" t="b">
            <v>0</v>
          </cell>
        </row>
        <row r="572">
          <cell r="Z572" t="b">
            <v>0</v>
          </cell>
          <cell r="AA572" t="b">
            <v>0</v>
          </cell>
          <cell r="AB572" t="b">
            <v>0</v>
          </cell>
          <cell r="AC572" t="b">
            <v>0</v>
          </cell>
          <cell r="AD572" t="b">
            <v>0</v>
          </cell>
        </row>
        <row r="573">
          <cell r="Z573" t="b">
            <v>0</v>
          </cell>
          <cell r="AA573" t="b">
            <v>0</v>
          </cell>
          <cell r="AB573" t="b">
            <v>0</v>
          </cell>
          <cell r="AC573" t="b">
            <v>0</v>
          </cell>
          <cell r="AD573" t="b">
            <v>0</v>
          </cell>
        </row>
        <row r="574">
          <cell r="Z574" t="b">
            <v>0</v>
          </cell>
          <cell r="AA574" t="b">
            <v>0</v>
          </cell>
          <cell r="AB574" t="b">
            <v>0</v>
          </cell>
          <cell r="AC574" t="b">
            <v>0</v>
          </cell>
          <cell r="AD574" t="b">
            <v>0</v>
          </cell>
        </row>
        <row r="575">
          <cell r="Z575" t="b">
            <v>0</v>
          </cell>
          <cell r="AA575" t="b">
            <v>0</v>
          </cell>
          <cell r="AB575" t="b">
            <v>0</v>
          </cell>
          <cell r="AC575" t="b">
            <v>0</v>
          </cell>
          <cell r="AD575" t="b">
            <v>0</v>
          </cell>
        </row>
        <row r="576">
          <cell r="Z576" t="b">
            <v>0</v>
          </cell>
          <cell r="AA576" t="b">
            <v>0</v>
          </cell>
          <cell r="AB576" t="b">
            <v>0</v>
          </cell>
          <cell r="AC576" t="b">
            <v>0</v>
          </cell>
          <cell r="AD576" t="b">
            <v>0</v>
          </cell>
        </row>
        <row r="577">
          <cell r="Z577" t="b">
            <v>0</v>
          </cell>
          <cell r="AA577" t="b">
            <v>0</v>
          </cell>
          <cell r="AB577" t="b">
            <v>0</v>
          </cell>
          <cell r="AC577" t="b">
            <v>0</v>
          </cell>
          <cell r="AD577" t="b">
            <v>0</v>
          </cell>
        </row>
        <row r="578">
          <cell r="Z578" t="b">
            <v>0</v>
          </cell>
          <cell r="AA578" t="b">
            <v>0</v>
          </cell>
          <cell r="AB578" t="b">
            <v>0</v>
          </cell>
          <cell r="AC578" t="b">
            <v>0</v>
          </cell>
          <cell r="AD578" t="b">
            <v>0</v>
          </cell>
        </row>
        <row r="579">
          <cell r="Z579" t="b">
            <v>0</v>
          </cell>
          <cell r="AA579" t="b">
            <v>0</v>
          </cell>
          <cell r="AB579" t="b">
            <v>0</v>
          </cell>
          <cell r="AC579" t="b">
            <v>0</v>
          </cell>
          <cell r="AD579" t="b">
            <v>0</v>
          </cell>
        </row>
        <row r="580">
          <cell r="Z580" t="b">
            <v>0</v>
          </cell>
          <cell r="AA580" t="b">
            <v>0</v>
          </cell>
          <cell r="AB580" t="b">
            <v>0</v>
          </cell>
          <cell r="AC580" t="b">
            <v>0</v>
          </cell>
          <cell r="AD580" t="b">
            <v>0</v>
          </cell>
        </row>
        <row r="581">
          <cell r="Z581" t="b">
            <v>0</v>
          </cell>
          <cell r="AA581" t="b">
            <v>0</v>
          </cell>
          <cell r="AB581" t="b">
            <v>0</v>
          </cell>
          <cell r="AC581" t="b">
            <v>0</v>
          </cell>
          <cell r="AD581" t="b">
            <v>0</v>
          </cell>
        </row>
        <row r="582">
          <cell r="Z582" t="b">
            <v>0</v>
          </cell>
          <cell r="AA582" t="b">
            <v>0</v>
          </cell>
          <cell r="AB582" t="b">
            <v>0</v>
          </cell>
          <cell r="AC582" t="b">
            <v>0</v>
          </cell>
          <cell r="AD582" t="b">
            <v>0</v>
          </cell>
        </row>
        <row r="583">
          <cell r="Z583" t="b">
            <v>0</v>
          </cell>
          <cell r="AA583" t="b">
            <v>0</v>
          </cell>
          <cell r="AB583" t="b">
            <v>0</v>
          </cell>
          <cell r="AC583" t="b">
            <v>0</v>
          </cell>
          <cell r="AD583" t="b">
            <v>0</v>
          </cell>
        </row>
        <row r="584">
          <cell r="Z584" t="b">
            <v>0</v>
          </cell>
          <cell r="AA584" t="b">
            <v>0</v>
          </cell>
          <cell r="AB584" t="b">
            <v>0</v>
          </cell>
          <cell r="AC584" t="b">
            <v>0</v>
          </cell>
          <cell r="AD584" t="b">
            <v>0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Valuation Summary"/>
      <sheetName val="EWC"/>
      <sheetName val="MW-Cache"/>
      <sheetName val="mwareSettings"/>
      <sheetName val="Rate Case"/>
      <sheetName val="EMG 5"/>
    </sheetNames>
    <sheetDataSet>
      <sheetData sheetId="0" refreshError="1"/>
      <sheetData sheetId="1" refreshError="1">
        <row r="8">
          <cell r="BO8">
            <v>0.4</v>
          </cell>
        </row>
        <row r="11">
          <cell r="BO11">
            <v>72.260000000000005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troduction"/>
      <sheetName val="Income Statement"/>
      <sheetName val="Cash Flow"/>
      <sheetName val="Balance Sheet"/>
      <sheetName val="Fin Stats"/>
      <sheetName val="PTF Worksheet"/>
      <sheetName val="Power Plants"/>
      <sheetName val="Op Co"/>
      <sheetName val="DCF - Valuation"/>
      <sheetName val="Oil Consumption – barrels"/>
      <sheetName val="New Resources"/>
      <sheetName val="Trading Vol"/>
      <sheetName val="TX Brownfield"/>
      <sheetName val="ERCOT Res Margin"/>
      <sheetName val="SE Assets &amp; RFPs"/>
    </sheetNames>
    <sheetDataSet>
      <sheetData sheetId="0" refreshError="1"/>
      <sheetData sheetId="1" refreshError="1">
        <row r="1">
          <cell r="O1" t="str">
            <v>Jennifer Rowland/Seth Tennant (212) 622-6702/6616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e Statement"/>
      <sheetName val="Fin Stats"/>
      <sheetName val="Model Introduction"/>
      <sheetName val="Quarterly"/>
      <sheetName val="Cash Flow"/>
      <sheetName val="Balance Sheet"/>
      <sheetName val="APS"/>
      <sheetName val="Power Plants"/>
    </sheetNames>
    <sheetDataSet>
      <sheetData sheetId="0" refreshError="1">
        <row r="1">
          <cell r="K1" t="str">
            <v>no</v>
          </cell>
        </row>
        <row r="2">
          <cell r="K2" t="str">
            <v>yes</v>
          </cell>
        </row>
      </sheetData>
      <sheetData sheetId="1" refreshError="1">
        <row r="22">
          <cell r="B22">
            <v>0.77868308483197712</v>
          </cell>
          <cell r="C22">
            <v>0.77606831840530421</v>
          </cell>
          <cell r="D22">
            <v>0.74089945591522299</v>
          </cell>
          <cell r="E22">
            <v>0.56459162653765549</v>
          </cell>
          <cell r="F22">
            <v>0.55949532085758447</v>
          </cell>
          <cell r="G22">
            <v>0.73700848488157678</v>
          </cell>
          <cell r="H22">
            <v>0.69402864309410139</v>
          </cell>
          <cell r="I22">
            <v>0.70492076089335931</v>
          </cell>
          <cell r="J22">
            <v>0.70594664159430798</v>
          </cell>
          <cell r="K22">
            <v>0.6975307483044092</v>
          </cell>
          <cell r="L22">
            <v>0.69864210564587026</v>
          </cell>
        </row>
        <row r="23">
          <cell r="B23">
            <v>0.26512586803380017</v>
          </cell>
          <cell r="C23">
            <v>0.26212612094661353</v>
          </cell>
          <cell r="D23">
            <v>0.24889253359674626</v>
          </cell>
          <cell r="E23">
            <v>0.20671051526483869</v>
          </cell>
          <cell r="F23">
            <v>0.19918190876953953</v>
          </cell>
          <cell r="G23">
            <v>0.19567402614588736</v>
          </cell>
          <cell r="H23">
            <v>0.17107108535153723</v>
          </cell>
          <cell r="I23">
            <v>0.19520208673037562</v>
          </cell>
          <cell r="J23">
            <v>0.21129361392514523</v>
          </cell>
          <cell r="K23">
            <v>0.2082445975058651</v>
          </cell>
          <cell r="L23">
            <v>0.20815358761461225</v>
          </cell>
        </row>
        <row r="24">
          <cell r="B24">
            <v>0.26088832927490679</v>
          </cell>
          <cell r="C24">
            <v>0.25757266872681783</v>
          </cell>
          <cell r="D24">
            <v>0.25312829427217692</v>
          </cell>
          <cell r="E24">
            <v>0.20558951018777882</v>
          </cell>
          <cell r="F24">
            <v>0.19707200770300976</v>
          </cell>
          <cell r="G24">
            <v>0.18863988224226549</v>
          </cell>
          <cell r="H24">
            <v>0.18144387994827263</v>
          </cell>
          <cell r="I24">
            <v>0.19520208673037562</v>
          </cell>
          <cell r="J24">
            <v>0.21129361392514523</v>
          </cell>
          <cell r="K24">
            <v>0.2082445975058651</v>
          </cell>
          <cell r="L24">
            <v>0.20815358761461225</v>
          </cell>
        </row>
        <row r="25">
          <cell r="B25">
            <v>0.18185176534040171</v>
          </cell>
          <cell r="C25">
            <v>0.18649941016318411</v>
          </cell>
          <cell r="D25">
            <v>0.18699715115774271</v>
          </cell>
          <cell r="E25">
            <v>0.15916925734134915</v>
          </cell>
          <cell r="F25">
            <v>0.15937015873315177</v>
          </cell>
          <cell r="G25">
            <v>0.13394601026285033</v>
          </cell>
          <cell r="H25">
            <v>0.11928802506306217</v>
          </cell>
          <cell r="I25">
            <v>0.12875036830087194</v>
          </cell>
          <cell r="J25">
            <v>0.1486966617201877</v>
          </cell>
          <cell r="K25">
            <v>0.14377537219807365</v>
          </cell>
          <cell r="L25">
            <v>0.14648565228403998</v>
          </cell>
        </row>
        <row r="26">
          <cell r="B26">
            <v>0.11822201815916197</v>
          </cell>
          <cell r="C26">
            <v>0.11874566422274271</v>
          </cell>
          <cell r="D26">
            <v>0.1226324993488165</v>
          </cell>
          <cell r="E26">
            <v>9.6916130099419157E-2</v>
          </cell>
          <cell r="F26">
            <v>9.6454682648604906E-2</v>
          </cell>
          <cell r="G26">
            <v>8.1581432984526719E-2</v>
          </cell>
          <cell r="H26">
            <v>8.1826866705561496E-2</v>
          </cell>
          <cell r="I26">
            <v>7.8537724663531885E-2</v>
          </cell>
          <cell r="J26">
            <v>9.0704963649314505E-2</v>
          </cell>
          <cell r="K26">
            <v>8.7702977040824942E-2</v>
          </cell>
          <cell r="L26">
            <v>8.9356247893264379E-2</v>
          </cell>
        </row>
        <row r="29">
          <cell r="B29">
            <v>3.4429436923328942E-2</v>
          </cell>
          <cell r="C29">
            <v>3.5613639256115222E-2</v>
          </cell>
          <cell r="D29">
            <v>4.0382013379539436E-2</v>
          </cell>
          <cell r="E29">
            <v>4.4156396121133194E-2</v>
          </cell>
          <cell r="F29">
            <v>4.3469069913782049E-2</v>
          </cell>
          <cell r="G29">
            <v>2.6293957209824085E-2</v>
          </cell>
          <cell r="H29">
            <v>2.6927331351401528E-2</v>
          </cell>
          <cell r="I29">
            <v>2.6258240985668199E-2</v>
          </cell>
          <cell r="J29">
            <v>3.2988277881780916E-2</v>
          </cell>
          <cell r="K29">
            <v>3.1580055492802954E-2</v>
          </cell>
          <cell r="L29">
            <v>3.288898464941778E-2</v>
          </cell>
        </row>
        <row r="30">
          <cell r="B30">
            <v>0.10727568535752587</v>
          </cell>
          <cell r="C30">
            <v>0.1089888716857194</v>
          </cell>
          <cell r="D30">
            <v>0.12085679246022625</v>
          </cell>
          <cell r="E30">
            <v>0.13177966314092776</v>
          </cell>
          <cell r="F30">
            <v>0.13411082300277516</v>
          </cell>
          <cell r="G30">
            <v>8.298293155729565E-2</v>
          </cell>
          <cell r="H30">
            <v>8.4685748760105831E-2</v>
          </cell>
          <cell r="I30">
            <v>8.1853777456058971E-2</v>
          </cell>
          <cell r="J30">
            <v>0.10026353723059922</v>
          </cell>
          <cell r="K30">
            <v>9.307361227777565E-2</v>
          </cell>
          <cell r="L30">
            <v>9.4387736900846675E-2</v>
          </cell>
        </row>
        <row r="31">
          <cell r="B31">
            <v>7.2264624543368086E-2</v>
          </cell>
          <cell r="C31">
            <v>7.1857363711487862E-2</v>
          </cell>
          <cell r="D31">
            <v>7.9219866129955185E-2</v>
          </cell>
          <cell r="E31">
            <v>8.2655835228165483E-2</v>
          </cell>
          <cell r="F31">
            <v>7.6463608154272986E-2</v>
          </cell>
          <cell r="G31">
            <v>5.1994278471109386E-2</v>
          </cell>
          <cell r="H31">
            <v>5.6995930564830218E-2</v>
          </cell>
          <cell r="I31">
            <v>5.4579630121736056E-2</v>
          </cell>
          <cell r="J31">
            <v>6.4433361252323407E-2</v>
          </cell>
          <cell r="K31">
            <v>6.2986023648644238E-2</v>
          </cell>
          <cell r="L31">
            <v>6.4307005297087078E-2</v>
          </cell>
        </row>
        <row r="32">
          <cell r="B32">
            <v>0.42281997187060483</v>
          </cell>
          <cell r="C32">
            <v>0.1084138281647178</v>
          </cell>
          <cell r="D32">
            <v>-0.24764039641340263</v>
          </cell>
          <cell r="E32">
            <v>0.60520287958115204</v>
          </cell>
          <cell r="F32">
            <v>-8.9334453075792575E-2</v>
          </cell>
          <cell r="G32">
            <v>-0.14659498207885299</v>
          </cell>
          <cell r="H32">
            <v>0.22455265473745961</v>
          </cell>
        </row>
        <row r="35">
          <cell r="B35">
            <v>130.75</v>
          </cell>
          <cell r="C35">
            <v>178.83</v>
          </cell>
          <cell r="D35">
            <v>38.299999999999997</v>
          </cell>
          <cell r="E35">
            <v>82.775000000000006</v>
          </cell>
          <cell r="F35">
            <v>405.762</v>
          </cell>
          <cell r="G35">
            <v>102.18300000000001</v>
          </cell>
          <cell r="H35">
            <v>102.18300000000001</v>
          </cell>
          <cell r="I35">
            <v>102.18300000000001</v>
          </cell>
          <cell r="J35">
            <v>102.18300000000001</v>
          </cell>
          <cell r="K35">
            <v>102.18300000000001</v>
          </cell>
          <cell r="L35">
            <v>102.18300000000001</v>
          </cell>
        </row>
        <row r="36">
          <cell r="B36">
            <v>2352.9430000000002</v>
          </cell>
          <cell r="C36">
            <v>2217.0059999999999</v>
          </cell>
          <cell r="D36">
            <v>2320.8500000000004</v>
          </cell>
          <cell r="E36">
            <v>2418.5520000000001</v>
          </cell>
          <cell r="F36">
            <v>2799.2179999999998</v>
          </cell>
          <cell r="G36">
            <v>3162.7180000000003</v>
          </cell>
          <cell r="H36">
            <v>3494.2825784246579</v>
          </cell>
          <cell r="I36">
            <v>3409.4023946979632</v>
          </cell>
          <cell r="J36">
            <v>3356.307959796603</v>
          </cell>
          <cell r="K36">
            <v>3235.6895480620424</v>
          </cell>
          <cell r="L36">
            <v>3235.6895480620424</v>
          </cell>
        </row>
        <row r="37">
          <cell r="B37">
            <v>171.161</v>
          </cell>
          <cell r="C37">
            <v>95.241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</row>
        <row r="38">
          <cell r="B38">
            <v>2027.4359999999999</v>
          </cell>
          <cell r="C38">
            <v>2163.3510000000001</v>
          </cell>
          <cell r="D38">
            <v>2205.7330000000002</v>
          </cell>
          <cell r="E38">
            <v>2382.7139999999999</v>
          </cell>
          <cell r="F38">
            <v>2499.3229999999999</v>
          </cell>
          <cell r="G38">
            <v>2686.1529999999998</v>
          </cell>
          <cell r="H38">
            <v>2759.296875</v>
          </cell>
          <cell r="I38">
            <v>2821.0838979547543</v>
          </cell>
          <cell r="J38">
            <v>2933.86001457155</v>
          </cell>
          <cell r="K38">
            <v>3026.3719752234369</v>
          </cell>
          <cell r="L38">
            <v>3122.5776971706782</v>
          </cell>
        </row>
        <row r="39">
          <cell r="B39">
            <v>4682.29</v>
          </cell>
          <cell r="C39">
            <v>4654.4279999999999</v>
          </cell>
          <cell r="D39">
            <v>4564.8830000000007</v>
          </cell>
          <cell r="E39">
            <v>4884.0410000000002</v>
          </cell>
          <cell r="F39">
            <v>5704.3029999999999</v>
          </cell>
          <cell r="G39">
            <v>5951.0540000000001</v>
          </cell>
          <cell r="H39">
            <v>6355.7624534246579</v>
          </cell>
          <cell r="I39">
            <v>6332.6692926527176</v>
          </cell>
          <cell r="J39">
            <v>6392.3509743681534</v>
          </cell>
          <cell r="K39">
            <v>6364.2445232854789</v>
          </cell>
          <cell r="L39">
            <v>6460.4502452327206</v>
          </cell>
        </row>
        <row r="41">
          <cell r="B41">
            <v>0.50251970723727069</v>
          </cell>
          <cell r="C41">
            <v>0.47632190249800832</v>
          </cell>
          <cell r="D41">
            <v>0.50841390677482867</v>
          </cell>
          <cell r="E41">
            <v>0.49519486015780784</v>
          </cell>
          <cell r="F41">
            <v>0.49072042631676471</v>
          </cell>
          <cell r="G41">
            <v>0.53145510022258247</v>
          </cell>
          <cell r="H41">
            <v>0.54978180887516392</v>
          </cell>
          <cell r="I41">
            <v>0.53838314257995701</v>
          </cell>
          <cell r="J41">
            <v>0.52505063837305244</v>
          </cell>
          <cell r="K41">
            <v>0.50841691205033235</v>
          </cell>
          <cell r="L41">
            <v>0.50084582733993099</v>
          </cell>
        </row>
        <row r="42">
          <cell r="B42">
            <v>0.53044407757742473</v>
          </cell>
          <cell r="C42">
            <v>0.51474337985247598</v>
          </cell>
          <cell r="D42">
            <v>0.51680404514201139</v>
          </cell>
          <cell r="E42">
            <v>0.51214291608117135</v>
          </cell>
          <cell r="F42">
            <v>0.56185304322017959</v>
          </cell>
          <cell r="G42">
            <v>0.54862567202381296</v>
          </cell>
          <cell r="H42">
            <v>0.56585903025478623</v>
          </cell>
          <cell r="I42">
            <v>0.55451899229479285</v>
          </cell>
          <cell r="J42">
            <v>0.54103583699711588</v>
          </cell>
          <cell r="K42">
            <v>0.52447270620251063</v>
          </cell>
          <cell r="L42">
            <v>0.51666252681461589</v>
          </cell>
        </row>
        <row r="43">
          <cell r="B43">
            <v>0.43300094611824552</v>
          </cell>
          <cell r="C43">
            <v>0.4647941701966386</v>
          </cell>
          <cell r="D43">
            <v>0.48319595485798866</v>
          </cell>
          <cell r="E43">
            <v>0.48785708391882865</v>
          </cell>
          <cell r="F43">
            <v>0.43814695677982041</v>
          </cell>
          <cell r="G43">
            <v>0.45137432797618704</v>
          </cell>
          <cell r="H43">
            <v>0.43414096974521377</v>
          </cell>
          <cell r="I43">
            <v>0.44548100770520721</v>
          </cell>
          <cell r="J43">
            <v>0.45896416300288406</v>
          </cell>
          <cell r="K43">
            <v>0.47552729379748943</v>
          </cell>
          <cell r="L43">
            <v>0.48333747318538411</v>
          </cell>
        </row>
        <row r="44">
          <cell r="B44">
            <v>3.6554976304329717E-2</v>
          </cell>
          <cell r="C44">
            <v>2.0462449950885479E-2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</row>
        <row r="45">
          <cell r="B45">
            <v>2.9342101554263951</v>
          </cell>
          <cell r="C45">
            <v>3.2130507699344415</v>
          </cell>
          <cell r="D45">
            <v>3.5435593285054274</v>
          </cell>
          <cell r="E45">
            <v>3.8531244179829027</v>
          </cell>
          <cell r="F45">
            <v>3.8041997019713105</v>
          </cell>
          <cell r="G45">
            <v>2.6412958646796154</v>
          </cell>
          <cell r="H45">
            <v>2.4990566498851354</v>
          </cell>
          <cell r="I45">
            <v>2.6619930489627879</v>
          </cell>
          <cell r="J45">
            <v>3.2140353503573347</v>
          </cell>
          <cell r="K45">
            <v>3.2301395977950058</v>
          </cell>
          <cell r="L45">
            <v>3.3753941411983486</v>
          </cell>
          <cell r="M45" t="str">
            <v>why add back taxes OTI?</v>
          </cell>
        </row>
        <row r="50">
          <cell r="B50">
            <v>2483.6930000000002</v>
          </cell>
          <cell r="C50">
            <v>2395.8359999999998</v>
          </cell>
          <cell r="D50">
            <v>2359.1500000000005</v>
          </cell>
          <cell r="E50">
            <v>2501.3270000000002</v>
          </cell>
          <cell r="F50">
            <v>3204.98</v>
          </cell>
          <cell r="G50">
            <v>3264.9010000000003</v>
          </cell>
          <cell r="H50">
            <v>3596.4655784246579</v>
          </cell>
          <cell r="I50">
            <v>3511.5853946979632</v>
          </cell>
          <cell r="J50">
            <v>3458.490959796603</v>
          </cell>
          <cell r="K50">
            <v>3337.8725480620424</v>
          </cell>
          <cell r="L50">
            <v>3337.8725480620424</v>
          </cell>
        </row>
        <row r="51">
          <cell r="B51">
            <v>2456.2089999999998</v>
          </cell>
          <cell r="C51">
            <v>2375.2979999999998</v>
          </cell>
          <cell r="D51">
            <v>2338.4450000000006</v>
          </cell>
          <cell r="E51">
            <v>2490.9639999999999</v>
          </cell>
          <cell r="F51">
            <v>3176.3609999999999</v>
          </cell>
          <cell r="G51">
            <v>3187.1940000000009</v>
          </cell>
          <cell r="H51">
            <v>3518.7585784246585</v>
          </cell>
          <cell r="I51">
            <v>3433.8783946979638</v>
          </cell>
          <cell r="J51">
            <v>3380.7839597966035</v>
          </cell>
          <cell r="K51">
            <v>3260.1655480620429</v>
          </cell>
          <cell r="L51">
            <v>3119.937592121988</v>
          </cell>
        </row>
        <row r="52">
          <cell r="B52">
            <v>171.161</v>
          </cell>
          <cell r="C52">
            <v>95.241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</row>
        <row r="53"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</row>
        <row r="54">
          <cell r="B54">
            <v>84.824946999999995</v>
          </cell>
          <cell r="C54">
            <v>84.824946999999995</v>
          </cell>
          <cell r="D54">
            <v>84.824946999999995</v>
          </cell>
          <cell r="E54">
            <v>84.824946999999995</v>
          </cell>
          <cell r="F54">
            <v>84.824946999999995</v>
          </cell>
          <cell r="G54">
            <v>91.379947000000001</v>
          </cell>
          <cell r="H54">
            <v>91.287999999999997</v>
          </cell>
          <cell r="I54">
            <v>91.287999999999997</v>
          </cell>
          <cell r="J54">
            <v>91.287999999999997</v>
          </cell>
          <cell r="K54">
            <v>91.287999999999997</v>
          </cell>
          <cell r="L54">
            <v>91.287999999999997</v>
          </cell>
        </row>
        <row r="55">
          <cell r="B55">
            <v>39.340000000000003</v>
          </cell>
          <cell r="C55">
            <v>42.38</v>
          </cell>
          <cell r="D55">
            <v>30.56</v>
          </cell>
          <cell r="E55">
            <v>47.63</v>
          </cell>
          <cell r="F55">
            <v>41.85</v>
          </cell>
          <cell r="G55">
            <v>34.090000000000003</v>
          </cell>
          <cell r="H55">
            <v>40.020000000000003</v>
          </cell>
          <cell r="I55">
            <v>40.020000000000003</v>
          </cell>
          <cell r="J55">
            <v>40.020000000000003</v>
          </cell>
          <cell r="K55">
            <v>40.020000000000003</v>
          </cell>
          <cell r="L55">
            <v>40.020000000000003</v>
          </cell>
        </row>
        <row r="56">
          <cell r="B56">
            <v>3337.0134149800001</v>
          </cell>
          <cell r="C56">
            <v>3594.88125386</v>
          </cell>
          <cell r="D56">
            <v>2592.2503803199997</v>
          </cell>
          <cell r="E56">
            <v>4040.2122256100001</v>
          </cell>
          <cell r="F56">
            <v>3549.92403195</v>
          </cell>
          <cell r="G56">
            <v>3115.1423932300004</v>
          </cell>
          <cell r="H56">
            <v>3653.3457600000002</v>
          </cell>
          <cell r="I56">
            <v>3653.3457600000002</v>
          </cell>
          <cell r="J56">
            <v>3653.3457600000002</v>
          </cell>
          <cell r="K56">
            <v>3653.3457600000002</v>
          </cell>
          <cell r="L56">
            <v>3653.3457600000002</v>
          </cell>
        </row>
        <row r="57">
          <cell r="B57">
            <v>5964.3834149800005</v>
          </cell>
          <cell r="C57">
            <v>6065.4202538600002</v>
          </cell>
          <cell r="D57">
            <v>4930.6953803200004</v>
          </cell>
          <cell r="E57">
            <v>6531.1762256100001</v>
          </cell>
          <cell r="F57">
            <v>6726.2850319499994</v>
          </cell>
          <cell r="G57">
            <v>6302.3363932300017</v>
          </cell>
          <cell r="H57">
            <v>7172.1043384246586</v>
          </cell>
          <cell r="I57">
            <v>7087.224154697964</v>
          </cell>
          <cell r="J57">
            <v>7034.1297197966032</v>
          </cell>
          <cell r="K57">
            <v>6913.5113080620431</v>
          </cell>
          <cell r="L57">
            <v>6773.2833521219882</v>
          </cell>
        </row>
        <row r="59">
          <cell r="B59">
            <v>7.1419052193648733E-2</v>
          </cell>
          <cell r="C59">
            <v>6.7209355657072631E-2</v>
          </cell>
          <cell r="D59">
            <v>6.6095673047197198E-2</v>
          </cell>
          <cell r="E59">
            <v>6.8489985653671426E-2</v>
          </cell>
          <cell r="F59">
            <v>6.1623743692724553E-2</v>
          </cell>
          <cell r="G59">
            <v>5.8224563944839172E-2</v>
          </cell>
          <cell r="H59">
            <v>5.8000000000000003E-2</v>
          </cell>
          <cell r="I59">
            <v>0.06</v>
          </cell>
          <cell r="J59">
            <v>0.06</v>
          </cell>
          <cell r="K59">
            <v>0.06</v>
          </cell>
          <cell r="L59">
            <v>0.06</v>
          </cell>
        </row>
        <row r="60">
          <cell r="B60">
            <v>1.2250413823173705</v>
          </cell>
          <cell r="C60">
            <v>1.1074652240898493</v>
          </cell>
          <cell r="D60">
            <v>1.0695537492525162</v>
          </cell>
          <cell r="E60">
            <v>1.049780628308727</v>
          </cell>
          <cell r="F60">
            <v>1.2823392574709231</v>
          </cell>
          <cell r="G60">
            <v>1.2154560816156044</v>
          </cell>
          <cell r="H60">
            <v>1.3033992866116146</v>
          </cell>
          <cell r="I60">
            <v>1.2447646088242228</v>
          </cell>
          <cell r="J60">
            <v>1.1788193515094032</v>
          </cell>
          <cell r="K60">
            <v>1.1029287131221228</v>
          </cell>
          <cell r="L60">
            <v>1.0689477962666676</v>
          </cell>
        </row>
        <row r="61">
          <cell r="B61">
            <v>0.53044407757742473</v>
          </cell>
          <cell r="C61">
            <v>0.51474337985247598</v>
          </cell>
          <cell r="D61">
            <v>0.51680404514201139</v>
          </cell>
          <cell r="E61">
            <v>0.51214291608117135</v>
          </cell>
          <cell r="F61">
            <v>0.56185304322017959</v>
          </cell>
          <cell r="G61">
            <v>0.54862567202381296</v>
          </cell>
          <cell r="H61">
            <v>0.56585903025478623</v>
          </cell>
          <cell r="I61">
            <v>0.55451899229479285</v>
          </cell>
          <cell r="J61">
            <v>0.54103583699711588</v>
          </cell>
          <cell r="K61">
            <v>0.52447270620251063</v>
          </cell>
          <cell r="L61">
            <v>0.51666252681461589</v>
          </cell>
        </row>
        <row r="62">
          <cell r="B62">
            <v>0.41451067388284157</v>
          </cell>
          <cell r="C62">
            <v>0.39366619027996919</v>
          </cell>
          <cell r="D62">
            <v>0.47646116629484381</v>
          </cell>
          <cell r="E62">
            <v>0.38237590783027842</v>
          </cell>
          <cell r="F62">
            <v>0.47446714044208105</v>
          </cell>
          <cell r="G62">
            <v>0.51173648810358507</v>
          </cell>
          <cell r="H62">
            <v>0.49607712677474292</v>
          </cell>
          <cell r="I62">
            <v>0.4901073463065248</v>
          </cell>
          <cell r="J62">
            <v>0.48630066972284408</v>
          </cell>
          <cell r="K62">
            <v>0.47743789436712591</v>
          </cell>
          <cell r="L62">
            <v>0.47743789436712591</v>
          </cell>
        </row>
        <row r="66">
          <cell r="B66">
            <v>7.5977710553970706E-2</v>
          </cell>
          <cell r="C66">
            <v>7.7249979326107346E-2</v>
          </cell>
          <cell r="D66">
            <v>8.3353354292845475E-2</v>
          </cell>
          <cell r="E66">
            <v>9.3669566055606654E-2</v>
          </cell>
          <cell r="F66">
            <v>8.8814110892888112E-2</v>
          </cell>
          <cell r="G66">
            <v>6.0799238384120408E-2</v>
          </cell>
          <cell r="H66">
            <v>5.9708988914749503E-2</v>
          </cell>
          <cell r="I66">
            <v>6.5263711881527839E-2</v>
          </cell>
          <cell r="J66">
            <v>7.6844884451492762E-2</v>
          </cell>
          <cell r="K66">
            <v>7.4984637548282912E-2</v>
          </cell>
          <cell r="L66">
            <v>7.6614230220987886E-2</v>
          </cell>
        </row>
        <row r="67">
          <cell r="B67">
            <v>9.1004533008720551E-2</v>
          </cell>
          <cell r="C67">
            <v>8.8829998434062585E-2</v>
          </cell>
          <cell r="D67">
            <v>9.5142593390104516E-2</v>
          </cell>
          <cell r="E67">
            <v>0.10419309915734913</v>
          </cell>
          <cell r="F67">
            <v>7.5825321705534923E-2</v>
          </cell>
          <cell r="G67">
            <v>0.10641773201130075</v>
          </cell>
          <cell r="H67">
            <v>7.069003098962412E-2</v>
          </cell>
          <cell r="I67">
            <v>8.2490386641547356E-2</v>
          </cell>
          <cell r="J67">
            <v>9.0424324384454316E-2</v>
          </cell>
          <cell r="K67">
            <v>9.1707759900882035E-2</v>
          </cell>
          <cell r="L67">
            <v>9.4545730492907626E-2</v>
          </cell>
        </row>
        <row r="74">
          <cell r="B74">
            <v>2.6997279285722819</v>
          </cell>
          <cell r="C74">
            <v>2.5481084105032643</v>
          </cell>
          <cell r="D74">
            <v>2.415469076999317</v>
          </cell>
          <cell r="E74">
            <v>2.3320874162059351</v>
          </cell>
          <cell r="F74">
            <v>2.9222121420723677</v>
          </cell>
          <cell r="G74">
            <v>3.5396408429479345</v>
          </cell>
          <cell r="H74">
            <v>3.7880460051343272</v>
          </cell>
          <cell r="I74">
            <v>3.4466743542136675</v>
          </cell>
          <cell r="J74">
            <v>3.0204432253681572</v>
          </cell>
          <cell r="K74">
            <v>2.8921701379812936</v>
          </cell>
          <cell r="L74">
            <v>2.7986823133468923</v>
          </cell>
        </row>
        <row r="75">
          <cell r="B75">
            <v>5.1863989221064042</v>
          </cell>
          <cell r="C75">
            <v>5.7340509223967073</v>
          </cell>
          <cell r="D75">
            <v>6.2152957197948346</v>
          </cell>
          <cell r="E75">
            <v>6.4439130774360613</v>
          </cell>
          <cell r="F75">
            <v>6.237928131860631</v>
          </cell>
          <cell r="G75">
            <v>4.8970921620574108</v>
          </cell>
          <cell r="H75">
            <v>4.6406227088322982</v>
          </cell>
          <cell r="I75">
            <v>4.7778355009750619</v>
          </cell>
          <cell r="J75">
            <v>5.4759210454593399</v>
          </cell>
          <cell r="K75">
            <v>5.6604121959133007</v>
          </cell>
          <cell r="L75">
            <v>5.9551834758748692</v>
          </cell>
        </row>
        <row r="76">
          <cell r="B76">
            <v>7.9803771084376534</v>
          </cell>
          <cell r="C76">
            <v>8.2211465830170525</v>
          </cell>
          <cell r="D76">
            <v>7.4676964689250367</v>
          </cell>
          <cell r="E76">
            <v>8.9479902625495278</v>
          </cell>
          <cell r="F76">
            <v>8.1249998085217783</v>
          </cell>
          <cell r="G76">
            <v>10.254636343320499</v>
          </cell>
          <cell r="H76">
            <v>6.8157168862187003</v>
          </cell>
          <cell r="I76">
            <v>7.0195890596680615</v>
          </cell>
          <cell r="J76">
            <v>7.516717778282012</v>
          </cell>
          <cell r="K76">
            <v>7.4554020692514413</v>
          </cell>
          <cell r="L76">
            <v>7.8501242195521268</v>
          </cell>
        </row>
        <row r="77">
          <cell r="B77">
            <v>0.28809679779264197</v>
          </cell>
          <cell r="C77">
            <v>0.27899155033983958</v>
          </cell>
          <cell r="D77">
            <v>0.261554373397198</v>
          </cell>
          <cell r="E77">
            <v>0.28016848656733012</v>
          </cell>
          <cell r="F77">
            <v>0.17216706500508577</v>
          </cell>
          <cell r="G77">
            <v>0.24902654016155451</v>
          </cell>
          <cell r="H77">
            <v>0.19427935142536698</v>
          </cell>
          <cell r="I77">
            <v>0.20206630999949976</v>
          </cell>
          <cell r="J77">
            <v>0.22884865272666285</v>
          </cell>
          <cell r="K77">
            <v>0.24053663796061861</v>
          </cell>
          <cell r="L77">
            <v>0.25071454643560781</v>
          </cell>
        </row>
        <row r="78">
          <cell r="B78">
            <v>0.25100485446470244</v>
          </cell>
          <cell r="C78">
            <v>0.25287123158680308</v>
          </cell>
          <cell r="D78">
            <v>0.26941907042790819</v>
          </cell>
          <cell r="E78">
            <v>0.2852062125423826</v>
          </cell>
          <cell r="F78">
            <v>0.17817365474979557</v>
          </cell>
          <cell r="G78">
            <v>0.26670762758196942</v>
          </cell>
          <cell r="H78">
            <v>0.16830733768359432</v>
          </cell>
          <cell r="I78">
            <v>0.20431819337499155</v>
          </cell>
          <cell r="J78">
            <v>0.22866153015703403</v>
          </cell>
          <cell r="K78">
            <v>0.24131437019733359</v>
          </cell>
          <cell r="L78">
            <v>0.24992414896859885</v>
          </cell>
        </row>
        <row r="79">
          <cell r="B79">
            <v>0.21228831421596803</v>
          </cell>
          <cell r="C79">
            <v>0.20952561026714681</v>
          </cell>
          <cell r="D79">
            <v>0.22181251722018508</v>
          </cell>
          <cell r="E79">
            <v>0.2369386329736177</v>
          </cell>
          <cell r="F79">
            <v>0.13786170272513393</v>
          </cell>
          <cell r="G79">
            <v>0.22452533782800749</v>
          </cell>
          <cell r="H79">
            <v>0.12453321512714843</v>
          </cell>
          <cell r="I79">
            <v>0.15687506405467222</v>
          </cell>
          <cell r="J79">
            <v>0.17785052557648862</v>
          </cell>
          <cell r="K79">
            <v>0.18593232749251909</v>
          </cell>
          <cell r="L79">
            <v>0.1918071905746577</v>
          </cell>
        </row>
        <row r="82">
          <cell r="B82">
            <v>2.9896269096142105</v>
          </cell>
          <cell r="C82">
            <v>2.9652782176221635</v>
          </cell>
          <cell r="D82">
            <v>2.2413871640359466</v>
          </cell>
          <cell r="E82">
            <v>2.0936464707124998</v>
          </cell>
          <cell r="F82">
            <v>1.9818176180274707</v>
          </cell>
          <cell r="G82">
            <v>2.3897116661642559</v>
          </cell>
          <cell r="H82">
            <v>2.5452381240834008</v>
          </cell>
          <cell r="I82">
            <v>2.4371480909920908</v>
          </cell>
          <cell r="J82">
            <v>2.2115018389272976</v>
          </cell>
          <cell r="K82">
            <v>2.1860156914406863</v>
          </cell>
          <cell r="L82">
            <v>2.085631859415026</v>
          </cell>
        </row>
        <row r="83">
          <cell r="B83">
            <v>2.9158830685692023</v>
          </cell>
          <cell r="C83">
            <v>2.7572084772763126</v>
          </cell>
          <cell r="D83">
            <v>1.5805932384256305</v>
          </cell>
          <cell r="E83">
            <v>1.9243311945410693</v>
          </cell>
          <cell r="F83">
            <v>2.5504639562025861</v>
          </cell>
          <cell r="G83">
            <v>2.2365746651101626</v>
          </cell>
          <cell r="H83">
            <v>2.4663366101100372</v>
          </cell>
          <cell r="I83">
            <v>2.2281945137994579</v>
          </cell>
          <cell r="J83">
            <v>2.2241545949557389</v>
          </cell>
          <cell r="K83">
            <v>2.1288109023230124</v>
          </cell>
        </row>
        <row r="85">
          <cell r="B85">
            <v>6.4831734365458331</v>
          </cell>
          <cell r="C85">
            <v>6.4509208318505582</v>
          </cell>
          <cell r="D85">
            <v>5.0484039672196959</v>
          </cell>
          <cell r="E85">
            <v>6.0892773670809355</v>
          </cell>
          <cell r="F85">
            <v>6.1328407014720563</v>
          </cell>
          <cell r="G85">
            <v>6.8326749581301502</v>
          </cell>
          <cell r="H85">
            <v>7.5541557663055636</v>
          </cell>
          <cell r="I85">
            <v>6.9562180584995126</v>
          </cell>
          <cell r="J85">
            <v>6.1431964708012341</v>
          </cell>
          <cell r="K85">
            <v>5.9903578299842799</v>
          </cell>
          <cell r="L85">
            <v>5.6791468361716522</v>
          </cell>
        </row>
        <row r="86">
          <cell r="B86">
            <v>6.3434623835591095</v>
          </cell>
          <cell r="C86">
            <v>6.2102176895085837</v>
          </cell>
          <cell r="D86">
            <v>4.5970849271562688</v>
          </cell>
          <cell r="E86">
            <v>5.9549458868672875</v>
          </cell>
          <cell r="F86">
            <v>7.2922986701279973</v>
          </cell>
          <cell r="G86">
            <v>6.6380560794480896</v>
          </cell>
          <cell r="H86">
            <v>7.0395292469084465</v>
          </cell>
          <cell r="I86">
            <v>6.1895660372007937</v>
          </cell>
          <cell r="J86">
            <v>6.0948701993112531</v>
          </cell>
          <cell r="K86">
            <v>5.7967227754788846</v>
          </cell>
        </row>
        <row r="88">
          <cell r="B88">
            <v>5.4283632998031797</v>
          </cell>
          <cell r="C88">
            <v>5.9701825900653329</v>
          </cell>
          <cell r="D88">
            <v>4.0872797986154827</v>
          </cell>
          <cell r="E88">
            <v>5.6707149905942567</v>
          </cell>
          <cell r="F88">
            <v>6.2242606949038892</v>
          </cell>
          <cell r="G88">
            <v>3.3262623367257196</v>
          </cell>
          <cell r="H88">
            <v>6.0432154659793706</v>
          </cell>
          <cell r="I88">
            <v>5.099716456509003</v>
          </cell>
          <cell r="J88">
            <v>4.626755540892848</v>
          </cell>
          <cell r="K88">
            <v>4.5425882101289128</v>
          </cell>
          <cell r="L88">
            <v>4.3860980122045747</v>
          </cell>
        </row>
        <row r="91">
          <cell r="B91">
            <v>14.348351621328252</v>
          </cell>
          <cell r="C91">
            <v>14.891241704131879</v>
          </cell>
          <cell r="D91">
            <v>9.6298913156295001</v>
          </cell>
          <cell r="E91">
            <v>13.380833156926812</v>
          </cell>
          <cell r="F91">
            <v>10.857296245498182</v>
          </cell>
          <cell r="G91">
            <v>13.462153723164471</v>
          </cell>
          <cell r="H91">
            <v>15.864739174935824</v>
          </cell>
          <cell r="I91">
            <v>16.020783055852679</v>
          </cell>
          <cell r="J91">
            <v>12.682421476397479</v>
          </cell>
          <cell r="K91">
            <v>13.191572415001621</v>
          </cell>
          <cell r="L91">
            <v>12.60868479211968</v>
          </cell>
        </row>
        <row r="94">
          <cell r="B94">
            <v>1.6459278689832872</v>
          </cell>
          <cell r="C94">
            <v>1.6617189045420737</v>
          </cell>
          <cell r="D94">
            <v>1.1752330768592569</v>
          </cell>
          <cell r="E94">
            <v>1.6956345686515462</v>
          </cell>
          <cell r="F94">
            <v>1.4203542447094673</v>
          </cell>
          <cell r="G94">
            <v>1.1597040054047556</v>
          </cell>
          <cell r="H94">
            <v>1.3240132995837934</v>
          </cell>
          <cell r="I94">
            <v>1.2950149276484204</v>
          </cell>
          <cell r="J94">
            <v>1.2452351993125077</v>
          </cell>
          <cell r="K94">
            <v>1.2071701000106816</v>
          </cell>
          <cell r="L94">
            <v>1.1699775359665969</v>
          </cell>
        </row>
        <row r="99">
          <cell r="B99">
            <v>1995.0260000000001</v>
          </cell>
          <cell r="C99">
            <v>2045.481</v>
          </cell>
          <cell r="D99">
            <v>2199.8409999999999</v>
          </cell>
          <cell r="E99">
            <v>3119.5220000000004</v>
          </cell>
          <cell r="F99">
            <v>3393.998</v>
          </cell>
          <cell r="G99">
            <v>2637.2789999999995</v>
          </cell>
          <cell r="H99">
            <v>2817.8519999999999</v>
          </cell>
          <cell r="I99">
            <v>2907.9989767109164</v>
          </cell>
          <cell r="J99">
            <v>3180.7026320215728</v>
          </cell>
          <cell r="K99">
            <v>3162.6082718124117</v>
          </cell>
          <cell r="L99">
            <v>3247.5929639959304</v>
          </cell>
        </row>
        <row r="100">
          <cell r="B100">
            <v>919.97900000000027</v>
          </cell>
          <cell r="C100">
            <v>940.24099999999999</v>
          </cell>
          <cell r="D100">
            <v>976.68399999999986</v>
          </cell>
          <cell r="E100">
            <v>1072.5700000000002</v>
          </cell>
          <cell r="F100">
            <v>1096.7649999999999</v>
          </cell>
          <cell r="G100">
            <v>922.38199999999961</v>
          </cell>
          <cell r="H100">
            <v>949.42499999999984</v>
          </cell>
          <cell r="I100">
            <v>1018.8329484637677</v>
          </cell>
          <cell r="J100">
            <v>1145.0276339410593</v>
          </cell>
          <cell r="K100">
            <v>1154.1065666322952</v>
          </cell>
          <cell r="L100">
            <v>1192.6586065677252</v>
          </cell>
        </row>
        <row r="101">
          <cell r="B101">
            <v>520.47900000000027</v>
          </cell>
          <cell r="C101">
            <v>526.86</v>
          </cell>
          <cell r="D101">
            <v>556.84199999999987</v>
          </cell>
          <cell r="E101">
            <v>641.34100000000024</v>
          </cell>
          <cell r="F101">
            <v>668.86199999999974</v>
          </cell>
          <cell r="G101">
            <v>497.49599999999958</v>
          </cell>
          <cell r="H101">
            <v>511.28199999999987</v>
          </cell>
          <cell r="I101">
            <v>567.64746846376784</v>
          </cell>
          <cell r="J101">
            <v>672.06215394105948</v>
          </cell>
          <cell r="K101">
            <v>658.59608663229528</v>
          </cell>
          <cell r="L101">
            <v>675.99812656772519</v>
          </cell>
        </row>
        <row r="103">
          <cell r="B103">
            <v>177.38300000000001</v>
          </cell>
          <cell r="C103">
            <v>163.97499999999999</v>
          </cell>
          <cell r="D103">
            <v>157.142</v>
          </cell>
          <cell r="E103">
            <v>166.447</v>
          </cell>
          <cell r="F103">
            <v>175.822</v>
          </cell>
          <cell r="G103">
            <v>188.35300000000001</v>
          </cell>
          <cell r="H103">
            <v>204.59</v>
          </cell>
          <cell r="I103">
            <v>213.24152919367862</v>
          </cell>
          <cell r="J103">
            <v>209.10229063483698</v>
          </cell>
          <cell r="K103">
            <v>203.89090523575933</v>
          </cell>
          <cell r="L103">
            <v>200.27235288372253</v>
          </cell>
        </row>
        <row r="104">
          <cell r="B104">
            <v>362.79900000000026</v>
          </cell>
          <cell r="C104">
            <v>381.48099999999999</v>
          </cell>
          <cell r="D104">
            <v>411.36399999999986</v>
          </cell>
          <cell r="E104">
            <v>496.53200000000027</v>
          </cell>
          <cell r="F104">
            <v>540.9019999999997</v>
          </cell>
          <cell r="G104">
            <v>353.25299999999959</v>
          </cell>
          <cell r="H104">
            <v>336.13599999999985</v>
          </cell>
          <cell r="I104">
            <v>374.40593927008922</v>
          </cell>
          <cell r="J104">
            <v>472.95986330622247</v>
          </cell>
          <cell r="K104">
            <v>454.70518139653598</v>
          </cell>
          <cell r="L104">
            <v>475.72577368400266</v>
          </cell>
        </row>
        <row r="106">
          <cell r="B106">
            <v>235.85600000000028</v>
          </cell>
          <cell r="C106">
            <v>242.892</v>
          </cell>
          <cell r="D106">
            <v>269.77199999999982</v>
          </cell>
          <cell r="E106">
            <v>302.33200000000028</v>
          </cell>
          <cell r="F106">
            <v>327.36699999999973</v>
          </cell>
          <cell r="G106">
            <v>215.15299999999959</v>
          </cell>
          <cell r="H106">
            <v>230.57599999999985</v>
          </cell>
          <cell r="I106">
            <v>228.38762295475442</v>
          </cell>
          <cell r="J106">
            <v>288.50551661679572</v>
          </cell>
          <cell r="K106">
            <v>277.37016065188698</v>
          </cell>
          <cell r="L106">
            <v>290.19272194724158</v>
          </cell>
        </row>
        <row r="107">
          <cell r="B107">
            <v>2.7417783616009705</v>
          </cell>
          <cell r="C107">
            <v>2.8459681765987859</v>
          </cell>
          <cell r="D107">
            <v>3.1734522227058291</v>
          </cell>
          <cell r="E107">
            <v>3.5595690822393626</v>
          </cell>
          <cell r="F107">
            <v>3.8545508065465643</v>
          </cell>
          <cell r="G107">
            <v>2.5322842615696013</v>
          </cell>
          <cell r="H107">
            <v>2.522575351457796</v>
          </cell>
          <cell r="I107">
            <v>2.4980052386003679</v>
          </cell>
          <cell r="J107">
            <v>3.155548810176267</v>
          </cell>
          <cell r="K107">
            <v>3.0337550930993458</v>
          </cell>
          <cell r="L107">
            <v>3.1740027338150414</v>
          </cell>
        </row>
        <row r="110">
          <cell r="B110">
            <v>399.5</v>
          </cell>
          <cell r="C110">
            <v>413.38099999999997</v>
          </cell>
          <cell r="D110">
            <v>419.84199999999998</v>
          </cell>
          <cell r="E110">
            <v>431.22899999999998</v>
          </cell>
          <cell r="F110">
            <v>427.90300000000002</v>
          </cell>
          <cell r="G110">
            <v>424.88600000000002</v>
          </cell>
          <cell r="H110">
            <v>438.14299999999997</v>
          </cell>
          <cell r="I110">
            <v>451.18547999999993</v>
          </cell>
          <cell r="J110">
            <v>472.96547999999996</v>
          </cell>
          <cell r="K110">
            <v>495.51047999999992</v>
          </cell>
          <cell r="L110">
            <v>516.66047999999989</v>
          </cell>
        </row>
        <row r="111">
          <cell r="B111">
            <v>307.87599999999998</v>
          </cell>
          <cell r="C111">
            <v>319.142</v>
          </cell>
          <cell r="D111">
            <v>343.44799999999998</v>
          </cell>
          <cell r="E111">
            <v>658.60799999999995</v>
          </cell>
          <cell r="F111">
            <v>1055.5740000000001</v>
          </cell>
          <cell r="G111">
            <v>895.52200000000005</v>
          </cell>
          <cell r="H111">
            <v>750</v>
          </cell>
          <cell r="I111">
            <v>446</v>
          </cell>
          <cell r="J111">
            <v>552</v>
          </cell>
          <cell r="K111">
            <v>500</v>
          </cell>
          <cell r="L111">
            <v>500</v>
          </cell>
        </row>
        <row r="113">
          <cell r="B113">
            <v>623.41900000000032</v>
          </cell>
          <cell r="C113">
            <v>605.83799999999985</v>
          </cell>
          <cell r="D113">
            <v>635.5999999999998</v>
          </cell>
          <cell r="E113">
            <v>713.39400000000023</v>
          </cell>
          <cell r="F113">
            <v>571.04299999999978</v>
          </cell>
          <cell r="G113">
            <v>870.77399999999955</v>
          </cell>
          <cell r="H113">
            <v>605.31154657534228</v>
          </cell>
          <cell r="I113">
            <v>717.48078372669443</v>
          </cell>
          <cell r="J113">
            <v>790.82383490136044</v>
          </cell>
          <cell r="K113">
            <v>805.47661173456083</v>
          </cell>
          <cell r="L113">
            <v>834.21495594005455</v>
          </cell>
        </row>
        <row r="114">
          <cell r="B114">
            <v>219.38300000000038</v>
          </cell>
          <cell r="C114">
            <v>182.84699999999987</v>
          </cell>
          <cell r="D114">
            <v>179.84099999999978</v>
          </cell>
          <cell r="E114">
            <v>-65.946999999999662</v>
          </cell>
          <cell r="F114">
            <v>-613.73000000000025</v>
          </cell>
          <cell r="G114">
            <v>-162.46900000000051</v>
          </cell>
          <cell r="H114">
            <v>-302.12057842465777</v>
          </cell>
          <cell r="I114">
            <v>104.88018372669444</v>
          </cell>
          <cell r="J114">
            <v>63.094434901360387</v>
          </cell>
          <cell r="K114">
            <v>120.61841173456082</v>
          </cell>
          <cell r="L114">
            <v>140.22795594005447</v>
          </cell>
        </row>
        <row r="116">
          <cell r="B116">
            <v>7.2471199562907636</v>
          </cell>
          <cell r="C116">
            <v>7.0986103625243109</v>
          </cell>
          <cell r="D116">
            <v>7.4768553917820446</v>
          </cell>
          <cell r="E116">
            <v>8.3992935774415756</v>
          </cell>
          <cell r="F116">
            <v>6.7236900977275376</v>
          </cell>
          <cell r="G116">
            <v>10.248740643095894</v>
          </cell>
          <cell r="H116">
            <v>6.622302352993187</v>
          </cell>
          <cell r="I116">
            <v>7.8474951188552131</v>
          </cell>
          <cell r="J116">
            <v>8.649689754794597</v>
          </cell>
          <cell r="K116">
            <v>8.8099555030686538</v>
          </cell>
          <cell r="L116">
            <v>9.1242831073637678</v>
          </cell>
        </row>
        <row r="118">
          <cell r="B118">
            <v>1.125</v>
          </cell>
          <cell r="C118">
            <v>1.2250000000000001</v>
          </cell>
          <cell r="D118">
            <v>1.325</v>
          </cell>
          <cell r="E118">
            <v>1.425</v>
          </cell>
          <cell r="F118">
            <v>1.5249999999999999</v>
          </cell>
          <cell r="G118">
            <v>1.625</v>
          </cell>
          <cell r="H118">
            <v>1.7250000000000001</v>
          </cell>
          <cell r="I118">
            <v>1.8250000000000002</v>
          </cell>
          <cell r="J118">
            <v>1.9250000000000003</v>
          </cell>
          <cell r="K118">
            <v>2.0250000000000004</v>
          </cell>
          <cell r="L118">
            <v>2.1250000000000004</v>
          </cell>
        </row>
        <row r="119">
          <cell r="B119">
            <v>0.41031763024896495</v>
          </cell>
          <cell r="C119">
            <v>0.43043348484099936</v>
          </cell>
          <cell r="D119">
            <v>0.41752637412333404</v>
          </cell>
          <cell r="E119">
            <v>0.40032935646904694</v>
          </cell>
          <cell r="F119">
            <v>0.39563624311552509</v>
          </cell>
          <cell r="G119">
            <v>0.64171310648701274</v>
          </cell>
          <cell r="H119">
            <v>0.683824964436889</v>
          </cell>
          <cell r="I119">
            <v>0.73058293545555075</v>
          </cell>
          <cell r="J119">
            <v>0.61003651529398173</v>
          </cell>
          <cell r="K119">
            <v>0.66748960870510454</v>
          </cell>
          <cell r="L119">
            <v>0.66950162876697461</v>
          </cell>
        </row>
        <row r="133">
          <cell r="B133">
            <v>8.9177971870604833E-2</v>
          </cell>
          <cell r="C133">
            <v>-0.1773721718352822</v>
          </cell>
          <cell r="D133">
            <v>-0.45807239641340264</v>
          </cell>
          <cell r="E133">
            <v>0.69648887958115202</v>
          </cell>
          <cell r="F133">
            <v>2.8915546924207419E-2</v>
          </cell>
          <cell r="G133">
            <v>7.4410017921147015E-2</v>
          </cell>
          <cell r="H133">
            <v>-6.2296345262540409E-2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troduction"/>
      <sheetName val="Income Statement"/>
      <sheetName val="Cash Flow"/>
      <sheetName val="Balance Sheet"/>
      <sheetName val="Fin Stats"/>
      <sheetName val="PTF Worksheet"/>
      <sheetName val="Power Plants"/>
      <sheetName val="Op Co"/>
      <sheetName val="DCF - Valuation"/>
      <sheetName val="Inc Stat"/>
    </sheetNames>
    <sheetDataSet>
      <sheetData sheetId="0" refreshError="1"/>
      <sheetData sheetId="1" refreshError="1">
        <row r="1">
          <cell r="A1" t="str">
            <v>Wisconsin Energy Corporation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Scenario"/>
      <sheetName val="Sheet1"/>
      <sheetName val="ImportantDisclosures"/>
      <sheetName val="IndexInformation"/>
      <sheetName val="Income"/>
      <sheetName val="GWP"/>
      <sheetName val="Income Statement"/>
      <sheetName val="Margins"/>
      <sheetName val="Euro vs. PM"/>
      <sheetName val="Ruble"/>
      <sheetName val="Comps"/>
      <sheetName val="Switches"/>
      <sheetName val="MS_IRI_Methodology"/>
      <sheetName val="MARKET_SHARE ($)_RAW_DATA"/>
      <sheetName val="NEXXUS_RAW_DATA"/>
      <sheetName val="HAIR_CARE_MARKET SHARE ROLL-UP"/>
      <sheetName val="TOTAL_ACV_DOLLAR_SALES"/>
      <sheetName val="EBITDA"/>
      <sheetName val="SSB Nielsen Sales"/>
      <sheetName val="TimeSeries"/>
      <sheetName val="Valuation Analyzer"/>
      <sheetName val="GWP-WLine"/>
      <sheetName val="TS_Stnd_Dev_Band"/>
      <sheetName val="Print "/>
      <sheetName val="Lookup"/>
      <sheetName val="Input"/>
      <sheetName val="99 cons YTD"/>
      <sheetName val="KPN"/>
      <sheetName val="Realizations vs Average"/>
      <sheetName val="B"/>
      <sheetName val="Ratios"/>
      <sheetName val="C"/>
      <sheetName val="summary"/>
      <sheetName val="Oil Consumption – barrels"/>
      <sheetName val="rev change analysis"/>
      <sheetName val="O1000"/>
      <sheetName val="S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Table 5-4"/>
      <sheetName val="Assumptions"/>
      <sheetName val="c1"/>
    </sheetNames>
    <sheetDataSet>
      <sheetData sheetId="0" refreshError="1">
        <row r="9">
          <cell r="P9" t="str">
            <v>Maritimes</v>
          </cell>
          <cell r="Q9">
            <v>30823.08</v>
          </cell>
        </row>
        <row r="10">
          <cell r="P10" t="str">
            <v>NE-BOST</v>
          </cell>
          <cell r="Q10">
            <v>24898.53</v>
          </cell>
        </row>
        <row r="11">
          <cell r="P11" t="str">
            <v>NE-CTSW</v>
          </cell>
          <cell r="Q11">
            <v>16690.25</v>
          </cell>
        </row>
        <row r="12">
          <cell r="P12" t="str">
            <v>NE-EAST</v>
          </cell>
          <cell r="Q12">
            <v>46399.81</v>
          </cell>
        </row>
        <row r="13">
          <cell r="P13" t="str">
            <v>NE-MAINE</v>
          </cell>
          <cell r="Q13">
            <v>11410.84</v>
          </cell>
        </row>
        <row r="14">
          <cell r="P14" t="str">
            <v>NE-WEST</v>
          </cell>
          <cell r="Q14">
            <v>39253.03</v>
          </cell>
        </row>
        <row r="15">
          <cell r="P15" t="str">
            <v>NY_AB</v>
          </cell>
          <cell r="Q15">
            <v>28005.46</v>
          </cell>
        </row>
        <row r="16">
          <cell r="P16" t="str">
            <v>NY_CDE</v>
          </cell>
          <cell r="Q16">
            <v>31251.27</v>
          </cell>
        </row>
        <row r="17">
          <cell r="P17" t="str">
            <v>NY_F</v>
          </cell>
          <cell r="Q17">
            <v>12484.24</v>
          </cell>
        </row>
        <row r="18">
          <cell r="P18" t="str">
            <v>NY_GHI</v>
          </cell>
          <cell r="Q18">
            <v>19863.47</v>
          </cell>
        </row>
        <row r="19">
          <cell r="P19" t="str">
            <v>NY_J</v>
          </cell>
          <cell r="Q19">
            <v>53270.2</v>
          </cell>
        </row>
        <row r="20">
          <cell r="P20" t="str">
            <v>NY_K</v>
          </cell>
          <cell r="Q20">
            <v>23713.360000000001</v>
          </cell>
        </row>
        <row r="21">
          <cell r="P21" t="str">
            <v>On EC</v>
          </cell>
          <cell r="Q21">
            <v>82011.02</v>
          </cell>
        </row>
        <row r="22">
          <cell r="P22" t="str">
            <v>On Middleport</v>
          </cell>
          <cell r="Q22">
            <v>31245.09</v>
          </cell>
        </row>
        <row r="23">
          <cell r="P23" t="str">
            <v>On Niagara</v>
          </cell>
          <cell r="Q23">
            <v>5887.81</v>
          </cell>
        </row>
        <row r="24">
          <cell r="P24" t="str">
            <v>On North</v>
          </cell>
          <cell r="Q24">
            <v>19515.099999999999</v>
          </cell>
        </row>
        <row r="25">
          <cell r="P25" t="str">
            <v>On West</v>
          </cell>
          <cell r="Q25">
            <v>18182.86</v>
          </cell>
        </row>
        <row r="26">
          <cell r="P26" t="str">
            <v>PJMEX</v>
          </cell>
          <cell r="Q26">
            <v>151783.73000000001</v>
          </cell>
        </row>
        <row r="27">
          <cell r="P27" t="str">
            <v>PJMWX</v>
          </cell>
          <cell r="Q27">
            <v>143593.29999999999</v>
          </cell>
        </row>
        <row r="28">
          <cell r="P28" t="str">
            <v>Quebec</v>
          </cell>
          <cell r="Q28">
            <v>190161</v>
          </cell>
        </row>
        <row r="29">
          <cell r="P29" t="str">
            <v>VP</v>
          </cell>
          <cell r="Q29">
            <v>97093.89</v>
          </cell>
        </row>
        <row r="34">
          <cell r="P34" t="str">
            <v>Maritimes</v>
          </cell>
          <cell r="Q34">
            <v>30625.5039</v>
          </cell>
        </row>
        <row r="35">
          <cell r="P35" t="str">
            <v>NE-BOST</v>
          </cell>
          <cell r="Q35">
            <v>15951.549800000001</v>
          </cell>
        </row>
        <row r="36">
          <cell r="P36" t="str">
            <v>NE-CTSW</v>
          </cell>
          <cell r="Q36">
            <v>8313.1406000000006</v>
          </cell>
        </row>
        <row r="37">
          <cell r="P37" t="str">
            <v>NE-EAST</v>
          </cell>
          <cell r="Q37">
            <v>61254.515599999999</v>
          </cell>
        </row>
        <row r="38">
          <cell r="P38" t="str">
            <v>NE-MAINE</v>
          </cell>
          <cell r="Q38">
            <v>15242.4355</v>
          </cell>
        </row>
        <row r="39">
          <cell r="P39" t="str">
            <v>NE-WEST</v>
          </cell>
          <cell r="Q39">
            <v>33389.734400000001</v>
          </cell>
        </row>
        <row r="40">
          <cell r="P40" t="str">
            <v>NY_AB</v>
          </cell>
          <cell r="Q40">
            <v>37828.0625</v>
          </cell>
        </row>
        <row r="41">
          <cell r="P41" t="str">
            <v>NY_CDE</v>
          </cell>
          <cell r="Q41">
            <v>43763.472699999998</v>
          </cell>
        </row>
        <row r="42">
          <cell r="P42" t="str">
            <v>NY_F</v>
          </cell>
          <cell r="Q42">
            <v>16510.044900000001</v>
          </cell>
        </row>
        <row r="43">
          <cell r="P43" t="str">
            <v>NY_GHI</v>
          </cell>
          <cell r="Q43">
            <v>22728.025399999999</v>
          </cell>
        </row>
        <row r="44">
          <cell r="P44" t="str">
            <v>NY_J</v>
          </cell>
          <cell r="Q44">
            <v>22814.3125</v>
          </cell>
        </row>
        <row r="45">
          <cell r="P45" t="str">
            <v>NY_K</v>
          </cell>
          <cell r="Q45">
            <v>12421.3516</v>
          </cell>
        </row>
        <row r="46">
          <cell r="P46" t="str">
            <v>On EC</v>
          </cell>
          <cell r="Q46">
            <v>64159.281199999998</v>
          </cell>
        </row>
        <row r="47">
          <cell r="P47" t="str">
            <v>On Middleport</v>
          </cell>
          <cell r="Q47">
            <v>52800.257799999999</v>
          </cell>
        </row>
        <row r="48">
          <cell r="P48" t="str">
            <v>On Niagara</v>
          </cell>
          <cell r="Q48">
            <v>13327.8613</v>
          </cell>
        </row>
        <row r="49">
          <cell r="P49" t="str">
            <v>On North</v>
          </cell>
          <cell r="Q49">
            <v>21765.293000000001</v>
          </cell>
        </row>
        <row r="50">
          <cell r="P50" t="str">
            <v>On West</v>
          </cell>
          <cell r="Q50">
            <v>14380.7246</v>
          </cell>
        </row>
        <row r="51">
          <cell r="P51" t="str">
            <v>PJMEX</v>
          </cell>
          <cell r="Q51">
            <v>114927.36719999999</v>
          </cell>
        </row>
        <row r="52">
          <cell r="P52" t="str">
            <v>PJMWX</v>
          </cell>
          <cell r="Q52">
            <v>167412.9375</v>
          </cell>
        </row>
        <row r="53">
          <cell r="P53" t="str">
            <v>Quebec</v>
          </cell>
          <cell r="Q53">
            <v>188532.4062</v>
          </cell>
        </row>
        <row r="54">
          <cell r="P54" t="str">
            <v>VP</v>
          </cell>
          <cell r="Q54">
            <v>80380.156199999998</v>
          </cell>
        </row>
        <row r="56">
          <cell r="P56" t="str">
            <v>Transarea</v>
          </cell>
          <cell r="Q56" t="str">
            <v>2006 Peak</v>
          </cell>
          <cell r="R56" t="str">
            <v>2030 Peak</v>
          </cell>
          <cell r="S56" t="str">
            <v>Growth</v>
          </cell>
        </row>
        <row r="57">
          <cell r="P57" t="str">
            <v>Maritimes</v>
          </cell>
          <cell r="Q57">
            <v>5681.6523151397705</v>
          </cell>
          <cell r="R57">
            <v>8364.4919128417969</v>
          </cell>
          <cell r="S57">
            <v>1.5590422155297823E-2</v>
          </cell>
        </row>
        <row r="58">
          <cell r="P58" t="str">
            <v>NE-BOST</v>
          </cell>
          <cell r="Q58">
            <v>5019.6340026855469</v>
          </cell>
          <cell r="R58">
            <v>7403.301513671875</v>
          </cell>
          <cell r="S58">
            <v>1.566417806740672E-2</v>
          </cell>
          <cell r="U58" t="str">
            <v>TransArea</v>
          </cell>
          <cell r="V58">
            <v>2006</v>
          </cell>
          <cell r="W58">
            <v>2030</v>
          </cell>
          <cell r="X58" t="str">
            <v>Growth Rate</v>
          </cell>
        </row>
        <row r="59">
          <cell r="P59" t="str">
            <v>NE-CTSW</v>
          </cell>
          <cell r="Q59">
            <v>3454.9498596191406</v>
          </cell>
          <cell r="R59">
            <v>4895.6216583251953</v>
          </cell>
          <cell r="S59">
            <v>1.4038966441656697E-2</v>
          </cell>
          <cell r="U59" t="str">
            <v>Maritimes</v>
          </cell>
          <cell r="V59">
            <v>30823.08</v>
          </cell>
          <cell r="W59">
            <v>45110.400000000001</v>
          </cell>
          <cell r="X59">
            <v>1.5350590632267069E-2</v>
          </cell>
        </row>
        <row r="60">
          <cell r="P60" t="str">
            <v>NE-EAST</v>
          </cell>
          <cell r="Q60">
            <v>9293.1017227172852</v>
          </cell>
          <cell r="R60">
            <v>13834.064109802246</v>
          </cell>
          <cell r="S60">
            <v>1.6041773121631797E-2</v>
          </cell>
          <cell r="U60" t="str">
            <v>NE-BOST</v>
          </cell>
          <cell r="V60">
            <v>24898.53</v>
          </cell>
          <cell r="W60">
            <v>36766.35</v>
          </cell>
          <cell r="X60">
            <v>1.5713143649888073E-2</v>
          </cell>
        </row>
        <row r="61">
          <cell r="P61" t="str">
            <v>NE-MAINE</v>
          </cell>
          <cell r="Q61">
            <v>1854.7192497253418</v>
          </cell>
          <cell r="R61">
            <v>2402.6331176757812</v>
          </cell>
          <cell r="S61">
            <v>1.0407057879102011E-2</v>
          </cell>
          <cell r="U61" t="str">
            <v>NE-CTSW</v>
          </cell>
          <cell r="V61">
            <v>16690.25</v>
          </cell>
          <cell r="W61">
            <v>23582.42</v>
          </cell>
          <cell r="X61">
            <v>1.3923108187573252E-2</v>
          </cell>
        </row>
        <row r="62">
          <cell r="P62" t="str">
            <v>NE-WEST</v>
          </cell>
          <cell r="Q62">
            <v>7234.1174011230469</v>
          </cell>
          <cell r="R62">
            <v>10110.289001464844</v>
          </cell>
          <cell r="S62">
            <v>1.3479855189370893E-2</v>
          </cell>
          <cell r="U62" t="str">
            <v>NE-EAST</v>
          </cell>
          <cell r="V62">
            <v>46399.81</v>
          </cell>
          <cell r="W62">
            <v>69113.460000000006</v>
          </cell>
          <cell r="X62">
            <v>1.6065855542184426E-2</v>
          </cell>
        </row>
        <row r="63">
          <cell r="P63" t="str">
            <v>NY_AB</v>
          </cell>
          <cell r="Q63">
            <v>4455.8887939453125</v>
          </cell>
          <cell r="R63">
            <v>4644.54638671875</v>
          </cell>
          <cell r="S63">
            <v>1.6600629978966719E-3</v>
          </cell>
          <cell r="U63" t="str">
            <v>NE-MAINE</v>
          </cell>
          <cell r="V63">
            <v>11410.84</v>
          </cell>
          <cell r="W63">
            <v>14779.92</v>
          </cell>
          <cell r="X63">
            <v>1.0401956970312209E-2</v>
          </cell>
        </row>
        <row r="64">
          <cell r="P64" t="str">
            <v>NY_CDE</v>
          </cell>
          <cell r="Q64">
            <v>5155.5890502929687</v>
          </cell>
          <cell r="R64">
            <v>5373.4819946289062</v>
          </cell>
          <cell r="S64">
            <v>1.657161009149366E-3</v>
          </cell>
          <cell r="U64" t="str">
            <v>NE-WEST</v>
          </cell>
          <cell r="V64">
            <v>39253.03</v>
          </cell>
          <cell r="W64">
            <v>54897.91</v>
          </cell>
          <cell r="X64">
            <v>1.3508289131146878E-2</v>
          </cell>
        </row>
        <row r="65">
          <cell r="P65" t="str">
            <v>NY_F</v>
          </cell>
          <cell r="Q65">
            <v>2110</v>
          </cell>
          <cell r="R65">
            <v>2179</v>
          </cell>
          <cell r="S65">
            <v>1.2879530390208505E-3</v>
          </cell>
          <cell r="U65" t="str">
            <v>NY_AB</v>
          </cell>
          <cell r="V65">
            <v>28005.46</v>
          </cell>
          <cell r="W65">
            <v>29247.98</v>
          </cell>
          <cell r="X65">
            <v>1.7379492983085054E-3</v>
          </cell>
        </row>
        <row r="66">
          <cell r="P66" t="str">
            <v>NY_GHI</v>
          </cell>
          <cell r="Q66">
            <v>4464.412353515625</v>
          </cell>
          <cell r="R66">
            <v>7994.59912109375</v>
          </cell>
          <cell r="S66">
            <v>2.3578831242596632E-2</v>
          </cell>
          <cell r="U66" t="str">
            <v>NY_CDE</v>
          </cell>
          <cell r="V66">
            <v>31251.27</v>
          </cell>
          <cell r="W66">
            <v>32579.06</v>
          </cell>
          <cell r="X66">
            <v>1.6657752786093383E-3</v>
          </cell>
        </row>
        <row r="67">
          <cell r="P67" t="str">
            <v>NY_J</v>
          </cell>
          <cell r="Q67">
            <v>11505</v>
          </cell>
          <cell r="R67">
            <v>13835</v>
          </cell>
          <cell r="S67">
            <v>7.4040711742044962E-3</v>
          </cell>
          <cell r="U67" t="str">
            <v>NY_F</v>
          </cell>
          <cell r="V67">
            <v>12484.24</v>
          </cell>
          <cell r="W67">
            <v>14014.32</v>
          </cell>
          <cell r="X67">
            <v>4.6352141304095706E-3</v>
          </cell>
        </row>
        <row r="68">
          <cell r="P68" t="str">
            <v>NY_K</v>
          </cell>
          <cell r="Q68">
            <v>5320</v>
          </cell>
          <cell r="R68">
            <v>6772</v>
          </cell>
          <cell r="S68">
            <v>9.699666201873347E-3</v>
          </cell>
          <cell r="U68" t="str">
            <v>NY_GHI</v>
          </cell>
          <cell r="V68">
            <v>19863.47</v>
          </cell>
          <cell r="W68">
            <v>32550.15</v>
          </cell>
          <cell r="X68">
            <v>1.9952425376741356E-2</v>
          </cell>
        </row>
        <row r="69">
          <cell r="P69" t="str">
            <v>On EC</v>
          </cell>
          <cell r="Q69">
            <v>13604</v>
          </cell>
          <cell r="R69">
            <v>16610</v>
          </cell>
          <cell r="S69">
            <v>8.017612544781727E-3</v>
          </cell>
          <cell r="U69" t="str">
            <v>NY_J</v>
          </cell>
          <cell r="V69">
            <v>53270.2</v>
          </cell>
          <cell r="W69">
            <v>65327.25</v>
          </cell>
          <cell r="X69">
            <v>8.1946812324338314E-3</v>
          </cell>
        </row>
        <row r="70">
          <cell r="P70" t="str">
            <v>On Middleport</v>
          </cell>
          <cell r="Q70">
            <v>4782</v>
          </cell>
          <cell r="R70">
            <v>6560</v>
          </cell>
          <cell r="S70">
            <v>1.2725558845826823E-2</v>
          </cell>
          <cell r="U70" t="str">
            <v>NY_K</v>
          </cell>
          <cell r="V70">
            <v>23713.360000000001</v>
          </cell>
          <cell r="W70">
            <v>29876.03</v>
          </cell>
          <cell r="X70">
            <v>9.2835425967014995E-3</v>
          </cell>
        </row>
        <row r="71">
          <cell r="P71" t="str">
            <v>On Niagara</v>
          </cell>
          <cell r="Q71">
            <v>983</v>
          </cell>
          <cell r="R71">
            <v>1072</v>
          </cell>
          <cell r="S71">
            <v>3.4729054694884187E-3</v>
          </cell>
          <cell r="U71" t="str">
            <v>On EC</v>
          </cell>
          <cell r="V71">
            <v>82011.02</v>
          </cell>
          <cell r="W71">
            <v>96094.59</v>
          </cell>
          <cell r="X71">
            <v>6.3593107133974591E-3</v>
          </cell>
        </row>
        <row r="72">
          <cell r="P72" t="str">
            <v>On North</v>
          </cell>
          <cell r="Q72">
            <v>2882.217041015625</v>
          </cell>
          <cell r="R72">
            <v>3023.096923828125</v>
          </cell>
          <cell r="S72">
            <v>1.9107020095820992E-3</v>
          </cell>
          <cell r="U72" t="str">
            <v>On Middleport</v>
          </cell>
          <cell r="V72">
            <v>31245.09</v>
          </cell>
          <cell r="W72">
            <v>41631.019999999997</v>
          </cell>
          <cell r="X72">
            <v>1.1545473125542216E-2</v>
          </cell>
        </row>
        <row r="73">
          <cell r="P73" t="str">
            <v>On West</v>
          </cell>
          <cell r="Q73">
            <v>3214</v>
          </cell>
          <cell r="R73">
            <v>4309</v>
          </cell>
          <cell r="S73">
            <v>1.1796621379846606E-2</v>
          </cell>
          <cell r="U73" t="str">
            <v>On Niagara</v>
          </cell>
          <cell r="V73">
            <v>5887.81</v>
          </cell>
          <cell r="W73">
            <v>6229.7</v>
          </cell>
          <cell r="X73">
            <v>2.2603132917820012E-3</v>
          </cell>
        </row>
        <row r="74">
          <cell r="P74" t="str">
            <v>Quebec</v>
          </cell>
          <cell r="Q74">
            <v>35767</v>
          </cell>
          <cell r="R74">
            <v>41355</v>
          </cell>
          <cell r="S74">
            <v>5.8235976990683724E-3</v>
          </cell>
          <cell r="U74" t="str">
            <v>On North</v>
          </cell>
          <cell r="V74">
            <v>19515.099999999999</v>
          </cell>
          <cell r="W74">
            <v>20062.439999999999</v>
          </cell>
          <cell r="X74">
            <v>1.1070477394234945E-3</v>
          </cell>
        </row>
        <row r="75">
          <cell r="U75" t="str">
            <v>On West</v>
          </cell>
          <cell r="V75">
            <v>18182.86</v>
          </cell>
          <cell r="W75">
            <v>24305.24</v>
          </cell>
          <cell r="X75">
            <v>1.1676143064269562E-2</v>
          </cell>
        </row>
        <row r="76">
          <cell r="U76" t="str">
            <v>Quebec</v>
          </cell>
          <cell r="V76">
            <v>190161</v>
          </cell>
          <cell r="W76">
            <v>222257.92000000001</v>
          </cell>
          <cell r="X76">
            <v>6.2581983051854806E-3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Price Deck"/>
      <sheetName val="Prior Week"/>
      <sheetName val="Price Change"/>
      <sheetName val="Analyzer"/>
      <sheetName val="Summary"/>
      <sheetName val="Price Deck"/>
      <sheetName val="Off Peak"/>
      <sheetName val="Peak"/>
      <sheetName val="Historicals"/>
      <sheetName val="Gas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Price Deck"/>
      <sheetName val="Prior Week"/>
      <sheetName val="Price Change"/>
      <sheetName val="Analyzer"/>
      <sheetName val="Summary"/>
      <sheetName val="Price Deck"/>
      <sheetName val="Off Peak"/>
      <sheetName val="Peak"/>
      <sheetName val="Historicals"/>
      <sheetName val="Gas"/>
      <sheetName val="Data"/>
      <sheetName val="Assump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1"/>
      <sheetName val="ImportantDisclosures"/>
      <sheetName val="OtherDisclosures"/>
      <sheetName val="MWare_Cached"/>
      <sheetName val="IndexInformation"/>
      <sheetName val="ModPubIndex"/>
      <sheetName val="CircularReferenceAlert"/>
      <sheetName val="GoodCharList"/>
      <sheetName val="Graphics"/>
      <sheetName val="MATINC"/>
      <sheetName val="MATQTRS"/>
      <sheetName val="UNIV-EBS DATA"/>
      <sheetName val="RELPE"/>
      <sheetName val="Ratios"/>
      <sheetName val="SALESCAT"/>
      <sheetName val="MATBAL"/>
      <sheetName val="MATCASH"/>
      <sheetName val="FinSum"/>
      <sheetName val="Macro1"/>
      <sheetName val="Macro2"/>
    </sheetNames>
    <sheetDataSet>
      <sheetData sheetId="0" refreshError="1"/>
      <sheetData sheetId="1"/>
      <sheetData sheetId="2"/>
      <sheetData sheetId="3"/>
      <sheetData sheetId="4" refreshError="1">
        <row r="37">
          <cell r="B37" t="str">
            <v>excel</v>
          </cell>
        </row>
        <row r="38">
          <cell r="B38" t="str">
            <v>en-US</v>
          </cell>
        </row>
      </sheetData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ning"/>
      <sheetName val="Insurance"/>
      <sheetName val="Banks"/>
      <sheetName val="Oils"/>
      <sheetName val="General Europe"/>
      <sheetName val="General UK"/>
      <sheetName val="Latest_Chart"/>
      <sheetName val="Add4Sheet"/>
      <sheetName val="Module2"/>
      <sheetName val="Module1"/>
      <sheetName val="LINKTAB"/>
      <sheetName val="Model"/>
      <sheetName val="P"/>
      <sheetName val="Market_Share"/>
      <sheetName val="Assumptions"/>
      <sheetName val="Summary"/>
      <sheetName val="Consol_Income"/>
      <sheetName val="Rate Case"/>
      <sheetName val="Balance Sheet"/>
      <sheetName val="Sheet9"/>
      <sheetName val="Leases"/>
      <sheetName val="Graph"/>
      <sheetName val="Income"/>
      <sheetName val="Financial Summary"/>
      <sheetName val="BizJet Deliveries"/>
      <sheetName val="Exclusion List"/>
      <sheetName val="CFOld"/>
      <sheetName val="PLOld"/>
      <sheetName val="Headline"/>
      <sheetName val="MTT old"/>
      <sheetName val="DOMNETREV1002B"/>
      <sheetName val="Cash flow"/>
      <sheetName val="Profit &amp; Loss"/>
      <sheetName val="Inputs, sensitivity &amp; val"/>
      <sheetName val="c1"/>
      <sheetName val="Monthly figures"/>
      <sheetName val="Consolidated"/>
      <sheetName val="CENMODEL"/>
      <sheetName val="Customize Your Statement"/>
      <sheetName val="Sainsbury"/>
      <sheetName val="KQ"/>
      <sheetName val="Presentation Tables"/>
      <sheetName val="BS"/>
    </sheetNames>
    <definedNames>
      <definedName name="Update_Thi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mailto:ethan.ellison@morganstanley.com" TargetMode="External" Type="http://schemas.openxmlformats.org/officeDocument/2006/relationships/hyperlink"/>
<Relationship Id="rId2" Target="../printerSettings/printerSettings3.bin" Type="http://schemas.openxmlformats.org/officeDocument/2006/relationships/printerSettings"/>
<Relationship Id="rId3" Target="../drawings/drawing2.xml" Type="http://schemas.openxmlformats.org/officeDocument/2006/relationships/drawing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drawing3.xml" Type="http://schemas.openxmlformats.org/officeDocument/2006/relationships/drawing"/>
<Relationship Id="rId3" Target="../drawings/vmlDrawing2.vml" Type="http://schemas.openxmlformats.org/officeDocument/2006/relationships/vmlDrawing"/>
<Relationship Id="rId4" Target="../comments2.xml" Type="http://schemas.openxmlformats.org/officeDocument/2006/relationships/comment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drawing4.xml" Type="http://schemas.openxmlformats.org/officeDocument/2006/relationships/drawing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drawing5.xml" Type="http://schemas.openxmlformats.org/officeDocument/2006/relationships/drawing"/>
<Relationship Id="rId3" Target="../drawings/vmlDrawing3.vml" Type="http://schemas.openxmlformats.org/officeDocument/2006/relationships/vmlDrawing"/>
<Relationship Id="rId4" Target="../comments3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Relationship Id="rId2" Target="../drawings/drawing6.xml" Type="http://schemas.openxmlformats.org/officeDocument/2006/relationships/drawing"/>
<Relationship Id="rId3" Target="../drawings/vmlDrawing4.vml" Type="http://schemas.openxmlformats.org/officeDocument/2006/relationships/vmlDrawing"/>
<Relationship Id="rId4" Target="../comments4.xml" Type="http://schemas.openxmlformats.org/officeDocument/2006/relationships/comments"/>
</Relationships>

</file>

<file path=xl/worksheets/_rels/sheet8.xml.rels><?xml version="1.0" encoding="UTF-8" standalone="yes"?>
<Relationships xmlns="http://schemas.openxmlformats.org/package/2006/relationships">
<Relationship Id="rId1" Target="https://www.pseg.com/family/pseandg/tariffs/electric/pdf/electric_history_completetariffs/etariff_2014_sep1.pdf" TargetMode="External" Type="http://schemas.openxmlformats.org/officeDocument/2006/relationships/hyperlink"/>
<Relationship Id="rId2" Target="../printerSettings/printerSettings8.bin" Type="http://schemas.openxmlformats.org/officeDocument/2006/relationships/printerSettings"/>
<Relationship Id="rId3" Target="../drawings/drawing7.xml" Type="http://schemas.openxmlformats.org/officeDocument/2006/relationships/drawing"/>
<Relationship Id="rId4" Target="../drawings/vmlDrawing5.vml" Type="http://schemas.openxmlformats.org/officeDocument/2006/relationships/vmlDrawing"/>
<Relationship Id="rId5" Target="../comments5.xml" Type="http://schemas.openxmlformats.org/officeDocument/2006/relationships/comment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Relationship Id="rId2" Target="../drawings/drawing8.xml" Type="http://schemas.openxmlformats.org/officeDocument/2006/relationships/drawing"/>
<Relationship Id="rId3" Target="../drawings/vmlDrawing6.vml" Type="http://schemas.openxmlformats.org/officeDocument/2006/relationships/vmlDrawing"/>
<Relationship Id="rId4" Target="../comments6.xml" Type="http://schemas.openxmlformats.org/officeDocument/2006/relationships/comments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10.bin" Type="http://schemas.openxmlformats.org/officeDocument/2006/relationships/printerSettings"/>
<Relationship Id="rId2" Target="../drawings/drawing9.xml" Type="http://schemas.openxmlformats.org/officeDocument/2006/relationships/drawing"/>
<Relationship Id="rId3" Target="../drawings/vmlDrawing7.vml" Type="http://schemas.openxmlformats.org/officeDocument/2006/relationships/vmlDrawing"/>
<Relationship Id="rId4" Target="../comments7.xml" Type="http://schemas.openxmlformats.org/officeDocument/2006/relationships/comments"/>
</Relationships>

</file>

<file path=xl/worksheets/_rels/sheet11.xml.rels><?xml version="1.0" encoding="UTF-8" standalone="yes"?>
<Relationships xmlns="http://schemas.openxmlformats.org/package/2006/relationships">
<Relationship Id="rId1" Target="../printerSettings/printerSettings11.bin" Type="http://schemas.openxmlformats.org/officeDocument/2006/relationships/printerSettings"/>
<Relationship Id="rId2" Target="../drawings/drawing10.xml" Type="http://schemas.openxmlformats.org/officeDocument/2006/relationships/drawing"/>
<Relationship Id="rId3" Target="../drawings/vmlDrawing8.vml" Type="http://schemas.openxmlformats.org/officeDocument/2006/relationships/vmlDrawing"/>
<Relationship Id="rId4" Target="../comments8.xml" Type="http://schemas.openxmlformats.org/officeDocument/2006/relationships/comments"/>
</Relationships>

</file>

<file path=xl/worksheets/_rels/sheet12.xml.rels><?xml version="1.0" encoding="UTF-8" standalone="yes"?>
<Relationships xmlns="http://schemas.openxmlformats.org/package/2006/relationships">
<Relationship Id="rId1" Target="../printerSettings/printerSettings12.bin" Type="http://schemas.openxmlformats.org/officeDocument/2006/relationships/printerSettings"/>
</Relationships>

</file>

<file path=xl/worksheets/_rels/sheet14.xml.rels><?xml version="1.0" encoding="UTF-8" standalone="yes"?>
<Relationships xmlns="http://schemas.openxmlformats.org/package/2006/relationships">
<Relationship Id="rId1" Target="../printerSettings/printerSettings13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1"/>
  <sheetViews>
    <sheetView workbookViewId="0"/>
  </sheetViews>
  <sheetFormatPr defaultRowHeight="12.75"/>
  <sheetData>
    <row r="1" spans="1:2">
      <c r="A1" s="75"/>
      <c r="B1" t="s">
        <v>524</v>
      </c>
    </row>
  </sheetData>
  <phoneticPr fontId="2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98"/>
  <sheetViews>
    <sheetView showGridLines="0" tabSelected="1" workbookViewId="0">
      <selection activeCell="Z1" sqref="Z1"/>
    </sheetView>
  </sheetViews>
  <sheetFormatPr defaultRowHeight="12.75"/>
  <cols>
    <col min="1" max="1" width="25.7109375" style="1767" customWidth="1"/>
    <col min="2" max="5" width="9.140625" style="1767"/>
    <col min="6" max="6" width="18.7109375" style="1767" customWidth="1"/>
    <col min="7" max="256" width="9.140625" style="1767"/>
    <col min="257" max="257" width="100.7109375" style="1767" customWidth="1"/>
    <col min="258" max="512" width="9.140625" style="1767"/>
    <col min="513" max="513" width="100.7109375" style="1767" customWidth="1"/>
    <col min="514" max="768" width="9.140625" style="1767"/>
    <col min="769" max="769" width="100.7109375" style="1767" customWidth="1"/>
    <col min="770" max="1024" width="9.140625" style="1767"/>
    <col min="1025" max="1025" width="100.7109375" style="1767" customWidth="1"/>
    <col min="1026" max="1280" width="9.140625" style="1767"/>
    <col min="1281" max="1281" width="100.7109375" style="1767" customWidth="1"/>
    <col min="1282" max="1536" width="9.140625" style="1767"/>
    <col min="1537" max="1537" width="100.7109375" style="1767" customWidth="1"/>
    <col min="1538" max="1792" width="9.140625" style="1767"/>
    <col min="1793" max="1793" width="100.7109375" style="1767" customWidth="1"/>
    <col min="1794" max="2048" width="9.140625" style="1767"/>
    <col min="2049" max="2049" width="100.7109375" style="1767" customWidth="1"/>
    <col min="2050" max="2304" width="9.140625" style="1767"/>
    <col min="2305" max="2305" width="100.7109375" style="1767" customWidth="1"/>
    <col min="2306" max="2560" width="9.140625" style="1767"/>
    <col min="2561" max="2561" width="100.7109375" style="1767" customWidth="1"/>
    <col min="2562" max="2816" width="9.140625" style="1767"/>
    <col min="2817" max="2817" width="100.7109375" style="1767" customWidth="1"/>
    <col min="2818" max="3072" width="9.140625" style="1767"/>
    <col min="3073" max="3073" width="100.7109375" style="1767" customWidth="1"/>
    <col min="3074" max="3328" width="9.140625" style="1767"/>
    <col min="3329" max="3329" width="100.7109375" style="1767" customWidth="1"/>
    <col min="3330" max="3584" width="9.140625" style="1767"/>
    <col min="3585" max="3585" width="100.7109375" style="1767" customWidth="1"/>
    <col min="3586" max="3840" width="9.140625" style="1767"/>
    <col min="3841" max="3841" width="100.7109375" style="1767" customWidth="1"/>
    <col min="3842" max="4096" width="9.140625" style="1767"/>
    <col min="4097" max="4097" width="100.7109375" style="1767" customWidth="1"/>
    <col min="4098" max="4352" width="9.140625" style="1767"/>
    <col min="4353" max="4353" width="100.7109375" style="1767" customWidth="1"/>
    <col min="4354" max="4608" width="9.140625" style="1767"/>
    <col min="4609" max="4609" width="100.7109375" style="1767" customWidth="1"/>
    <col min="4610" max="4864" width="9.140625" style="1767"/>
    <col min="4865" max="4865" width="100.7109375" style="1767" customWidth="1"/>
    <col min="4866" max="5120" width="9.140625" style="1767"/>
    <col min="5121" max="5121" width="100.7109375" style="1767" customWidth="1"/>
    <col min="5122" max="5376" width="9.140625" style="1767"/>
    <col min="5377" max="5377" width="100.7109375" style="1767" customWidth="1"/>
    <col min="5378" max="5632" width="9.140625" style="1767"/>
    <col min="5633" max="5633" width="100.7109375" style="1767" customWidth="1"/>
    <col min="5634" max="5888" width="9.140625" style="1767"/>
    <col min="5889" max="5889" width="100.7109375" style="1767" customWidth="1"/>
    <col min="5890" max="6144" width="9.140625" style="1767"/>
    <col min="6145" max="6145" width="100.7109375" style="1767" customWidth="1"/>
    <col min="6146" max="6400" width="9.140625" style="1767"/>
    <col min="6401" max="6401" width="100.7109375" style="1767" customWidth="1"/>
    <col min="6402" max="6656" width="9.140625" style="1767"/>
    <col min="6657" max="6657" width="100.7109375" style="1767" customWidth="1"/>
    <col min="6658" max="6912" width="9.140625" style="1767"/>
    <col min="6913" max="6913" width="100.7109375" style="1767" customWidth="1"/>
    <col min="6914" max="7168" width="9.140625" style="1767"/>
    <col min="7169" max="7169" width="100.7109375" style="1767" customWidth="1"/>
    <col min="7170" max="7424" width="9.140625" style="1767"/>
    <col min="7425" max="7425" width="100.7109375" style="1767" customWidth="1"/>
    <col min="7426" max="7680" width="9.140625" style="1767"/>
    <col min="7681" max="7681" width="100.7109375" style="1767" customWidth="1"/>
    <col min="7682" max="7936" width="9.140625" style="1767"/>
    <col min="7937" max="7937" width="100.7109375" style="1767" customWidth="1"/>
    <col min="7938" max="8192" width="9.140625" style="1767"/>
    <col min="8193" max="8193" width="100.7109375" style="1767" customWidth="1"/>
    <col min="8194" max="8448" width="9.140625" style="1767"/>
    <col min="8449" max="8449" width="100.7109375" style="1767" customWidth="1"/>
    <col min="8450" max="8704" width="9.140625" style="1767"/>
    <col min="8705" max="8705" width="100.7109375" style="1767" customWidth="1"/>
    <col min="8706" max="8960" width="9.140625" style="1767"/>
    <col min="8961" max="8961" width="100.7109375" style="1767" customWidth="1"/>
    <col min="8962" max="9216" width="9.140625" style="1767"/>
    <col min="9217" max="9217" width="100.7109375" style="1767" customWidth="1"/>
    <col min="9218" max="9472" width="9.140625" style="1767"/>
    <col min="9473" max="9473" width="100.7109375" style="1767" customWidth="1"/>
    <col min="9474" max="9728" width="9.140625" style="1767"/>
    <col min="9729" max="9729" width="100.7109375" style="1767" customWidth="1"/>
    <col min="9730" max="9984" width="9.140625" style="1767"/>
    <col min="9985" max="9985" width="100.7109375" style="1767" customWidth="1"/>
    <col min="9986" max="10240" width="9.140625" style="1767"/>
    <col min="10241" max="10241" width="100.7109375" style="1767" customWidth="1"/>
    <col min="10242" max="10496" width="9.140625" style="1767"/>
    <col min="10497" max="10497" width="100.7109375" style="1767" customWidth="1"/>
    <col min="10498" max="10752" width="9.140625" style="1767"/>
    <col min="10753" max="10753" width="100.7109375" style="1767" customWidth="1"/>
    <col min="10754" max="11008" width="9.140625" style="1767"/>
    <col min="11009" max="11009" width="100.7109375" style="1767" customWidth="1"/>
    <col min="11010" max="11264" width="9.140625" style="1767"/>
    <col min="11265" max="11265" width="100.7109375" style="1767" customWidth="1"/>
    <col min="11266" max="11520" width="9.140625" style="1767"/>
    <col min="11521" max="11521" width="100.7109375" style="1767" customWidth="1"/>
    <col min="11522" max="11776" width="9.140625" style="1767"/>
    <col min="11777" max="11777" width="100.7109375" style="1767" customWidth="1"/>
    <col min="11778" max="12032" width="9.140625" style="1767"/>
    <col min="12033" max="12033" width="100.7109375" style="1767" customWidth="1"/>
    <col min="12034" max="12288" width="9.140625" style="1767"/>
    <col min="12289" max="12289" width="100.7109375" style="1767" customWidth="1"/>
    <col min="12290" max="12544" width="9.140625" style="1767"/>
    <col min="12545" max="12545" width="100.7109375" style="1767" customWidth="1"/>
    <col min="12546" max="12800" width="9.140625" style="1767"/>
    <col min="12801" max="12801" width="100.7109375" style="1767" customWidth="1"/>
    <col min="12802" max="13056" width="9.140625" style="1767"/>
    <col min="13057" max="13057" width="100.7109375" style="1767" customWidth="1"/>
    <col min="13058" max="13312" width="9.140625" style="1767"/>
    <col min="13313" max="13313" width="100.7109375" style="1767" customWidth="1"/>
    <col min="13314" max="13568" width="9.140625" style="1767"/>
    <col min="13569" max="13569" width="100.7109375" style="1767" customWidth="1"/>
    <col min="13570" max="13824" width="9.140625" style="1767"/>
    <col min="13825" max="13825" width="100.7109375" style="1767" customWidth="1"/>
    <col min="13826" max="14080" width="9.140625" style="1767"/>
    <col min="14081" max="14081" width="100.7109375" style="1767" customWidth="1"/>
    <col min="14082" max="14336" width="9.140625" style="1767"/>
    <col min="14337" max="14337" width="100.7109375" style="1767" customWidth="1"/>
    <col min="14338" max="14592" width="9.140625" style="1767"/>
    <col min="14593" max="14593" width="100.7109375" style="1767" customWidth="1"/>
    <col min="14594" max="14848" width="9.140625" style="1767"/>
    <col min="14849" max="14849" width="100.7109375" style="1767" customWidth="1"/>
    <col min="14850" max="15104" width="9.140625" style="1767"/>
    <col min="15105" max="15105" width="100.7109375" style="1767" customWidth="1"/>
    <col min="15106" max="15360" width="9.140625" style="1767"/>
    <col min="15361" max="15361" width="100.7109375" style="1767" customWidth="1"/>
    <col min="15362" max="15616" width="9.140625" style="1767"/>
    <col min="15617" max="15617" width="100.7109375" style="1767" customWidth="1"/>
    <col min="15618" max="15872" width="9.140625" style="1767"/>
    <col min="15873" max="15873" width="100.7109375" style="1767" customWidth="1"/>
    <col min="15874" max="16128" width="9.140625" style="1767"/>
    <col min="16129" max="16129" width="100.7109375" style="1767" customWidth="1"/>
    <col min="16130" max="16384" width="9.140625" style="1767"/>
  </cols>
  <sheetData>
    <row r="1" spans="1:8" ht="30" customHeight="1">
      <c r="A1" s="1765"/>
      <c r="B1" s="1766"/>
      <c r="C1" s="1766"/>
      <c r="D1" s="1766"/>
      <c r="E1" s="1766"/>
      <c r="F1" s="1766"/>
      <c r="G1" s="1766"/>
      <c r="H1" s="1766"/>
    </row>
    <row r="2" spans="1:8" ht="14.25">
      <c r="A2" s="1768" t="s">
        <v>1125</v>
      </c>
      <c r="B2" s="1766"/>
      <c r="C2" s="1766"/>
      <c r="D2" s="1766"/>
      <c r="E2" s="1766"/>
      <c r="F2" s="1766"/>
      <c r="G2" s="1766"/>
      <c r="H2" s="1766"/>
    </row>
    <row r="3" spans="1:8" ht="14.25">
      <c r="A3" s="1768" t="s">
        <v>1126</v>
      </c>
      <c r="B3" s="1766"/>
      <c r="C3" s="1766"/>
      <c r="D3" s="1766"/>
      <c r="E3" s="1766"/>
      <c r="F3" s="1766"/>
      <c r="G3" s="1766"/>
      <c r="H3" s="1766"/>
    </row>
    <row r="4" spans="1:8" ht="14.25">
      <c r="A4" s="1768" t="s">
        <v>1127</v>
      </c>
      <c r="B4" s="1766"/>
      <c r="C4" s="1766"/>
      <c r="D4" s="1766"/>
      <c r="E4" s="1766"/>
      <c r="F4" s="1766"/>
      <c r="G4" s="1766"/>
      <c r="H4" s="1766"/>
    </row>
    <row r="5" spans="1:8" ht="14.25">
      <c r="A5" s="1768" t="s">
        <v>1128</v>
      </c>
      <c r="B5" s="1766"/>
      <c r="C5" s="1766"/>
      <c r="D5" s="1766"/>
      <c r="E5" s="1766"/>
      <c r="F5" s="1766"/>
      <c r="G5" s="1766"/>
      <c r="H5" s="1766"/>
    </row>
    <row r="6" spans="1:8" ht="14.25">
      <c r="A6" s="1768"/>
      <c r="B6" s="1766"/>
      <c r="C6" s="1766"/>
      <c r="D6" s="1766"/>
      <c r="E6" s="1766"/>
      <c r="F6" s="1766"/>
      <c r="G6" s="1766"/>
      <c r="H6" s="1766"/>
    </row>
    <row r="7" spans="1:8">
      <c r="A7" s="1765" t="s">
        <v>1129</v>
      </c>
      <c r="B7" s="1766"/>
      <c r="C7" s="1766"/>
      <c r="D7" s="1766"/>
      <c r="E7" s="1766"/>
      <c r="F7" s="1766"/>
      <c r="G7" s="1766"/>
      <c r="H7" s="1766"/>
    </row>
    <row r="8" spans="1:8">
      <c r="A8" s="1765" t="s">
        <v>1130</v>
      </c>
      <c r="B8" s="1766"/>
      <c r="C8" s="1766"/>
      <c r="D8" s="1766"/>
      <c r="E8" s="1766"/>
      <c r="F8" s="1766"/>
      <c r="G8" s="1766"/>
      <c r="H8" s="1766"/>
    </row>
    <row r="9" spans="1:8">
      <c r="A9" s="1765"/>
      <c r="B9" s="1766"/>
      <c r="C9" s="1766"/>
      <c r="D9" s="1766"/>
      <c r="E9" s="1766"/>
      <c r="F9" s="1766"/>
      <c r="G9" s="1766"/>
      <c r="H9" s="1766"/>
    </row>
    <row r="10" spans="1:8">
      <c r="A10" s="1769" t="s">
        <v>1131</v>
      </c>
      <c r="B10" s="1766"/>
      <c r="C10" s="1766"/>
      <c r="D10" s="1766"/>
      <c r="E10" s="1766"/>
      <c r="F10" s="1766"/>
      <c r="G10" s="1766"/>
      <c r="H10" s="1766"/>
    </row>
    <row r="11" spans="1:8">
      <c r="A11" s="1769" t="s">
        <v>1132</v>
      </c>
      <c r="B11" s="1766"/>
      <c r="C11" s="1766"/>
      <c r="D11" s="1766"/>
      <c r="E11" s="1766"/>
      <c r="F11" s="1766"/>
      <c r="G11" s="1766"/>
      <c r="H11" s="1766"/>
    </row>
    <row r="12" spans="1:8">
      <c r="A12" s="1769" t="s">
        <v>1133</v>
      </c>
      <c r="B12" s="1766"/>
      <c r="C12" s="1766"/>
      <c r="D12" s="1766"/>
      <c r="E12" s="1766"/>
      <c r="F12" s="1766"/>
      <c r="G12" s="1766"/>
      <c r="H12" s="1766"/>
    </row>
    <row r="13" spans="1:8">
      <c r="A13" s="1769" t="s">
        <v>1134</v>
      </c>
      <c r="B13" s="1766"/>
      <c r="C13" s="1766"/>
      <c r="D13" s="1766"/>
      <c r="E13" s="1766"/>
      <c r="F13" s="1766"/>
      <c r="G13" s="1766"/>
      <c r="H13" s="1766"/>
    </row>
    <row r="14" spans="1:8">
      <c r="A14" s="1769" t="s">
        <v>1135</v>
      </c>
      <c r="B14" s="1766"/>
      <c r="C14" s="1766"/>
      <c r="D14" s="1766"/>
      <c r="E14" s="1766"/>
      <c r="F14" s="1766"/>
      <c r="G14" s="1766"/>
      <c r="H14" s="1766"/>
    </row>
    <row r="15" spans="1:8">
      <c r="A15" s="1769" t="s">
        <v>1136</v>
      </c>
      <c r="B15" s="1766"/>
      <c r="C15" s="1766"/>
      <c r="D15" s="1766"/>
      <c r="E15" s="1766"/>
      <c r="F15" s="1766"/>
      <c r="G15" s="1766"/>
      <c r="H15" s="1766"/>
    </row>
    <row r="16" spans="1:8">
      <c r="A16" s="1769"/>
      <c r="B16" s="1766"/>
      <c r="C16" s="1766"/>
      <c r="D16" s="1766"/>
      <c r="E16" s="1766"/>
      <c r="F16" s="1766"/>
      <c r="G16" s="1766"/>
      <c r="H16" s="1766"/>
    </row>
    <row r="17" spans="1:8">
      <c r="A17" s="1769" t="s">
        <v>1122</v>
      </c>
      <c r="B17" s="1766"/>
      <c r="C17" s="1766"/>
      <c r="D17" s="1766"/>
      <c r="E17" s="1766"/>
      <c r="F17" s="1766"/>
      <c r="G17" s="1766"/>
      <c r="H17" s="1766"/>
    </row>
    <row r="18" spans="1:8">
      <c r="A18" s="1769"/>
      <c r="B18" s="1766"/>
      <c r="C18" s="1766"/>
      <c r="D18" s="1766"/>
      <c r="E18" s="1766"/>
      <c r="F18" s="1766"/>
      <c r="G18" s="1766"/>
      <c r="H18" s="1766"/>
    </row>
    <row r="19" spans="1:8">
      <c r="A19" s="1769" t="s">
        <v>1123</v>
      </c>
      <c r="B19" s="1766"/>
      <c r="C19" s="1766"/>
      <c r="D19" s="1766"/>
      <c r="E19" s="1766"/>
      <c r="F19" s="1766"/>
      <c r="G19" s="1766"/>
      <c r="H19" s="1766"/>
    </row>
    <row r="20" spans="1:8">
      <c r="A20" s="1765"/>
      <c r="B20" s="1766"/>
      <c r="C20" s="1766"/>
      <c r="D20" s="1766"/>
      <c r="E20" s="1766"/>
      <c r="F20" s="1766"/>
      <c r="G20" s="1766"/>
      <c r="H20" s="1766"/>
    </row>
    <row r="21" spans="1:8">
      <c r="A21" s="1770" t="s">
        <v>1124</v>
      </c>
      <c r="B21" s="1766"/>
      <c r="C21" s="1766"/>
      <c r="D21" s="1766"/>
      <c r="E21" s="1766"/>
      <c r="F21" s="1766"/>
      <c r="G21" s="1766"/>
      <c r="H21" s="1766"/>
    </row>
    <row r="22" spans="1:8">
      <c r="A22" s="1771"/>
      <c r="B22" s="1771"/>
      <c r="C22" s="1771"/>
      <c r="D22" s="1771"/>
      <c r="E22" s="1771"/>
      <c r="F22" s="1771"/>
      <c r="G22" s="1771"/>
      <c r="H22" s="1771"/>
    </row>
    <row r="23" spans="1:8">
      <c r="A23" s="1772" t="s">
        <v>1420</v>
      </c>
      <c r="B23" s="1771"/>
      <c r="C23" s="1771"/>
      <c r="D23" s="1771"/>
      <c r="E23" s="1771"/>
      <c r="F23" s="1771"/>
      <c r="G23" s="1771"/>
      <c r="H23" s="1771"/>
    </row>
    <row r="24" spans="1:8">
      <c r="A24" s="1772" t="s">
        <v>1421</v>
      </c>
      <c r="B24" s="1771"/>
      <c r="C24" s="1771"/>
      <c r="D24" s="1771"/>
      <c r="E24" s="1771"/>
      <c r="F24" s="1771"/>
      <c r="G24" s="1771"/>
      <c r="H24" s="1771"/>
    </row>
    <row r="25" spans="1:8">
      <c r="A25" s="1772" t="s">
        <v>1422</v>
      </c>
      <c r="B25" s="1771"/>
      <c r="C25" s="1771"/>
      <c r="D25" s="1771"/>
      <c r="E25" s="1771"/>
      <c r="F25" s="1771"/>
      <c r="G25" s="1771"/>
      <c r="H25" s="1771"/>
    </row>
    <row r="26" spans="1:8">
      <c r="A26" s="1772" t="s">
        <v>1423</v>
      </c>
      <c r="B26" s="1771"/>
      <c r="C26" s="1771"/>
      <c r="D26" s="1771"/>
      <c r="E26" s="1771"/>
      <c r="F26" s="1771"/>
      <c r="G26" s="1771"/>
      <c r="H26" s="1771"/>
    </row>
    <row r="27" spans="1:8">
      <c r="A27" s="1771"/>
      <c r="B27" s="1771"/>
      <c r="C27" s="1771"/>
      <c r="D27" s="1771"/>
      <c r="E27" s="1771"/>
      <c r="F27" s="1771"/>
      <c r="G27" s="1771"/>
      <c r="H27" s="1771"/>
    </row>
    <row r="28" spans="1:8">
      <c r="A28" s="1771"/>
      <c r="B28" s="1771"/>
      <c r="C28" s="1771"/>
      <c r="D28" s="1771"/>
      <c r="E28" s="1771"/>
      <c r="F28" s="1771"/>
      <c r="G28" s="1771"/>
      <c r="H28" s="1771"/>
    </row>
    <row r="29" spans="1:8">
      <c r="A29" s="1772" t="s">
        <v>1415</v>
      </c>
      <c r="B29" s="1771"/>
      <c r="C29" s="1771"/>
      <c r="D29" s="1771"/>
      <c r="E29" s="1771"/>
      <c r="F29" s="1771"/>
      <c r="G29" s="1771"/>
      <c r="H29" s="1771"/>
    </row>
    <row r="30" spans="1:8">
      <c r="A30" s="1772" t="s">
        <v>1416</v>
      </c>
      <c r="B30" s="1771"/>
      <c r="C30" s="1771"/>
      <c r="D30" s="1771"/>
      <c r="E30" s="1771"/>
      <c r="F30" s="1771"/>
      <c r="G30" s="1771"/>
      <c r="H30" s="1771"/>
    </row>
    <row r="31" spans="1:8">
      <c r="A31" s="1772" t="s">
        <v>1417</v>
      </c>
      <c r="B31" s="1771"/>
      <c r="C31" s="1771"/>
      <c r="D31" s="1771"/>
      <c r="E31" s="1771"/>
      <c r="F31" s="1771"/>
      <c r="G31" s="1771"/>
      <c r="H31" s="1771"/>
    </row>
    <row r="32" spans="1:8">
      <c r="A32" s="1772" t="s">
        <v>1418</v>
      </c>
      <c r="B32" s="1771"/>
      <c r="C32" s="1771"/>
      <c r="D32" s="1771"/>
      <c r="E32" s="1771"/>
      <c r="F32" s="1771"/>
      <c r="G32" s="1771"/>
      <c r="H32" s="1771"/>
    </row>
    <row r="33" spans="1:8">
      <c r="A33" s="1772" t="s">
        <v>1419</v>
      </c>
      <c r="B33" s="1771"/>
      <c r="C33" s="1771"/>
      <c r="D33" s="1771"/>
      <c r="E33" s="1771"/>
      <c r="F33" s="1771"/>
      <c r="G33" s="1771"/>
      <c r="H33" s="1771"/>
    </row>
    <row r="34" spans="1:8">
      <c r="A34" s="1771"/>
      <c r="B34" s="1771"/>
      <c r="C34" s="1771"/>
      <c r="D34" s="1771"/>
      <c r="E34" s="1771"/>
      <c r="F34" s="1771"/>
      <c r="G34" s="1771"/>
      <c r="H34" s="1771"/>
    </row>
    <row r="35" spans="1:8">
      <c r="A35" s="1772" t="s">
        <v>1411</v>
      </c>
      <c r="B35" s="1771"/>
      <c r="C35" s="1771"/>
      <c r="D35" s="1771"/>
      <c r="E35" s="1771"/>
      <c r="F35" s="1771"/>
      <c r="G35" s="1771"/>
      <c r="H35" s="1771"/>
    </row>
    <row r="36" spans="1:8">
      <c r="A36" s="1772" t="s">
        <v>1412</v>
      </c>
      <c r="B36" s="1771"/>
      <c r="C36" s="1771"/>
      <c r="D36" s="1771"/>
      <c r="E36" s="1771"/>
      <c r="F36" s="1771"/>
      <c r="G36" s="1771"/>
      <c r="H36" s="1771"/>
    </row>
    <row r="37" spans="1:8">
      <c r="A37" s="1772" t="s">
        <v>1413</v>
      </c>
      <c r="B37" s="1771"/>
      <c r="C37" s="1771"/>
      <c r="D37" s="1771"/>
      <c r="E37" s="1771"/>
      <c r="F37" s="1771"/>
      <c r="G37" s="1771"/>
      <c r="H37" s="1771"/>
    </row>
    <row r="38" spans="1:8">
      <c r="A38" s="1772" t="s">
        <v>1414</v>
      </c>
      <c r="B38" s="1771"/>
      <c r="C38" s="1771"/>
      <c r="D38" s="1771"/>
      <c r="E38" s="1771"/>
      <c r="F38" s="1771"/>
      <c r="G38" s="1771"/>
      <c r="H38" s="1771"/>
    </row>
    <row r="39" spans="1:8">
      <c r="A39" s="1771"/>
      <c r="B39" s="1771"/>
      <c r="C39" s="1771"/>
      <c r="D39" s="1771"/>
      <c r="E39" s="1771"/>
      <c r="F39" s="1771"/>
      <c r="G39" s="1771"/>
      <c r="H39" s="1771"/>
    </row>
    <row r="40" spans="1:8">
      <c r="A40" s="1772" t="s">
        <v>1405</v>
      </c>
      <c r="B40" s="1771"/>
      <c r="C40" s="1771"/>
      <c r="D40" s="1771"/>
      <c r="E40" s="1771"/>
      <c r="F40" s="1771"/>
      <c r="G40" s="1771"/>
      <c r="H40" s="1771"/>
    </row>
    <row r="41" spans="1:8">
      <c r="A41" s="1772" t="s">
        <v>1406</v>
      </c>
      <c r="B41" s="1771"/>
      <c r="C41" s="1771"/>
      <c r="D41" s="1771"/>
      <c r="E41" s="1771"/>
      <c r="F41" s="1771"/>
      <c r="G41" s="1771"/>
      <c r="H41" s="1771"/>
    </row>
    <row r="42" spans="1:8">
      <c r="A42" s="1772" t="s">
        <v>1407</v>
      </c>
      <c r="B42" s="1771"/>
      <c r="C42" s="1771"/>
      <c r="D42" s="1771"/>
      <c r="E42" s="1771"/>
      <c r="F42" s="1771"/>
      <c r="G42" s="1771"/>
      <c r="H42" s="1771"/>
    </row>
    <row r="43" spans="1:8">
      <c r="A43" s="1772" t="s">
        <v>1408</v>
      </c>
      <c r="B43" s="1771"/>
      <c r="C43" s="1771"/>
      <c r="D43" s="1771"/>
      <c r="E43" s="1771"/>
      <c r="F43" s="1771"/>
      <c r="G43" s="1771"/>
      <c r="H43" s="1771"/>
    </row>
    <row r="44" spans="1:8">
      <c r="A44" s="1772" t="s">
        <v>1409</v>
      </c>
      <c r="B44" s="1771"/>
      <c r="C44" s="1771"/>
      <c r="D44" s="1771"/>
      <c r="E44" s="1771"/>
      <c r="F44" s="1771"/>
      <c r="G44" s="1771"/>
      <c r="H44" s="1771"/>
    </row>
    <row r="45" spans="1:8">
      <c r="A45" s="1772" t="s">
        <v>1410</v>
      </c>
      <c r="B45" s="1771"/>
      <c r="C45" s="1771"/>
      <c r="D45" s="1771"/>
      <c r="E45" s="1771"/>
      <c r="F45" s="1771"/>
      <c r="G45" s="1771"/>
      <c r="H45" s="1771"/>
    </row>
    <row r="46" spans="1:8">
      <c r="A46" s="1771"/>
      <c r="B46" s="1771"/>
      <c r="C46" s="1771"/>
      <c r="D46" s="1771"/>
      <c r="E46" s="1771"/>
      <c r="F46" s="1771"/>
      <c r="G46" s="1771"/>
      <c r="H46" s="1771"/>
    </row>
    <row r="47" spans="1:8" ht="15.75">
      <c r="A47" s="1773" t="s">
        <v>1137</v>
      </c>
      <c r="B47" s="1771"/>
      <c r="C47" s="1771"/>
      <c r="D47" s="1771"/>
      <c r="E47" s="1771"/>
      <c r="F47" s="1771"/>
      <c r="G47" s="1771"/>
      <c r="H47" s="1771"/>
    </row>
    <row r="48" spans="1:8">
      <c r="A48" s="1771"/>
      <c r="B48" s="1771"/>
      <c r="C48" s="1771"/>
      <c r="D48" s="1771"/>
      <c r="E48" s="1771"/>
      <c r="F48" s="1771"/>
      <c r="G48" s="1771"/>
      <c r="H48" s="1771"/>
    </row>
    <row r="49" spans="1:8">
      <c r="A49" s="1772" t="s">
        <v>1401</v>
      </c>
      <c r="B49" s="1771"/>
      <c r="C49" s="1771"/>
      <c r="D49" s="1771"/>
      <c r="E49" s="1771"/>
      <c r="F49" s="1771"/>
      <c r="G49" s="1771"/>
      <c r="H49" s="1771"/>
    </row>
    <row r="50" spans="1:8">
      <c r="A50" s="1772" t="s">
        <v>1402</v>
      </c>
      <c r="B50" s="1771"/>
      <c r="C50" s="1771"/>
      <c r="D50" s="1771"/>
      <c r="E50" s="1771"/>
      <c r="F50" s="1771"/>
      <c r="G50" s="1771"/>
      <c r="H50" s="1771"/>
    </row>
    <row r="51" spans="1:8">
      <c r="A51" s="1772" t="s">
        <v>1403</v>
      </c>
      <c r="B51" s="1771"/>
      <c r="C51" s="1771"/>
      <c r="D51" s="1771"/>
      <c r="E51" s="1771"/>
      <c r="F51" s="1771"/>
      <c r="G51" s="1771"/>
      <c r="H51" s="1771"/>
    </row>
    <row r="52" spans="1:8">
      <c r="A52" s="1772" t="s">
        <v>1404</v>
      </c>
      <c r="B52" s="1771"/>
      <c r="C52" s="1771"/>
      <c r="D52" s="1771"/>
      <c r="E52" s="1771"/>
      <c r="F52" s="1771"/>
      <c r="G52" s="1771"/>
      <c r="H52" s="1771"/>
    </row>
    <row r="53" spans="1:8">
      <c r="A53" s="1771"/>
      <c r="B53" s="1771"/>
      <c r="C53" s="1771"/>
      <c r="D53" s="1771"/>
      <c r="E53" s="1771"/>
      <c r="F53" s="1771"/>
      <c r="G53" s="1771"/>
      <c r="H53" s="1771"/>
    </row>
    <row r="54" spans="1:8">
      <c r="A54" s="1772" t="s">
        <v>1138</v>
      </c>
      <c r="B54" s="1771"/>
      <c r="C54" s="1771"/>
      <c r="D54" s="1771"/>
      <c r="E54" s="1771"/>
      <c r="F54" s="1771"/>
      <c r="G54" s="1771"/>
      <c r="H54" s="1771"/>
    </row>
    <row r="55" spans="1:8">
      <c r="A55" s="1771"/>
      <c r="B55" s="1771"/>
      <c r="C55" s="1771"/>
      <c r="D55" s="1771"/>
      <c r="E55" s="1771"/>
      <c r="F55" s="1771"/>
      <c r="G55" s="1771"/>
      <c r="H55" s="1771"/>
    </row>
    <row r="56" spans="1:8" ht="15.75">
      <c r="A56" s="1773" t="s">
        <v>1139</v>
      </c>
      <c r="B56" s="1771"/>
      <c r="C56" s="1771"/>
      <c r="D56" s="1771"/>
      <c r="E56" s="1771"/>
      <c r="F56" s="1771"/>
      <c r="G56" s="1771"/>
      <c r="H56" s="1771"/>
    </row>
    <row r="57" spans="1:8">
      <c r="A57" s="1771"/>
      <c r="B57" s="1771"/>
      <c r="C57" s="1771"/>
      <c r="D57" s="1771"/>
      <c r="E57" s="1771"/>
      <c r="F57" s="1771"/>
      <c r="G57" s="1771"/>
      <c r="H57" s="1771"/>
    </row>
    <row r="58" spans="1:8">
      <c r="A58" s="1772" t="s">
        <v>1399</v>
      </c>
      <c r="B58" s="1771"/>
      <c r="C58" s="1771"/>
      <c r="D58" s="1771"/>
      <c r="E58" s="1771"/>
      <c r="F58" s="1771"/>
      <c r="G58" s="1771"/>
      <c r="H58" s="1771"/>
    </row>
    <row r="59" spans="1:8">
      <c r="A59" s="1772" t="s">
        <v>1400</v>
      </c>
      <c r="B59" s="1771"/>
      <c r="C59" s="1771"/>
      <c r="D59" s="1771"/>
      <c r="E59" s="1771"/>
      <c r="F59" s="1771"/>
      <c r="G59" s="1771"/>
      <c r="H59" s="1771"/>
    </row>
    <row r="60" spans="1:8">
      <c r="A60" s="1771"/>
      <c r="B60" s="1771"/>
      <c r="C60" s="1771"/>
      <c r="D60" s="1771"/>
      <c r="E60" s="1771"/>
      <c r="F60" s="1771"/>
      <c r="G60" s="1771"/>
      <c r="H60" s="1771"/>
    </row>
    <row r="61" spans="1:8" ht="15.75">
      <c r="A61" s="1773" t="s">
        <v>1140</v>
      </c>
      <c r="B61" s="1771"/>
      <c r="C61" s="1771"/>
      <c r="D61" s="1771"/>
      <c r="E61" s="1771"/>
      <c r="F61" s="1771"/>
      <c r="G61" s="1771"/>
      <c r="H61" s="1771"/>
    </row>
    <row r="62" spans="1:8">
      <c r="A62" s="1771"/>
      <c r="B62" s="1771"/>
      <c r="C62" s="1771"/>
      <c r="D62" s="1771"/>
      <c r="E62" s="1771"/>
      <c r="F62" s="1771"/>
      <c r="G62" s="1771"/>
      <c r="H62" s="1771"/>
    </row>
    <row r="63" spans="1:8">
      <c r="A63" s="1772" t="s">
        <v>1397</v>
      </c>
      <c r="B63" s="1771"/>
      <c r="C63" s="1771"/>
      <c r="D63" s="1771"/>
      <c r="E63" s="1771"/>
      <c r="F63" s="1771"/>
      <c r="G63" s="1771"/>
      <c r="H63" s="1771"/>
    </row>
    <row r="64" spans="1:8">
      <c r="A64" s="1772" t="s">
        <v>1398</v>
      </c>
      <c r="B64" s="1771"/>
      <c r="C64" s="1771"/>
      <c r="D64" s="1771"/>
      <c r="E64" s="1771"/>
      <c r="F64" s="1771"/>
      <c r="G64" s="1771"/>
      <c r="H64" s="1771"/>
    </row>
    <row r="65" spans="1:8">
      <c r="A65" s="1771"/>
      <c r="B65" s="1771"/>
      <c r="C65" s="1771"/>
      <c r="D65" s="1771"/>
      <c r="E65" s="1771"/>
      <c r="F65" s="1771"/>
      <c r="G65" s="1771"/>
      <c r="H65" s="1771"/>
    </row>
    <row r="66" spans="1:8">
      <c r="A66" s="1772" t="s">
        <v>1395</v>
      </c>
      <c r="B66" s="1771"/>
      <c r="C66" s="1771"/>
      <c r="D66" s="1771"/>
      <c r="E66" s="1771"/>
      <c r="F66" s="1771"/>
      <c r="G66" s="1771"/>
      <c r="H66" s="1771"/>
    </row>
    <row r="67" spans="1:8">
      <c r="A67" s="1772" t="s">
        <v>1396</v>
      </c>
      <c r="B67" s="1771"/>
      <c r="C67" s="1771"/>
      <c r="D67" s="1771"/>
      <c r="E67" s="1771"/>
      <c r="F67" s="1771"/>
      <c r="G67" s="1771"/>
      <c r="H67" s="1771"/>
    </row>
    <row r="68" spans="1:8">
      <c r="A68" s="1771"/>
      <c r="B68" s="1771"/>
      <c r="C68" s="1771"/>
      <c r="D68" s="1771"/>
      <c r="E68" s="1771"/>
      <c r="F68" s="1771"/>
      <c r="G68" s="1771"/>
      <c r="H68" s="1771"/>
    </row>
    <row r="69" spans="1:8">
      <c r="A69" s="1772" t="s">
        <v>1393</v>
      </c>
      <c r="B69" s="1771"/>
      <c r="C69" s="1771"/>
      <c r="D69" s="1771"/>
      <c r="E69" s="1771"/>
      <c r="F69" s="1771"/>
      <c r="G69" s="1771"/>
      <c r="H69" s="1771"/>
    </row>
    <row r="70" spans="1:8">
      <c r="A70" s="1772" t="s">
        <v>1394</v>
      </c>
      <c r="B70" s="1771"/>
      <c r="C70" s="1771"/>
      <c r="D70" s="1771"/>
      <c r="E70" s="1771"/>
      <c r="F70" s="1771"/>
      <c r="G70" s="1771"/>
      <c r="H70" s="1771"/>
    </row>
    <row r="71" spans="1:8">
      <c r="A71" s="1771"/>
      <c r="B71" s="1771"/>
      <c r="C71" s="1771"/>
      <c r="D71" s="1771"/>
      <c r="E71" s="1771"/>
      <c r="F71" s="1771"/>
      <c r="G71" s="1771"/>
      <c r="H71" s="1771"/>
    </row>
    <row r="72" spans="1:8">
      <c r="A72" s="1772" t="s">
        <v>1391</v>
      </c>
      <c r="B72" s="1771"/>
      <c r="C72" s="1771"/>
      <c r="D72" s="1771"/>
      <c r="E72" s="1771"/>
      <c r="F72" s="1771"/>
      <c r="G72" s="1771"/>
      <c r="H72" s="1771"/>
    </row>
    <row r="73" spans="1:8">
      <c r="A73" s="1772" t="s">
        <v>1392</v>
      </c>
      <c r="B73" s="1771"/>
      <c r="C73" s="1771"/>
      <c r="D73" s="1771"/>
      <c r="E73" s="1771"/>
      <c r="F73" s="1771"/>
      <c r="G73" s="1771"/>
      <c r="H73" s="1771"/>
    </row>
    <row r="74" spans="1:8">
      <c r="A74" s="1771"/>
      <c r="B74" s="1771"/>
      <c r="C74" s="1771"/>
      <c r="D74" s="1771"/>
      <c r="E74" s="1771"/>
      <c r="F74" s="1771"/>
      <c r="G74" s="1771"/>
      <c r="H74" s="1771"/>
    </row>
    <row r="75" spans="1:8">
      <c r="A75" s="1772" t="s">
        <v>1388</v>
      </c>
      <c r="B75" s="1771"/>
      <c r="C75" s="1771"/>
      <c r="D75" s="1771"/>
      <c r="E75" s="1771"/>
      <c r="F75" s="1771"/>
      <c r="G75" s="1771"/>
      <c r="H75" s="1771"/>
    </row>
    <row r="76" spans="1:8">
      <c r="A76" s="1772" t="s">
        <v>1389</v>
      </c>
      <c r="B76" s="1771"/>
      <c r="C76" s="1771"/>
      <c r="D76" s="1771"/>
      <c r="E76" s="1771"/>
      <c r="F76" s="1771"/>
      <c r="G76" s="1771"/>
      <c r="H76" s="1771"/>
    </row>
    <row r="77" spans="1:8">
      <c r="A77" s="1772" t="s">
        <v>1390</v>
      </c>
      <c r="B77" s="1771"/>
      <c r="C77" s="1771"/>
      <c r="D77" s="1771"/>
      <c r="E77" s="1771"/>
      <c r="F77" s="1771"/>
      <c r="G77" s="1771"/>
      <c r="H77" s="1771"/>
    </row>
    <row r="78" spans="1:8">
      <c r="A78" s="1771"/>
      <c r="B78" s="1771"/>
      <c r="C78" s="1771"/>
      <c r="D78" s="1771"/>
      <c r="E78" s="1771"/>
      <c r="F78" s="1771"/>
      <c r="G78" s="1771"/>
      <c r="H78" s="1771"/>
    </row>
    <row r="79" spans="1:8">
      <c r="A79" s="1772" t="s">
        <v>1385</v>
      </c>
      <c r="B79" s="1771"/>
      <c r="C79" s="1771"/>
      <c r="D79" s="1771"/>
      <c r="E79" s="1771"/>
      <c r="F79" s="1771"/>
      <c r="G79" s="1771"/>
      <c r="H79" s="1771"/>
    </row>
    <row r="80" spans="1:8">
      <c r="A80" s="1772" t="s">
        <v>1386</v>
      </c>
      <c r="B80" s="1771"/>
      <c r="C80" s="1771"/>
      <c r="D80" s="1771"/>
      <c r="E80" s="1771"/>
      <c r="F80" s="1771"/>
      <c r="G80" s="1771"/>
      <c r="H80" s="1771"/>
    </row>
    <row r="81" spans="1:8">
      <c r="A81" s="1772" t="s">
        <v>1387</v>
      </c>
      <c r="B81" s="1771"/>
      <c r="C81" s="1771"/>
      <c r="D81" s="1771"/>
      <c r="E81" s="1771"/>
      <c r="F81" s="1771"/>
      <c r="G81" s="1771"/>
      <c r="H81" s="1771"/>
    </row>
    <row r="82" spans="1:8">
      <c r="A82" s="1771"/>
      <c r="B82" s="1771"/>
      <c r="C82" s="1771"/>
      <c r="D82" s="1771"/>
      <c r="E82" s="1771"/>
      <c r="F82" s="1771"/>
      <c r="G82" s="1771"/>
      <c r="H82" s="1771"/>
    </row>
    <row r="83" spans="1:8">
      <c r="A83" s="1772" t="s">
        <v>1141</v>
      </c>
      <c r="B83" s="1771"/>
      <c r="C83" s="1771"/>
      <c r="D83" s="1771"/>
      <c r="E83" s="1771"/>
      <c r="F83" s="1771"/>
      <c r="G83" s="1771"/>
      <c r="H83" s="1771"/>
    </row>
    <row r="84" spans="1:8">
      <c r="A84" s="1771"/>
      <c r="B84" s="1771"/>
      <c r="C84" s="1771"/>
      <c r="D84" s="1771"/>
      <c r="E84" s="1771"/>
      <c r="F84" s="1771"/>
      <c r="G84" s="1771"/>
      <c r="H84" s="1771"/>
    </row>
    <row r="85" spans="1:8">
      <c r="A85" s="1772" t="s">
        <v>1380</v>
      </c>
      <c r="B85" s="1771"/>
      <c r="C85" s="1771"/>
      <c r="D85" s="1771"/>
      <c r="E85" s="1771"/>
      <c r="F85" s="1771"/>
      <c r="G85" s="1771"/>
      <c r="H85" s="1771"/>
    </row>
    <row r="86" spans="1:8">
      <c r="A86" s="1772" t="s">
        <v>1381</v>
      </c>
      <c r="B86" s="1771"/>
      <c r="C86" s="1771"/>
      <c r="D86" s="1771"/>
      <c r="E86" s="1771"/>
      <c r="F86" s="1771"/>
      <c r="G86" s="1771"/>
      <c r="H86" s="1771"/>
    </row>
    <row r="87" spans="1:8">
      <c r="A87" s="1772" t="s">
        <v>1382</v>
      </c>
      <c r="B87" s="1771"/>
      <c r="C87" s="1771"/>
      <c r="D87" s="1771"/>
      <c r="E87" s="1771"/>
      <c r="F87" s="1771"/>
      <c r="G87" s="1771"/>
      <c r="H87" s="1771"/>
    </row>
    <row r="88" spans="1:8">
      <c r="A88" s="1772" t="s">
        <v>1383</v>
      </c>
      <c r="B88" s="1771"/>
      <c r="C88" s="1771"/>
      <c r="D88" s="1771"/>
      <c r="E88" s="1771"/>
      <c r="F88" s="1771"/>
      <c r="G88" s="1771"/>
      <c r="H88" s="1771"/>
    </row>
    <row r="89" spans="1:8">
      <c r="A89" s="1772" t="s">
        <v>1384</v>
      </c>
      <c r="B89" s="1771"/>
      <c r="C89" s="1771"/>
      <c r="D89" s="1771"/>
      <c r="E89" s="1771"/>
      <c r="F89" s="1771"/>
      <c r="G89" s="1771"/>
      <c r="H89" s="1771"/>
    </row>
    <row r="90" spans="1:8">
      <c r="A90" s="1772" t="s">
        <v>1267</v>
      </c>
      <c r="B90" s="1771"/>
      <c r="C90" s="1771"/>
      <c r="D90" s="1771"/>
      <c r="E90" s="1771"/>
      <c r="F90" s="1771"/>
      <c r="G90" s="1771"/>
      <c r="H90" s="1771"/>
    </row>
    <row r="91" spans="1:8">
      <c r="A91" s="1771"/>
      <c r="B91" s="1771"/>
      <c r="C91" s="1771"/>
      <c r="D91" s="1771"/>
      <c r="E91" s="1771"/>
      <c r="F91" s="1771"/>
      <c r="G91" s="1771"/>
      <c r="H91" s="1771"/>
    </row>
    <row r="92" spans="1:8">
      <c r="A92" s="1772" t="s">
        <v>1373</v>
      </c>
      <c r="B92" s="1771"/>
      <c r="C92" s="1771"/>
      <c r="D92" s="1771"/>
      <c r="E92" s="1771"/>
      <c r="F92" s="1771"/>
      <c r="G92" s="1771"/>
      <c r="H92" s="1771"/>
    </row>
    <row r="93" spans="1:8">
      <c r="A93" s="1772" t="s">
        <v>1374</v>
      </c>
      <c r="B93" s="1771"/>
      <c r="C93" s="1771"/>
      <c r="D93" s="1771"/>
      <c r="E93" s="1771"/>
      <c r="F93" s="1771"/>
      <c r="G93" s="1771"/>
      <c r="H93" s="1771"/>
    </row>
    <row r="94" spans="1:8">
      <c r="A94" s="1772" t="s">
        <v>1375</v>
      </c>
      <c r="B94" s="1771"/>
      <c r="C94" s="1771"/>
      <c r="D94" s="1771"/>
      <c r="E94" s="1771"/>
      <c r="F94" s="1771"/>
      <c r="G94" s="1771"/>
      <c r="H94" s="1771"/>
    </row>
    <row r="95" spans="1:8">
      <c r="A95" s="1772" t="s">
        <v>1376</v>
      </c>
      <c r="B95" s="1771"/>
      <c r="C95" s="1771"/>
      <c r="D95" s="1771"/>
      <c r="E95" s="1771"/>
      <c r="F95" s="1771"/>
      <c r="G95" s="1771"/>
      <c r="H95" s="1771"/>
    </row>
    <row r="96" spans="1:8">
      <c r="A96" s="1772" t="s">
        <v>1377</v>
      </c>
      <c r="B96" s="1771"/>
      <c r="C96" s="1771"/>
      <c r="D96" s="1771"/>
      <c r="E96" s="1771"/>
      <c r="F96" s="1771"/>
      <c r="G96" s="1771"/>
      <c r="H96" s="1771"/>
    </row>
    <row r="97" spans="1:8">
      <c r="A97" s="1772" t="s">
        <v>1378</v>
      </c>
      <c r="B97" s="1771"/>
      <c r="C97" s="1771"/>
      <c r="D97" s="1771"/>
      <c r="E97" s="1771"/>
      <c r="F97" s="1771"/>
      <c r="G97" s="1771"/>
      <c r="H97" s="1771"/>
    </row>
    <row r="98" spans="1:8">
      <c r="A98" s="1772" t="s">
        <v>1379</v>
      </c>
      <c r="B98" s="1771"/>
      <c r="C98" s="1771"/>
      <c r="D98" s="1771"/>
      <c r="E98" s="1771"/>
      <c r="F98" s="1771"/>
      <c r="G98" s="1771"/>
      <c r="H98" s="1771"/>
    </row>
    <row r="99" spans="1:8">
      <c r="A99" s="1771"/>
      <c r="B99" s="1771"/>
      <c r="C99" s="1771"/>
      <c r="D99" s="1771"/>
      <c r="E99" s="1771"/>
      <c r="F99" s="1771"/>
      <c r="G99" s="1771"/>
      <c r="H99" s="1771"/>
    </row>
    <row r="100" spans="1:8">
      <c r="A100" s="1772" t="s">
        <v>1371</v>
      </c>
      <c r="B100" s="1771"/>
      <c r="C100" s="1771"/>
      <c r="D100" s="1771"/>
      <c r="E100" s="1771"/>
      <c r="F100" s="1771"/>
      <c r="G100" s="1771"/>
      <c r="H100" s="1771"/>
    </row>
    <row r="101" spans="1:8">
      <c r="A101" s="1772" t="s">
        <v>1372</v>
      </c>
      <c r="B101" s="1771"/>
      <c r="C101" s="1771"/>
      <c r="D101" s="1771"/>
      <c r="E101" s="1771"/>
      <c r="F101" s="1771"/>
      <c r="G101" s="1771"/>
      <c r="H101" s="1771"/>
    </row>
    <row r="102" spans="1:8">
      <c r="A102" s="1771"/>
      <c r="B102" s="1771"/>
      <c r="C102" s="1771"/>
      <c r="D102" s="1771"/>
      <c r="E102" s="1771"/>
      <c r="F102" s="1771"/>
      <c r="G102" s="1771"/>
      <c r="H102" s="1771"/>
    </row>
    <row r="103" spans="1:8" ht="15.75">
      <c r="A103" s="1773" t="s">
        <v>1142</v>
      </c>
      <c r="B103" s="1771"/>
      <c r="C103" s="1771"/>
      <c r="D103" s="1771"/>
      <c r="E103" s="1771"/>
      <c r="F103" s="1771"/>
      <c r="G103" s="1771"/>
      <c r="H103" s="1771"/>
    </row>
    <row r="104" spans="1:8">
      <c r="A104" s="1771"/>
      <c r="B104" s="1771"/>
      <c r="C104" s="1771"/>
      <c r="D104" s="1771"/>
      <c r="E104" s="1771"/>
      <c r="F104" s="1771"/>
      <c r="G104" s="1771"/>
      <c r="H104" s="1771"/>
    </row>
    <row r="105" spans="1:8">
      <c r="A105" s="1772" t="s">
        <v>1362</v>
      </c>
      <c r="B105" s="1771"/>
      <c r="C105" s="1771"/>
      <c r="D105" s="1771"/>
      <c r="E105" s="1771"/>
      <c r="F105" s="1771"/>
      <c r="G105" s="1771"/>
      <c r="H105" s="1771"/>
    </row>
    <row r="106" spans="1:8">
      <c r="A106" s="1772" t="s">
        <v>1363</v>
      </c>
      <c r="B106" s="1771"/>
      <c r="C106" s="1771"/>
      <c r="D106" s="1771"/>
      <c r="E106" s="1771"/>
      <c r="F106" s="1771"/>
      <c r="G106" s="1771"/>
      <c r="H106" s="1771"/>
    </row>
    <row r="107" spans="1:8">
      <c r="A107" s="1772" t="s">
        <v>1364</v>
      </c>
      <c r="B107" s="1771"/>
      <c r="C107" s="1771"/>
      <c r="D107" s="1771"/>
      <c r="E107" s="1771"/>
      <c r="F107" s="1771"/>
      <c r="G107" s="1771"/>
      <c r="H107" s="1771"/>
    </row>
    <row r="108" spans="1:8">
      <c r="A108" s="1772" t="s">
        <v>1365</v>
      </c>
      <c r="B108" s="1771"/>
      <c r="C108" s="1771"/>
      <c r="D108" s="1771"/>
      <c r="E108" s="1771"/>
      <c r="F108" s="1771"/>
      <c r="G108" s="1771"/>
      <c r="H108" s="1771"/>
    </row>
    <row r="109" spans="1:8">
      <c r="A109" s="1772" t="s">
        <v>1366</v>
      </c>
      <c r="B109" s="1771"/>
      <c r="C109" s="1771"/>
      <c r="D109" s="1771"/>
      <c r="E109" s="1771"/>
      <c r="F109" s="1771"/>
      <c r="G109" s="1771"/>
      <c r="H109" s="1771"/>
    </row>
    <row r="110" spans="1:8">
      <c r="A110" s="1772" t="s">
        <v>1367</v>
      </c>
      <c r="B110" s="1771"/>
      <c r="C110" s="1771"/>
      <c r="D110" s="1771"/>
      <c r="E110" s="1771"/>
      <c r="F110" s="1771"/>
      <c r="G110" s="1771"/>
      <c r="H110" s="1771"/>
    </row>
    <row r="111" spans="1:8">
      <c r="A111" s="1772" t="s">
        <v>1368</v>
      </c>
      <c r="B111" s="1771"/>
      <c r="C111" s="1771"/>
      <c r="D111" s="1771"/>
      <c r="E111" s="1771"/>
      <c r="F111" s="1771"/>
      <c r="G111" s="1771"/>
      <c r="H111" s="1771"/>
    </row>
    <row r="112" spans="1:8">
      <c r="A112" s="1772" t="s">
        <v>1369</v>
      </c>
      <c r="B112" s="1771"/>
      <c r="C112" s="1771"/>
      <c r="D112" s="1771"/>
      <c r="E112" s="1771"/>
      <c r="F112" s="1771"/>
      <c r="G112" s="1771"/>
      <c r="H112" s="1771"/>
    </row>
    <row r="113" spans="1:8">
      <c r="A113" s="1772" t="s">
        <v>1370</v>
      </c>
      <c r="B113" s="1771"/>
      <c r="C113" s="1771"/>
      <c r="D113" s="1771"/>
      <c r="E113" s="1771"/>
      <c r="F113" s="1771"/>
      <c r="G113" s="1771"/>
      <c r="H113" s="1771"/>
    </row>
    <row r="114" spans="1:8">
      <c r="A114" s="1771"/>
      <c r="B114" s="1771"/>
      <c r="C114" s="1771"/>
      <c r="D114" s="1771"/>
      <c r="E114" s="1771"/>
      <c r="F114" s="1771"/>
      <c r="G114" s="1771"/>
      <c r="H114" s="1771"/>
    </row>
    <row r="115" spans="1:8" ht="15.75">
      <c r="A115" s="1774" t="s">
        <v>1143</v>
      </c>
      <c r="B115" s="1774"/>
      <c r="C115" s="1774"/>
      <c r="D115" s="1774"/>
      <c r="E115" s="1774"/>
      <c r="F115" s="1774"/>
      <c r="G115" s="1774"/>
      <c r="H115" s="1774"/>
    </row>
    <row r="116" spans="1:8">
      <c r="A116" s="1775" t="s">
        <v>1144</v>
      </c>
      <c r="B116" s="1775"/>
      <c r="C116" s="1775"/>
      <c r="D116" s="1775"/>
      <c r="E116" s="1775"/>
      <c r="F116" s="1775"/>
      <c r="G116" s="1775"/>
      <c r="H116" s="1775"/>
    </row>
    <row r="117" spans="1:8">
      <c r="A117" s="1776"/>
      <c r="B117" s="1776"/>
      <c r="C117" s="1776"/>
      <c r="D117" s="1776"/>
      <c r="E117" s="1776"/>
      <c r="F117" s="1776"/>
      <c r="G117" s="1776"/>
      <c r="H117" s="1776"/>
    </row>
    <row r="118" spans="1:8">
      <c r="A118" s="1775" t="s">
        <v>1360</v>
      </c>
      <c r="B118" s="1775"/>
      <c r="C118" s="1775"/>
      <c r="D118" s="1775"/>
      <c r="E118" s="1775"/>
      <c r="F118" s="1775"/>
      <c r="G118" s="1775"/>
      <c r="H118" s="1775"/>
    </row>
    <row r="119" spans="1:8">
      <c r="A119" s="1772" t="s">
        <v>1361</v>
      </c>
      <c r="B119" s="1772"/>
      <c r="C119" s="1772"/>
      <c r="D119" s="1772"/>
      <c r="E119" s="1772"/>
      <c r="F119" s="1772"/>
      <c r="G119" s="1772"/>
      <c r="H119" s="1772"/>
    </row>
    <row r="120" spans="1:8">
      <c r="A120" s="1776"/>
      <c r="B120" s="1776"/>
      <c r="C120" s="1776"/>
      <c r="D120" s="1776"/>
      <c r="E120" s="1776"/>
      <c r="F120" s="1776"/>
      <c r="G120" s="1776"/>
      <c r="H120" s="1776"/>
    </row>
    <row r="121" spans="1:8">
      <c r="A121" s="1775" t="s">
        <v>1353</v>
      </c>
      <c r="B121" s="1775"/>
      <c r="C121" s="1775"/>
      <c r="D121" s="1775"/>
      <c r="E121" s="1775"/>
      <c r="F121" s="1775"/>
      <c r="G121" s="1775"/>
      <c r="H121" s="1775"/>
    </row>
    <row r="122" spans="1:8">
      <c r="A122" s="1772" t="s">
        <v>1354</v>
      </c>
      <c r="B122" s="1772"/>
      <c r="C122" s="1772"/>
      <c r="D122" s="1772"/>
      <c r="E122" s="1772"/>
      <c r="F122" s="1772"/>
      <c r="G122" s="1772"/>
      <c r="H122" s="1772"/>
    </row>
    <row r="123" spans="1:8">
      <c r="A123" s="1772" t="s">
        <v>1355</v>
      </c>
      <c r="B123" s="1772"/>
      <c r="C123" s="1772"/>
      <c r="D123" s="1772"/>
      <c r="E123" s="1772"/>
      <c r="F123" s="1772"/>
      <c r="G123" s="1772"/>
      <c r="H123" s="1772"/>
    </row>
    <row r="124" spans="1:8">
      <c r="A124" s="1772" t="s">
        <v>1356</v>
      </c>
      <c r="B124" s="1772"/>
      <c r="C124" s="1772"/>
      <c r="D124" s="1772"/>
      <c r="E124" s="1772"/>
      <c r="F124" s="1772"/>
      <c r="G124" s="1772"/>
      <c r="H124" s="1772"/>
    </row>
    <row r="125" spans="1:8">
      <c r="A125" s="1772" t="s">
        <v>1357</v>
      </c>
      <c r="B125" s="1772"/>
      <c r="C125" s="1772"/>
      <c r="D125" s="1772"/>
      <c r="E125" s="1772"/>
      <c r="F125" s="1772"/>
      <c r="G125" s="1772"/>
      <c r="H125" s="1772"/>
    </row>
    <row r="126" spans="1:8">
      <c r="A126" s="1772" t="s">
        <v>1358</v>
      </c>
      <c r="B126" s="1772"/>
      <c r="C126" s="1772"/>
      <c r="D126" s="1772"/>
      <c r="E126" s="1772"/>
      <c r="F126" s="1772"/>
      <c r="G126" s="1772"/>
      <c r="H126" s="1772"/>
    </row>
    <row r="127" spans="1:8">
      <c r="A127" s="1772" t="s">
        <v>1359</v>
      </c>
      <c r="B127" s="1772"/>
      <c r="C127" s="1772"/>
      <c r="D127" s="1772"/>
      <c r="E127" s="1772"/>
      <c r="F127" s="1772"/>
      <c r="G127" s="1772"/>
      <c r="H127" s="1772"/>
    </row>
    <row r="128" spans="1:8">
      <c r="A128" s="1777"/>
      <c r="B128" s="1777"/>
      <c r="C128" s="1777"/>
      <c r="D128" s="1777"/>
      <c r="E128" s="1777"/>
      <c r="F128" s="1777"/>
      <c r="G128" s="1777"/>
      <c r="H128" s="1777"/>
    </row>
    <row r="129" spans="1:8">
      <c r="A129" s="1778"/>
      <c r="B129" s="1779" t="s">
        <v>1145</v>
      </c>
      <c r="C129" s="1780"/>
      <c r="D129" s="1779" t="s">
        <v>1146</v>
      </c>
      <c r="E129" s="1781"/>
      <c r="F129" s="1780"/>
      <c r="G129" s="1779" t="s">
        <v>1147</v>
      </c>
      <c r="H129" s="1780"/>
    </row>
    <row r="130" spans="1:8">
      <c r="A130" s="1778" t="s">
        <v>1148</v>
      </c>
      <c r="B130" s="1778" t="s">
        <v>608</v>
      </c>
      <c r="C130" s="1778" t="s">
        <v>1149</v>
      </c>
      <c r="D130" s="1778" t="s">
        <v>608</v>
      </c>
      <c r="E130" s="1778" t="s">
        <v>1150</v>
      </c>
      <c r="F130" s="1778" t="s">
        <v>1151</v>
      </c>
      <c r="G130" s="1778" t="s">
        <v>608</v>
      </c>
      <c r="H130" s="1778" t="s">
        <v>1152</v>
      </c>
    </row>
    <row r="131" spans="1:8">
      <c r="A131" s="1778" t="s">
        <v>1153</v>
      </c>
      <c r="B131" s="1778">
        <v>1189</v>
      </c>
      <c r="C131" s="1782">
        <v>0.38</v>
      </c>
      <c r="D131" s="1778">
        <v>315</v>
      </c>
      <c r="E131" s="1782">
        <v>0.41</v>
      </c>
      <c r="F131" s="1782">
        <v>0.26</v>
      </c>
      <c r="G131" s="1778">
        <v>555</v>
      </c>
      <c r="H131" s="1782">
        <v>0.39</v>
      </c>
    </row>
    <row r="132" spans="1:8">
      <c r="A132" s="1778" t="s">
        <v>1154</v>
      </c>
      <c r="B132" s="1778">
        <v>1355</v>
      </c>
      <c r="C132" s="1782">
        <v>0.43</v>
      </c>
      <c r="D132" s="1778">
        <v>364</v>
      </c>
      <c r="E132" s="1782">
        <v>0.47</v>
      </c>
      <c r="F132" s="1782">
        <v>0.27</v>
      </c>
      <c r="G132" s="1778">
        <v>644</v>
      </c>
      <c r="H132" s="1782">
        <v>0.45</v>
      </c>
    </row>
    <row r="133" spans="1:8">
      <c r="A133" s="1778" t="s">
        <v>1155</v>
      </c>
      <c r="B133" s="1778">
        <v>53</v>
      </c>
      <c r="C133" s="1782">
        <v>0.02</v>
      </c>
      <c r="D133" s="1778">
        <v>4</v>
      </c>
      <c r="E133" s="1782">
        <v>0.01</v>
      </c>
      <c r="F133" s="1782">
        <v>0.08</v>
      </c>
      <c r="G133" s="1778">
        <v>7</v>
      </c>
      <c r="H133" s="1782">
        <v>0</v>
      </c>
    </row>
    <row r="134" spans="1:8">
      <c r="A134" s="1778" t="s">
        <v>1156</v>
      </c>
      <c r="B134" s="1778">
        <v>545</v>
      </c>
      <c r="C134" s="1782">
        <v>0.17</v>
      </c>
      <c r="D134" s="1778">
        <v>84</v>
      </c>
      <c r="E134" s="1782">
        <v>0.11</v>
      </c>
      <c r="F134" s="1782">
        <v>0.15</v>
      </c>
      <c r="G134" s="1778">
        <v>214</v>
      </c>
      <c r="H134" s="1782">
        <v>0.15</v>
      </c>
    </row>
    <row r="135" spans="1:8">
      <c r="A135" s="1778" t="s">
        <v>449</v>
      </c>
      <c r="B135" s="1783">
        <v>3142</v>
      </c>
      <c r="C135" s="1778"/>
      <c r="D135" s="1778">
        <v>767</v>
      </c>
      <c r="E135" s="1778"/>
      <c r="F135" s="1778"/>
      <c r="G135" s="1778">
        <v>1420</v>
      </c>
      <c r="H135" s="1778"/>
    </row>
    <row r="136" spans="1:8">
      <c r="A136" s="1784"/>
      <c r="B136" s="1784"/>
      <c r="C136" s="1784"/>
      <c r="D136" s="1784"/>
      <c r="E136" s="1784"/>
      <c r="F136" s="1784"/>
      <c r="G136" s="1784"/>
      <c r="H136" s="1784"/>
    </row>
    <row r="137" spans="1:8">
      <c r="A137" s="1775" t="s">
        <v>1349</v>
      </c>
      <c r="B137" s="1775"/>
      <c r="C137" s="1775"/>
      <c r="D137" s="1775"/>
      <c r="E137" s="1775"/>
      <c r="F137" s="1775"/>
      <c r="G137" s="1775"/>
      <c r="H137" s="1775"/>
    </row>
    <row r="138" spans="1:8">
      <c r="A138" s="1772" t="s">
        <v>1350</v>
      </c>
      <c r="B138" s="1772"/>
      <c r="C138" s="1772"/>
      <c r="D138" s="1772"/>
      <c r="E138" s="1772"/>
      <c r="F138" s="1772"/>
      <c r="G138" s="1772"/>
      <c r="H138" s="1772"/>
    </row>
    <row r="139" spans="1:8">
      <c r="A139" s="1772" t="s">
        <v>1351</v>
      </c>
      <c r="B139" s="1772"/>
      <c r="C139" s="1772"/>
      <c r="D139" s="1772"/>
      <c r="E139" s="1772"/>
      <c r="F139" s="1772"/>
      <c r="G139" s="1772"/>
      <c r="H139" s="1772"/>
    </row>
    <row r="140" spans="1:8">
      <c r="A140" s="1772" t="s">
        <v>1352</v>
      </c>
      <c r="B140" s="1772"/>
      <c r="C140" s="1772"/>
      <c r="D140" s="1772"/>
      <c r="E140" s="1772"/>
      <c r="F140" s="1772"/>
      <c r="G140" s="1772"/>
      <c r="H140" s="1772"/>
    </row>
    <row r="141" spans="1:8">
      <c r="A141" s="1771"/>
      <c r="B141" s="1771"/>
      <c r="C141" s="1771"/>
      <c r="D141" s="1771"/>
      <c r="E141" s="1771"/>
      <c r="F141" s="1771"/>
      <c r="G141" s="1771"/>
      <c r="H141" s="1771"/>
    </row>
    <row r="142" spans="1:8" ht="15.75">
      <c r="A142" s="1773" t="s">
        <v>1157</v>
      </c>
      <c r="B142" s="1771"/>
      <c r="C142" s="1771"/>
      <c r="D142" s="1771"/>
      <c r="E142" s="1771"/>
      <c r="F142" s="1771"/>
      <c r="G142" s="1771"/>
      <c r="H142" s="1771"/>
    </row>
    <row r="143" spans="1:8">
      <c r="A143" s="1771"/>
      <c r="B143" s="1771"/>
      <c r="C143" s="1771"/>
      <c r="D143" s="1771"/>
      <c r="E143" s="1771"/>
      <c r="F143" s="1771"/>
      <c r="G143" s="1771"/>
      <c r="H143" s="1771"/>
    </row>
    <row r="144" spans="1:8">
      <c r="A144" s="1772" t="s">
        <v>1347</v>
      </c>
      <c r="B144" s="1771"/>
      <c r="C144" s="1771"/>
      <c r="D144" s="1771"/>
      <c r="E144" s="1771"/>
      <c r="F144" s="1771"/>
      <c r="G144" s="1771"/>
      <c r="H144" s="1771"/>
    </row>
    <row r="145" spans="1:8">
      <c r="A145" s="1772" t="s">
        <v>1348</v>
      </c>
      <c r="B145" s="1771"/>
      <c r="C145" s="1771"/>
      <c r="D145" s="1771"/>
      <c r="E145" s="1771"/>
      <c r="F145" s="1771"/>
      <c r="G145" s="1771"/>
      <c r="H145" s="1771"/>
    </row>
    <row r="146" spans="1:8">
      <c r="A146" s="1771"/>
      <c r="B146" s="1771"/>
      <c r="C146" s="1771"/>
      <c r="D146" s="1771"/>
      <c r="E146" s="1771"/>
      <c r="F146" s="1771"/>
      <c r="G146" s="1771"/>
      <c r="H146" s="1771"/>
    </row>
    <row r="147" spans="1:8">
      <c r="A147" s="1772" t="s">
        <v>1344</v>
      </c>
      <c r="B147" s="1771"/>
      <c r="C147" s="1771"/>
      <c r="D147" s="1771"/>
      <c r="E147" s="1771"/>
      <c r="F147" s="1771"/>
      <c r="G147" s="1771"/>
      <c r="H147" s="1771"/>
    </row>
    <row r="148" spans="1:8">
      <c r="A148" s="1772" t="s">
        <v>1345</v>
      </c>
      <c r="B148" s="1771"/>
      <c r="C148" s="1771"/>
      <c r="D148" s="1771"/>
      <c r="E148" s="1771"/>
      <c r="F148" s="1771"/>
      <c r="G148" s="1771"/>
      <c r="H148" s="1771"/>
    </row>
    <row r="149" spans="1:8">
      <c r="A149" s="1772" t="s">
        <v>1346</v>
      </c>
      <c r="B149" s="1771"/>
      <c r="C149" s="1771"/>
      <c r="D149" s="1771"/>
      <c r="E149" s="1771"/>
      <c r="F149" s="1771"/>
      <c r="G149" s="1771"/>
      <c r="H149" s="1771"/>
    </row>
    <row r="150" spans="1:8">
      <c r="A150" s="1771"/>
      <c r="B150" s="1771"/>
      <c r="C150" s="1771"/>
      <c r="D150" s="1771"/>
      <c r="E150" s="1771"/>
      <c r="F150" s="1771"/>
      <c r="G150" s="1771"/>
      <c r="H150" s="1771"/>
    </row>
    <row r="151" spans="1:8">
      <c r="A151" s="1772" t="s">
        <v>1341</v>
      </c>
      <c r="B151" s="1771"/>
      <c r="C151" s="1771"/>
      <c r="D151" s="1771"/>
      <c r="E151" s="1771"/>
      <c r="F151" s="1771"/>
      <c r="G151" s="1771"/>
      <c r="H151" s="1771"/>
    </row>
    <row r="152" spans="1:8">
      <c r="A152" s="1772" t="s">
        <v>1342</v>
      </c>
      <c r="B152" s="1771"/>
      <c r="C152" s="1771"/>
      <c r="D152" s="1771"/>
      <c r="E152" s="1771"/>
      <c r="F152" s="1771"/>
      <c r="G152" s="1771"/>
      <c r="H152" s="1771"/>
    </row>
    <row r="153" spans="1:8">
      <c r="A153" s="1772" t="s">
        <v>1343</v>
      </c>
      <c r="B153" s="1771"/>
      <c r="C153" s="1771"/>
      <c r="D153" s="1771"/>
      <c r="E153" s="1771"/>
      <c r="F153" s="1771"/>
      <c r="G153" s="1771"/>
      <c r="H153" s="1771"/>
    </row>
    <row r="154" spans="1:8">
      <c r="A154" s="1771"/>
      <c r="B154" s="1771"/>
      <c r="C154" s="1771"/>
      <c r="D154" s="1771"/>
      <c r="E154" s="1771"/>
      <c r="F154" s="1771"/>
      <c r="G154" s="1771"/>
      <c r="H154" s="1771"/>
    </row>
    <row r="155" spans="1:8">
      <c r="A155" s="1772" t="s">
        <v>1338</v>
      </c>
      <c r="B155" s="1771"/>
      <c r="C155" s="1771"/>
      <c r="D155" s="1771"/>
      <c r="E155" s="1771"/>
      <c r="F155" s="1771"/>
      <c r="G155" s="1771"/>
      <c r="H155" s="1771"/>
    </row>
    <row r="156" spans="1:8">
      <c r="A156" s="1772" t="s">
        <v>1339</v>
      </c>
      <c r="B156" s="1771"/>
      <c r="C156" s="1771"/>
      <c r="D156" s="1771"/>
      <c r="E156" s="1771"/>
      <c r="F156" s="1771"/>
      <c r="G156" s="1771"/>
      <c r="H156" s="1771"/>
    </row>
    <row r="157" spans="1:8">
      <c r="A157" s="1772" t="s">
        <v>1340</v>
      </c>
      <c r="B157" s="1771"/>
      <c r="C157" s="1771"/>
      <c r="D157" s="1771"/>
      <c r="E157" s="1771"/>
      <c r="F157" s="1771"/>
      <c r="G157" s="1771"/>
      <c r="H157" s="1771"/>
    </row>
    <row r="158" spans="1:8">
      <c r="A158" s="1771"/>
      <c r="B158" s="1771"/>
      <c r="C158" s="1771"/>
      <c r="D158" s="1771"/>
      <c r="E158" s="1771"/>
      <c r="F158" s="1771"/>
      <c r="G158" s="1771"/>
      <c r="H158" s="1771"/>
    </row>
    <row r="159" spans="1:8">
      <c r="A159" s="1772" t="s">
        <v>1336</v>
      </c>
      <c r="B159" s="1771"/>
      <c r="C159" s="1771"/>
      <c r="D159" s="1771"/>
      <c r="E159" s="1771"/>
      <c r="F159" s="1771"/>
      <c r="G159" s="1771"/>
      <c r="H159" s="1771"/>
    </row>
    <row r="160" spans="1:8">
      <c r="A160" s="1772" t="s">
        <v>1337</v>
      </c>
      <c r="B160" s="1771"/>
      <c r="C160" s="1771"/>
      <c r="D160" s="1771"/>
      <c r="E160" s="1771"/>
      <c r="F160" s="1771"/>
      <c r="G160" s="1771"/>
      <c r="H160" s="1771"/>
    </row>
    <row r="161" spans="1:8">
      <c r="A161" s="1771"/>
      <c r="B161" s="1771"/>
      <c r="C161" s="1771"/>
      <c r="D161" s="1771"/>
      <c r="E161" s="1771"/>
      <c r="F161" s="1771"/>
      <c r="G161" s="1771"/>
      <c r="H161" s="1771"/>
    </row>
    <row r="162" spans="1:8" ht="15.75">
      <c r="A162" s="1773" t="s">
        <v>1158</v>
      </c>
      <c r="B162" s="1771"/>
      <c r="C162" s="1771"/>
      <c r="D162" s="1771"/>
      <c r="E162" s="1771"/>
      <c r="F162" s="1771"/>
      <c r="G162" s="1771"/>
      <c r="H162" s="1771"/>
    </row>
    <row r="163" spans="1:8">
      <c r="A163" s="1771"/>
      <c r="B163" s="1771"/>
      <c r="C163" s="1771"/>
      <c r="D163" s="1771"/>
      <c r="E163" s="1771"/>
      <c r="F163" s="1771"/>
      <c r="G163" s="1771"/>
      <c r="H163" s="1771"/>
    </row>
    <row r="164" spans="1:8">
      <c r="A164" s="1772" t="s">
        <v>1334</v>
      </c>
      <c r="B164" s="1771"/>
      <c r="C164" s="1771"/>
      <c r="D164" s="1771"/>
      <c r="E164" s="1771"/>
      <c r="F164" s="1771"/>
      <c r="G164" s="1771"/>
      <c r="H164" s="1771"/>
    </row>
    <row r="165" spans="1:8">
      <c r="A165" s="1772" t="s">
        <v>1335</v>
      </c>
      <c r="B165" s="1771"/>
      <c r="C165" s="1771"/>
      <c r="D165" s="1771"/>
      <c r="E165" s="1771"/>
      <c r="F165" s="1771"/>
      <c r="G165" s="1771"/>
      <c r="H165" s="1771"/>
    </row>
    <row r="166" spans="1:8">
      <c r="A166" s="1771"/>
      <c r="B166" s="1771"/>
      <c r="C166" s="1771"/>
      <c r="D166" s="1771"/>
      <c r="E166" s="1771"/>
      <c r="F166" s="1771"/>
      <c r="G166" s="1771"/>
      <c r="H166" s="1771"/>
    </row>
    <row r="167" spans="1:8">
      <c r="A167" s="1772" t="s">
        <v>1332</v>
      </c>
      <c r="B167" s="1771"/>
      <c r="C167" s="1771"/>
      <c r="D167" s="1771"/>
      <c r="E167" s="1771"/>
      <c r="F167" s="1771"/>
      <c r="G167" s="1771"/>
      <c r="H167" s="1771"/>
    </row>
    <row r="168" spans="1:8">
      <c r="A168" s="1772" t="s">
        <v>1333</v>
      </c>
      <c r="B168" s="1771"/>
      <c r="C168" s="1771"/>
      <c r="D168" s="1771"/>
      <c r="E168" s="1771"/>
      <c r="F168" s="1771"/>
      <c r="G168" s="1771"/>
      <c r="H168" s="1771"/>
    </row>
    <row r="169" spans="1:8">
      <c r="A169" s="1771"/>
      <c r="B169" s="1771"/>
      <c r="C169" s="1771"/>
      <c r="D169" s="1771"/>
      <c r="E169" s="1771"/>
      <c r="F169" s="1771"/>
      <c r="G169" s="1771"/>
      <c r="H169" s="1771"/>
    </row>
    <row r="170" spans="1:8">
      <c r="A170" s="1772" t="s">
        <v>1330</v>
      </c>
      <c r="B170" s="1771"/>
      <c r="C170" s="1771"/>
      <c r="D170" s="1771"/>
      <c r="E170" s="1771"/>
      <c r="F170" s="1771"/>
      <c r="G170" s="1771"/>
      <c r="H170" s="1771"/>
    </row>
    <row r="171" spans="1:8">
      <c r="A171" s="1772" t="s">
        <v>1331</v>
      </c>
      <c r="B171" s="1771"/>
      <c r="C171" s="1771"/>
      <c r="D171" s="1771"/>
      <c r="E171" s="1771"/>
      <c r="F171" s="1771"/>
      <c r="G171" s="1771"/>
      <c r="H171" s="1771"/>
    </row>
    <row r="172" spans="1:8">
      <c r="A172" s="1771"/>
      <c r="B172" s="1771"/>
      <c r="C172" s="1771"/>
      <c r="D172" s="1771"/>
      <c r="E172" s="1771"/>
      <c r="F172" s="1771"/>
      <c r="G172" s="1771"/>
      <c r="H172" s="1771"/>
    </row>
    <row r="173" spans="1:8">
      <c r="A173" s="1772" t="s">
        <v>1327</v>
      </c>
      <c r="B173" s="1771"/>
      <c r="C173" s="1771"/>
      <c r="D173" s="1771"/>
      <c r="E173" s="1771"/>
      <c r="F173" s="1771"/>
      <c r="G173" s="1771"/>
      <c r="H173" s="1771"/>
    </row>
    <row r="174" spans="1:8">
      <c r="A174" s="1772" t="s">
        <v>1328</v>
      </c>
      <c r="B174" s="1771"/>
      <c r="C174" s="1771"/>
      <c r="D174" s="1771"/>
      <c r="E174" s="1771"/>
      <c r="F174" s="1771"/>
      <c r="G174" s="1771"/>
      <c r="H174" s="1771"/>
    </row>
    <row r="175" spans="1:8">
      <c r="A175" s="1772" t="s">
        <v>1329</v>
      </c>
      <c r="B175" s="1771"/>
      <c r="C175" s="1771"/>
      <c r="D175" s="1771"/>
      <c r="E175" s="1771"/>
      <c r="F175" s="1771"/>
      <c r="G175" s="1771"/>
      <c r="H175" s="1771"/>
    </row>
    <row r="176" spans="1:8">
      <c r="A176" s="1771"/>
      <c r="B176" s="1771"/>
      <c r="C176" s="1771"/>
      <c r="D176" s="1771"/>
      <c r="E176" s="1771"/>
      <c r="F176" s="1771"/>
      <c r="G176" s="1771"/>
      <c r="H176" s="1771"/>
    </row>
    <row r="177" spans="1:8">
      <c r="A177" s="1771"/>
      <c r="B177" s="1771"/>
      <c r="C177" s="1771"/>
      <c r="D177" s="1771"/>
      <c r="E177" s="1771"/>
      <c r="F177" s="1771"/>
      <c r="G177" s="1771"/>
      <c r="H177" s="1771"/>
    </row>
    <row r="178" spans="1:8">
      <c r="A178" s="1772" t="s">
        <v>1159</v>
      </c>
      <c r="B178" s="1771"/>
      <c r="C178" s="1771"/>
      <c r="D178" s="1771"/>
      <c r="E178" s="1771"/>
      <c r="F178" s="1771"/>
      <c r="G178" s="1771"/>
      <c r="H178" s="1771"/>
    </row>
    <row r="179" spans="1:8">
      <c r="A179" s="1771"/>
      <c r="B179" s="1771"/>
      <c r="C179" s="1771"/>
      <c r="D179" s="1771"/>
      <c r="E179" s="1771"/>
      <c r="F179" s="1771"/>
      <c r="G179" s="1771"/>
      <c r="H179" s="1771"/>
    </row>
    <row r="180" spans="1:8" ht="15.75">
      <c r="A180" s="1773" t="s">
        <v>1160</v>
      </c>
      <c r="B180" s="1771"/>
      <c r="C180" s="1771"/>
      <c r="D180" s="1771"/>
      <c r="E180" s="1771"/>
      <c r="F180" s="1771"/>
      <c r="G180" s="1771"/>
      <c r="H180" s="1771"/>
    </row>
    <row r="181" spans="1:8">
      <c r="A181" s="1771"/>
      <c r="B181" s="1771"/>
      <c r="C181" s="1771"/>
      <c r="D181" s="1771"/>
      <c r="E181" s="1771"/>
      <c r="F181" s="1771"/>
      <c r="G181" s="1771"/>
      <c r="H181" s="1771"/>
    </row>
    <row r="182" spans="1:8">
      <c r="A182" s="1771"/>
      <c r="B182" s="1771"/>
      <c r="C182" s="1771"/>
      <c r="D182" s="1771"/>
      <c r="E182" s="1771"/>
      <c r="F182" s="1771"/>
      <c r="G182" s="1771"/>
      <c r="H182" s="1771"/>
    </row>
    <row r="183" spans="1:8">
      <c r="A183" s="1771"/>
      <c r="B183" s="1771"/>
      <c r="C183" s="1771"/>
      <c r="D183" s="1771"/>
      <c r="E183" s="1771"/>
      <c r="F183" s="1771"/>
      <c r="G183" s="1771"/>
      <c r="H183" s="1771"/>
    </row>
    <row r="184" spans="1:8">
      <c r="A184" s="1771"/>
      <c r="B184" s="1771"/>
      <c r="C184" s="1771"/>
      <c r="D184" s="1771"/>
      <c r="E184" s="1771"/>
      <c r="F184" s="1771"/>
      <c r="G184" s="1771"/>
      <c r="H184" s="1771"/>
    </row>
    <row r="185" spans="1:8">
      <c r="A185" s="1771"/>
      <c r="B185" s="1771"/>
      <c r="C185" s="1771"/>
      <c r="D185" s="1771"/>
      <c r="E185" s="1771"/>
      <c r="F185" s="1771"/>
      <c r="G185" s="1771"/>
      <c r="H185" s="1771"/>
    </row>
    <row r="186" spans="1:8">
      <c r="A186" s="1771"/>
      <c r="B186" s="1771"/>
      <c r="C186" s="1771"/>
      <c r="D186" s="1771"/>
      <c r="E186" s="1771"/>
      <c r="F186" s="1771"/>
      <c r="G186" s="1771"/>
      <c r="H186" s="1771"/>
    </row>
    <row r="187" spans="1:8">
      <c r="A187" s="1771"/>
      <c r="B187" s="1771"/>
      <c r="C187" s="1771"/>
      <c r="D187" s="1771"/>
      <c r="E187" s="1771"/>
      <c r="F187" s="1771"/>
      <c r="G187" s="1771"/>
      <c r="H187" s="1771"/>
    </row>
    <row r="188" spans="1:8">
      <c r="A188" s="1771"/>
      <c r="B188" s="1771"/>
      <c r="C188" s="1771"/>
      <c r="D188" s="1771"/>
      <c r="E188" s="1771"/>
      <c r="F188" s="1771"/>
      <c r="G188" s="1771"/>
      <c r="H188" s="1771"/>
    </row>
    <row r="189" spans="1:8">
      <c r="A189" s="1771"/>
      <c r="B189" s="1771"/>
      <c r="C189" s="1771"/>
      <c r="D189" s="1771"/>
      <c r="E189" s="1771"/>
      <c r="F189" s="1771"/>
      <c r="G189" s="1771"/>
      <c r="H189" s="1771"/>
    </row>
    <row r="190" spans="1:8">
      <c r="A190" s="1771"/>
      <c r="B190" s="1771"/>
      <c r="C190" s="1771"/>
      <c r="D190" s="1771"/>
      <c r="E190" s="1771"/>
      <c r="F190" s="1771"/>
      <c r="G190" s="1771"/>
      <c r="H190" s="1771"/>
    </row>
    <row r="191" spans="1:8">
      <c r="A191" s="1771"/>
      <c r="B191" s="1771"/>
      <c r="C191" s="1771"/>
      <c r="D191" s="1771"/>
      <c r="E191" s="1771"/>
      <c r="F191" s="1771"/>
      <c r="G191" s="1771"/>
      <c r="H191" s="1771"/>
    </row>
    <row r="192" spans="1:8">
      <c r="A192" s="1771"/>
      <c r="B192" s="1771"/>
      <c r="C192" s="1771"/>
      <c r="D192" s="1771"/>
      <c r="E192" s="1771"/>
      <c r="F192" s="1771"/>
      <c r="G192" s="1771"/>
      <c r="H192" s="1771"/>
    </row>
    <row r="193" spans="1:8">
      <c r="A193" s="1771"/>
      <c r="B193" s="1771"/>
      <c r="C193" s="1771"/>
      <c r="D193" s="1771"/>
      <c r="E193" s="1771"/>
      <c r="F193" s="1771"/>
      <c r="G193" s="1771"/>
      <c r="H193" s="1771"/>
    </row>
    <row r="194" spans="1:8">
      <c r="A194" s="1771"/>
      <c r="B194" s="1771"/>
      <c r="C194" s="1771"/>
      <c r="D194" s="1771"/>
      <c r="E194" s="1771"/>
      <c r="F194" s="1771"/>
      <c r="G194" s="1771"/>
      <c r="H194" s="1771"/>
    </row>
    <row r="195" spans="1:8">
      <c r="A195" s="1771"/>
      <c r="B195" s="1771"/>
      <c r="C195" s="1771"/>
      <c r="D195" s="1771"/>
      <c r="E195" s="1771"/>
      <c r="F195" s="1771"/>
      <c r="G195" s="1771"/>
      <c r="H195" s="1771"/>
    </row>
    <row r="196" spans="1:8">
      <c r="A196" s="1771"/>
      <c r="B196" s="1771"/>
      <c r="C196" s="1771"/>
      <c r="D196" s="1771"/>
      <c r="E196" s="1771"/>
      <c r="F196" s="1771"/>
      <c r="G196" s="1771"/>
      <c r="H196" s="1771"/>
    </row>
    <row r="197" spans="1:8">
      <c r="A197" s="1771"/>
      <c r="B197" s="1771"/>
      <c r="C197" s="1771"/>
      <c r="D197" s="1771"/>
      <c r="E197" s="1771"/>
      <c r="F197" s="1771"/>
      <c r="G197" s="1771"/>
      <c r="H197" s="1771"/>
    </row>
    <row r="198" spans="1:8">
      <c r="A198" s="1771"/>
      <c r="B198" s="1771"/>
      <c r="C198" s="1771"/>
      <c r="D198" s="1771"/>
      <c r="E198" s="1771"/>
      <c r="F198" s="1771"/>
      <c r="G198" s="1771"/>
      <c r="H198" s="1771"/>
    </row>
    <row r="199" spans="1:8">
      <c r="A199" s="1771"/>
      <c r="B199" s="1771"/>
      <c r="C199" s="1771"/>
      <c r="D199" s="1771"/>
      <c r="E199" s="1771"/>
      <c r="F199" s="1771"/>
      <c r="G199" s="1771"/>
      <c r="H199" s="1771"/>
    </row>
    <row r="200" spans="1:8">
      <c r="A200" s="1771"/>
      <c r="B200" s="1771"/>
      <c r="C200" s="1771"/>
      <c r="D200" s="1771"/>
      <c r="E200" s="1771"/>
      <c r="F200" s="1771"/>
      <c r="G200" s="1771"/>
      <c r="H200" s="1771"/>
    </row>
    <row r="201" spans="1:8">
      <c r="A201" s="1771"/>
      <c r="B201" s="1771"/>
      <c r="C201" s="1771"/>
      <c r="D201" s="1771"/>
      <c r="E201" s="1771"/>
      <c r="F201" s="1771"/>
      <c r="G201" s="1771"/>
      <c r="H201" s="1771"/>
    </row>
    <row r="202" spans="1:8">
      <c r="A202" s="1771"/>
      <c r="B202" s="1771"/>
      <c r="C202" s="1771"/>
      <c r="D202" s="1771"/>
      <c r="E202" s="1771"/>
      <c r="F202" s="1771"/>
      <c r="G202" s="1771"/>
      <c r="H202" s="1771"/>
    </row>
    <row r="203" spans="1:8">
      <c r="A203" s="1771"/>
      <c r="B203" s="1771"/>
      <c r="C203" s="1771"/>
      <c r="D203" s="1771"/>
      <c r="E203" s="1771"/>
      <c r="F203" s="1771"/>
      <c r="G203" s="1771"/>
      <c r="H203" s="1771"/>
    </row>
    <row r="204" spans="1:8">
      <c r="A204" s="1771"/>
      <c r="B204" s="1771"/>
      <c r="C204" s="1771"/>
      <c r="D204" s="1771"/>
      <c r="E204" s="1771"/>
      <c r="F204" s="1771"/>
      <c r="G204" s="1771"/>
      <c r="H204" s="1771"/>
    </row>
    <row r="205" spans="1:8">
      <c r="A205" s="1771"/>
      <c r="B205" s="1771"/>
      <c r="C205" s="1771"/>
      <c r="D205" s="1771"/>
      <c r="E205" s="1771"/>
      <c r="F205" s="1771"/>
      <c r="G205" s="1771"/>
      <c r="H205" s="1771"/>
    </row>
    <row r="206" spans="1:8">
      <c r="A206" s="1771"/>
      <c r="B206" s="1771"/>
      <c r="C206" s="1771"/>
      <c r="D206" s="1771"/>
      <c r="E206" s="1771"/>
      <c r="F206" s="1771"/>
      <c r="G206" s="1771"/>
      <c r="H206" s="1771"/>
    </row>
    <row r="207" spans="1:8" ht="15.75">
      <c r="A207" s="1773" t="s">
        <v>1161</v>
      </c>
      <c r="B207" s="1771"/>
      <c r="C207" s="1771"/>
      <c r="D207" s="1771"/>
      <c r="E207" s="1771"/>
      <c r="F207" s="1771"/>
      <c r="G207" s="1771"/>
      <c r="H207" s="1771"/>
    </row>
    <row r="208" spans="1:8">
      <c r="A208" s="1771"/>
      <c r="B208" s="1771"/>
      <c r="C208" s="1771"/>
      <c r="D208" s="1771"/>
      <c r="E208" s="1771"/>
      <c r="F208" s="1771"/>
      <c r="G208" s="1771"/>
      <c r="H208" s="1771"/>
    </row>
    <row r="209" spans="1:8">
      <c r="A209" s="1772" t="s">
        <v>1322</v>
      </c>
      <c r="B209" s="1771"/>
      <c r="C209" s="1771"/>
      <c r="D209" s="1771"/>
      <c r="E209" s="1771"/>
      <c r="F209" s="1771"/>
      <c r="G209" s="1771"/>
      <c r="H209" s="1771"/>
    </row>
    <row r="210" spans="1:8">
      <c r="A210" s="1772" t="s">
        <v>1323</v>
      </c>
      <c r="B210" s="1771"/>
      <c r="C210" s="1771"/>
      <c r="D210" s="1771"/>
      <c r="E210" s="1771"/>
      <c r="F210" s="1771"/>
      <c r="G210" s="1771"/>
      <c r="H210" s="1771"/>
    </row>
    <row r="211" spans="1:8">
      <c r="A211" s="1772" t="s">
        <v>1324</v>
      </c>
      <c r="B211" s="1771"/>
      <c r="C211" s="1771"/>
      <c r="D211" s="1771"/>
      <c r="E211" s="1771"/>
      <c r="F211" s="1771"/>
      <c r="G211" s="1771"/>
      <c r="H211" s="1771"/>
    </row>
    <row r="212" spans="1:8">
      <c r="A212" s="1772" t="s">
        <v>1325</v>
      </c>
      <c r="B212" s="1771"/>
      <c r="C212" s="1771"/>
      <c r="D212" s="1771"/>
      <c r="E212" s="1771"/>
      <c r="F212" s="1771"/>
      <c r="G212" s="1771"/>
      <c r="H212" s="1771"/>
    </row>
    <row r="213" spans="1:8">
      <c r="A213" s="1772" t="s">
        <v>1326</v>
      </c>
      <c r="B213" s="1771"/>
      <c r="C213" s="1771"/>
      <c r="D213" s="1771"/>
      <c r="E213" s="1771"/>
      <c r="F213" s="1771"/>
      <c r="G213" s="1771"/>
      <c r="H213" s="1771"/>
    </row>
    <row r="214" spans="1:8">
      <c r="A214" s="1771"/>
      <c r="B214" s="1771"/>
      <c r="C214" s="1771"/>
      <c r="D214" s="1771"/>
      <c r="E214" s="1771"/>
      <c r="F214" s="1771"/>
      <c r="G214" s="1771"/>
      <c r="H214" s="1771"/>
    </row>
    <row r="215" spans="1:8">
      <c r="A215" s="1772" t="s">
        <v>1319</v>
      </c>
      <c r="B215" s="1771"/>
      <c r="C215" s="1771"/>
      <c r="D215" s="1771"/>
      <c r="E215" s="1771"/>
      <c r="F215" s="1771"/>
      <c r="G215" s="1771"/>
      <c r="H215" s="1771"/>
    </row>
    <row r="216" spans="1:8">
      <c r="A216" s="1772" t="s">
        <v>1320</v>
      </c>
      <c r="B216" s="1771"/>
      <c r="C216" s="1771"/>
      <c r="D216" s="1771"/>
      <c r="E216" s="1771"/>
      <c r="F216" s="1771"/>
      <c r="G216" s="1771"/>
      <c r="H216" s="1771"/>
    </row>
    <row r="217" spans="1:8">
      <c r="A217" s="1772" t="s">
        <v>1321</v>
      </c>
      <c r="B217" s="1771"/>
      <c r="C217" s="1771"/>
      <c r="D217" s="1771"/>
      <c r="E217" s="1771"/>
      <c r="F217" s="1771"/>
      <c r="G217" s="1771"/>
      <c r="H217" s="1771"/>
    </row>
    <row r="218" spans="1:8" ht="15.75">
      <c r="A218" s="1773" t="s">
        <v>1162</v>
      </c>
      <c r="B218" s="1771"/>
      <c r="C218" s="1771"/>
      <c r="D218" s="1771"/>
      <c r="E218" s="1771"/>
      <c r="F218" s="1771"/>
      <c r="G218" s="1771"/>
      <c r="H218" s="1771"/>
    </row>
    <row r="219" spans="1:8">
      <c r="A219" s="1771"/>
      <c r="B219" s="1771"/>
      <c r="C219" s="1771"/>
      <c r="D219" s="1771"/>
      <c r="E219" s="1771"/>
      <c r="F219" s="1771"/>
      <c r="G219" s="1771"/>
      <c r="H219" s="1771"/>
    </row>
    <row r="220" spans="1:8">
      <c r="A220" s="1772" t="s">
        <v>1317</v>
      </c>
      <c r="B220" s="1771"/>
      <c r="C220" s="1771"/>
      <c r="D220" s="1771"/>
      <c r="E220" s="1771"/>
      <c r="F220" s="1771"/>
      <c r="G220" s="1771"/>
      <c r="H220" s="1771"/>
    </row>
    <row r="221" spans="1:8">
      <c r="A221" s="1772" t="s">
        <v>1318</v>
      </c>
      <c r="B221" s="1771"/>
      <c r="C221" s="1771"/>
      <c r="D221" s="1771"/>
      <c r="E221" s="1771"/>
      <c r="F221" s="1771"/>
      <c r="G221" s="1771"/>
      <c r="H221" s="1771"/>
    </row>
    <row r="222" spans="1:8">
      <c r="A222" s="1771"/>
      <c r="B222" s="1771"/>
      <c r="C222" s="1771"/>
      <c r="D222" s="1771"/>
      <c r="E222" s="1771"/>
      <c r="F222" s="1771"/>
      <c r="G222" s="1771"/>
      <c r="H222" s="1771"/>
    </row>
    <row r="223" spans="1:8">
      <c r="A223" s="1772" t="s">
        <v>1310</v>
      </c>
      <c r="B223" s="1771"/>
      <c r="C223" s="1771"/>
      <c r="D223" s="1771"/>
      <c r="E223" s="1771"/>
      <c r="F223" s="1771"/>
      <c r="G223" s="1771"/>
      <c r="H223" s="1771"/>
    </row>
    <row r="224" spans="1:8">
      <c r="A224" s="1772" t="s">
        <v>1311</v>
      </c>
      <c r="B224" s="1771"/>
      <c r="C224" s="1771"/>
      <c r="D224" s="1771"/>
      <c r="E224" s="1771"/>
      <c r="F224" s="1771"/>
      <c r="G224" s="1771"/>
      <c r="H224" s="1771"/>
    </row>
    <row r="225" spans="1:8">
      <c r="A225" s="1772" t="s">
        <v>1312</v>
      </c>
      <c r="B225" s="1771"/>
      <c r="C225" s="1771"/>
      <c r="D225" s="1771"/>
      <c r="E225" s="1771"/>
      <c r="F225" s="1771"/>
      <c r="G225" s="1771"/>
      <c r="H225" s="1771"/>
    </row>
    <row r="226" spans="1:8">
      <c r="A226" s="1772" t="s">
        <v>1313</v>
      </c>
      <c r="B226" s="1771"/>
      <c r="C226" s="1771"/>
      <c r="D226" s="1771"/>
      <c r="E226" s="1771"/>
      <c r="F226" s="1771"/>
      <c r="G226" s="1771"/>
      <c r="H226" s="1771"/>
    </row>
    <row r="227" spans="1:8">
      <c r="A227" s="1772" t="s">
        <v>1314</v>
      </c>
      <c r="B227" s="1771"/>
      <c r="C227" s="1771"/>
      <c r="D227" s="1771"/>
      <c r="E227" s="1771"/>
      <c r="F227" s="1771"/>
      <c r="G227" s="1771"/>
      <c r="H227" s="1771"/>
    </row>
    <row r="228" spans="1:8">
      <c r="A228" s="1772" t="s">
        <v>1315</v>
      </c>
      <c r="B228" s="1771"/>
      <c r="C228" s="1771"/>
      <c r="D228" s="1771"/>
      <c r="E228" s="1771"/>
      <c r="F228" s="1771"/>
      <c r="G228" s="1771"/>
      <c r="H228" s="1771"/>
    </row>
    <row r="229" spans="1:8">
      <c r="A229" s="1772" t="s">
        <v>1316</v>
      </c>
      <c r="B229" s="1771"/>
      <c r="C229" s="1771"/>
      <c r="D229" s="1771"/>
      <c r="E229" s="1771"/>
      <c r="F229" s="1771"/>
      <c r="G229" s="1771"/>
      <c r="H229" s="1771"/>
    </row>
    <row r="230" spans="1:8">
      <c r="A230" s="1771"/>
      <c r="B230" s="1771"/>
      <c r="C230" s="1771"/>
      <c r="D230" s="1771"/>
      <c r="E230" s="1771"/>
      <c r="F230" s="1771"/>
      <c r="G230" s="1771"/>
      <c r="H230" s="1771"/>
    </row>
    <row r="231" spans="1:8">
      <c r="A231" s="1772" t="s">
        <v>1307</v>
      </c>
      <c r="B231" s="1771"/>
      <c r="C231" s="1771"/>
      <c r="D231" s="1771"/>
      <c r="E231" s="1771"/>
      <c r="F231" s="1771"/>
      <c r="G231" s="1771"/>
      <c r="H231" s="1771"/>
    </row>
    <row r="232" spans="1:8">
      <c r="A232" s="1772" t="s">
        <v>1308</v>
      </c>
      <c r="B232" s="1771"/>
      <c r="C232" s="1771"/>
      <c r="D232" s="1771"/>
      <c r="E232" s="1771"/>
      <c r="F232" s="1771"/>
      <c r="G232" s="1771"/>
      <c r="H232" s="1771"/>
    </row>
    <row r="233" spans="1:8">
      <c r="A233" s="1772" t="s">
        <v>1309</v>
      </c>
      <c r="B233" s="1771"/>
      <c r="C233" s="1771"/>
      <c r="D233" s="1771"/>
      <c r="E233" s="1771"/>
      <c r="F233" s="1771"/>
      <c r="G233" s="1771"/>
      <c r="H233" s="1771"/>
    </row>
    <row r="234" spans="1:8">
      <c r="A234" s="1771"/>
      <c r="B234" s="1771"/>
      <c r="C234" s="1771"/>
      <c r="D234" s="1771"/>
      <c r="E234" s="1771"/>
      <c r="F234" s="1771"/>
      <c r="G234" s="1771"/>
      <c r="H234" s="1771"/>
    </row>
    <row r="235" spans="1:8">
      <c r="A235" s="1772" t="s">
        <v>1302</v>
      </c>
      <c r="B235" s="1771"/>
      <c r="C235" s="1771"/>
      <c r="D235" s="1771"/>
      <c r="E235" s="1771"/>
      <c r="F235" s="1771"/>
      <c r="G235" s="1771"/>
      <c r="H235" s="1771"/>
    </row>
    <row r="236" spans="1:8">
      <c r="A236" s="1772" t="s">
        <v>1303</v>
      </c>
      <c r="B236" s="1771"/>
      <c r="C236" s="1771"/>
      <c r="D236" s="1771"/>
      <c r="E236" s="1771"/>
      <c r="F236" s="1771"/>
      <c r="G236" s="1771"/>
      <c r="H236" s="1771"/>
    </row>
    <row r="237" spans="1:8">
      <c r="A237" s="1772" t="s">
        <v>1304</v>
      </c>
      <c r="B237" s="1771"/>
      <c r="C237" s="1771"/>
      <c r="D237" s="1771"/>
      <c r="E237" s="1771"/>
      <c r="F237" s="1771"/>
      <c r="G237" s="1771"/>
      <c r="H237" s="1771"/>
    </row>
    <row r="238" spans="1:8">
      <c r="A238" s="1772" t="s">
        <v>1305</v>
      </c>
      <c r="B238" s="1771"/>
      <c r="C238" s="1771"/>
      <c r="D238" s="1771"/>
      <c r="E238" s="1771"/>
      <c r="F238" s="1771"/>
      <c r="G238" s="1771"/>
      <c r="H238" s="1771"/>
    </row>
    <row r="239" spans="1:8">
      <c r="A239" s="1772" t="s">
        <v>1306</v>
      </c>
      <c r="B239" s="1771"/>
      <c r="C239" s="1771"/>
      <c r="D239" s="1771"/>
      <c r="E239" s="1771"/>
      <c r="F239" s="1771"/>
      <c r="G239" s="1771"/>
      <c r="H239" s="1771"/>
    </row>
    <row r="240" spans="1:8">
      <c r="A240" s="1771"/>
      <c r="B240" s="1771"/>
      <c r="C240" s="1771"/>
      <c r="D240" s="1771"/>
      <c r="E240" s="1771"/>
      <c r="F240" s="1771"/>
      <c r="G240" s="1771"/>
      <c r="H240" s="1771"/>
    </row>
    <row r="241" spans="1:8">
      <c r="A241" s="1772" t="s">
        <v>1296</v>
      </c>
      <c r="B241" s="1771"/>
      <c r="C241" s="1771"/>
      <c r="D241" s="1771"/>
      <c r="E241" s="1771"/>
      <c r="F241" s="1771"/>
      <c r="G241" s="1771"/>
      <c r="H241" s="1771"/>
    </row>
    <row r="242" spans="1:8">
      <c r="A242" s="1772" t="s">
        <v>1297</v>
      </c>
      <c r="B242" s="1771"/>
      <c r="C242" s="1771"/>
      <c r="D242" s="1771"/>
      <c r="E242" s="1771"/>
      <c r="F242" s="1771"/>
      <c r="G242" s="1771"/>
      <c r="H242" s="1771"/>
    </row>
    <row r="243" spans="1:8">
      <c r="A243" s="1772" t="s">
        <v>1298</v>
      </c>
      <c r="B243" s="1771"/>
      <c r="C243" s="1771"/>
      <c r="D243" s="1771"/>
      <c r="E243" s="1771"/>
      <c r="F243" s="1771"/>
      <c r="G243" s="1771"/>
      <c r="H243" s="1771"/>
    </row>
    <row r="244" spans="1:8">
      <c r="A244" s="1772" t="s">
        <v>1299</v>
      </c>
      <c r="B244" s="1771"/>
      <c r="C244" s="1771"/>
      <c r="D244" s="1771"/>
      <c r="E244" s="1771"/>
      <c r="F244" s="1771"/>
      <c r="G244" s="1771"/>
      <c r="H244" s="1771"/>
    </row>
    <row r="245" spans="1:8">
      <c r="A245" s="1772" t="s">
        <v>1300</v>
      </c>
      <c r="B245" s="1771"/>
      <c r="C245" s="1771"/>
      <c r="D245" s="1771"/>
      <c r="E245" s="1771"/>
      <c r="F245" s="1771"/>
      <c r="G245" s="1771"/>
      <c r="H245" s="1771"/>
    </row>
    <row r="246" spans="1:8">
      <c r="A246" s="1772" t="s">
        <v>1301</v>
      </c>
      <c r="B246" s="1771"/>
      <c r="C246" s="1771"/>
      <c r="D246" s="1771"/>
      <c r="E246" s="1771"/>
      <c r="F246" s="1771"/>
      <c r="G246" s="1771"/>
      <c r="H246" s="1771"/>
    </row>
    <row r="247" spans="1:8">
      <c r="A247" s="1771"/>
      <c r="B247" s="1771"/>
      <c r="C247" s="1771"/>
      <c r="D247" s="1771"/>
      <c r="E247" s="1771"/>
      <c r="F247" s="1771"/>
      <c r="G247" s="1771"/>
      <c r="H247" s="1771"/>
    </row>
    <row r="248" spans="1:8">
      <c r="A248" s="1772" t="s">
        <v>1286</v>
      </c>
      <c r="B248" s="1771"/>
      <c r="C248" s="1771"/>
      <c r="D248" s="1771"/>
      <c r="E248" s="1771"/>
      <c r="F248" s="1771"/>
      <c r="G248" s="1771"/>
      <c r="H248" s="1771"/>
    </row>
    <row r="249" spans="1:8">
      <c r="A249" s="1772" t="s">
        <v>1287</v>
      </c>
      <c r="B249" s="1771"/>
      <c r="C249" s="1771"/>
      <c r="D249" s="1771"/>
      <c r="E249" s="1771"/>
      <c r="F249" s="1771"/>
      <c r="G249" s="1771"/>
      <c r="H249" s="1771"/>
    </row>
    <row r="250" spans="1:8">
      <c r="A250" s="1772" t="s">
        <v>1288</v>
      </c>
      <c r="B250" s="1771"/>
      <c r="C250" s="1771"/>
      <c r="D250" s="1771"/>
      <c r="E250" s="1771"/>
      <c r="F250" s="1771"/>
      <c r="G250" s="1771"/>
      <c r="H250" s="1771"/>
    </row>
    <row r="251" spans="1:8">
      <c r="A251" s="1772" t="s">
        <v>1289</v>
      </c>
      <c r="B251" s="1771"/>
      <c r="C251" s="1771"/>
      <c r="D251" s="1771"/>
      <c r="E251" s="1771"/>
      <c r="F251" s="1771"/>
      <c r="G251" s="1771"/>
      <c r="H251" s="1771"/>
    </row>
    <row r="252" spans="1:8">
      <c r="A252" s="1772" t="s">
        <v>1290</v>
      </c>
      <c r="B252" s="1771"/>
      <c r="C252" s="1771"/>
      <c r="D252" s="1771"/>
      <c r="E252" s="1771"/>
      <c r="F252" s="1771"/>
      <c r="G252" s="1771"/>
      <c r="H252" s="1771"/>
    </row>
    <row r="253" spans="1:8">
      <c r="A253" s="1772" t="s">
        <v>1291</v>
      </c>
      <c r="B253" s="1771"/>
      <c r="C253" s="1771"/>
      <c r="D253" s="1771"/>
      <c r="E253" s="1771"/>
      <c r="F253" s="1771"/>
      <c r="G253" s="1771"/>
      <c r="H253" s="1771"/>
    </row>
    <row r="254" spans="1:8">
      <c r="A254" s="1772" t="s">
        <v>1292</v>
      </c>
      <c r="B254" s="1771"/>
      <c r="C254" s="1771"/>
      <c r="D254" s="1771"/>
      <c r="E254" s="1771"/>
      <c r="F254" s="1771"/>
      <c r="G254" s="1771"/>
      <c r="H254" s="1771"/>
    </row>
    <row r="255" spans="1:8">
      <c r="A255" s="1772" t="s">
        <v>1293</v>
      </c>
      <c r="B255" s="1771"/>
      <c r="C255" s="1771"/>
      <c r="D255" s="1771"/>
      <c r="E255" s="1771"/>
      <c r="F255" s="1771"/>
      <c r="G255" s="1771"/>
      <c r="H255" s="1771"/>
    </row>
    <row r="256" spans="1:8">
      <c r="A256" s="1772" t="s">
        <v>1294</v>
      </c>
      <c r="B256" s="1771"/>
      <c r="C256" s="1771"/>
      <c r="D256" s="1771"/>
      <c r="E256" s="1771"/>
      <c r="F256" s="1771"/>
      <c r="G256" s="1771"/>
      <c r="H256" s="1771"/>
    </row>
    <row r="257" spans="1:8">
      <c r="A257" s="1772" t="s">
        <v>1295</v>
      </c>
      <c r="B257" s="1771"/>
      <c r="C257" s="1771"/>
      <c r="D257" s="1771"/>
      <c r="E257" s="1771"/>
      <c r="F257" s="1771"/>
      <c r="G257" s="1771"/>
      <c r="H257" s="1771"/>
    </row>
    <row r="258" spans="1:8">
      <c r="A258" s="1771"/>
      <c r="B258" s="1771"/>
      <c r="C258" s="1771"/>
      <c r="D258" s="1771"/>
      <c r="E258" s="1771"/>
      <c r="F258" s="1771"/>
      <c r="G258" s="1771"/>
      <c r="H258" s="1771"/>
    </row>
    <row r="259" spans="1:8">
      <c r="A259" s="1772" t="s">
        <v>1284</v>
      </c>
      <c r="B259" s="1771"/>
      <c r="C259" s="1771"/>
      <c r="D259" s="1771"/>
      <c r="E259" s="1771"/>
      <c r="F259" s="1771"/>
      <c r="G259" s="1771"/>
      <c r="H259" s="1771"/>
    </row>
    <row r="260" spans="1:8">
      <c r="A260" s="1772" t="s">
        <v>1285</v>
      </c>
      <c r="B260" s="1771"/>
      <c r="C260" s="1771"/>
      <c r="D260" s="1771"/>
      <c r="E260" s="1771"/>
      <c r="F260" s="1771"/>
      <c r="G260" s="1771"/>
      <c r="H260" s="1771"/>
    </row>
    <row r="261" spans="1:8">
      <c r="A261" s="1771"/>
      <c r="B261" s="1771"/>
      <c r="C261" s="1771"/>
      <c r="D261" s="1771"/>
      <c r="E261" s="1771"/>
      <c r="F261" s="1771"/>
      <c r="G261" s="1771"/>
      <c r="H261" s="1771"/>
    </row>
    <row r="262" spans="1:8">
      <c r="A262" s="1772" t="s">
        <v>1268</v>
      </c>
      <c r="B262" s="1771"/>
      <c r="C262" s="1771"/>
      <c r="D262" s="1771"/>
      <c r="E262" s="1771"/>
      <c r="F262" s="1771"/>
      <c r="G262" s="1771"/>
      <c r="H262" s="1771"/>
    </row>
    <row r="263" spans="1:8">
      <c r="A263" s="1772" t="s">
        <v>1269</v>
      </c>
      <c r="B263" s="1771"/>
      <c r="C263" s="1771"/>
      <c r="D263" s="1771"/>
      <c r="E263" s="1771"/>
      <c r="F263" s="1771"/>
      <c r="G263" s="1771"/>
      <c r="H263" s="1771"/>
    </row>
    <row r="264" spans="1:8">
      <c r="A264" s="1772" t="s">
        <v>1270</v>
      </c>
      <c r="B264" s="1771"/>
      <c r="C264" s="1771"/>
      <c r="D264" s="1771"/>
      <c r="E264" s="1771"/>
      <c r="F264" s="1771"/>
      <c r="G264" s="1771"/>
      <c r="H264" s="1771"/>
    </row>
    <row r="265" spans="1:8">
      <c r="A265" s="1772" t="s">
        <v>1271</v>
      </c>
      <c r="B265" s="1771"/>
      <c r="C265" s="1771"/>
      <c r="D265" s="1771"/>
      <c r="E265" s="1771"/>
      <c r="F265" s="1771"/>
      <c r="G265" s="1771"/>
      <c r="H265" s="1771"/>
    </row>
    <row r="266" spans="1:8">
      <c r="A266" s="1772" t="s">
        <v>1272</v>
      </c>
      <c r="B266" s="1771"/>
      <c r="C266" s="1771"/>
      <c r="D266" s="1771"/>
      <c r="E266" s="1771"/>
      <c r="F266" s="1771"/>
      <c r="G266" s="1771"/>
      <c r="H266" s="1771"/>
    </row>
    <row r="267" spans="1:8">
      <c r="A267" s="1772" t="s">
        <v>1273</v>
      </c>
      <c r="B267" s="1771"/>
      <c r="C267" s="1771"/>
      <c r="D267" s="1771"/>
      <c r="E267" s="1771"/>
      <c r="F267" s="1771"/>
      <c r="G267" s="1771"/>
      <c r="H267" s="1771"/>
    </row>
    <row r="268" spans="1:8">
      <c r="A268" s="1772" t="s">
        <v>1274</v>
      </c>
      <c r="B268" s="1771"/>
      <c r="C268" s="1771"/>
      <c r="D268" s="1771"/>
      <c r="E268" s="1771"/>
      <c r="F268" s="1771"/>
      <c r="G268" s="1771"/>
      <c r="H268" s="1771"/>
    </row>
    <row r="269" spans="1:8">
      <c r="A269" s="1772" t="s">
        <v>1275</v>
      </c>
      <c r="B269" s="1771"/>
      <c r="C269" s="1771"/>
      <c r="D269" s="1771"/>
      <c r="E269" s="1771"/>
      <c r="F269" s="1771"/>
      <c r="G269" s="1771"/>
      <c r="H269" s="1771"/>
    </row>
    <row r="270" spans="1:8">
      <c r="A270" s="1772" t="s">
        <v>1276</v>
      </c>
      <c r="B270" s="1771"/>
      <c r="C270" s="1771"/>
      <c r="D270" s="1771"/>
      <c r="E270" s="1771"/>
      <c r="F270" s="1771"/>
      <c r="G270" s="1771"/>
      <c r="H270" s="1771"/>
    </row>
    <row r="271" spans="1:8">
      <c r="A271" s="1772" t="s">
        <v>1277</v>
      </c>
      <c r="B271" s="1771"/>
      <c r="C271" s="1771"/>
      <c r="D271" s="1771"/>
      <c r="E271" s="1771"/>
      <c r="F271" s="1771"/>
      <c r="G271" s="1771"/>
      <c r="H271" s="1771"/>
    </row>
    <row r="272" spans="1:8">
      <c r="A272" s="1772" t="s">
        <v>1278</v>
      </c>
      <c r="B272" s="1771"/>
      <c r="C272" s="1771"/>
      <c r="D272" s="1771"/>
      <c r="E272" s="1771"/>
      <c r="F272" s="1771"/>
      <c r="G272" s="1771"/>
      <c r="H272" s="1771"/>
    </row>
    <row r="273" spans="1:8">
      <c r="A273" s="1772" t="s">
        <v>1279</v>
      </c>
      <c r="B273" s="1771"/>
      <c r="C273" s="1771"/>
      <c r="D273" s="1771"/>
      <c r="E273" s="1771"/>
      <c r="F273" s="1771"/>
      <c r="G273" s="1771"/>
      <c r="H273" s="1771"/>
    </row>
    <row r="274" spans="1:8">
      <c r="A274" s="1772" t="s">
        <v>1280</v>
      </c>
      <c r="B274" s="1771"/>
      <c r="C274" s="1771"/>
      <c r="D274" s="1771"/>
      <c r="E274" s="1771"/>
      <c r="F274" s="1771"/>
      <c r="G274" s="1771"/>
      <c r="H274" s="1771"/>
    </row>
    <row r="275" spans="1:8">
      <c r="A275" s="1772" t="s">
        <v>1281</v>
      </c>
      <c r="B275" s="1771"/>
      <c r="C275" s="1771"/>
      <c r="D275" s="1771"/>
      <c r="E275" s="1771"/>
      <c r="F275" s="1771"/>
      <c r="G275" s="1771"/>
      <c r="H275" s="1771"/>
    </row>
    <row r="276" spans="1:8">
      <c r="A276" s="1772" t="s">
        <v>1282</v>
      </c>
      <c r="B276" s="1771"/>
      <c r="C276" s="1771"/>
      <c r="D276" s="1771"/>
      <c r="E276" s="1771"/>
      <c r="F276" s="1771"/>
      <c r="G276" s="1771"/>
      <c r="H276" s="1771"/>
    </row>
    <row r="277" spans="1:8">
      <c r="A277" s="1772" t="s">
        <v>1283</v>
      </c>
      <c r="B277" s="1771"/>
      <c r="C277" s="1771"/>
      <c r="D277" s="1771"/>
      <c r="E277" s="1771"/>
      <c r="F277" s="1771"/>
      <c r="G277" s="1771"/>
      <c r="H277" s="1771"/>
    </row>
    <row r="278" spans="1:8">
      <c r="A278" s="1771"/>
      <c r="B278" s="1771"/>
      <c r="C278" s="1771"/>
      <c r="D278" s="1771"/>
      <c r="E278" s="1771"/>
      <c r="F278" s="1771"/>
      <c r="G278" s="1771"/>
      <c r="H278" s="1771"/>
    </row>
    <row r="279" spans="1:8">
      <c r="A279" s="1772" t="s">
        <v>1261</v>
      </c>
      <c r="B279" s="1771"/>
      <c r="C279" s="1771"/>
      <c r="D279" s="1771"/>
      <c r="E279" s="1771"/>
      <c r="F279" s="1771"/>
      <c r="G279" s="1771"/>
      <c r="H279" s="1771"/>
    </row>
    <row r="280" spans="1:8">
      <c r="A280" s="1772" t="s">
        <v>1262</v>
      </c>
      <c r="B280" s="1771"/>
      <c r="C280" s="1771"/>
      <c r="D280" s="1771"/>
      <c r="E280" s="1771"/>
      <c r="F280" s="1771"/>
      <c r="G280" s="1771"/>
      <c r="H280" s="1771"/>
    </row>
    <row r="281" spans="1:8">
      <c r="A281" s="1772" t="s">
        <v>1263</v>
      </c>
      <c r="B281" s="1771"/>
      <c r="C281" s="1771"/>
      <c r="D281" s="1771"/>
      <c r="E281" s="1771"/>
      <c r="F281" s="1771"/>
      <c r="G281" s="1771"/>
      <c r="H281" s="1771"/>
    </row>
    <row r="282" spans="1:8">
      <c r="A282" s="1772" t="s">
        <v>1264</v>
      </c>
      <c r="B282" s="1771"/>
      <c r="C282" s="1771"/>
      <c r="D282" s="1771"/>
      <c r="E282" s="1771"/>
      <c r="F282" s="1771"/>
      <c r="G282" s="1771"/>
      <c r="H282" s="1771"/>
    </row>
    <row r="283" spans="1:8">
      <c r="A283" s="1772" t="s">
        <v>1265</v>
      </c>
      <c r="B283" s="1771"/>
      <c r="C283" s="1771"/>
      <c r="D283" s="1771"/>
      <c r="E283" s="1771"/>
      <c r="F283" s="1771"/>
      <c r="G283" s="1771"/>
      <c r="H283" s="1771"/>
    </row>
    <row r="284" spans="1:8">
      <c r="A284" s="1772" t="s">
        <v>1266</v>
      </c>
      <c r="B284" s="1771"/>
      <c r="C284" s="1771"/>
      <c r="D284" s="1771"/>
      <c r="E284" s="1771"/>
      <c r="F284" s="1771"/>
      <c r="G284" s="1771"/>
      <c r="H284" s="1771"/>
    </row>
    <row r="285" spans="1:8">
      <c r="A285" s="1772" t="s">
        <v>1267</v>
      </c>
      <c r="B285" s="1771"/>
      <c r="C285" s="1771"/>
      <c r="D285" s="1771"/>
      <c r="E285" s="1771"/>
      <c r="F285" s="1771"/>
      <c r="G285" s="1771"/>
      <c r="H285" s="1771"/>
    </row>
    <row r="286" spans="1:8">
      <c r="A286" s="1771"/>
      <c r="B286" s="1771"/>
      <c r="C286" s="1771"/>
      <c r="D286" s="1771"/>
      <c r="E286" s="1771"/>
      <c r="F286" s="1771"/>
      <c r="G286" s="1771"/>
      <c r="H286" s="1771"/>
    </row>
    <row r="287" spans="1:8">
      <c r="A287" s="1772" t="s">
        <v>1252</v>
      </c>
      <c r="B287" s="1771"/>
      <c r="C287" s="1771"/>
      <c r="D287" s="1771"/>
      <c r="E287" s="1771"/>
      <c r="F287" s="1771"/>
      <c r="G287" s="1771"/>
      <c r="H287" s="1771"/>
    </row>
    <row r="288" spans="1:8">
      <c r="A288" s="1772" t="s">
        <v>1253</v>
      </c>
      <c r="B288" s="1771"/>
      <c r="C288" s="1771"/>
      <c r="D288" s="1771"/>
      <c r="E288" s="1771"/>
      <c r="F288" s="1771"/>
      <c r="G288" s="1771"/>
      <c r="H288" s="1771"/>
    </row>
    <row r="289" spans="1:8">
      <c r="A289" s="1772" t="s">
        <v>1254</v>
      </c>
      <c r="B289" s="1771"/>
      <c r="C289" s="1771"/>
      <c r="D289" s="1771"/>
      <c r="E289" s="1771"/>
      <c r="F289" s="1771"/>
      <c r="G289" s="1771"/>
      <c r="H289" s="1771"/>
    </row>
    <row r="290" spans="1:8">
      <c r="A290" s="1772" t="s">
        <v>1255</v>
      </c>
      <c r="B290" s="1771"/>
      <c r="C290" s="1771"/>
      <c r="D290" s="1771"/>
      <c r="E290" s="1771"/>
      <c r="F290" s="1771"/>
      <c r="G290" s="1771"/>
      <c r="H290" s="1771"/>
    </row>
    <row r="291" spans="1:8">
      <c r="A291" s="1772" t="s">
        <v>1256</v>
      </c>
      <c r="B291" s="1771"/>
      <c r="C291" s="1771"/>
      <c r="D291" s="1771"/>
      <c r="E291" s="1771"/>
      <c r="F291" s="1771"/>
      <c r="G291" s="1771"/>
      <c r="H291" s="1771"/>
    </row>
    <row r="292" spans="1:8">
      <c r="A292" s="1772" t="s">
        <v>1257</v>
      </c>
      <c r="B292" s="1771"/>
      <c r="C292" s="1771"/>
      <c r="D292" s="1771"/>
      <c r="E292" s="1771"/>
      <c r="F292" s="1771"/>
      <c r="G292" s="1771"/>
      <c r="H292" s="1771"/>
    </row>
    <row r="293" spans="1:8">
      <c r="A293" s="1772" t="s">
        <v>1258</v>
      </c>
      <c r="B293" s="1771"/>
      <c r="C293" s="1771"/>
      <c r="D293" s="1771"/>
      <c r="E293" s="1771"/>
      <c r="F293" s="1771"/>
      <c r="G293" s="1771"/>
      <c r="H293" s="1771"/>
    </row>
    <row r="294" spans="1:8">
      <c r="A294" s="1772" t="s">
        <v>1259</v>
      </c>
      <c r="B294" s="1771"/>
      <c r="C294" s="1771"/>
      <c r="D294" s="1771"/>
      <c r="E294" s="1771"/>
      <c r="F294" s="1771"/>
      <c r="G294" s="1771"/>
      <c r="H294" s="1771"/>
    </row>
    <row r="295" spans="1:8">
      <c r="A295" s="1772" t="s">
        <v>1260</v>
      </c>
      <c r="B295" s="1771"/>
      <c r="C295" s="1771"/>
      <c r="D295" s="1771"/>
      <c r="E295" s="1771"/>
      <c r="F295" s="1771"/>
      <c r="G295" s="1771"/>
      <c r="H295" s="1771"/>
    </row>
    <row r="296" spans="1:8">
      <c r="A296" s="1771"/>
      <c r="B296" s="1771"/>
      <c r="C296" s="1771"/>
      <c r="D296" s="1771"/>
      <c r="E296" s="1771"/>
      <c r="F296" s="1771"/>
      <c r="G296" s="1771"/>
      <c r="H296" s="1771"/>
    </row>
    <row r="297" spans="1:8">
      <c r="A297" s="1772" t="s">
        <v>1245</v>
      </c>
      <c r="B297" s="1771"/>
      <c r="C297" s="1771"/>
      <c r="D297" s="1771"/>
      <c r="E297" s="1771"/>
      <c r="F297" s="1771"/>
      <c r="G297" s="1771"/>
      <c r="H297" s="1771"/>
    </row>
    <row r="298" spans="1:8">
      <c r="A298" s="1772" t="s">
        <v>1246</v>
      </c>
      <c r="B298" s="1771"/>
      <c r="C298" s="1771"/>
      <c r="D298" s="1771"/>
      <c r="E298" s="1771"/>
      <c r="F298" s="1771"/>
      <c r="G298" s="1771"/>
      <c r="H298" s="1771"/>
    </row>
    <row r="299" spans="1:8">
      <c r="A299" s="1772" t="s">
        <v>1247</v>
      </c>
      <c r="B299" s="1771"/>
      <c r="C299" s="1771"/>
      <c r="D299" s="1771"/>
      <c r="E299" s="1771"/>
      <c r="F299" s="1771"/>
      <c r="G299" s="1771"/>
      <c r="H299" s="1771"/>
    </row>
    <row r="300" spans="1:8">
      <c r="A300" s="1772" t="s">
        <v>1248</v>
      </c>
      <c r="B300" s="1771"/>
      <c r="C300" s="1771"/>
      <c r="D300" s="1771"/>
      <c r="E300" s="1771"/>
      <c r="F300" s="1771"/>
      <c r="G300" s="1771"/>
      <c r="H300" s="1771"/>
    </row>
    <row r="301" spans="1:8">
      <c r="A301" s="1772" t="s">
        <v>1249</v>
      </c>
      <c r="B301" s="1771"/>
      <c r="C301" s="1771"/>
      <c r="D301" s="1771"/>
      <c r="E301" s="1771"/>
      <c r="F301" s="1771"/>
      <c r="G301" s="1771"/>
      <c r="H301" s="1771"/>
    </row>
    <row r="302" spans="1:8">
      <c r="A302" s="1772" t="s">
        <v>1250</v>
      </c>
      <c r="B302" s="1771"/>
      <c r="C302" s="1771"/>
      <c r="D302" s="1771"/>
      <c r="E302" s="1771"/>
      <c r="F302" s="1771"/>
      <c r="G302" s="1771"/>
      <c r="H302" s="1771"/>
    </row>
    <row r="303" spans="1:8">
      <c r="A303" s="1772" t="s">
        <v>1251</v>
      </c>
      <c r="B303" s="1771"/>
      <c r="C303" s="1771"/>
      <c r="D303" s="1771"/>
      <c r="E303" s="1771"/>
      <c r="F303" s="1771"/>
      <c r="G303" s="1771"/>
      <c r="H303" s="1771"/>
    </row>
    <row r="304" spans="1:8">
      <c r="A304" s="1771"/>
      <c r="B304" s="1771"/>
      <c r="C304" s="1771"/>
      <c r="D304" s="1771"/>
      <c r="E304" s="1771"/>
      <c r="F304" s="1771"/>
      <c r="G304" s="1771"/>
      <c r="H304" s="1771"/>
    </row>
    <row r="305" spans="1:8">
      <c r="A305" s="1772" t="s">
        <v>1242</v>
      </c>
      <c r="B305" s="1771"/>
      <c r="C305" s="1771"/>
      <c r="D305" s="1771"/>
      <c r="E305" s="1771"/>
      <c r="F305" s="1771"/>
      <c r="G305" s="1771"/>
      <c r="H305" s="1771"/>
    </row>
    <row r="306" spans="1:8">
      <c r="A306" s="1772" t="s">
        <v>1243</v>
      </c>
      <c r="B306" s="1771"/>
      <c r="C306" s="1771"/>
      <c r="D306" s="1771"/>
      <c r="E306" s="1771"/>
      <c r="F306" s="1771"/>
      <c r="G306" s="1771"/>
      <c r="H306" s="1771"/>
    </row>
    <row r="307" spans="1:8">
      <c r="A307" s="1772" t="s">
        <v>1244</v>
      </c>
      <c r="B307" s="1771"/>
      <c r="C307" s="1771"/>
      <c r="D307" s="1771"/>
      <c r="E307" s="1771"/>
      <c r="F307" s="1771"/>
      <c r="G307" s="1771"/>
      <c r="H307" s="1771"/>
    </row>
    <row r="308" spans="1:8">
      <c r="A308" s="1771"/>
      <c r="B308" s="1771"/>
      <c r="C308" s="1771"/>
      <c r="D308" s="1771"/>
      <c r="E308" s="1771"/>
      <c r="F308" s="1771"/>
      <c r="G308" s="1771"/>
      <c r="H308" s="1771"/>
    </row>
    <row r="309" spans="1:8">
      <c r="A309" s="1772" t="s">
        <v>1240</v>
      </c>
      <c r="B309" s="1771"/>
      <c r="C309" s="1771"/>
      <c r="D309" s="1771"/>
      <c r="E309" s="1771"/>
      <c r="F309" s="1771"/>
      <c r="G309" s="1771"/>
      <c r="H309" s="1771"/>
    </row>
    <row r="310" spans="1:8">
      <c r="A310" s="1772" t="s">
        <v>1241</v>
      </c>
      <c r="B310" s="1771"/>
      <c r="C310" s="1771"/>
      <c r="D310" s="1771"/>
      <c r="E310" s="1771"/>
      <c r="F310" s="1771"/>
      <c r="G310" s="1771"/>
      <c r="H310" s="1771"/>
    </row>
    <row r="311" spans="1:8">
      <c r="A311" s="1771"/>
      <c r="B311" s="1771"/>
      <c r="C311" s="1771"/>
      <c r="D311" s="1771"/>
      <c r="E311" s="1771"/>
      <c r="F311" s="1771"/>
      <c r="G311" s="1771"/>
      <c r="H311" s="1771"/>
    </row>
    <row r="312" spans="1:8">
      <c r="A312" s="1772" t="s">
        <v>1227</v>
      </c>
      <c r="B312" s="1771"/>
      <c r="C312" s="1771"/>
      <c r="D312" s="1771"/>
      <c r="E312" s="1771"/>
      <c r="F312" s="1771"/>
      <c r="G312" s="1771"/>
      <c r="H312" s="1771"/>
    </row>
    <row r="313" spans="1:8">
      <c r="A313" s="1772" t="s">
        <v>1228</v>
      </c>
      <c r="B313" s="1771"/>
      <c r="C313" s="1771"/>
      <c r="D313" s="1771"/>
      <c r="E313" s="1771"/>
      <c r="F313" s="1771"/>
      <c r="G313" s="1771"/>
      <c r="H313" s="1771"/>
    </row>
    <row r="314" spans="1:8">
      <c r="A314" s="1772" t="s">
        <v>1229</v>
      </c>
      <c r="B314" s="1771"/>
      <c r="C314" s="1771"/>
      <c r="D314" s="1771"/>
      <c r="E314" s="1771"/>
      <c r="F314" s="1771"/>
      <c r="G314" s="1771"/>
      <c r="H314" s="1771"/>
    </row>
    <row r="315" spans="1:8">
      <c r="A315" s="1772" t="s">
        <v>1230</v>
      </c>
      <c r="B315" s="1771"/>
      <c r="C315" s="1771"/>
      <c r="D315" s="1771"/>
      <c r="E315" s="1771"/>
      <c r="F315" s="1771"/>
      <c r="G315" s="1771"/>
      <c r="H315" s="1771"/>
    </row>
    <row r="316" spans="1:8">
      <c r="A316" s="1772" t="s">
        <v>1231</v>
      </c>
      <c r="B316" s="1771"/>
      <c r="C316" s="1771"/>
      <c r="D316" s="1771"/>
      <c r="E316" s="1771"/>
      <c r="F316" s="1771"/>
      <c r="G316" s="1771"/>
      <c r="H316" s="1771"/>
    </row>
    <row r="317" spans="1:8">
      <c r="A317" s="1772" t="s">
        <v>1232</v>
      </c>
      <c r="B317" s="1771"/>
      <c r="C317" s="1771"/>
      <c r="D317" s="1771"/>
      <c r="E317" s="1771"/>
      <c r="F317" s="1771"/>
      <c r="G317" s="1771"/>
      <c r="H317" s="1771"/>
    </row>
    <row r="318" spans="1:8">
      <c r="A318" s="1772" t="s">
        <v>1233</v>
      </c>
      <c r="B318" s="1771"/>
      <c r="C318" s="1771"/>
      <c r="D318" s="1771"/>
      <c r="E318" s="1771"/>
      <c r="F318" s="1771"/>
      <c r="G318" s="1771"/>
      <c r="H318" s="1771"/>
    </row>
    <row r="319" spans="1:8">
      <c r="A319" s="1772" t="s">
        <v>1234</v>
      </c>
      <c r="B319" s="1771"/>
      <c r="C319" s="1771"/>
      <c r="D319" s="1771"/>
      <c r="E319" s="1771"/>
      <c r="F319" s="1771"/>
      <c r="G319" s="1771"/>
      <c r="H319" s="1771"/>
    </row>
    <row r="320" spans="1:8">
      <c r="A320" s="1772" t="s">
        <v>1235</v>
      </c>
      <c r="B320" s="1771"/>
      <c r="C320" s="1771"/>
      <c r="D320" s="1771"/>
      <c r="E320" s="1771"/>
      <c r="F320" s="1771"/>
      <c r="G320" s="1771"/>
      <c r="H320" s="1771"/>
    </row>
    <row r="321" spans="1:8">
      <c r="A321" s="1772" t="s">
        <v>1236</v>
      </c>
      <c r="B321" s="1771"/>
      <c r="C321" s="1771"/>
      <c r="D321" s="1771"/>
      <c r="E321" s="1771"/>
      <c r="F321" s="1771"/>
      <c r="G321" s="1771"/>
      <c r="H321" s="1771"/>
    </row>
    <row r="322" spans="1:8">
      <c r="A322" s="1772" t="s">
        <v>1237</v>
      </c>
      <c r="B322" s="1771"/>
      <c r="C322" s="1771"/>
      <c r="D322" s="1771"/>
      <c r="E322" s="1771"/>
      <c r="F322" s="1771"/>
      <c r="G322" s="1771"/>
      <c r="H322" s="1771"/>
    </row>
    <row r="323" spans="1:8">
      <c r="A323" s="1772" t="s">
        <v>1238</v>
      </c>
      <c r="B323" s="1771"/>
      <c r="C323" s="1771"/>
      <c r="D323" s="1771"/>
      <c r="E323" s="1771"/>
      <c r="F323" s="1771"/>
      <c r="G323" s="1771"/>
      <c r="H323" s="1771"/>
    </row>
    <row r="324" spans="1:8">
      <c r="A324" s="1772" t="s">
        <v>1239</v>
      </c>
      <c r="B324" s="1771"/>
      <c r="C324" s="1771"/>
      <c r="D324" s="1771"/>
      <c r="E324" s="1771"/>
      <c r="F324" s="1771"/>
      <c r="G324" s="1771"/>
      <c r="H324" s="1771"/>
    </row>
    <row r="325" spans="1:8">
      <c r="A325" s="1771"/>
      <c r="B325" s="1771"/>
      <c r="C325" s="1771"/>
      <c r="D325" s="1771"/>
      <c r="E325" s="1771"/>
      <c r="F325" s="1771"/>
      <c r="G325" s="1771"/>
      <c r="H325" s="1771"/>
    </row>
    <row r="326" spans="1:8">
      <c r="A326" s="1772" t="s">
        <v>1219</v>
      </c>
      <c r="B326" s="1771"/>
      <c r="C326" s="1771"/>
      <c r="D326" s="1771"/>
      <c r="E326" s="1771"/>
      <c r="F326" s="1771"/>
      <c r="G326" s="1771"/>
      <c r="H326" s="1771"/>
    </row>
    <row r="327" spans="1:8">
      <c r="A327" s="1772" t="s">
        <v>1220</v>
      </c>
      <c r="B327" s="1771"/>
      <c r="C327" s="1771"/>
      <c r="D327" s="1771"/>
      <c r="E327" s="1771"/>
      <c r="F327" s="1771"/>
      <c r="G327" s="1771"/>
      <c r="H327" s="1771"/>
    </row>
    <row r="328" spans="1:8">
      <c r="A328" s="1772" t="s">
        <v>1221</v>
      </c>
      <c r="B328" s="1771"/>
      <c r="C328" s="1771"/>
      <c r="D328" s="1771"/>
      <c r="E328" s="1771"/>
      <c r="F328" s="1771"/>
      <c r="G328" s="1771"/>
      <c r="H328" s="1771"/>
    </row>
    <row r="329" spans="1:8">
      <c r="A329" s="1772" t="s">
        <v>1222</v>
      </c>
      <c r="B329" s="1771"/>
      <c r="C329" s="1771"/>
      <c r="D329" s="1771"/>
      <c r="E329" s="1771"/>
      <c r="F329" s="1771"/>
      <c r="G329" s="1771"/>
      <c r="H329" s="1771"/>
    </row>
    <row r="330" spans="1:8">
      <c r="A330" s="1772" t="s">
        <v>1223</v>
      </c>
      <c r="B330" s="1771"/>
      <c r="C330" s="1771"/>
      <c r="D330" s="1771"/>
      <c r="E330" s="1771"/>
      <c r="F330" s="1771"/>
      <c r="G330" s="1771"/>
      <c r="H330" s="1771"/>
    </row>
    <row r="331" spans="1:8">
      <c r="A331" s="1772" t="s">
        <v>1224</v>
      </c>
      <c r="B331" s="1771"/>
      <c r="C331" s="1771"/>
      <c r="D331" s="1771"/>
      <c r="E331" s="1771"/>
      <c r="F331" s="1771"/>
      <c r="G331" s="1771"/>
      <c r="H331" s="1771"/>
    </row>
    <row r="332" spans="1:8">
      <c r="A332" s="1772" t="s">
        <v>1225</v>
      </c>
      <c r="B332" s="1771"/>
      <c r="C332" s="1771"/>
      <c r="D332" s="1771"/>
      <c r="E332" s="1771"/>
      <c r="F332" s="1771"/>
      <c r="G332" s="1771"/>
      <c r="H332" s="1771"/>
    </row>
    <row r="333" spans="1:8">
      <c r="A333" s="1772" t="s">
        <v>1226</v>
      </c>
      <c r="B333" s="1771"/>
      <c r="C333" s="1771"/>
      <c r="D333" s="1771"/>
      <c r="E333" s="1771"/>
      <c r="F333" s="1771"/>
      <c r="G333" s="1771"/>
      <c r="H333" s="1771"/>
    </row>
    <row r="334" spans="1:8">
      <c r="A334" s="1771"/>
      <c r="B334" s="1771"/>
      <c r="C334" s="1771"/>
      <c r="D334" s="1771"/>
      <c r="E334" s="1771"/>
      <c r="F334" s="1771"/>
      <c r="G334" s="1771"/>
      <c r="H334" s="1771"/>
    </row>
    <row r="335" spans="1:8">
      <c r="A335" s="1772" t="s">
        <v>1184</v>
      </c>
      <c r="B335" s="1771"/>
      <c r="C335" s="1771"/>
      <c r="D335" s="1771"/>
      <c r="E335" s="1771"/>
      <c r="F335" s="1771"/>
      <c r="G335" s="1771"/>
      <c r="H335" s="1771"/>
    </row>
    <row r="336" spans="1:8">
      <c r="A336" s="1772" t="s">
        <v>1185</v>
      </c>
      <c r="B336" s="1771"/>
      <c r="C336" s="1771"/>
      <c r="D336" s="1771"/>
      <c r="E336" s="1771"/>
      <c r="F336" s="1771"/>
      <c r="G336" s="1771"/>
      <c r="H336" s="1771"/>
    </row>
    <row r="337" spans="1:8">
      <c r="A337" s="1772" t="s">
        <v>1186</v>
      </c>
      <c r="B337" s="1771"/>
      <c r="C337" s="1771"/>
      <c r="D337" s="1771"/>
      <c r="E337" s="1771"/>
      <c r="F337" s="1771"/>
      <c r="G337" s="1771"/>
      <c r="H337" s="1771"/>
    </row>
    <row r="338" spans="1:8">
      <c r="A338" s="1772" t="s">
        <v>1187</v>
      </c>
      <c r="B338" s="1771"/>
      <c r="C338" s="1771"/>
      <c r="D338" s="1771"/>
      <c r="E338" s="1771"/>
      <c r="F338" s="1771"/>
      <c r="G338" s="1771"/>
      <c r="H338" s="1771"/>
    </row>
    <row r="339" spans="1:8">
      <c r="A339" s="1772" t="s">
        <v>1188</v>
      </c>
      <c r="B339" s="1771"/>
      <c r="C339" s="1771"/>
      <c r="D339" s="1771"/>
      <c r="E339" s="1771"/>
      <c r="F339" s="1771"/>
      <c r="G339" s="1771"/>
      <c r="H339" s="1771"/>
    </row>
    <row r="340" spans="1:8">
      <c r="A340" s="1772" t="s">
        <v>1189</v>
      </c>
      <c r="B340" s="1771"/>
      <c r="C340" s="1771"/>
      <c r="D340" s="1771"/>
      <c r="E340" s="1771"/>
      <c r="F340" s="1771"/>
      <c r="G340" s="1771"/>
      <c r="H340" s="1771"/>
    </row>
    <row r="341" spans="1:8">
      <c r="A341" s="1772" t="s">
        <v>1190</v>
      </c>
      <c r="B341" s="1771"/>
      <c r="C341" s="1771"/>
      <c r="D341" s="1771"/>
      <c r="E341" s="1771"/>
      <c r="F341" s="1771"/>
      <c r="G341" s="1771"/>
      <c r="H341" s="1771"/>
    </row>
    <row r="342" spans="1:8">
      <c r="A342" s="1772" t="s">
        <v>1191</v>
      </c>
      <c r="B342" s="1771"/>
      <c r="C342" s="1771"/>
      <c r="D342" s="1771"/>
      <c r="E342" s="1771"/>
      <c r="F342" s="1771"/>
      <c r="G342" s="1771"/>
      <c r="H342" s="1771"/>
    </row>
    <row r="343" spans="1:8">
      <c r="A343" s="1772" t="s">
        <v>1192</v>
      </c>
      <c r="B343" s="1771"/>
      <c r="C343" s="1771"/>
      <c r="D343" s="1771"/>
      <c r="E343" s="1771"/>
      <c r="F343" s="1771"/>
      <c r="G343" s="1771"/>
      <c r="H343" s="1771"/>
    </row>
    <row r="344" spans="1:8">
      <c r="A344" s="1772" t="s">
        <v>1193</v>
      </c>
      <c r="B344" s="1771"/>
      <c r="C344" s="1771"/>
      <c r="D344" s="1771"/>
      <c r="E344" s="1771"/>
      <c r="F344" s="1771"/>
      <c r="G344" s="1771"/>
      <c r="H344" s="1771"/>
    </row>
    <row r="345" spans="1:8">
      <c r="A345" s="1772" t="s">
        <v>1194</v>
      </c>
      <c r="B345" s="1771"/>
      <c r="C345" s="1771"/>
      <c r="D345" s="1771"/>
      <c r="E345" s="1771"/>
      <c r="F345" s="1771"/>
      <c r="G345" s="1771"/>
      <c r="H345" s="1771"/>
    </row>
    <row r="346" spans="1:8">
      <c r="A346" s="1772" t="s">
        <v>1195</v>
      </c>
      <c r="B346" s="1771"/>
      <c r="C346" s="1771"/>
      <c r="D346" s="1771"/>
      <c r="E346" s="1771"/>
      <c r="F346" s="1771"/>
      <c r="G346" s="1771"/>
      <c r="H346" s="1771"/>
    </row>
    <row r="347" spans="1:8">
      <c r="A347" s="1772" t="s">
        <v>1196</v>
      </c>
      <c r="B347" s="1771"/>
      <c r="C347" s="1771"/>
      <c r="D347" s="1771"/>
      <c r="E347" s="1771"/>
      <c r="F347" s="1771"/>
      <c r="G347" s="1771"/>
      <c r="H347" s="1771"/>
    </row>
    <row r="348" spans="1:8">
      <c r="A348" s="1772" t="s">
        <v>1197</v>
      </c>
      <c r="B348" s="1771"/>
      <c r="C348" s="1771"/>
      <c r="D348" s="1771"/>
      <c r="E348" s="1771"/>
      <c r="F348" s="1771"/>
      <c r="G348" s="1771"/>
      <c r="H348" s="1771"/>
    </row>
    <row r="349" spans="1:8">
      <c r="A349" s="1772" t="s">
        <v>1198</v>
      </c>
      <c r="B349" s="1771"/>
      <c r="C349" s="1771"/>
      <c r="D349" s="1771"/>
      <c r="E349" s="1771"/>
      <c r="F349" s="1771"/>
      <c r="G349" s="1771"/>
      <c r="H349" s="1771"/>
    </row>
    <row r="350" spans="1:8">
      <c r="A350" s="1772" t="s">
        <v>1199</v>
      </c>
      <c r="B350" s="1771"/>
      <c r="C350" s="1771"/>
      <c r="D350" s="1771"/>
      <c r="E350" s="1771"/>
      <c r="F350" s="1771"/>
      <c r="G350" s="1771"/>
      <c r="H350" s="1771"/>
    </row>
    <row r="351" spans="1:8">
      <c r="A351" s="1772" t="s">
        <v>1200</v>
      </c>
      <c r="B351" s="1771"/>
      <c r="C351" s="1771"/>
      <c r="D351" s="1771"/>
      <c r="E351" s="1771"/>
      <c r="F351" s="1771"/>
      <c r="G351" s="1771"/>
      <c r="H351" s="1771"/>
    </row>
    <row r="352" spans="1:8">
      <c r="A352" s="1772" t="s">
        <v>1201</v>
      </c>
      <c r="B352" s="1771"/>
      <c r="C352" s="1771"/>
      <c r="D352" s="1771"/>
      <c r="E352" s="1771"/>
      <c r="F352" s="1771"/>
      <c r="G352" s="1771"/>
      <c r="H352" s="1771"/>
    </row>
    <row r="353" spans="1:8">
      <c r="A353" s="1772" t="s">
        <v>1202</v>
      </c>
      <c r="B353" s="1771"/>
      <c r="C353" s="1771"/>
      <c r="D353" s="1771"/>
      <c r="E353" s="1771"/>
      <c r="F353" s="1771"/>
      <c r="G353" s="1771"/>
      <c r="H353" s="1771"/>
    </row>
    <row r="354" spans="1:8">
      <c r="A354" s="1772" t="s">
        <v>1203</v>
      </c>
      <c r="B354" s="1771"/>
      <c r="C354" s="1771"/>
      <c r="D354" s="1771"/>
      <c r="E354" s="1771"/>
      <c r="F354" s="1771"/>
      <c r="G354" s="1771"/>
      <c r="H354" s="1771"/>
    </row>
    <row r="355" spans="1:8">
      <c r="A355" s="1772" t="s">
        <v>1204</v>
      </c>
      <c r="B355" s="1771"/>
      <c r="C355" s="1771"/>
      <c r="D355" s="1771"/>
      <c r="E355" s="1771"/>
      <c r="F355" s="1771"/>
      <c r="G355" s="1771"/>
      <c r="H355" s="1771"/>
    </row>
    <row r="356" spans="1:8">
      <c r="A356" s="1772" t="s">
        <v>1205</v>
      </c>
      <c r="B356" s="1771"/>
      <c r="C356" s="1771"/>
      <c r="D356" s="1771"/>
      <c r="E356" s="1771"/>
      <c r="F356" s="1771"/>
      <c r="G356" s="1771"/>
      <c r="H356" s="1771"/>
    </row>
    <row r="357" spans="1:8">
      <c r="A357" s="1772" t="s">
        <v>1206</v>
      </c>
      <c r="B357" s="1771"/>
      <c r="C357" s="1771"/>
      <c r="D357" s="1771"/>
      <c r="E357" s="1771"/>
      <c r="F357" s="1771"/>
      <c r="G357" s="1771"/>
      <c r="H357" s="1771"/>
    </row>
    <row r="358" spans="1:8">
      <c r="A358" s="1772" t="s">
        <v>1207</v>
      </c>
      <c r="B358" s="1771"/>
      <c r="C358" s="1771"/>
      <c r="D358" s="1771"/>
      <c r="E358" s="1771"/>
      <c r="F358" s="1771"/>
      <c r="G358" s="1771"/>
      <c r="H358" s="1771"/>
    </row>
    <row r="359" spans="1:8">
      <c r="A359" s="1772" t="s">
        <v>1208</v>
      </c>
      <c r="B359" s="1771"/>
      <c r="C359" s="1771"/>
      <c r="D359" s="1771"/>
      <c r="E359" s="1771"/>
      <c r="F359" s="1771"/>
      <c r="G359" s="1771"/>
      <c r="H359" s="1771"/>
    </row>
    <row r="360" spans="1:8">
      <c r="A360" s="1772" t="s">
        <v>1209</v>
      </c>
      <c r="B360" s="1771"/>
      <c r="C360" s="1771"/>
      <c r="D360" s="1771"/>
      <c r="E360" s="1771"/>
      <c r="F360" s="1771"/>
      <c r="G360" s="1771"/>
      <c r="H360" s="1771"/>
    </row>
    <row r="361" spans="1:8">
      <c r="A361" s="1772" t="s">
        <v>1210</v>
      </c>
      <c r="B361" s="1771"/>
      <c r="C361" s="1771"/>
      <c r="D361" s="1771"/>
      <c r="E361" s="1771"/>
      <c r="F361" s="1771"/>
      <c r="G361" s="1771"/>
      <c r="H361" s="1771"/>
    </row>
    <row r="362" spans="1:8">
      <c r="A362" s="1772" t="s">
        <v>1211</v>
      </c>
      <c r="B362" s="1771"/>
      <c r="C362" s="1771"/>
      <c r="D362" s="1771"/>
      <c r="E362" s="1771"/>
      <c r="F362" s="1771"/>
      <c r="G362" s="1771"/>
      <c r="H362" s="1771"/>
    </row>
    <row r="363" spans="1:8">
      <c r="A363" s="1772" t="s">
        <v>1212</v>
      </c>
      <c r="B363" s="1771"/>
      <c r="C363" s="1771"/>
      <c r="D363" s="1771"/>
      <c r="E363" s="1771"/>
      <c r="F363" s="1771"/>
      <c r="G363" s="1771"/>
      <c r="H363" s="1771"/>
    </row>
    <row r="364" spans="1:8">
      <c r="A364" s="1772" t="s">
        <v>1213</v>
      </c>
      <c r="B364" s="1771"/>
      <c r="C364" s="1771"/>
      <c r="D364" s="1771"/>
      <c r="E364" s="1771"/>
      <c r="F364" s="1771"/>
      <c r="G364" s="1771"/>
      <c r="H364" s="1771"/>
    </row>
    <row r="365" spans="1:8">
      <c r="A365" s="1772" t="s">
        <v>1214</v>
      </c>
      <c r="B365" s="1771"/>
      <c r="C365" s="1771"/>
      <c r="D365" s="1771"/>
      <c r="E365" s="1771"/>
      <c r="F365" s="1771"/>
      <c r="G365" s="1771"/>
      <c r="H365" s="1771"/>
    </row>
    <row r="366" spans="1:8">
      <c r="A366" s="1772" t="s">
        <v>1215</v>
      </c>
      <c r="B366" s="1771"/>
      <c r="C366" s="1771"/>
      <c r="D366" s="1771"/>
      <c r="E366" s="1771"/>
      <c r="F366" s="1771"/>
      <c r="G366" s="1771"/>
      <c r="H366" s="1771"/>
    </row>
    <row r="367" spans="1:8">
      <c r="A367" s="1772" t="s">
        <v>1216</v>
      </c>
      <c r="B367" s="1771"/>
      <c r="C367" s="1771"/>
      <c r="D367" s="1771"/>
      <c r="E367" s="1771"/>
      <c r="F367" s="1771"/>
      <c r="G367" s="1771"/>
      <c r="H367" s="1771"/>
    </row>
    <row r="368" spans="1:8">
      <c r="A368" s="1772" t="s">
        <v>1217</v>
      </c>
      <c r="B368" s="1771"/>
      <c r="C368" s="1771"/>
      <c r="D368" s="1771"/>
      <c r="E368" s="1771"/>
      <c r="F368" s="1771"/>
      <c r="G368" s="1771"/>
      <c r="H368" s="1771"/>
    </row>
    <row r="369" spans="1:8">
      <c r="A369" s="1772" t="s">
        <v>1218</v>
      </c>
      <c r="B369" s="1771"/>
      <c r="C369" s="1771"/>
      <c r="D369" s="1771"/>
      <c r="E369" s="1771"/>
      <c r="F369" s="1771"/>
      <c r="G369" s="1771"/>
      <c r="H369" s="1771"/>
    </row>
    <row r="370" spans="1:8">
      <c r="A370" s="1771"/>
      <c r="B370" s="1771"/>
      <c r="C370" s="1771"/>
      <c r="D370" s="1771"/>
      <c r="E370" s="1771"/>
      <c r="F370" s="1771"/>
      <c r="G370" s="1771"/>
      <c r="H370" s="1771"/>
    </row>
    <row r="371" spans="1:8">
      <c r="A371" s="1772" t="s">
        <v>1176</v>
      </c>
      <c r="B371" s="1771"/>
      <c r="C371" s="1771"/>
      <c r="D371" s="1771"/>
      <c r="E371" s="1771"/>
      <c r="F371" s="1771"/>
      <c r="G371" s="1771"/>
      <c r="H371" s="1771"/>
    </row>
    <row r="372" spans="1:8">
      <c r="A372" s="1772" t="s">
        <v>1180</v>
      </c>
      <c r="B372" s="1771"/>
      <c r="C372" s="1771"/>
      <c r="D372" s="1771"/>
      <c r="E372" s="1771"/>
      <c r="F372" s="1771"/>
      <c r="G372" s="1771"/>
      <c r="H372" s="1771"/>
    </row>
    <row r="373" spans="1:8">
      <c r="A373" s="1772" t="s">
        <v>1181</v>
      </c>
      <c r="B373" s="1771"/>
      <c r="C373" s="1771"/>
      <c r="D373" s="1771"/>
      <c r="E373" s="1771"/>
      <c r="F373" s="1771"/>
      <c r="G373" s="1771"/>
      <c r="H373" s="1771"/>
    </row>
    <row r="374" spans="1:8">
      <c r="A374" s="1772" t="s">
        <v>1182</v>
      </c>
      <c r="B374" s="1771"/>
      <c r="C374" s="1771"/>
      <c r="D374" s="1771"/>
      <c r="E374" s="1771"/>
      <c r="F374" s="1771"/>
      <c r="G374" s="1771"/>
      <c r="H374" s="1771"/>
    </row>
    <row r="375" spans="1:8">
      <c r="A375" s="1772" t="s">
        <v>1183</v>
      </c>
      <c r="B375" s="1771"/>
      <c r="C375" s="1771"/>
      <c r="D375" s="1771"/>
      <c r="E375" s="1771"/>
      <c r="F375" s="1771"/>
      <c r="G375" s="1771"/>
      <c r="H375" s="1771"/>
    </row>
    <row r="376" spans="1:8">
      <c r="A376" s="1771"/>
      <c r="B376" s="1771"/>
      <c r="C376" s="1771"/>
      <c r="D376" s="1771"/>
      <c r="E376" s="1771"/>
      <c r="F376" s="1771"/>
      <c r="G376" s="1771"/>
      <c r="H376" s="1771"/>
    </row>
    <row r="377" spans="1:8">
      <c r="A377" s="1772" t="s">
        <v>1176</v>
      </c>
      <c r="B377" s="1771"/>
      <c r="C377" s="1771"/>
      <c r="D377" s="1771"/>
      <c r="E377" s="1771"/>
      <c r="F377" s="1771"/>
      <c r="G377" s="1771"/>
      <c r="H377" s="1771"/>
    </row>
    <row r="378" spans="1:8">
      <c r="A378" s="1772" t="s">
        <v>1177</v>
      </c>
      <c r="B378" s="1771"/>
      <c r="C378" s="1771"/>
      <c r="D378" s="1771"/>
      <c r="E378" s="1771"/>
      <c r="F378" s="1771"/>
      <c r="G378" s="1771"/>
      <c r="H378" s="1771"/>
    </row>
    <row r="379" spans="1:8">
      <c r="A379" s="1772" t="s">
        <v>1178</v>
      </c>
      <c r="B379" s="1771"/>
      <c r="C379" s="1771"/>
      <c r="D379" s="1771"/>
      <c r="E379" s="1771"/>
      <c r="F379" s="1771"/>
      <c r="G379" s="1771"/>
      <c r="H379" s="1771"/>
    </row>
    <row r="380" spans="1:8">
      <c r="A380" s="1772" t="s">
        <v>1179</v>
      </c>
      <c r="B380" s="1771"/>
      <c r="C380" s="1771"/>
      <c r="D380" s="1771"/>
      <c r="E380" s="1771"/>
      <c r="F380" s="1771"/>
      <c r="G380" s="1771"/>
      <c r="H380" s="1771"/>
    </row>
    <row r="381" spans="1:8">
      <c r="A381" s="1771"/>
      <c r="B381" s="1771"/>
      <c r="C381" s="1771"/>
      <c r="D381" s="1771"/>
      <c r="E381" s="1771"/>
      <c r="F381" s="1771"/>
      <c r="G381" s="1771"/>
      <c r="H381" s="1771"/>
    </row>
    <row r="382" spans="1:8">
      <c r="A382" s="1772" t="s">
        <v>1170</v>
      </c>
      <c r="B382" s="1771"/>
      <c r="C382" s="1771"/>
      <c r="D382" s="1771"/>
      <c r="E382" s="1771"/>
      <c r="F382" s="1771"/>
      <c r="G382" s="1771"/>
      <c r="H382" s="1771"/>
    </row>
    <row r="383" spans="1:8">
      <c r="A383" s="1772" t="s">
        <v>1171</v>
      </c>
      <c r="B383" s="1771"/>
      <c r="C383" s="1771"/>
      <c r="D383" s="1771"/>
      <c r="E383" s="1771"/>
      <c r="F383" s="1771"/>
      <c r="G383" s="1771"/>
      <c r="H383" s="1771"/>
    </row>
    <row r="384" spans="1:8">
      <c r="A384" s="1772" t="s">
        <v>1172</v>
      </c>
      <c r="B384" s="1771"/>
      <c r="C384" s="1771"/>
      <c r="D384" s="1771"/>
      <c r="E384" s="1771"/>
      <c r="F384" s="1771"/>
      <c r="G384" s="1771"/>
      <c r="H384" s="1771"/>
    </row>
    <row r="385" spans="1:8">
      <c r="A385" s="1772" t="s">
        <v>1173</v>
      </c>
      <c r="B385" s="1771"/>
      <c r="C385" s="1771"/>
      <c r="D385" s="1771"/>
      <c r="E385" s="1771"/>
      <c r="F385" s="1771"/>
      <c r="G385" s="1771"/>
      <c r="H385" s="1771"/>
    </row>
    <row r="386" spans="1:8">
      <c r="A386" s="1772" t="s">
        <v>1174</v>
      </c>
      <c r="B386" s="1771"/>
      <c r="C386" s="1771"/>
      <c r="D386" s="1771"/>
      <c r="E386" s="1771"/>
      <c r="F386" s="1771"/>
      <c r="G386" s="1771"/>
      <c r="H386" s="1771"/>
    </row>
    <row r="387" spans="1:8">
      <c r="A387" s="1772" t="s">
        <v>1175</v>
      </c>
      <c r="B387" s="1771"/>
      <c r="C387" s="1771"/>
      <c r="D387" s="1771"/>
      <c r="E387" s="1771"/>
      <c r="F387" s="1771"/>
      <c r="G387" s="1771"/>
      <c r="H387" s="1771"/>
    </row>
    <row r="388" spans="1:8">
      <c r="A388" s="1771"/>
      <c r="B388" s="1771"/>
      <c r="C388" s="1771"/>
      <c r="D388" s="1771"/>
      <c r="E388" s="1771"/>
      <c r="F388" s="1771"/>
      <c r="G388" s="1771"/>
      <c r="H388" s="1771"/>
    </row>
    <row r="389" spans="1:8">
      <c r="A389" s="1772" t="s">
        <v>1165</v>
      </c>
      <c r="B389" s="1771"/>
      <c r="C389" s="1771"/>
      <c r="D389" s="1771"/>
      <c r="E389" s="1771"/>
      <c r="F389" s="1771"/>
      <c r="G389" s="1771"/>
      <c r="H389" s="1771"/>
    </row>
    <row r="390" spans="1:8">
      <c r="A390" s="1772" t="s">
        <v>1166</v>
      </c>
      <c r="B390" s="1771"/>
      <c r="C390" s="1771"/>
      <c r="D390" s="1771"/>
      <c r="E390" s="1771"/>
      <c r="F390" s="1771"/>
      <c r="G390" s="1771"/>
      <c r="H390" s="1771"/>
    </row>
    <row r="391" spans="1:8">
      <c r="A391" s="1772" t="s">
        <v>1167</v>
      </c>
      <c r="B391" s="1771"/>
      <c r="C391" s="1771"/>
      <c r="D391" s="1771"/>
      <c r="E391" s="1771"/>
      <c r="F391" s="1771"/>
      <c r="G391" s="1771"/>
      <c r="H391" s="1771"/>
    </row>
    <row r="392" spans="1:8">
      <c r="A392" s="1772" t="s">
        <v>1168</v>
      </c>
      <c r="B392" s="1771"/>
      <c r="C392" s="1771"/>
      <c r="D392" s="1771"/>
      <c r="E392" s="1771"/>
      <c r="F392" s="1771"/>
      <c r="G392" s="1771"/>
      <c r="H392" s="1771"/>
    </row>
    <row r="393" spans="1:8">
      <c r="A393" s="1772" t="s">
        <v>1169</v>
      </c>
      <c r="B393" s="1771"/>
      <c r="C393" s="1771"/>
      <c r="D393" s="1771"/>
      <c r="E393" s="1771"/>
      <c r="F393" s="1771"/>
      <c r="G393" s="1771"/>
      <c r="H393" s="1771"/>
    </row>
    <row r="394" spans="1:8">
      <c r="A394" s="1771"/>
      <c r="B394" s="1771"/>
      <c r="C394" s="1771"/>
      <c r="D394" s="1771"/>
      <c r="E394" s="1771"/>
      <c r="F394" s="1771"/>
      <c r="G394" s="1771"/>
      <c r="H394" s="1771"/>
    </row>
    <row r="395" spans="1:8">
      <c r="A395" s="1772" t="s">
        <v>1163</v>
      </c>
      <c r="B395" s="1771"/>
      <c r="C395" s="1771"/>
      <c r="D395" s="1771"/>
      <c r="E395" s="1771"/>
      <c r="F395" s="1771"/>
      <c r="G395" s="1771"/>
      <c r="H395" s="1771"/>
    </row>
    <row r="396" spans="1:8">
      <c r="A396" s="1772" t="s">
        <v>1164</v>
      </c>
      <c r="B396" s="1771"/>
      <c r="C396" s="1771"/>
      <c r="D396" s="1771"/>
      <c r="E396" s="1771"/>
      <c r="F396" s="1771"/>
      <c r="G396" s="1771"/>
      <c r="H396" s="1771"/>
    </row>
    <row r="398" spans="1:8">
      <c r="A398" s="1767" t="s">
        <v>1424</v>
      </c>
    </row>
  </sheetData>
  <mergeCells count="12">
    <mergeCell ref="A136:H136"/>
    <mergeCell ref="A137:H137"/>
    <mergeCell ref="B129:C129"/>
    <mergeCell ref="D129:F129"/>
    <mergeCell ref="G129:H129"/>
    <mergeCell ref="A115:H115"/>
    <mergeCell ref="A116:H116"/>
    <mergeCell ref="A117:H117"/>
    <mergeCell ref="A118:H118"/>
    <mergeCell ref="A120:H120"/>
    <mergeCell ref="A121:H121"/>
    <mergeCell ref="A128:H128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autoPageBreaks="0"/>
  </sheetPr>
  <dimension ref="A1:AC73"/>
  <sheetViews>
    <sheetView zoomScale="85" workbookViewId="0"/>
  </sheetViews>
  <sheetFormatPr defaultRowHeight="12.75"/>
  <cols>
    <col min="2" max="2" width="38.42578125" customWidth="1"/>
    <col min="3" max="3" width="12.85546875" customWidth="1"/>
    <col min="7" max="7" width="2.28515625" customWidth="1"/>
    <col min="10" max="10" width="10.7109375" customWidth="1"/>
    <col min="15" max="15" width="12" customWidth="1"/>
    <col min="16" max="16" width="6.42578125" customWidth="1"/>
  </cols>
  <sheetData>
    <row r="1" spans="1:29">
      <c r="A1" s="423"/>
      <c r="B1" s="423"/>
      <c r="C1" s="423"/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  <c r="S1" s="423"/>
      <c r="T1" s="423"/>
      <c r="U1" s="423"/>
      <c r="V1" s="423"/>
      <c r="W1" s="423"/>
      <c r="X1" s="423"/>
      <c r="Y1" s="423"/>
      <c r="Z1" s="423"/>
      <c r="AA1" s="423"/>
      <c r="AB1" s="423"/>
      <c r="AC1" s="423"/>
    </row>
    <row r="2" spans="1:29" ht="28.5" customHeight="1">
      <c r="A2" s="423"/>
      <c r="B2" s="424" t="s">
        <v>544</v>
      </c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3"/>
      <c r="U2" s="423"/>
      <c r="V2" s="423"/>
      <c r="W2" s="423"/>
      <c r="X2" s="423"/>
      <c r="Y2" s="423"/>
      <c r="Z2" s="423"/>
      <c r="AA2" s="423"/>
      <c r="AB2" s="423"/>
      <c r="AC2" s="423"/>
    </row>
    <row r="3" spans="1:29" ht="15.75">
      <c r="A3" s="423"/>
      <c r="B3" s="425" t="s">
        <v>603</v>
      </c>
      <c r="C3" s="425" t="s">
        <v>33</v>
      </c>
      <c r="D3" s="423"/>
      <c r="E3" s="423"/>
      <c r="F3" s="423"/>
      <c r="G3" s="423"/>
      <c r="H3" s="423"/>
      <c r="I3" s="423"/>
      <c r="J3" s="423"/>
      <c r="K3" s="423"/>
      <c r="L3" s="423"/>
      <c r="M3" s="423"/>
      <c r="N3" s="423"/>
      <c r="O3" s="423"/>
      <c r="P3" s="423"/>
      <c r="Q3" s="423"/>
      <c r="R3" s="423"/>
      <c r="S3" s="423"/>
      <c r="T3" s="423"/>
      <c r="U3" s="423"/>
      <c r="V3" s="423"/>
      <c r="W3" s="423"/>
      <c r="X3" s="423"/>
      <c r="Y3" s="423"/>
      <c r="Z3" s="423"/>
      <c r="AA3" s="423"/>
      <c r="AB3" s="423"/>
      <c r="AC3" s="423"/>
    </row>
    <row r="4" spans="1:29" ht="15.75">
      <c r="A4" s="423"/>
      <c r="B4" s="425" t="s">
        <v>644</v>
      </c>
      <c r="C4" s="1628" t="s">
        <v>1109</v>
      </c>
      <c r="D4" s="423"/>
      <c r="E4" s="423"/>
      <c r="F4" s="423"/>
      <c r="G4" s="423"/>
      <c r="H4" s="423"/>
      <c r="I4" s="423"/>
      <c r="J4" s="423"/>
      <c r="K4" s="423"/>
      <c r="L4" s="423"/>
      <c r="M4" s="423"/>
      <c r="N4" s="423"/>
      <c r="O4" s="423"/>
      <c r="P4" s="423"/>
      <c r="Q4" s="423"/>
      <c r="R4" s="423"/>
      <c r="S4" s="423"/>
      <c r="T4" s="423"/>
      <c r="U4" s="423"/>
      <c r="V4" s="423"/>
      <c r="W4" s="423"/>
      <c r="X4" s="423"/>
      <c r="Y4" s="423"/>
      <c r="Z4" s="423"/>
      <c r="AA4" s="423"/>
      <c r="AB4" s="423"/>
      <c r="AC4" s="423"/>
    </row>
    <row r="5" spans="1:29" ht="15.75">
      <c r="A5" s="423"/>
      <c r="B5" s="425" t="s">
        <v>645</v>
      </c>
      <c r="C5" s="426">
        <f ca="1">+Valuation!basept</f>
        <v>57</v>
      </c>
      <c r="D5" s="423"/>
      <c r="E5" s="423"/>
      <c r="F5" s="423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23"/>
      <c r="V5" s="423"/>
      <c r="W5" s="423"/>
      <c r="X5" s="423"/>
      <c r="Y5" s="423"/>
      <c r="Z5" s="423"/>
      <c r="AA5" s="423"/>
      <c r="AB5" s="423"/>
      <c r="AC5" s="423"/>
    </row>
    <row r="6" spans="1:29" ht="15.75">
      <c r="A6" s="423"/>
      <c r="B6" s="425" t="s">
        <v>646</v>
      </c>
      <c r="C6" s="1352">
        <v>43202</v>
      </c>
      <c r="D6" s="423"/>
      <c r="E6" s="423"/>
      <c r="F6" s="423"/>
      <c r="G6" s="423"/>
      <c r="H6" s="423"/>
      <c r="I6" s="423"/>
      <c r="J6" s="423"/>
      <c r="K6" s="423"/>
      <c r="L6" s="423"/>
      <c r="M6" s="423"/>
      <c r="N6" s="423"/>
      <c r="O6" s="423"/>
      <c r="P6" s="423"/>
      <c r="Q6" s="423"/>
      <c r="R6" s="423"/>
      <c r="S6" s="423"/>
      <c r="T6" s="423"/>
      <c r="U6" s="423"/>
      <c r="V6" s="423"/>
      <c r="W6" s="423"/>
      <c r="X6" s="423"/>
      <c r="Y6" s="423"/>
      <c r="Z6" s="423"/>
      <c r="AA6" s="423"/>
      <c r="AB6" s="423"/>
      <c r="AC6" s="423"/>
    </row>
    <row r="7" spans="1:29">
      <c r="A7" s="423"/>
      <c r="B7" s="423"/>
      <c r="C7" s="423"/>
      <c r="D7" s="423"/>
      <c r="E7" s="423"/>
      <c r="F7" s="423"/>
      <c r="G7" s="423"/>
      <c r="H7" s="423"/>
      <c r="I7" s="423"/>
      <c r="J7" s="423"/>
      <c r="K7" s="423"/>
      <c r="L7" s="423"/>
      <c r="M7" s="423"/>
      <c r="N7" s="423"/>
      <c r="O7" s="423"/>
      <c r="P7" s="423"/>
      <c r="Q7" s="423"/>
      <c r="R7" s="423"/>
      <c r="S7" s="423"/>
      <c r="T7" s="423"/>
      <c r="U7" s="423"/>
      <c r="V7" s="423"/>
      <c r="W7" s="423"/>
      <c r="X7" s="423"/>
      <c r="Y7" s="423"/>
      <c r="Z7" s="423"/>
      <c r="AA7" s="423"/>
      <c r="AB7" s="423"/>
      <c r="AC7" s="423"/>
    </row>
    <row r="8" spans="1:29">
      <c r="A8" s="50"/>
      <c r="B8" s="427"/>
      <c r="C8" s="427"/>
      <c r="D8" s="427"/>
      <c r="E8" s="427"/>
      <c r="F8" s="427"/>
      <c r="G8" s="427"/>
      <c r="H8" s="427"/>
      <c r="I8" s="427"/>
      <c r="J8" s="427"/>
      <c r="K8" s="427"/>
      <c r="L8" s="427"/>
      <c r="M8" s="427"/>
      <c r="N8" s="427"/>
      <c r="O8" s="427"/>
      <c r="P8" s="427"/>
      <c r="Q8" s="427"/>
      <c r="R8" s="427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</row>
    <row r="9" spans="1:29">
      <c r="A9" s="50"/>
      <c r="B9" s="427"/>
      <c r="C9" s="427"/>
      <c r="D9" s="427"/>
      <c r="E9" s="427"/>
      <c r="F9" s="427"/>
      <c r="G9" s="427"/>
      <c r="H9" s="427"/>
      <c r="I9" s="427"/>
      <c r="J9" s="427"/>
      <c r="K9" s="427"/>
      <c r="L9" s="427"/>
      <c r="M9" s="427"/>
      <c r="N9" s="427"/>
      <c r="O9" s="427"/>
      <c r="P9" s="427"/>
      <c r="Q9" s="427"/>
      <c r="R9" s="427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</row>
    <row r="10" spans="1:29" ht="15">
      <c r="A10" s="50"/>
      <c r="B10" s="428" t="s">
        <v>647</v>
      </c>
      <c r="C10" s="428" t="s">
        <v>915</v>
      </c>
      <c r="D10" s="428"/>
      <c r="E10" s="428"/>
      <c r="F10" s="427"/>
      <c r="G10" s="428" t="s">
        <v>1033</v>
      </c>
      <c r="H10" s="428"/>
      <c r="I10" s="428"/>
      <c r="J10" s="428"/>
      <c r="K10" s="428"/>
      <c r="L10" s="428" t="s">
        <v>997</v>
      </c>
      <c r="M10" s="428"/>
      <c r="N10" s="427"/>
      <c r="O10" s="428"/>
      <c r="P10" s="428"/>
      <c r="Q10" s="428"/>
      <c r="R10" s="428"/>
      <c r="S10" s="428"/>
      <c r="T10" s="428"/>
      <c r="U10" s="50"/>
      <c r="V10" s="50"/>
      <c r="W10" s="50"/>
      <c r="X10" s="50"/>
      <c r="Y10" s="50"/>
      <c r="Z10" s="50"/>
      <c r="AA10" s="50"/>
      <c r="AB10" s="50"/>
      <c r="AC10" s="50"/>
    </row>
    <row r="11" spans="1:29" ht="15">
      <c r="A11" s="50"/>
      <c r="B11" s="428" t="s">
        <v>648</v>
      </c>
      <c r="C11" s="428" t="s">
        <v>916</v>
      </c>
      <c r="D11" s="428"/>
      <c r="E11" s="428"/>
      <c r="F11" s="427"/>
      <c r="G11" s="428" t="s">
        <v>1034</v>
      </c>
      <c r="H11" s="428"/>
      <c r="I11" s="428"/>
      <c r="J11" s="428"/>
      <c r="K11" s="428"/>
      <c r="L11" s="428" t="s">
        <v>998</v>
      </c>
      <c r="M11" s="428"/>
      <c r="N11" s="427"/>
      <c r="O11" s="428"/>
      <c r="P11" s="428"/>
      <c r="Q11" s="428"/>
      <c r="R11" s="428"/>
      <c r="S11" s="428"/>
      <c r="T11" s="428"/>
      <c r="U11" s="50"/>
      <c r="V11" s="50"/>
      <c r="W11" s="50"/>
      <c r="X11" s="50"/>
      <c r="Y11" s="50"/>
      <c r="Z11" s="50"/>
      <c r="AA11" s="50"/>
      <c r="AB11" s="50"/>
      <c r="AC11" s="50"/>
    </row>
    <row r="12" spans="1:29" ht="15">
      <c r="A12" s="50"/>
      <c r="B12" s="428" t="s">
        <v>649</v>
      </c>
      <c r="C12" s="428" t="s">
        <v>917</v>
      </c>
      <c r="D12" s="428"/>
      <c r="E12" s="428"/>
      <c r="F12" s="427"/>
      <c r="G12" s="428" t="s">
        <v>1035</v>
      </c>
      <c r="H12" s="428"/>
      <c r="I12" s="428"/>
      <c r="J12" s="428"/>
      <c r="K12" s="428"/>
      <c r="L12" s="428" t="s">
        <v>999</v>
      </c>
      <c r="M12" s="428"/>
      <c r="N12" s="427"/>
      <c r="O12" s="428"/>
      <c r="P12" s="428"/>
      <c r="Q12" s="428"/>
      <c r="R12" s="428"/>
      <c r="S12" s="428"/>
      <c r="T12" s="428"/>
      <c r="U12" s="50"/>
      <c r="V12" s="50"/>
      <c r="W12" s="50"/>
      <c r="X12" s="50"/>
      <c r="Y12" s="50"/>
      <c r="Z12" s="50"/>
      <c r="AA12" s="50"/>
      <c r="AB12" s="50"/>
      <c r="AC12" s="50"/>
    </row>
    <row r="13" spans="1:29">
      <c r="A13" s="50"/>
      <c r="B13" s="429"/>
      <c r="C13" s="429"/>
      <c r="D13" s="429"/>
      <c r="E13" s="429"/>
      <c r="F13" s="429"/>
      <c r="G13" s="429"/>
      <c r="H13" s="429"/>
      <c r="I13" s="429"/>
      <c r="J13" s="429"/>
      <c r="K13" s="429"/>
      <c r="L13" s="429"/>
      <c r="M13" s="429"/>
      <c r="N13" s="429"/>
      <c r="O13" s="429"/>
      <c r="P13" s="429"/>
      <c r="Q13" s="429"/>
      <c r="R13" s="429"/>
      <c r="S13" s="429"/>
      <c r="T13" s="429"/>
      <c r="U13" s="50"/>
      <c r="V13" s="50"/>
      <c r="W13" s="50"/>
      <c r="X13" s="50"/>
      <c r="Y13" s="50"/>
      <c r="Z13" s="50"/>
      <c r="AA13" s="50"/>
      <c r="AB13" s="50"/>
      <c r="AC13" s="50"/>
    </row>
    <row r="14" spans="1:29" ht="15">
      <c r="A14" s="50"/>
      <c r="B14" s="430"/>
      <c r="C14" s="430"/>
      <c r="D14" s="430"/>
      <c r="E14" s="430"/>
      <c r="F14" s="430"/>
      <c r="G14" s="428"/>
      <c r="H14" s="430"/>
      <c r="I14" s="430"/>
      <c r="J14" s="430"/>
      <c r="K14" s="430"/>
      <c r="L14" s="430"/>
      <c r="M14" s="430"/>
      <c r="N14" s="430"/>
      <c r="O14" s="428"/>
      <c r="P14" s="430"/>
      <c r="Q14" s="430"/>
      <c r="R14" s="430"/>
      <c r="S14" s="430"/>
      <c r="T14" s="430"/>
      <c r="U14" s="50"/>
      <c r="V14" s="50"/>
      <c r="W14" s="50"/>
      <c r="X14" s="50"/>
      <c r="Y14" s="50"/>
      <c r="Z14" s="50"/>
      <c r="AA14" s="50"/>
      <c r="AB14" s="50"/>
      <c r="AC14" s="50"/>
    </row>
    <row r="15" spans="1:29" ht="15">
      <c r="A15" s="50"/>
      <c r="B15" s="50"/>
      <c r="C15" s="50"/>
      <c r="D15" s="50"/>
      <c r="E15" s="50"/>
      <c r="F15" s="50"/>
      <c r="G15" s="428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</row>
    <row r="16" spans="1:29" ht="15">
      <c r="A16" s="50"/>
      <c r="B16" s="50"/>
      <c r="C16" s="50"/>
      <c r="D16" s="50"/>
      <c r="E16" s="50"/>
      <c r="F16" s="50"/>
      <c r="G16" s="428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</row>
    <row r="17" spans="1:29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</row>
    <row r="18" spans="1:29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</row>
    <row r="19" spans="1:29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427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</row>
    <row r="20" spans="1:29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</row>
    <row r="21" spans="1:29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</row>
    <row r="22" spans="1:29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</row>
    <row r="23" spans="1:29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</row>
    <row r="24" spans="1:29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</row>
    <row r="25" spans="1:29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</row>
    <row r="26" spans="1:29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</row>
    <row r="27" spans="1:29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</row>
    <row r="28" spans="1:29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</row>
    <row r="29" spans="1:29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</row>
    <row r="30" spans="1:29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</row>
    <row r="31" spans="1:29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</row>
    <row r="32" spans="1:29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</row>
    <row r="33" spans="1:29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</row>
    <row r="34" spans="1:29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</row>
    <row r="35" spans="1:29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</row>
    <row r="36" spans="1:29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</row>
    <row r="37" spans="1:29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</row>
    <row r="38" spans="1:29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</row>
    <row r="39" spans="1:29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</row>
    <row r="40" spans="1:29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</row>
    <row r="41" spans="1:29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</row>
    <row r="42" spans="1:29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</row>
    <row r="43" spans="1:29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</row>
    <row r="44" spans="1:29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</row>
    <row r="45" spans="1:29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</row>
    <row r="46" spans="1:29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</row>
    <row r="47" spans="1:29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</row>
    <row r="48" spans="1:29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</row>
    <row r="49" spans="1:29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</row>
    <row r="50" spans="1:29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</row>
    <row r="51" spans="1:29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</row>
    <row r="52" spans="1:29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</row>
    <row r="53" spans="1:29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</row>
    <row r="54" spans="1:29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</row>
    <row r="55" spans="1:29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</row>
    <row r="56" spans="1:29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</row>
    <row r="57" spans="1:29">
      <c r="A57" s="50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</row>
    <row r="58" spans="1:29">
      <c r="A58" s="50"/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</row>
    <row r="59" spans="1:29">
      <c r="A59" s="50"/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</row>
    <row r="60" spans="1:29">
      <c r="A60" s="50"/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</row>
    <row r="61" spans="1:29">
      <c r="A61" s="50"/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</row>
    <row r="62" spans="1:29">
      <c r="A62" s="50"/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</row>
    <row r="63" spans="1:29">
      <c r="A63" s="50"/>
      <c r="B63" s="50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</row>
    <row r="64" spans="1:29">
      <c r="A64" s="50"/>
      <c r="B64" s="50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</row>
    <row r="65" spans="1:29">
      <c r="A65" s="50"/>
      <c r="B65" s="50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</row>
    <row r="66" spans="1:29">
      <c r="A66" s="50"/>
      <c r="B66" s="50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</row>
    <row r="67" spans="1:29">
      <c r="A67" s="50"/>
      <c r="B67" s="50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</row>
    <row r="68" spans="1:29">
      <c r="A68" s="50"/>
      <c r="B68" s="50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</row>
    <row r="69" spans="1:29">
      <c r="A69" s="50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</row>
    <row r="70" spans="1:29">
      <c r="A70" s="50"/>
      <c r="B70" s="50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</row>
    <row r="71" spans="1:29">
      <c r="A71" s="50"/>
      <c r="B71" s="50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</row>
    <row r="72" spans="1:29">
      <c r="A72" s="50"/>
      <c r="B72" s="50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</row>
    <row r="73" spans="1:29">
      <c r="A73" s="50"/>
      <c r="B73" s="50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</row>
  </sheetData>
  <phoneticPr fontId="2" type="noConversion"/>
  <hyperlinks>
    <hyperlink ref="G12" r:id="rId1"/>
  </hyperlinks>
  <pageMargins left="0.75" right="0.75" top="1" bottom="1" header="0.5" footer="0.5"/>
  <pageSetup orientation="portrait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EG93"/>
  <sheetViews>
    <sheetView zoomScale="85" zoomScaleNormal="85" workbookViewId="0">
      <pane ySplit="4" topLeftCell="A5" activePane="bottomLeft" state="frozen"/>
      <selection pane="bottomLeft" activeCell="A5" sqref="A5"/>
    </sheetView>
  </sheetViews>
  <sheetFormatPr defaultRowHeight="12.75" outlineLevelCol="1"/>
  <cols>
    <col min="1" max="2" width="2.7109375" customWidth="1"/>
    <col min="3" max="3" width="39.5703125" customWidth="1"/>
    <col min="4" max="4" width="2.7109375" customWidth="1"/>
    <col min="5" max="23" width="1.7109375" hidden="1" customWidth="1" outlineLevel="1"/>
    <col min="24" max="24" width="9.28515625" customWidth="1" collapsed="1"/>
    <col min="25" max="28" width="1.7109375" hidden="1" customWidth="1" outlineLevel="1"/>
    <col min="29" max="29" width="9.28515625" customWidth="1" collapsed="1"/>
    <col min="30" max="33" width="1.7109375" hidden="1" customWidth="1" outlineLevel="1"/>
    <col min="34" max="34" width="9.28515625" customWidth="1" collapsed="1"/>
    <col min="35" max="37" width="1.7109375" hidden="1" customWidth="1" outlineLevel="1"/>
    <col min="38" max="38" width="2.140625" hidden="1" customWidth="1" outlineLevel="1"/>
    <col min="39" max="39" width="9" customWidth="1" collapsed="1"/>
    <col min="40" max="42" width="1.7109375" hidden="1" customWidth="1" outlineLevel="1"/>
    <col min="43" max="43" width="2.140625" hidden="1" customWidth="1" outlineLevel="1"/>
    <col min="44" max="44" width="9" customWidth="1" collapsed="1"/>
    <col min="45" max="47" width="1.7109375" hidden="1" customWidth="1" outlineLevel="1"/>
    <col min="48" max="48" width="2.140625" hidden="1" customWidth="1" outlineLevel="1"/>
    <col min="49" max="49" width="9" customWidth="1" collapsed="1"/>
    <col min="50" max="52" width="1.7109375" hidden="1" customWidth="1" outlineLevel="1"/>
    <col min="53" max="53" width="2.140625" hidden="1" customWidth="1" outlineLevel="1"/>
    <col min="54" max="54" width="9" customWidth="1" collapsed="1"/>
    <col min="55" max="57" width="1.7109375" hidden="1" customWidth="1" outlineLevel="1"/>
    <col min="58" max="58" width="2.140625" hidden="1" customWidth="1" outlineLevel="1"/>
    <col min="59" max="59" width="9" customWidth="1" collapsed="1"/>
    <col min="60" max="62" width="1.7109375" hidden="1" customWidth="1" outlineLevel="1"/>
    <col min="63" max="63" width="2.140625" hidden="1" customWidth="1" outlineLevel="1"/>
    <col min="64" max="64" width="9" customWidth="1" collapsed="1"/>
    <col min="65" max="67" width="1.7109375" hidden="1" customWidth="1" outlineLevel="1"/>
    <col min="68" max="68" width="2.140625" hidden="1" customWidth="1" outlineLevel="1"/>
    <col min="69" max="69" width="9" customWidth="1" collapsed="1"/>
    <col min="70" max="71" width="2.7109375" customWidth="1"/>
    <col min="72" max="72" width="39.7109375" customWidth="1"/>
    <col min="73" max="73" width="2.7109375" customWidth="1"/>
    <col min="74" max="76" width="9.28515625" customWidth="1"/>
    <col min="77" max="77" width="9.85546875" customWidth="1"/>
    <col min="78" max="78" width="9.28515625" customWidth="1"/>
    <col min="79" max="81" width="1.7109375" hidden="1" customWidth="1" outlineLevel="1"/>
    <col min="82" max="82" width="2.140625" hidden="1" customWidth="1" outlineLevel="1"/>
    <col min="83" max="83" width="9.28515625" customWidth="1" collapsed="1"/>
    <col min="84" max="86" width="1.7109375" hidden="1" customWidth="1" outlineLevel="1"/>
    <col min="87" max="87" width="2.140625" hidden="1" customWidth="1" outlineLevel="1"/>
    <col min="88" max="88" width="9.140625" collapsed="1"/>
    <col min="89" max="91" width="1.7109375" hidden="1" customWidth="1" outlineLevel="1"/>
    <col min="92" max="92" width="2.140625" hidden="1" customWidth="1" outlineLevel="1"/>
    <col min="93" max="93" width="9.140625" collapsed="1"/>
    <col min="94" max="96" width="1.7109375" hidden="1" customWidth="1" outlineLevel="1"/>
    <col min="97" max="97" width="2.140625" hidden="1" customWidth="1" outlineLevel="1"/>
    <col min="98" max="98" width="9.140625" collapsed="1"/>
    <col min="99" max="101" width="1.7109375" hidden="1" customWidth="1" outlineLevel="1"/>
    <col min="102" max="102" width="2.140625" hidden="1" customWidth="1" outlineLevel="1"/>
    <col min="103" max="103" width="9.140625" collapsed="1"/>
    <col min="104" max="105" width="9.7109375" customWidth="1"/>
    <col min="106" max="106" width="13" customWidth="1"/>
    <col min="107" max="107" width="15.28515625" customWidth="1"/>
    <col min="108" max="108" width="10.7109375" customWidth="1"/>
    <col min="109" max="109" width="9" customWidth="1"/>
    <col min="118" max="118" width="9.5703125" bestFit="1" customWidth="1"/>
  </cols>
  <sheetData>
    <row r="1" spans="1:135" ht="15" customHeight="1">
      <c r="A1" s="644"/>
      <c r="B1" s="644"/>
      <c r="C1" s="644"/>
      <c r="D1" s="645"/>
      <c r="E1" s="646"/>
      <c r="F1" s="646"/>
      <c r="G1" s="646"/>
      <c r="H1" s="646"/>
      <c r="I1" s="646"/>
      <c r="J1" s="646"/>
      <c r="K1" s="646"/>
      <c r="L1" s="646"/>
      <c r="M1" s="646"/>
      <c r="N1" s="646"/>
      <c r="O1" s="646"/>
      <c r="P1" s="646"/>
      <c r="Q1" s="646"/>
      <c r="R1" s="646"/>
      <c r="S1" s="646"/>
      <c r="T1" s="646"/>
      <c r="U1" s="646"/>
      <c r="V1" s="646"/>
      <c r="W1" s="646"/>
      <c r="X1" s="646"/>
      <c r="Y1" s="646"/>
      <c r="Z1" s="646"/>
      <c r="AA1" s="646"/>
      <c r="AB1" s="646"/>
      <c r="AC1" s="646"/>
      <c r="AD1" s="646"/>
      <c r="AE1" s="646"/>
      <c r="AF1" s="646"/>
      <c r="AG1" s="646"/>
      <c r="AH1" s="646"/>
      <c r="AI1" s="646"/>
      <c r="AJ1" s="646"/>
      <c r="AK1" s="646"/>
      <c r="AL1" s="646"/>
      <c r="AM1" s="646"/>
      <c r="AN1" s="646"/>
      <c r="AO1" s="646"/>
      <c r="AP1" s="646"/>
      <c r="AQ1" s="646"/>
      <c r="AR1" s="646"/>
      <c r="AS1" s="646"/>
      <c r="AT1" s="646"/>
      <c r="AU1" s="646"/>
      <c r="AV1" s="646"/>
      <c r="AW1" s="646"/>
      <c r="AX1" s="646"/>
      <c r="AY1" s="646"/>
      <c r="AZ1" s="646"/>
      <c r="BA1" s="646"/>
      <c r="BB1" s="646"/>
      <c r="BC1" s="646"/>
      <c r="BD1" s="646"/>
      <c r="BE1" s="646"/>
      <c r="BF1" s="646"/>
      <c r="BG1" s="646"/>
      <c r="BH1" s="646"/>
      <c r="BI1" s="646"/>
      <c r="BJ1" s="646"/>
      <c r="BK1" s="646"/>
      <c r="BL1" s="646"/>
      <c r="BM1" s="646"/>
      <c r="BN1" s="646"/>
      <c r="BO1" s="646"/>
      <c r="BP1" s="646"/>
      <c r="BQ1" s="646"/>
      <c r="BR1" s="646"/>
      <c r="BS1" s="646"/>
      <c r="BT1" s="646"/>
      <c r="BU1" s="646"/>
      <c r="BV1" s="646"/>
      <c r="BW1" s="646"/>
      <c r="BX1" s="646"/>
      <c r="BY1" s="646"/>
      <c r="BZ1" s="646"/>
      <c r="CA1" s="646"/>
      <c r="CB1" s="646"/>
      <c r="CC1" s="646"/>
      <c r="CD1" s="646"/>
      <c r="CE1" s="646"/>
      <c r="CF1" s="646"/>
      <c r="CG1" s="646"/>
      <c r="CH1" s="646"/>
      <c r="CI1" s="646"/>
      <c r="CJ1" s="646"/>
      <c r="CK1" s="646"/>
      <c r="CL1" s="646"/>
      <c r="CM1" s="646"/>
      <c r="CN1" s="646"/>
      <c r="CO1" s="646"/>
      <c r="CP1" s="646"/>
      <c r="CQ1" s="646"/>
      <c r="CR1" s="646"/>
      <c r="CS1" s="646"/>
      <c r="CT1" s="646"/>
      <c r="CU1" s="646"/>
      <c r="CV1" s="646"/>
      <c r="CW1" s="646"/>
      <c r="CX1" s="646"/>
      <c r="CY1" s="646"/>
      <c r="CZ1" s="646"/>
      <c r="DA1" s="646"/>
    </row>
    <row r="2" spans="1:135" ht="15" customHeight="1">
      <c r="A2" s="644"/>
      <c r="B2" s="644" t="str">
        <f>Cover!B2</f>
        <v>Public Service Enterprise Group</v>
      </c>
      <c r="C2" s="644"/>
      <c r="D2" s="645"/>
      <c r="E2" s="646"/>
      <c r="F2" s="646"/>
      <c r="G2" s="646"/>
      <c r="H2" s="646"/>
      <c r="I2" s="646"/>
      <c r="J2" s="646"/>
      <c r="K2" s="646"/>
      <c r="L2" s="646"/>
      <c r="M2" s="646"/>
      <c r="N2" s="904" t="s">
        <v>33</v>
      </c>
      <c r="O2" s="646"/>
      <c r="P2" s="646"/>
      <c r="Q2" s="646"/>
      <c r="R2" s="646"/>
      <c r="S2" s="646"/>
      <c r="T2" s="646"/>
      <c r="U2" s="646"/>
      <c r="V2" s="646"/>
      <c r="W2" s="646"/>
      <c r="X2" s="646"/>
      <c r="Y2" s="646"/>
      <c r="Z2" s="646"/>
      <c r="AA2" s="646"/>
      <c r="AB2" s="646"/>
      <c r="AC2" s="646"/>
      <c r="AD2" s="646"/>
      <c r="AE2" s="646"/>
      <c r="AF2" s="646"/>
      <c r="AG2" s="646"/>
      <c r="AH2" s="646"/>
      <c r="AI2" s="646"/>
      <c r="AJ2" s="646"/>
      <c r="AK2" s="646"/>
      <c r="AL2" s="646"/>
      <c r="AM2" s="646"/>
      <c r="AN2" s="646"/>
      <c r="AO2" s="646"/>
      <c r="AP2" s="646"/>
      <c r="AQ2" s="646"/>
      <c r="AR2" s="646"/>
      <c r="AS2" s="646"/>
      <c r="AT2" s="646"/>
      <c r="AU2" s="646"/>
      <c r="AV2" s="646"/>
      <c r="AW2" s="646"/>
      <c r="AX2" s="646"/>
      <c r="AY2" s="646"/>
      <c r="AZ2" s="646"/>
      <c r="BA2" s="646"/>
      <c r="BB2" s="646"/>
      <c r="BC2" s="646"/>
      <c r="BD2" s="646"/>
      <c r="BE2" s="646"/>
      <c r="BF2" s="646"/>
      <c r="BG2" s="646"/>
      <c r="BH2" s="646"/>
      <c r="BI2" s="646"/>
      <c r="BJ2" s="646"/>
      <c r="BK2" s="646"/>
      <c r="BL2" s="646"/>
      <c r="BM2" s="646"/>
      <c r="BN2" s="646"/>
      <c r="BO2" s="646"/>
      <c r="BP2" s="646"/>
      <c r="BQ2" s="646"/>
      <c r="BR2" s="646"/>
      <c r="BS2" s="646"/>
      <c r="BT2" s="646"/>
      <c r="BU2" s="646"/>
      <c r="BV2" s="646"/>
      <c r="BW2" s="646"/>
      <c r="BX2" s="646"/>
      <c r="BY2" s="646"/>
      <c r="BZ2" s="646"/>
      <c r="CA2" s="646"/>
      <c r="CB2" s="646"/>
      <c r="CC2" s="646"/>
      <c r="CD2" s="646"/>
      <c r="CE2" s="646"/>
      <c r="CF2" s="646"/>
      <c r="CG2" s="646"/>
      <c r="CH2" s="646"/>
      <c r="CI2" s="646"/>
      <c r="CJ2" s="646"/>
      <c r="CK2" s="646"/>
      <c r="CL2" s="646"/>
      <c r="CM2" s="646"/>
      <c r="CN2" s="646"/>
      <c r="CO2" s="646"/>
      <c r="CP2" s="646"/>
      <c r="CQ2" s="646"/>
      <c r="CR2" s="646"/>
      <c r="CS2" s="646"/>
      <c r="CT2" s="646"/>
      <c r="CU2" s="646"/>
      <c r="CV2" s="646"/>
      <c r="CW2" s="646"/>
      <c r="CX2" s="646"/>
      <c r="CY2" s="646"/>
      <c r="CZ2" s="646"/>
      <c r="DA2" s="646"/>
    </row>
    <row r="3" spans="1:135" ht="15" customHeight="1">
      <c r="A3" s="778"/>
      <c r="B3" s="647" t="s">
        <v>635</v>
      </c>
      <c r="C3" s="647"/>
      <c r="D3" s="646"/>
      <c r="E3" s="646"/>
      <c r="F3" s="646"/>
      <c r="G3" s="646"/>
      <c r="H3" s="646"/>
      <c r="I3" s="646"/>
      <c r="J3" s="646"/>
      <c r="K3" s="646"/>
      <c r="L3" s="646"/>
      <c r="M3" s="646"/>
      <c r="N3" s="646"/>
      <c r="O3" s="646"/>
      <c r="P3" s="646"/>
      <c r="Q3" s="646"/>
      <c r="R3" s="646"/>
      <c r="S3" s="646"/>
      <c r="T3" s="646"/>
      <c r="U3" s="646"/>
      <c r="V3" s="646"/>
      <c r="W3" s="646"/>
      <c r="X3" s="646"/>
      <c r="Y3" s="646"/>
      <c r="Z3" s="646"/>
      <c r="AA3" s="646"/>
      <c r="AB3" s="646"/>
      <c r="AC3" s="646"/>
      <c r="AD3" s="646"/>
      <c r="AE3" s="646"/>
      <c r="AF3" s="646"/>
      <c r="AG3" s="646"/>
      <c r="AH3" s="646"/>
      <c r="AI3" s="646"/>
      <c r="AJ3" s="646"/>
      <c r="AK3" s="646"/>
      <c r="AL3" s="646"/>
      <c r="AM3" s="646"/>
      <c r="AN3" s="646"/>
      <c r="AO3" s="646"/>
      <c r="AP3" s="646"/>
      <c r="AQ3" s="646"/>
      <c r="AR3" s="646"/>
      <c r="AS3" s="646"/>
      <c r="AT3" s="646"/>
      <c r="AU3" s="646"/>
      <c r="AV3" s="646"/>
      <c r="AW3" s="646"/>
      <c r="AX3" s="646"/>
      <c r="AY3" s="646"/>
      <c r="AZ3" s="646"/>
      <c r="BA3" s="646"/>
      <c r="BB3" s="646"/>
      <c r="BC3" s="646"/>
      <c r="BD3" s="646"/>
      <c r="BE3" s="646"/>
      <c r="BF3" s="646"/>
      <c r="BG3" s="646"/>
      <c r="BH3" s="646"/>
      <c r="BI3" s="646"/>
      <c r="BJ3" s="646"/>
      <c r="BK3" s="646"/>
      <c r="BL3" s="646"/>
      <c r="BM3" s="646"/>
      <c r="BN3" s="646"/>
      <c r="BO3" s="646"/>
      <c r="BP3" s="646"/>
      <c r="BQ3" s="646"/>
      <c r="BR3" s="646"/>
      <c r="BS3" s="646"/>
      <c r="BT3" s="646"/>
      <c r="BU3" s="646"/>
      <c r="BV3" s="646"/>
      <c r="BW3" s="646"/>
      <c r="BX3" s="646"/>
      <c r="BY3" s="646"/>
      <c r="BZ3" s="646"/>
      <c r="CA3" s="646"/>
      <c r="CB3" s="646"/>
      <c r="CC3" s="646"/>
      <c r="CD3" s="646"/>
      <c r="CE3" s="646"/>
      <c r="CF3" s="646"/>
      <c r="CG3" s="646"/>
      <c r="CH3" s="646"/>
      <c r="CI3" s="646"/>
      <c r="CJ3" s="646"/>
      <c r="CK3" s="646"/>
      <c r="CL3" s="646"/>
      <c r="CM3" s="646"/>
      <c r="CN3" s="646"/>
      <c r="CO3" s="646"/>
      <c r="CP3" s="646"/>
      <c r="CQ3" s="646"/>
      <c r="CR3" s="646"/>
      <c r="CS3" s="646"/>
      <c r="CT3" s="646"/>
      <c r="CU3" s="646"/>
      <c r="CV3" s="646"/>
      <c r="CW3" s="646"/>
      <c r="CX3" s="646"/>
      <c r="CY3" s="646"/>
      <c r="CZ3" s="646"/>
      <c r="DA3" s="646"/>
    </row>
    <row r="4" spans="1:135">
      <c r="A4" s="735"/>
      <c r="B4" s="16" t="s">
        <v>78</v>
      </c>
      <c r="C4" s="16"/>
      <c r="D4" s="735"/>
      <c r="E4" s="648"/>
      <c r="F4" s="648"/>
      <c r="G4" s="648"/>
      <c r="H4" s="648"/>
      <c r="I4" s="648"/>
      <c r="J4" s="648"/>
      <c r="K4" s="648"/>
      <c r="L4" s="648"/>
      <c r="M4" s="648"/>
      <c r="N4" s="648"/>
      <c r="O4" s="648"/>
      <c r="P4" s="648"/>
      <c r="Q4" s="648"/>
      <c r="R4" s="648"/>
      <c r="S4" s="648"/>
      <c r="T4" s="648"/>
      <c r="U4" s="648"/>
      <c r="V4" s="648"/>
      <c r="W4" s="648"/>
      <c r="X4" s="648"/>
      <c r="Y4" s="648"/>
      <c r="Z4" s="648"/>
      <c r="AA4" s="648"/>
      <c r="AB4" s="648"/>
      <c r="AC4" s="648"/>
      <c r="AD4" s="648"/>
      <c r="AE4" s="648"/>
      <c r="AF4" s="648"/>
      <c r="AG4" s="648"/>
      <c r="AH4" s="648"/>
      <c r="AI4" s="648"/>
      <c r="AJ4" s="648"/>
      <c r="AK4" s="648"/>
      <c r="AL4" s="648"/>
      <c r="AM4" s="648"/>
      <c r="AN4" s="648"/>
      <c r="AO4" s="648"/>
      <c r="AP4" s="648"/>
      <c r="AQ4" s="648"/>
      <c r="AR4" s="648"/>
      <c r="AS4" s="648"/>
      <c r="AT4" s="648"/>
      <c r="AU4" s="648"/>
      <c r="AV4" s="648"/>
      <c r="AW4" s="648"/>
      <c r="AX4" s="648"/>
      <c r="AY4" s="648"/>
      <c r="AZ4" s="648"/>
      <c r="BA4" s="648"/>
      <c r="BB4" s="648"/>
      <c r="BC4" s="648"/>
      <c r="BD4" s="648"/>
      <c r="BE4" s="648"/>
      <c r="BF4" s="648"/>
      <c r="BG4" s="648"/>
      <c r="BH4" s="648"/>
      <c r="BI4" s="648"/>
      <c r="BJ4" s="648"/>
      <c r="BK4" s="648"/>
      <c r="BL4" s="648"/>
      <c r="BM4" s="648"/>
      <c r="BN4" s="648"/>
      <c r="BO4" s="648"/>
      <c r="BP4" s="648"/>
      <c r="BQ4" s="648"/>
      <c r="BR4" s="648"/>
      <c r="BS4" s="648"/>
      <c r="BT4" s="648"/>
      <c r="BU4" s="648"/>
      <c r="BV4" s="648"/>
      <c r="BW4" s="648"/>
      <c r="BX4" s="648"/>
      <c r="BY4" s="648"/>
      <c r="BZ4" s="648"/>
      <c r="CA4" s="648"/>
      <c r="CB4" s="648"/>
      <c r="CC4" s="648"/>
      <c r="CD4" s="648"/>
      <c r="CE4" s="648"/>
      <c r="CF4" s="648"/>
      <c r="CG4" s="648"/>
      <c r="CH4" s="648"/>
      <c r="CI4" s="648"/>
      <c r="CJ4" s="648"/>
      <c r="CK4" s="648"/>
      <c r="CL4" s="648"/>
      <c r="CM4" s="648"/>
      <c r="CN4" s="648"/>
      <c r="CO4" s="648"/>
      <c r="CP4" s="648"/>
      <c r="CQ4" s="648"/>
      <c r="CR4" s="648"/>
      <c r="CS4" s="648"/>
      <c r="CT4" s="648"/>
      <c r="CU4" s="648"/>
      <c r="CV4" s="648"/>
      <c r="CW4" s="648"/>
      <c r="CX4" s="648"/>
      <c r="CY4" s="648"/>
      <c r="CZ4" s="648"/>
      <c r="DA4" s="648"/>
    </row>
    <row r="5" spans="1:135">
      <c r="A5" s="905"/>
      <c r="B5" s="905"/>
      <c r="C5" s="906"/>
      <c r="D5" s="907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908"/>
      <c r="AD5" s="21"/>
      <c r="AE5" s="21"/>
      <c r="AF5" s="21"/>
      <c r="AG5" s="21"/>
      <c r="AH5" s="908"/>
      <c r="AI5" s="21"/>
      <c r="AJ5" s="21"/>
      <c r="AK5" s="21"/>
      <c r="AL5" s="21"/>
      <c r="AM5" s="908"/>
      <c r="AN5" s="21"/>
      <c r="AO5" s="21"/>
      <c r="AP5" s="21"/>
      <c r="AQ5" s="21"/>
      <c r="AR5" s="908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</row>
    <row r="6" spans="1:135">
      <c r="B6" s="304" t="s">
        <v>712</v>
      </c>
      <c r="C6" s="304"/>
      <c r="D6" s="18"/>
      <c r="J6" s="909"/>
      <c r="K6" s="909"/>
      <c r="L6" s="909"/>
      <c r="M6" s="909"/>
      <c r="N6" s="909"/>
      <c r="O6" s="909"/>
      <c r="P6" s="909"/>
      <c r="Q6" s="909"/>
      <c r="R6" s="909"/>
      <c r="S6" s="909"/>
      <c r="T6" s="909"/>
      <c r="U6" s="909"/>
      <c r="V6" s="909"/>
      <c r="W6" s="909"/>
      <c r="X6" s="909" t="s">
        <v>797</v>
      </c>
      <c r="Y6" s="909"/>
      <c r="Z6" s="909"/>
      <c r="AA6" s="909"/>
      <c r="AB6" s="909"/>
      <c r="AC6" s="909" t="s">
        <v>870</v>
      </c>
      <c r="AD6" s="909"/>
      <c r="AE6" s="909"/>
      <c r="AF6" s="909"/>
      <c r="AG6" s="909"/>
      <c r="AH6" s="909" t="s">
        <v>929</v>
      </c>
      <c r="AI6" s="909"/>
      <c r="AJ6" s="909"/>
      <c r="AK6" s="909"/>
      <c r="AL6" s="909"/>
      <c r="AM6" s="909" t="s">
        <v>1014</v>
      </c>
      <c r="AN6" s="909"/>
      <c r="AO6" s="909"/>
      <c r="AP6" s="909"/>
      <c r="AQ6" s="909"/>
      <c r="AR6" s="909" t="s">
        <v>1072</v>
      </c>
      <c r="AS6" s="909"/>
      <c r="AT6" s="909"/>
      <c r="AU6" s="909"/>
      <c r="AV6" s="909"/>
      <c r="AW6" s="909" t="s">
        <v>1110</v>
      </c>
      <c r="AX6" s="909"/>
      <c r="AY6" s="909"/>
      <c r="AZ6" s="909"/>
      <c r="BA6" s="909"/>
      <c r="BB6" s="909" t="s">
        <v>879</v>
      </c>
      <c r="BC6" s="909"/>
      <c r="BD6" s="909"/>
      <c r="BE6" s="909"/>
      <c r="BF6" s="909"/>
      <c r="BG6" s="909" t="s">
        <v>941</v>
      </c>
      <c r="BH6" s="909"/>
      <c r="BI6" s="909"/>
      <c r="BJ6" s="909"/>
      <c r="BK6" s="909"/>
      <c r="BL6" s="909" t="s">
        <v>946</v>
      </c>
      <c r="BM6" s="909"/>
      <c r="BN6" s="909"/>
      <c r="BO6" s="909"/>
      <c r="BP6" s="909"/>
      <c r="BQ6" s="909" t="s">
        <v>1046</v>
      </c>
      <c r="BS6" s="304" t="s">
        <v>636</v>
      </c>
      <c r="BT6" s="304"/>
      <c r="BU6" s="18"/>
      <c r="BW6" s="909" t="s">
        <v>637</v>
      </c>
      <c r="BX6" s="909" t="s">
        <v>638</v>
      </c>
      <c r="BY6" s="909" t="s">
        <v>639</v>
      </c>
      <c r="CA6" s="909"/>
      <c r="CB6" s="909"/>
      <c r="CC6" s="909"/>
      <c r="CD6" s="909"/>
      <c r="CF6" s="909"/>
      <c r="CG6" s="909"/>
      <c r="CH6" s="909"/>
      <c r="CI6" s="909"/>
      <c r="CK6" s="909"/>
      <c r="CL6" s="909"/>
      <c r="CM6" s="909"/>
      <c r="CN6" s="909"/>
      <c r="CP6" s="909"/>
      <c r="CQ6" s="909"/>
      <c r="CR6" s="909"/>
      <c r="CS6" s="909"/>
      <c r="CU6" s="909"/>
      <c r="CV6" s="909"/>
      <c r="CW6" s="909"/>
      <c r="CX6" s="909"/>
      <c r="DA6" s="21"/>
      <c r="DB6" s="1668" t="s">
        <v>1083</v>
      </c>
      <c r="DC6" s="1671">
        <v>2018</v>
      </c>
      <c r="DD6" s="1671">
        <f t="shared" ref="DD6:EE6" si="0">DC6+1</f>
        <v>2019</v>
      </c>
      <c r="DE6" s="1671">
        <f t="shared" si="0"/>
        <v>2020</v>
      </c>
      <c r="DF6" s="1671">
        <f t="shared" si="0"/>
        <v>2021</v>
      </c>
      <c r="DG6" s="1671">
        <f t="shared" si="0"/>
        <v>2022</v>
      </c>
      <c r="DH6" s="1671">
        <f t="shared" si="0"/>
        <v>2023</v>
      </c>
      <c r="DI6" s="1671">
        <f t="shared" si="0"/>
        <v>2024</v>
      </c>
      <c r="DJ6" s="1671">
        <f t="shared" si="0"/>
        <v>2025</v>
      </c>
      <c r="DK6" s="1671">
        <f t="shared" si="0"/>
        <v>2026</v>
      </c>
      <c r="DL6" s="1671">
        <f t="shared" si="0"/>
        <v>2027</v>
      </c>
      <c r="DM6" s="1671">
        <f t="shared" si="0"/>
        <v>2028</v>
      </c>
      <c r="DN6" s="1671">
        <f t="shared" si="0"/>
        <v>2029</v>
      </c>
      <c r="DO6" s="1671">
        <f t="shared" si="0"/>
        <v>2030</v>
      </c>
      <c r="DP6" s="1671">
        <f t="shared" si="0"/>
        <v>2031</v>
      </c>
      <c r="DQ6" s="1671">
        <f t="shared" si="0"/>
        <v>2032</v>
      </c>
      <c r="DR6" s="1671">
        <f t="shared" si="0"/>
        <v>2033</v>
      </c>
      <c r="DS6" s="1671">
        <f t="shared" si="0"/>
        <v>2034</v>
      </c>
      <c r="DT6" s="1671">
        <f t="shared" si="0"/>
        <v>2035</v>
      </c>
      <c r="DU6" s="1671">
        <f t="shared" si="0"/>
        <v>2036</v>
      </c>
      <c r="DV6" s="1671">
        <f t="shared" si="0"/>
        <v>2037</v>
      </c>
      <c r="DW6" s="1671">
        <f t="shared" si="0"/>
        <v>2038</v>
      </c>
      <c r="DX6" s="1671">
        <f t="shared" si="0"/>
        <v>2039</v>
      </c>
      <c r="DY6" s="1671">
        <f t="shared" si="0"/>
        <v>2040</v>
      </c>
      <c r="DZ6" s="1671">
        <f t="shared" si="0"/>
        <v>2041</v>
      </c>
      <c r="EA6" s="1671">
        <f t="shared" si="0"/>
        <v>2042</v>
      </c>
      <c r="EB6" s="1671">
        <f t="shared" si="0"/>
        <v>2043</v>
      </c>
      <c r="EC6" s="1671">
        <f t="shared" si="0"/>
        <v>2044</v>
      </c>
      <c r="ED6" s="1671">
        <f t="shared" si="0"/>
        <v>2045</v>
      </c>
      <c r="EE6" s="1671">
        <f t="shared" si="0"/>
        <v>2046</v>
      </c>
    </row>
    <row r="7" spans="1:135">
      <c r="C7" s="553" t="s">
        <v>478</v>
      </c>
      <c r="S7" s="657"/>
      <c r="X7" s="657">
        <f>+Financial!X10</f>
        <v>1.2700015382006207</v>
      </c>
      <c r="AC7" s="657">
        <f>+Financial!AC10</f>
        <v>1.3989458647357274</v>
      </c>
      <c r="AH7" s="657">
        <f>+Financial!AH10</f>
        <v>1.2637795275590551</v>
      </c>
      <c r="AM7" s="657">
        <f>+Financial!AM10</f>
        <v>1.2854330708661417</v>
      </c>
      <c r="AR7" s="657">
        <f>+Financial!AR10</f>
        <v>1.0118110236220472</v>
      </c>
      <c r="AW7" s="657">
        <f>+Financial!AW10</f>
        <v>0.99605522682445757</v>
      </c>
      <c r="BB7" s="657">
        <f>+Financial!BB10</f>
        <v>1.0395049527694398</v>
      </c>
      <c r="BG7" s="657">
        <f>+Financial!BG10</f>
        <v>0.91894034371310296</v>
      </c>
      <c r="BL7" s="657">
        <f>+Financial!BL10</f>
        <v>0.93522168999462008</v>
      </c>
      <c r="BQ7" s="657">
        <f>+Financial!BQ10</f>
        <v>1.1720998694971019</v>
      </c>
      <c r="BT7" t="s">
        <v>41</v>
      </c>
      <c r="BW7" s="910" t="s">
        <v>941</v>
      </c>
      <c r="BX7" s="910" t="s">
        <v>941</v>
      </c>
      <c r="BY7" s="910" t="s">
        <v>941</v>
      </c>
      <c r="DA7" s="21"/>
      <c r="DB7" s="2" t="s">
        <v>1085</v>
      </c>
      <c r="DC7" s="1763">
        <v>0.28999999999999998</v>
      </c>
      <c r="DD7" s="1667">
        <f>DC7</f>
        <v>0.28999999999999998</v>
      </c>
      <c r="DE7" s="1667">
        <f t="shared" ref="DE7:DT7" si="1">DD7</f>
        <v>0.28999999999999998</v>
      </c>
      <c r="DF7" s="1667">
        <f t="shared" si="1"/>
        <v>0.28999999999999998</v>
      </c>
      <c r="DG7" s="1667">
        <f t="shared" si="1"/>
        <v>0.28999999999999998</v>
      </c>
      <c r="DH7" s="1667">
        <f t="shared" si="1"/>
        <v>0.28999999999999998</v>
      </c>
      <c r="DI7" s="1667">
        <f t="shared" si="1"/>
        <v>0.28999999999999998</v>
      </c>
      <c r="DJ7" s="1667">
        <f t="shared" si="1"/>
        <v>0.28999999999999998</v>
      </c>
      <c r="DK7" s="1667">
        <f t="shared" si="1"/>
        <v>0.28999999999999998</v>
      </c>
      <c r="DL7" s="1667">
        <f t="shared" si="1"/>
        <v>0.28999999999999998</v>
      </c>
      <c r="DM7" s="1667">
        <f t="shared" si="1"/>
        <v>0.28999999999999998</v>
      </c>
      <c r="DN7" s="1667">
        <f t="shared" si="1"/>
        <v>0.28999999999999998</v>
      </c>
      <c r="DO7" s="1667">
        <f t="shared" si="1"/>
        <v>0.28999999999999998</v>
      </c>
      <c r="DP7" s="1667">
        <f t="shared" si="1"/>
        <v>0.28999999999999998</v>
      </c>
      <c r="DQ7" s="1667">
        <f t="shared" si="1"/>
        <v>0.28999999999999998</v>
      </c>
      <c r="DR7" s="1667">
        <f t="shared" si="1"/>
        <v>0.28999999999999998</v>
      </c>
      <c r="DS7" s="1667">
        <f t="shared" si="1"/>
        <v>0.28999999999999998</v>
      </c>
      <c r="DT7" s="1667">
        <f t="shared" si="1"/>
        <v>0.28999999999999998</v>
      </c>
      <c r="DU7" s="1667">
        <f>$DT$7*($DU$19-$DU$16)/$DU$19</f>
        <v>0.19654694686974963</v>
      </c>
      <c r="DV7" s="1667">
        <f t="shared" ref="DV7:DX7" si="2">$DT$7*($DU$19-$DU$16)/$DU$19</f>
        <v>0.19654694686974963</v>
      </c>
      <c r="DW7" s="1667">
        <f t="shared" si="2"/>
        <v>0.19654694686974963</v>
      </c>
      <c r="DX7" s="1667">
        <f t="shared" si="2"/>
        <v>0.19654694686974963</v>
      </c>
      <c r="DY7" s="1667">
        <f>$DT$7*($DU$19-SUM($DU$16:$DU$17))/$DU$19</f>
        <v>0.10309389373949926</v>
      </c>
      <c r="DZ7" s="1667">
        <f t="shared" ref="DZ7:EE7" si="3">$DT$7*($DU$19-SUM($DU$16:$DU$17))/$DU$19</f>
        <v>0.10309389373949926</v>
      </c>
      <c r="EA7" s="1667">
        <f t="shared" si="3"/>
        <v>0.10309389373949926</v>
      </c>
      <c r="EB7" s="1667">
        <f t="shared" si="3"/>
        <v>0.10309389373949926</v>
      </c>
      <c r="EC7" s="1667">
        <f t="shared" si="3"/>
        <v>0.10309389373949926</v>
      </c>
      <c r="ED7" s="1667">
        <f t="shared" si="3"/>
        <v>0.10309389373949926</v>
      </c>
      <c r="EE7" s="1667">
        <f t="shared" si="3"/>
        <v>0.10309389373949926</v>
      </c>
    </row>
    <row r="8" spans="1:135">
      <c r="C8" s="553" t="s">
        <v>477</v>
      </c>
      <c r="J8" s="911"/>
      <c r="K8" s="911"/>
      <c r="L8" s="911"/>
      <c r="M8" s="911"/>
      <c r="N8" s="911"/>
      <c r="O8" s="911"/>
      <c r="P8" s="911"/>
      <c r="Q8" s="911"/>
      <c r="R8" s="911"/>
      <c r="S8" s="657"/>
      <c r="T8" s="911"/>
      <c r="U8" s="911"/>
      <c r="V8" s="911"/>
      <c r="W8" s="911"/>
      <c r="X8" s="657">
        <f>+Financial!X11</f>
        <v>1.0412434971582729</v>
      </c>
      <c r="Y8" s="911"/>
      <c r="Z8" s="911"/>
      <c r="AA8" s="911"/>
      <c r="AB8" s="911"/>
      <c r="AC8" s="657">
        <f>+Financial!AC11</f>
        <v>1.2058519284764297</v>
      </c>
      <c r="AD8" s="911"/>
      <c r="AE8" s="911"/>
      <c r="AF8" s="911"/>
      <c r="AG8" s="911"/>
      <c r="AH8" s="657">
        <f>+Financial!AH11</f>
        <v>1.4271653543307086</v>
      </c>
      <c r="AI8" s="911"/>
      <c r="AJ8" s="911"/>
      <c r="AK8" s="911"/>
      <c r="AL8" s="911"/>
      <c r="AM8" s="657">
        <f>+Financial!AM11</f>
        <v>1.5492125984251968</v>
      </c>
      <c r="AN8" s="911"/>
      <c r="AO8" s="911"/>
      <c r="AP8" s="911"/>
      <c r="AQ8" s="911"/>
      <c r="AR8" s="657">
        <f>+Financial!AR11</f>
        <v>1.75</v>
      </c>
      <c r="AS8" s="911"/>
      <c r="AT8" s="911"/>
      <c r="AU8" s="911"/>
      <c r="AV8" s="911"/>
      <c r="AW8" s="657">
        <f>+Financial!AW11</f>
        <v>1.8994082840236686</v>
      </c>
      <c r="AX8" s="911"/>
      <c r="AY8" s="911"/>
      <c r="AZ8" s="911"/>
      <c r="BA8" s="911"/>
      <c r="BB8" s="657">
        <f>+Financial!BB11</f>
        <v>2.0400034061643675</v>
      </c>
      <c r="BC8" s="911"/>
      <c r="BD8" s="911"/>
      <c r="BE8" s="911"/>
      <c r="BF8" s="911"/>
      <c r="BG8" s="657">
        <f>+Financial!BG11</f>
        <v>2.1855721157290167</v>
      </c>
      <c r="BH8" s="911"/>
      <c r="BI8" s="911"/>
      <c r="BJ8" s="911"/>
      <c r="BK8" s="911"/>
      <c r="BL8" s="657">
        <f>+Financial!BL11</f>
        <v>2.3251339980777597</v>
      </c>
      <c r="BM8" s="911"/>
      <c r="BN8" s="911"/>
      <c r="BO8" s="911"/>
      <c r="BP8" s="911"/>
      <c r="BQ8" s="657">
        <f>+Financial!BQ11</f>
        <v>2.4620511941308849</v>
      </c>
      <c r="BT8" t="s">
        <v>714</v>
      </c>
      <c r="BW8" s="1005">
        <f>BG53*BG55*0.1/BG61+BG9</f>
        <v>2.0412542731749395</v>
      </c>
      <c r="BX8" s="1619">
        <f>BG8+BG9</f>
        <v>2.2860461077230569</v>
      </c>
      <c r="BY8" s="1005">
        <f>BG53*BG55*0.12/BG61+BG9+0.09</f>
        <v>2.519410329411119</v>
      </c>
      <c r="CA8" s="911"/>
      <c r="CB8" s="911"/>
      <c r="CC8" s="911"/>
      <c r="CD8" s="911"/>
      <c r="CF8" s="911"/>
      <c r="CG8" s="911"/>
      <c r="CH8" s="911"/>
      <c r="CI8" s="911"/>
      <c r="CK8" s="911"/>
      <c r="CL8" s="911"/>
      <c r="CM8" s="911"/>
      <c r="CN8" s="911"/>
      <c r="CP8" s="911"/>
      <c r="CQ8" s="911"/>
      <c r="CR8" s="911"/>
      <c r="CS8" s="911"/>
      <c r="CU8" s="911"/>
      <c r="CV8" s="911"/>
      <c r="CW8" s="911"/>
      <c r="CX8" s="911"/>
      <c r="DA8" s="21"/>
      <c r="DB8" s="1666" t="s">
        <v>1086</v>
      </c>
      <c r="DC8" s="1">
        <f>PEG!BB46</f>
        <v>508</v>
      </c>
      <c r="DD8" s="1">
        <f>PEG!BG46</f>
        <v>508</v>
      </c>
      <c r="DE8" s="1">
        <f>PEG!BL46</f>
        <v>508</v>
      </c>
      <c r="DF8" s="1">
        <f>PEG!BQ46</f>
        <v>508</v>
      </c>
      <c r="DG8" s="1">
        <f t="shared" ref="DG8:DL8" si="4">DF8</f>
        <v>508</v>
      </c>
      <c r="DH8" s="1664">
        <f t="shared" si="4"/>
        <v>508</v>
      </c>
      <c r="DI8" s="1664">
        <f t="shared" si="4"/>
        <v>508</v>
      </c>
      <c r="DJ8" s="1664">
        <f t="shared" si="4"/>
        <v>508</v>
      </c>
      <c r="DK8" s="1664">
        <f t="shared" si="4"/>
        <v>508</v>
      </c>
      <c r="DL8" s="1664">
        <f t="shared" si="4"/>
        <v>508</v>
      </c>
      <c r="DM8" s="1664">
        <f t="shared" ref="DM8:DY8" si="5">DL8</f>
        <v>508</v>
      </c>
      <c r="DN8" s="1664">
        <f t="shared" si="5"/>
        <v>508</v>
      </c>
      <c r="DO8" s="1664">
        <f t="shared" si="5"/>
        <v>508</v>
      </c>
      <c r="DP8" s="1664">
        <f t="shared" si="5"/>
        <v>508</v>
      </c>
      <c r="DQ8" s="1664">
        <f t="shared" si="5"/>
        <v>508</v>
      </c>
      <c r="DR8" s="1664">
        <f t="shared" si="5"/>
        <v>508</v>
      </c>
      <c r="DS8" s="1664">
        <f t="shared" si="5"/>
        <v>508</v>
      </c>
      <c r="DT8" s="1664">
        <f t="shared" si="5"/>
        <v>508</v>
      </c>
      <c r="DU8" s="1664">
        <f t="shared" si="5"/>
        <v>508</v>
      </c>
      <c r="DV8" s="1664">
        <f t="shared" si="5"/>
        <v>508</v>
      </c>
      <c r="DW8" s="1664">
        <f t="shared" si="5"/>
        <v>508</v>
      </c>
      <c r="DX8" s="1664">
        <f t="shared" si="5"/>
        <v>508</v>
      </c>
      <c r="DY8" s="1664">
        <f t="shared" si="5"/>
        <v>508</v>
      </c>
      <c r="DZ8" s="1664">
        <f t="shared" ref="DZ8:EE8" si="6">DY8</f>
        <v>508</v>
      </c>
      <c r="EA8" s="1664">
        <f t="shared" si="6"/>
        <v>508</v>
      </c>
      <c r="EB8" s="1664">
        <f t="shared" si="6"/>
        <v>508</v>
      </c>
      <c r="EC8" s="1664">
        <f t="shared" si="6"/>
        <v>508</v>
      </c>
      <c r="ED8" s="1664">
        <f t="shared" si="6"/>
        <v>508</v>
      </c>
      <c r="EE8" s="1664">
        <f t="shared" si="6"/>
        <v>508</v>
      </c>
    </row>
    <row r="9" spans="1:135">
      <c r="C9" s="47" t="s">
        <v>40</v>
      </c>
      <c r="S9" s="657"/>
      <c r="X9" s="657">
        <f>+Financial!X12</f>
        <v>0.12621133298888113</v>
      </c>
      <c r="AC9" s="657">
        <f>+Financial!AC12</f>
        <v>-2.5614501748682333E-2</v>
      </c>
      <c r="AH9" s="657">
        <f>+Financial!AH12</f>
        <v>6.4960629921259838E-2</v>
      </c>
      <c r="AM9" s="657">
        <f>+Financial!AM12</f>
        <v>7.0866141732283464E-2</v>
      </c>
      <c r="AR9" s="657">
        <f>+Financial!AR12</f>
        <v>0.14173228346456693</v>
      </c>
      <c r="AW9" s="657">
        <f>+Financial!AW12</f>
        <v>3.9447731755423612E-2</v>
      </c>
      <c r="BB9" s="657">
        <f>+Financial!BB12</f>
        <v>7.78146949434292E-2</v>
      </c>
      <c r="BG9" s="657">
        <f>+Financial!BG12</f>
        <v>0.10047399199404025</v>
      </c>
      <c r="BL9" s="657">
        <f>+Financial!BL12</f>
        <v>6.5563733998637852E-2</v>
      </c>
      <c r="BQ9" s="657">
        <f>+Financial!BQ12</f>
        <v>7.9529386432967628E-2</v>
      </c>
      <c r="DA9" s="1640"/>
      <c r="DB9" s="1666" t="s">
        <v>1087</v>
      </c>
      <c r="DC9" s="1669">
        <f t="shared" ref="DC9:DL9" si="7">DC7*DC8</f>
        <v>147.32</v>
      </c>
      <c r="DD9" s="1669">
        <f t="shared" si="7"/>
        <v>147.32</v>
      </c>
      <c r="DE9" s="1669">
        <f t="shared" si="7"/>
        <v>147.32</v>
      </c>
      <c r="DF9" s="1669">
        <f t="shared" si="7"/>
        <v>147.32</v>
      </c>
      <c r="DG9" s="1669">
        <f t="shared" si="7"/>
        <v>147.32</v>
      </c>
      <c r="DH9" s="1669">
        <f t="shared" si="7"/>
        <v>147.32</v>
      </c>
      <c r="DI9" s="1669">
        <f t="shared" si="7"/>
        <v>147.32</v>
      </c>
      <c r="DJ9" s="1669">
        <f t="shared" si="7"/>
        <v>147.32</v>
      </c>
      <c r="DK9" s="1669">
        <f t="shared" si="7"/>
        <v>147.32</v>
      </c>
      <c r="DL9" s="1669">
        <f t="shared" si="7"/>
        <v>147.32</v>
      </c>
      <c r="DM9" s="1669">
        <f t="shared" ref="DM9:DX9" si="8">DM7*DM8</f>
        <v>147.32</v>
      </c>
      <c r="DN9" s="1669">
        <f t="shared" si="8"/>
        <v>147.32</v>
      </c>
      <c r="DO9" s="1669">
        <f t="shared" si="8"/>
        <v>147.32</v>
      </c>
      <c r="DP9" s="1669">
        <f t="shared" si="8"/>
        <v>147.32</v>
      </c>
      <c r="DQ9" s="1669">
        <f t="shared" si="8"/>
        <v>147.32</v>
      </c>
      <c r="DR9" s="1669">
        <f t="shared" si="8"/>
        <v>147.32</v>
      </c>
      <c r="DS9" s="1669">
        <f t="shared" si="8"/>
        <v>147.32</v>
      </c>
      <c r="DT9" s="1669">
        <f t="shared" si="8"/>
        <v>147.32</v>
      </c>
      <c r="DU9" s="1669">
        <f t="shared" si="8"/>
        <v>99.845849009832818</v>
      </c>
      <c r="DV9" s="1669">
        <f t="shared" si="8"/>
        <v>99.845849009832818</v>
      </c>
      <c r="DW9" s="1669">
        <f t="shared" si="8"/>
        <v>99.845849009832818</v>
      </c>
      <c r="DX9" s="1669">
        <f t="shared" si="8"/>
        <v>99.845849009832818</v>
      </c>
      <c r="DY9" s="1669">
        <f t="shared" ref="DY9:EE9" si="9">DY7*DY8</f>
        <v>52.371698019665622</v>
      </c>
      <c r="DZ9" s="1669">
        <f t="shared" si="9"/>
        <v>52.371698019665622</v>
      </c>
      <c r="EA9" s="1669">
        <f t="shared" si="9"/>
        <v>52.371698019665622</v>
      </c>
      <c r="EB9" s="1669">
        <f t="shared" si="9"/>
        <v>52.371698019665622</v>
      </c>
      <c r="EC9" s="1669">
        <f t="shared" si="9"/>
        <v>52.371698019665622</v>
      </c>
      <c r="ED9" s="1669">
        <f t="shared" si="9"/>
        <v>52.371698019665622</v>
      </c>
      <c r="EE9" s="1669">
        <f t="shared" si="9"/>
        <v>52.371698019665622</v>
      </c>
    </row>
    <row r="10" spans="1:135">
      <c r="C10" s="64" t="s">
        <v>63</v>
      </c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967"/>
      <c r="O10" s="967"/>
      <c r="P10" s="967"/>
      <c r="Q10" s="967"/>
      <c r="R10" s="967"/>
      <c r="S10" s="967"/>
      <c r="T10" s="967"/>
      <c r="U10" s="967"/>
      <c r="V10" s="967"/>
      <c r="W10" s="967"/>
      <c r="X10" s="967">
        <f>SUM(X7:X9)</f>
        <v>2.4374563683477746</v>
      </c>
      <c r="Y10" s="967"/>
      <c r="Z10" s="967"/>
      <c r="AA10" s="967"/>
      <c r="AB10" s="967"/>
      <c r="AC10" s="967">
        <f>SUM(AC7:AC9)</f>
        <v>2.5791832914634747</v>
      </c>
      <c r="AD10" s="967"/>
      <c r="AE10" s="967"/>
      <c r="AF10" s="967"/>
      <c r="AG10" s="967"/>
      <c r="AH10" s="967">
        <f>SUM(AH7:AH9)</f>
        <v>2.7559055118110236</v>
      </c>
      <c r="AI10" s="967"/>
      <c r="AJ10" s="967"/>
      <c r="AK10" s="967"/>
      <c r="AL10" s="967"/>
      <c r="AM10" s="967">
        <f>SUM(AM7:AM9)</f>
        <v>2.9055118110236218</v>
      </c>
      <c r="AN10" s="967"/>
      <c r="AO10" s="967"/>
      <c r="AP10" s="967"/>
      <c r="AQ10" s="967"/>
      <c r="AR10" s="967">
        <f>SUM(AR7:AR9)</f>
        <v>2.9035433070866143</v>
      </c>
      <c r="AS10" s="967"/>
      <c r="AT10" s="967"/>
      <c r="AU10" s="967"/>
      <c r="AV10" s="967"/>
      <c r="AW10" s="967">
        <f>SUM(AW7:AW9)</f>
        <v>2.9349112426035497</v>
      </c>
      <c r="AX10" s="967"/>
      <c r="AY10" s="967"/>
      <c r="AZ10" s="967"/>
      <c r="BA10" s="967"/>
      <c r="BB10" s="967">
        <f>SUM(BB7:BB9)</f>
        <v>3.1573230538772363</v>
      </c>
      <c r="BC10" s="967"/>
      <c r="BD10" s="967"/>
      <c r="BE10" s="967"/>
      <c r="BF10" s="967"/>
      <c r="BG10" s="967">
        <f>SUM(BG7:BG9)</f>
        <v>3.2049864514361599</v>
      </c>
      <c r="BH10" s="967"/>
      <c r="BI10" s="967"/>
      <c r="BJ10" s="967"/>
      <c r="BK10" s="967"/>
      <c r="BL10" s="967">
        <f>SUM(BL7:BL9)</f>
        <v>3.3259194220710175</v>
      </c>
      <c r="BM10" s="967"/>
      <c r="BN10" s="967"/>
      <c r="BO10" s="967"/>
      <c r="BP10" s="967"/>
      <c r="BQ10" s="967">
        <f>SUM(BQ7:BQ9)</f>
        <v>3.7136804500609544</v>
      </c>
      <c r="BT10" t="s">
        <v>640</v>
      </c>
      <c r="BW10" s="916">
        <f>+BX10</f>
        <v>17.600000000000001</v>
      </c>
      <c r="BX10" s="915">
        <v>17.600000000000001</v>
      </c>
      <c r="BY10" s="916">
        <f>+BX10</f>
        <v>17.600000000000001</v>
      </c>
      <c r="CA10" s="967"/>
      <c r="CB10" s="967"/>
      <c r="CC10" s="967"/>
      <c r="CD10" s="967"/>
      <c r="CF10" s="967"/>
      <c r="CG10" s="967"/>
      <c r="CH10" s="967"/>
      <c r="CI10" s="967"/>
      <c r="CK10" s="967"/>
      <c r="CL10" s="967"/>
      <c r="CM10" s="967"/>
      <c r="CN10" s="967"/>
      <c r="CP10" s="967"/>
      <c r="CQ10" s="967"/>
      <c r="CR10" s="967"/>
      <c r="CS10" s="967"/>
      <c r="CU10" s="967"/>
      <c r="CV10" s="967"/>
      <c r="CW10" s="967"/>
      <c r="CX10" s="967"/>
      <c r="CZ10" s="967"/>
      <c r="DA10" s="967"/>
      <c r="DB10" s="1665"/>
      <c r="DC10" s="1672"/>
      <c r="DD10" s="1672"/>
      <c r="DE10" s="1672"/>
      <c r="DF10" s="1672"/>
      <c r="DG10" s="1672"/>
      <c r="DH10" s="1672"/>
      <c r="DI10" s="1672"/>
      <c r="DJ10" s="1672"/>
      <c r="DK10" s="1672"/>
      <c r="DL10" s="1672"/>
      <c r="DM10" s="1672"/>
      <c r="DN10" s="1672"/>
      <c r="DO10" s="1672"/>
      <c r="DP10" s="1672"/>
      <c r="DQ10" s="1672"/>
      <c r="DR10" s="1672"/>
      <c r="DS10" s="1672"/>
      <c r="DT10" s="1672"/>
      <c r="DU10" s="1672"/>
      <c r="DV10" s="1672"/>
      <c r="DW10" s="1672"/>
      <c r="DX10" s="1672"/>
      <c r="DY10" s="1672"/>
      <c r="DZ10" s="1672"/>
      <c r="EA10" s="1672"/>
      <c r="EB10" s="1672"/>
      <c r="EC10" s="1672"/>
      <c r="ED10" s="1672"/>
      <c r="EE10" s="1672"/>
    </row>
    <row r="11" spans="1:135">
      <c r="B11" s="931" t="s">
        <v>585</v>
      </c>
      <c r="C11" s="278" t="s">
        <v>713</v>
      </c>
      <c r="D11" s="278"/>
      <c r="E11" s="278"/>
      <c r="F11" s="278"/>
      <c r="G11" s="278"/>
      <c r="H11" s="278"/>
      <c r="I11" s="278"/>
      <c r="J11" s="278"/>
      <c r="K11" s="278"/>
      <c r="L11" s="278"/>
      <c r="M11" s="278"/>
      <c r="N11" s="278"/>
      <c r="O11" s="278"/>
      <c r="P11" s="278"/>
      <c r="Q11" s="278"/>
      <c r="R11" s="278"/>
      <c r="S11" s="278"/>
      <c r="T11" s="278"/>
      <c r="U11" s="278"/>
      <c r="V11" s="278"/>
      <c r="W11" s="278"/>
      <c r="X11" s="993"/>
      <c r="Y11" s="994"/>
      <c r="Z11" s="994"/>
      <c r="AA11" s="994"/>
      <c r="AB11" s="994"/>
      <c r="AC11" s="993"/>
      <c r="AD11" s="994"/>
      <c r="AE11" s="994"/>
      <c r="AF11" s="994"/>
      <c r="AG11" s="994"/>
      <c r="AH11" s="1319"/>
      <c r="AI11" s="1320"/>
      <c r="AJ11" s="1320"/>
      <c r="AK11" s="1320"/>
      <c r="AL11" s="1320"/>
      <c r="AM11" s="1319"/>
      <c r="AN11" s="1320"/>
      <c r="AO11" s="1320"/>
      <c r="AP11" s="1320"/>
      <c r="AQ11" s="1320"/>
      <c r="AR11" s="1319"/>
      <c r="AS11" s="994"/>
      <c r="AT11" s="994"/>
      <c r="AU11" s="994"/>
      <c r="AV11" s="994"/>
      <c r="AW11" s="1319"/>
      <c r="AX11" s="994"/>
      <c r="AY11" s="994"/>
      <c r="AZ11" s="994"/>
      <c r="BA11" s="994"/>
      <c r="BB11" s="1319" t="s">
        <v>1116</v>
      </c>
      <c r="BC11" s="994"/>
      <c r="BD11" s="994"/>
      <c r="BE11" s="994"/>
      <c r="BF11" s="994"/>
      <c r="BG11" s="1319" t="s">
        <v>1117</v>
      </c>
      <c r="BH11" s="994"/>
      <c r="BI11" s="994"/>
      <c r="BJ11" s="994"/>
      <c r="BK11" s="994"/>
      <c r="BL11" s="1319" t="s">
        <v>1118</v>
      </c>
      <c r="BM11" s="994"/>
      <c r="BN11" s="994"/>
      <c r="BO11" s="994"/>
      <c r="BP11" s="994"/>
      <c r="BQ11" s="1319" t="s">
        <v>1119</v>
      </c>
      <c r="BT11" t="s">
        <v>42</v>
      </c>
      <c r="BW11" s="918">
        <v>-0.05</v>
      </c>
      <c r="BX11" s="918">
        <v>0.05</v>
      </c>
      <c r="BY11" s="918">
        <v>0.05</v>
      </c>
      <c r="CA11" s="994"/>
      <c r="CB11" s="994"/>
      <c r="CC11" s="994"/>
      <c r="CD11" s="994"/>
      <c r="CE11" s="688"/>
      <c r="CF11" s="994"/>
      <c r="CG11" s="994"/>
      <c r="CH11" s="994"/>
      <c r="CI11" s="994"/>
      <c r="CK11" s="994"/>
      <c r="CL11" s="994"/>
      <c r="CM11" s="994"/>
      <c r="CN11" s="994"/>
      <c r="CP11" s="994"/>
      <c r="CQ11" s="994"/>
      <c r="CR11" s="994"/>
      <c r="CS11" s="994"/>
      <c r="CU11" s="994"/>
      <c r="CV11" s="994"/>
      <c r="CW11" s="994"/>
      <c r="CX11" s="994"/>
      <c r="CZ11" s="1319"/>
      <c r="DA11" s="1319"/>
      <c r="DB11" s="1665" t="s">
        <v>1084</v>
      </c>
      <c r="DC11" s="1670">
        <f t="shared" ref="DC11:EE11" si="10">NPV($DE$25,DC9:DZ9)</f>
        <v>1695.2840144695674</v>
      </c>
      <c r="DD11" s="1670">
        <f>NPV($DE$25,DD9:DR9)</f>
        <v>1400.727477211424</v>
      </c>
      <c r="DE11" s="1670">
        <f t="shared" si="10"/>
        <v>1637.4167435351856</v>
      </c>
      <c r="DF11" s="1670">
        <f t="shared" si="10"/>
        <v>1605.7090933198288</v>
      </c>
      <c r="DG11" s="1670">
        <f t="shared" si="10"/>
        <v>1571.9953000753464</v>
      </c>
      <c r="DH11" s="1670">
        <f t="shared" si="10"/>
        <v>1536.1484351322861</v>
      </c>
      <c r="DI11" s="1670">
        <f t="shared" si="10"/>
        <v>1486.0205466231057</v>
      </c>
      <c r="DJ11" s="1670">
        <f t="shared" si="10"/>
        <v>1432.7210666079493</v>
      </c>
      <c r="DK11" s="1670">
        <f t="shared" si="10"/>
        <v>1376.0493284922341</v>
      </c>
      <c r="DL11" s="1670">
        <f t="shared" si="10"/>
        <v>1315.7919695059375</v>
      </c>
      <c r="DM11" s="1670">
        <f t="shared" si="10"/>
        <v>1251.7221274165781</v>
      </c>
      <c r="DN11" s="1670">
        <f t="shared" si="10"/>
        <v>1183.5985864182248</v>
      </c>
      <c r="DO11" s="1670">
        <f t="shared" si="10"/>
        <v>1111.1648689809058</v>
      </c>
      <c r="DP11" s="1670">
        <f t="shared" si="10"/>
        <v>1034.1482702413273</v>
      </c>
      <c r="DQ11" s="1670">
        <f t="shared" si="10"/>
        <v>952.25883129949625</v>
      </c>
      <c r="DR11" s="1670">
        <f t="shared" si="10"/>
        <v>865.18824755581534</v>
      </c>
      <c r="DS11" s="1670">
        <f t="shared" si="10"/>
        <v>772.60870797867153</v>
      </c>
      <c r="DT11" s="1670">
        <f t="shared" si="10"/>
        <v>674.17166093248215</v>
      </c>
      <c r="DU11" s="1670">
        <f t="shared" si="10"/>
        <v>569.50650191968032</v>
      </c>
      <c r="DV11" s="1670">
        <f t="shared" si="10"/>
        <v>505.69332928630541</v>
      </c>
      <c r="DW11" s="1670">
        <f t="shared" si="10"/>
        <v>437.84269722041716</v>
      </c>
      <c r="DX11" s="1670">
        <f t="shared" si="10"/>
        <v>365.69915566372015</v>
      </c>
      <c r="DY11" s="1670">
        <f t="shared" si="10"/>
        <v>288.99109223273086</v>
      </c>
      <c r="DZ11" s="1670">
        <f t="shared" si="10"/>
        <v>254.90386061863006</v>
      </c>
      <c r="EA11" s="1670">
        <f t="shared" si="10"/>
        <v>218.65992986030517</v>
      </c>
      <c r="EB11" s="1670">
        <f t="shared" si="10"/>
        <v>180.12284560290101</v>
      </c>
      <c r="EC11" s="1670">
        <f t="shared" si="10"/>
        <v>139.14752002453093</v>
      </c>
      <c r="ED11" s="1670">
        <f t="shared" si="10"/>
        <v>95.57968559681737</v>
      </c>
      <c r="EE11" s="1670">
        <f t="shared" si="10"/>
        <v>49.255314284862379</v>
      </c>
    </row>
    <row r="12" spans="1:135">
      <c r="X12" s="655"/>
      <c r="AB12" s="655"/>
      <c r="AC12" s="655"/>
      <c r="AD12" s="655"/>
      <c r="AE12" s="655"/>
      <c r="AF12" s="655"/>
      <c r="AG12" s="655"/>
      <c r="AH12" s="655"/>
      <c r="AI12" s="655"/>
      <c r="AJ12" s="655"/>
      <c r="AK12" s="655"/>
      <c r="AL12" s="655"/>
      <c r="AM12" s="655"/>
      <c r="AN12" s="655"/>
      <c r="AO12" s="655"/>
      <c r="AP12" s="655"/>
      <c r="AQ12" s="655"/>
      <c r="AR12" s="655"/>
      <c r="AS12" s="655"/>
      <c r="AT12" s="655"/>
      <c r="AU12" s="655"/>
      <c r="AV12" s="655"/>
      <c r="AW12" s="655"/>
      <c r="AX12" s="655"/>
      <c r="AY12" s="655"/>
      <c r="AZ12" s="655"/>
      <c r="BA12" s="655"/>
      <c r="BB12" s="655"/>
      <c r="BC12" s="655"/>
      <c r="BD12" s="655"/>
      <c r="BE12" s="655"/>
      <c r="BF12" s="655"/>
      <c r="BG12" s="655"/>
      <c r="BH12" s="655"/>
      <c r="BI12" s="655"/>
      <c r="BJ12" s="655"/>
      <c r="BK12" s="655"/>
      <c r="BL12" s="655"/>
      <c r="BM12" s="655"/>
      <c r="BN12" s="655"/>
      <c r="BO12" s="655"/>
      <c r="BP12" s="655"/>
      <c r="BQ12" s="655"/>
      <c r="BT12" t="s">
        <v>43</v>
      </c>
      <c r="BW12" s="916">
        <f>+BW10*(1+BW11)</f>
        <v>16.72</v>
      </c>
      <c r="BX12" s="916">
        <f>+BX10*(1+BX11)</f>
        <v>18.480000000000004</v>
      </c>
      <c r="BY12" s="916">
        <f>+BY10*(1+BY11)</f>
        <v>18.480000000000004</v>
      </c>
      <c r="BZ12" s="655"/>
      <c r="CA12" s="655"/>
      <c r="CB12" s="655"/>
      <c r="CC12" s="655"/>
      <c r="CD12" s="655"/>
      <c r="CF12" s="655"/>
      <c r="CG12" s="655"/>
      <c r="CH12" s="655"/>
      <c r="CI12" s="655"/>
      <c r="CK12" s="655"/>
      <c r="CL12" s="655"/>
      <c r="CM12" s="655"/>
      <c r="CN12" s="655"/>
      <c r="CP12" s="655"/>
      <c r="CQ12" s="655"/>
      <c r="CR12" s="655"/>
      <c r="CS12" s="655"/>
      <c r="CU12" s="655"/>
      <c r="CV12" s="655"/>
      <c r="CW12" s="655"/>
      <c r="CX12" s="655"/>
    </row>
    <row r="13" spans="1:135">
      <c r="C13" t="s">
        <v>744</v>
      </c>
      <c r="J13" s="913"/>
      <c r="K13" s="913"/>
      <c r="L13" s="913"/>
      <c r="M13" s="913"/>
      <c r="N13" s="913"/>
      <c r="O13" s="913"/>
      <c r="P13" s="913"/>
      <c r="Q13" s="913"/>
      <c r="R13" s="913"/>
      <c r="S13" s="914"/>
      <c r="T13" s="913"/>
      <c r="U13" s="913"/>
      <c r="V13" s="913"/>
      <c r="W13" s="913"/>
      <c r="X13" s="914"/>
      <c r="Y13" s="913"/>
      <c r="Z13" s="913"/>
      <c r="AA13" s="913"/>
      <c r="AB13" s="913"/>
      <c r="AC13" s="914"/>
      <c r="AD13" s="913"/>
      <c r="AE13" s="913"/>
      <c r="AF13" s="913"/>
      <c r="AG13" s="913"/>
      <c r="AH13" s="914">
        <v>14</v>
      </c>
      <c r="AI13" s="917"/>
      <c r="AJ13" s="917"/>
      <c r="AK13" s="917"/>
      <c r="AL13" s="917"/>
      <c r="AM13" s="914">
        <v>14</v>
      </c>
      <c r="AN13" s="917"/>
      <c r="AO13" s="917"/>
      <c r="AP13" s="917"/>
      <c r="AQ13" s="917"/>
      <c r="AR13" s="914">
        <v>14</v>
      </c>
      <c r="AS13" s="917"/>
      <c r="AT13" s="917"/>
      <c r="AU13" s="917"/>
      <c r="AV13" s="917"/>
      <c r="AW13" s="914">
        <v>14</v>
      </c>
      <c r="AX13" s="917"/>
      <c r="AY13" s="917"/>
      <c r="AZ13" s="917"/>
      <c r="BA13" s="917"/>
      <c r="BB13" s="914">
        <v>14</v>
      </c>
      <c r="BC13" s="917"/>
      <c r="BD13" s="917"/>
      <c r="BE13" s="917"/>
      <c r="BF13" s="917"/>
      <c r="BG13" s="914">
        <v>14</v>
      </c>
      <c r="BH13" s="917"/>
      <c r="BI13" s="917"/>
      <c r="BJ13" s="917"/>
      <c r="BK13" s="917"/>
      <c r="BL13" s="914">
        <v>14</v>
      </c>
      <c r="BM13" s="917"/>
      <c r="BN13" s="917"/>
      <c r="BO13" s="917"/>
      <c r="BP13" s="917"/>
      <c r="BQ13" s="914">
        <v>14</v>
      </c>
      <c r="BT13" s="64" t="s">
        <v>24</v>
      </c>
      <c r="BU13" s="64"/>
      <c r="BW13" s="688">
        <f>+BW12*BW8</f>
        <v>34.129771447484984</v>
      </c>
      <c r="BX13" s="688">
        <f>+BX12*BX8</f>
        <v>42.246132070722105</v>
      </c>
      <c r="BY13" s="688">
        <f>+BY12*BY8</f>
        <v>46.558702887517491</v>
      </c>
      <c r="CA13" s="917"/>
      <c r="CB13" s="917"/>
      <c r="CC13" s="917"/>
      <c r="CD13" s="917"/>
      <c r="CF13" s="917"/>
      <c r="CG13" s="917"/>
      <c r="CH13" s="917"/>
      <c r="CI13" s="917"/>
      <c r="CJ13" s="655"/>
      <c r="CK13" s="917"/>
      <c r="CL13" s="917"/>
      <c r="CM13" s="917"/>
      <c r="CN13" s="917"/>
      <c r="CO13" s="655"/>
      <c r="CP13" s="917"/>
      <c r="CQ13" s="917"/>
      <c r="CR13" s="917"/>
      <c r="CS13" s="917"/>
      <c r="CT13" s="655"/>
      <c r="CU13" s="917"/>
      <c r="CV13" s="917"/>
      <c r="CW13" s="917"/>
      <c r="CX13" s="917"/>
      <c r="CZ13" s="1641"/>
      <c r="DB13" s="1321" t="s">
        <v>1091</v>
      </c>
      <c r="DC13" s="970">
        <f>DD11/PEG!AW46</f>
        <v>2.7627760891744062</v>
      </c>
    </row>
    <row r="14" spans="1:135">
      <c r="C14" t="s">
        <v>42</v>
      </c>
      <c r="J14" s="917"/>
      <c r="K14" s="917"/>
      <c r="L14" s="917"/>
      <c r="M14" s="917"/>
      <c r="N14" s="917"/>
      <c r="O14" s="917"/>
      <c r="P14" s="917"/>
      <c r="Q14" s="917"/>
      <c r="R14" s="917"/>
      <c r="S14" s="918"/>
      <c r="T14" s="917"/>
      <c r="U14" s="917"/>
      <c r="V14" s="917"/>
      <c r="W14" s="917"/>
      <c r="X14" s="918"/>
      <c r="Y14" s="917"/>
      <c r="Z14" s="917"/>
      <c r="AA14" s="917"/>
      <c r="AB14" s="917"/>
      <c r="AC14" s="918"/>
      <c r="AD14" s="917"/>
      <c r="AE14" s="917"/>
      <c r="AF14" s="917"/>
      <c r="AG14" s="917"/>
      <c r="AH14" s="918">
        <v>0</v>
      </c>
      <c r="AI14" s="916"/>
      <c r="AJ14" s="916"/>
      <c r="AK14" s="916"/>
      <c r="AL14" s="916"/>
      <c r="AM14" s="918">
        <v>0</v>
      </c>
      <c r="AN14" s="916"/>
      <c r="AO14" s="916"/>
      <c r="AP14" s="916"/>
      <c r="AQ14" s="916"/>
      <c r="AR14" s="918">
        <v>0</v>
      </c>
      <c r="AS14" s="916"/>
      <c r="AT14" s="916"/>
      <c r="AU14" s="916"/>
      <c r="AV14" s="916"/>
      <c r="AW14" s="918">
        <v>0</v>
      </c>
      <c r="AX14" s="916"/>
      <c r="AY14" s="916"/>
      <c r="AZ14" s="916"/>
      <c r="BA14" s="916"/>
      <c r="BB14" s="918">
        <v>0</v>
      </c>
      <c r="BC14" s="916"/>
      <c r="BD14" s="916"/>
      <c r="BE14" s="916"/>
      <c r="BF14" s="916"/>
      <c r="BG14" s="918">
        <v>0</v>
      </c>
      <c r="BH14" s="916"/>
      <c r="BI14" s="916"/>
      <c r="BJ14" s="916"/>
      <c r="BK14" s="916"/>
      <c r="BL14" s="918">
        <v>0</v>
      </c>
      <c r="BM14" s="916"/>
      <c r="BN14" s="916"/>
      <c r="BO14" s="916"/>
      <c r="BP14" s="916"/>
      <c r="BQ14" s="918">
        <v>0</v>
      </c>
      <c r="BS14" s="64"/>
      <c r="BX14" s="655"/>
      <c r="CA14" s="916"/>
      <c r="CB14" s="916"/>
      <c r="CC14" s="916"/>
      <c r="CD14" s="916"/>
      <c r="CE14" s="1629"/>
      <c r="CF14" s="916"/>
      <c r="CG14" s="916"/>
      <c r="CH14" s="916"/>
      <c r="CI14" s="916"/>
      <c r="CJ14" s="655"/>
      <c r="CK14" s="916"/>
      <c r="CL14" s="916"/>
      <c r="CM14" s="916"/>
      <c r="CN14" s="916"/>
      <c r="CO14" s="655"/>
      <c r="CP14" s="916"/>
      <c r="CQ14" s="916"/>
      <c r="CR14" s="916"/>
      <c r="CS14" s="916"/>
      <c r="CT14" s="655"/>
      <c r="CU14" s="916"/>
      <c r="CV14" s="916"/>
      <c r="CW14" s="916"/>
      <c r="CX14" s="916"/>
    </row>
    <row r="15" spans="1:135">
      <c r="C15" s="64" t="s">
        <v>43</v>
      </c>
      <c r="D15" s="64"/>
      <c r="E15" s="64"/>
      <c r="F15" s="64"/>
      <c r="G15" s="64"/>
      <c r="H15" s="64"/>
      <c r="I15" s="64"/>
      <c r="J15" s="995"/>
      <c r="K15" s="995"/>
      <c r="L15" s="995"/>
      <c r="M15" s="995"/>
      <c r="N15" s="995"/>
      <c r="O15" s="995"/>
      <c r="P15" s="995"/>
      <c r="Q15" s="995"/>
      <c r="R15" s="995"/>
      <c r="S15" s="995"/>
      <c r="T15" s="995"/>
      <c r="U15" s="995"/>
      <c r="V15" s="995"/>
      <c r="W15" s="995"/>
      <c r="X15" s="995"/>
      <c r="Y15" s="995"/>
      <c r="Z15" s="995"/>
      <c r="AA15" s="995"/>
      <c r="AB15" s="995"/>
      <c r="AC15" s="995"/>
      <c r="AD15" s="995"/>
      <c r="AE15" s="995"/>
      <c r="AF15" s="995"/>
      <c r="AG15" s="995"/>
      <c r="AH15" s="995">
        <f>+AH13*(1+AH14)</f>
        <v>14</v>
      </c>
      <c r="AM15" s="995">
        <f>+AM13*(1+AM14)</f>
        <v>14</v>
      </c>
      <c r="AR15" s="995">
        <f>+AR13*(1+AR14)</f>
        <v>14</v>
      </c>
      <c r="AW15" s="995">
        <f>+AW13*(1+AW14)</f>
        <v>14</v>
      </c>
      <c r="BB15" s="995">
        <f>+BB13*(1+BB14)</f>
        <v>14</v>
      </c>
      <c r="BG15" s="995">
        <f>+BG13*(1+BG14)</f>
        <v>14</v>
      </c>
      <c r="BL15" s="995">
        <f>+BL13*(1+BL14)</f>
        <v>14</v>
      </c>
      <c r="BQ15" s="995">
        <f>+BQ13*(1+BQ14)</f>
        <v>14</v>
      </c>
      <c r="BS15" s="64"/>
      <c r="BT15" s="64" t="s">
        <v>64</v>
      </c>
      <c r="BU15" s="64"/>
      <c r="BW15" s="969">
        <v>8.0299999999999994</v>
      </c>
      <c r="BX15" s="970">
        <f ca="1">+$BV$65</f>
        <v>15.159596235392977</v>
      </c>
      <c r="BY15" s="969">
        <f>20.86+2.64+DC13</f>
        <v>26.262776089174405</v>
      </c>
      <c r="BZ15" s="1629"/>
      <c r="CE15" s="1039"/>
      <c r="CJ15" s="1629"/>
      <c r="DB15" s="1668" t="s">
        <v>1088</v>
      </c>
      <c r="DC15" s="1668"/>
      <c r="DD15" s="1668"/>
      <c r="DE15" s="1668"/>
      <c r="DT15" s="1321" t="s">
        <v>607</v>
      </c>
      <c r="DU15" s="1321" t="s">
        <v>1095</v>
      </c>
    </row>
    <row r="16" spans="1:135">
      <c r="AR16" s="1629"/>
      <c r="AW16" s="1629"/>
      <c r="BB16" s="1629"/>
      <c r="DB16" s="1681" t="s">
        <v>1089</v>
      </c>
      <c r="DC16" s="1673"/>
      <c r="DD16" s="1673"/>
      <c r="DE16" s="1677">
        <v>7</v>
      </c>
      <c r="DT16" s="1321" t="s">
        <v>1092</v>
      </c>
      <c r="DU16">
        <v>1170</v>
      </c>
    </row>
    <row r="17" spans="2:125">
      <c r="C17" s="324" t="s">
        <v>725</v>
      </c>
      <c r="D17" s="919"/>
      <c r="E17" s="919"/>
      <c r="F17" s="919"/>
      <c r="G17" s="919"/>
      <c r="H17" s="919"/>
      <c r="I17" s="919"/>
      <c r="J17" s="920"/>
      <c r="K17" s="920"/>
      <c r="L17" s="920"/>
      <c r="M17" s="920"/>
      <c r="N17" s="920"/>
      <c r="O17" s="920"/>
      <c r="P17" s="920"/>
      <c r="Q17" s="920"/>
      <c r="R17" s="920"/>
      <c r="S17" s="920"/>
      <c r="T17" s="920"/>
      <c r="U17" s="920"/>
      <c r="V17" s="920"/>
      <c r="W17" s="920"/>
      <c r="X17" s="920"/>
      <c r="Y17" s="920"/>
      <c r="Z17" s="920"/>
      <c r="AA17" s="920"/>
      <c r="AB17" s="920"/>
      <c r="AC17" s="920"/>
      <c r="AD17" s="920"/>
      <c r="AE17" s="920"/>
      <c r="AF17" s="920"/>
      <c r="AG17" s="920"/>
      <c r="AH17" s="920">
        <f>AH15*AH10</f>
        <v>38.582677165354333</v>
      </c>
      <c r="AI17" s="920"/>
      <c r="AJ17" s="920"/>
      <c r="AK17" s="920"/>
      <c r="AL17" s="920"/>
      <c r="AM17" s="920">
        <f>AM15*AM10</f>
        <v>40.677165354330704</v>
      </c>
      <c r="AN17" s="920"/>
      <c r="AO17" s="920"/>
      <c r="AP17" s="920"/>
      <c r="AQ17" s="920"/>
      <c r="AR17" s="920">
        <f>AR15*AR10</f>
        <v>40.6496062992126</v>
      </c>
      <c r="AS17" s="920"/>
      <c r="AT17" s="920"/>
      <c r="AU17" s="920"/>
      <c r="AV17" s="920"/>
      <c r="AW17" s="920">
        <f>AW15*AW10</f>
        <v>41.088757396449694</v>
      </c>
      <c r="AX17" s="920"/>
      <c r="AY17" s="920"/>
      <c r="AZ17" s="920"/>
      <c r="BA17" s="920"/>
      <c r="BB17" s="920">
        <f>BB15*BB10</f>
        <v>44.202522754281311</v>
      </c>
      <c r="BC17" s="920"/>
      <c r="BD17" s="920"/>
      <c r="BE17" s="920"/>
      <c r="BF17" s="920"/>
      <c r="BG17" s="920">
        <f>BG15*BG10</f>
        <v>44.869810320106239</v>
      </c>
      <c r="BH17" s="920"/>
      <c r="BI17" s="920"/>
      <c r="BJ17" s="920"/>
      <c r="BK17" s="920"/>
      <c r="BL17" s="920">
        <f>BL15*BL10</f>
        <v>46.562871908994246</v>
      </c>
      <c r="BM17" s="920"/>
      <c r="BN17" s="920"/>
      <c r="BO17" s="920"/>
      <c r="BP17" s="920"/>
      <c r="BQ17" s="920">
        <f>BQ15*BQ10</f>
        <v>51.991526300853359</v>
      </c>
      <c r="BS17" s="64"/>
      <c r="BT17" s="324" t="s">
        <v>44</v>
      </c>
      <c r="BU17" s="919"/>
      <c r="BV17" s="919"/>
      <c r="BW17" s="920">
        <f>+BW13+BW15</f>
        <v>42.159771447484985</v>
      </c>
      <c r="BX17" s="920">
        <f ca="1">+BX13+BX15</f>
        <v>57.40572830611508</v>
      </c>
      <c r="BY17" s="921">
        <f>+BY13+BY15</f>
        <v>72.821478976691893</v>
      </c>
      <c r="BZ17" s="1039"/>
      <c r="CA17" s="920"/>
      <c r="CB17" s="920"/>
      <c r="CC17" s="920"/>
      <c r="CD17" s="920"/>
      <c r="CF17" s="920"/>
      <c r="CG17" s="920"/>
      <c r="CH17" s="920"/>
      <c r="CI17" s="920"/>
      <c r="CK17" s="920"/>
      <c r="CL17" s="920"/>
      <c r="CM17" s="920"/>
      <c r="CN17" s="920"/>
      <c r="CP17" s="920"/>
      <c r="CQ17" s="920"/>
      <c r="CR17" s="920"/>
      <c r="CS17" s="920"/>
      <c r="CU17" s="920"/>
      <c r="CV17" s="920"/>
      <c r="CW17" s="920"/>
      <c r="CX17" s="920"/>
      <c r="DB17" s="1681" t="s">
        <v>615</v>
      </c>
      <c r="DC17" s="1674"/>
      <c r="DD17" s="1674"/>
      <c r="DE17" s="1677">
        <v>10</v>
      </c>
      <c r="DT17" s="1321" t="s">
        <v>1093</v>
      </c>
      <c r="DU17">
        <v>1170</v>
      </c>
    </row>
    <row r="18" spans="2:125">
      <c r="C18" t="s">
        <v>606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923"/>
      <c r="T18" s="29"/>
      <c r="U18" s="29"/>
      <c r="V18" s="29"/>
      <c r="W18" s="29"/>
      <c r="Y18" s="655"/>
      <c r="Z18" s="655"/>
      <c r="AA18" s="655"/>
      <c r="AB18" s="655"/>
      <c r="AC18" s="698"/>
      <c r="AD18" s="698"/>
      <c r="AE18" s="698"/>
      <c r="AF18" s="698"/>
      <c r="AG18" s="698"/>
      <c r="AH18" s="1613">
        <f>AM18</f>
        <v>49.44</v>
      </c>
      <c r="AI18" s="305"/>
      <c r="AJ18" s="305"/>
      <c r="AK18" s="305"/>
      <c r="AL18" s="305"/>
      <c r="AM18" s="912">
        <f>AR18</f>
        <v>49.44</v>
      </c>
      <c r="AN18" s="305"/>
      <c r="AO18" s="305"/>
      <c r="AP18" s="305"/>
      <c r="AQ18" s="305"/>
      <c r="AR18" s="912">
        <f>AW18</f>
        <v>49.44</v>
      </c>
      <c r="AS18" s="305"/>
      <c r="AT18" s="305"/>
      <c r="AU18" s="305"/>
      <c r="AV18" s="305"/>
      <c r="AW18" s="912">
        <f>BB18</f>
        <v>49.44</v>
      </c>
      <c r="AX18" s="305"/>
      <c r="AY18" s="305"/>
      <c r="AZ18" s="305"/>
      <c r="BA18" s="305"/>
      <c r="BB18" s="912">
        <f>BG18</f>
        <v>49.44</v>
      </c>
      <c r="BC18" s="305"/>
      <c r="BD18" s="305"/>
      <c r="BE18" s="305"/>
      <c r="BF18" s="305"/>
      <c r="BG18" s="912">
        <f>BL18</f>
        <v>49.44</v>
      </c>
      <c r="BH18" s="305"/>
      <c r="BI18" s="305"/>
      <c r="BJ18" s="305"/>
      <c r="BK18" s="305"/>
      <c r="BL18" s="912">
        <f>BQ18</f>
        <v>49.44</v>
      </c>
      <c r="BM18" s="305"/>
      <c r="BN18" s="305"/>
      <c r="BO18" s="305"/>
      <c r="BP18" s="305"/>
      <c r="BQ18" s="1635">
        <v>49.44</v>
      </c>
      <c r="BS18" s="305"/>
      <c r="BT18" s="49" t="s">
        <v>604</v>
      </c>
      <c r="BW18" s="922">
        <f>ROUND(BW17,0)</f>
        <v>42</v>
      </c>
      <c r="BX18" s="922">
        <f ca="1">ROUND(BX17,0)</f>
        <v>57</v>
      </c>
      <c r="BY18" s="922">
        <f>ROUND(BY17,0)</f>
        <v>73</v>
      </c>
      <c r="BZ18" s="1038"/>
      <c r="CA18" s="305"/>
      <c r="CB18" s="305"/>
      <c r="CC18" s="305"/>
      <c r="CD18" s="305"/>
      <c r="CF18" s="305"/>
      <c r="CG18" s="305"/>
      <c r="CH18" s="305"/>
      <c r="CI18" s="305"/>
      <c r="CK18" s="305"/>
      <c r="CL18" s="305"/>
      <c r="CM18" s="305"/>
      <c r="CN18" s="305"/>
      <c r="CP18" s="305"/>
      <c r="CQ18" s="305"/>
      <c r="CR18" s="305"/>
      <c r="CS18" s="305"/>
      <c r="CU18" s="305"/>
      <c r="CV18" s="305"/>
      <c r="CW18" s="305"/>
      <c r="CX18" s="305"/>
      <c r="DB18" s="1681" t="s">
        <v>10</v>
      </c>
      <c r="DC18" s="1"/>
      <c r="DD18" s="1"/>
      <c r="DE18" s="1680">
        <v>0.7</v>
      </c>
      <c r="DT18" s="1321" t="s">
        <v>1094</v>
      </c>
      <c r="DU18" s="1616">
        <v>1290.7</v>
      </c>
    </row>
    <row r="19" spans="2:125">
      <c r="C19" t="s">
        <v>641</v>
      </c>
      <c r="S19" s="689"/>
      <c r="X19" s="689"/>
      <c r="AC19" s="689"/>
      <c r="AH19" s="689">
        <f>+AH17/AH18-1</f>
        <v>-0.21960604439008224</v>
      </c>
      <c r="AI19" s="996"/>
      <c r="AJ19" s="996"/>
      <c r="AK19" s="996"/>
      <c r="AL19" s="996"/>
      <c r="AM19" s="689">
        <f>+AM17/AM18-1</f>
        <v>-0.17724180108554399</v>
      </c>
      <c r="AN19" s="996"/>
      <c r="AO19" s="996"/>
      <c r="AP19" s="996"/>
      <c r="AQ19" s="996"/>
      <c r="AR19" s="689">
        <f>+AR17/AR18-1</f>
        <v>-0.17779922533955095</v>
      </c>
      <c r="AS19" s="996"/>
      <c r="AT19" s="996"/>
      <c r="AU19" s="996"/>
      <c r="AV19" s="996"/>
      <c r="AW19" s="689">
        <f>+AW17/AW18-1</f>
        <v>-0.16891671932747376</v>
      </c>
      <c r="AX19" s="996"/>
      <c r="AY19" s="996"/>
      <c r="AZ19" s="996"/>
      <c r="BA19" s="996"/>
      <c r="BB19" s="689">
        <f>+BB17/BB18-1</f>
        <v>-0.10593602843282135</v>
      </c>
      <c r="BC19" s="996"/>
      <c r="BD19" s="996"/>
      <c r="BE19" s="996"/>
      <c r="BF19" s="996"/>
      <c r="BG19" s="689">
        <f>+BG17/BG18-1</f>
        <v>-9.2439111648336514E-2</v>
      </c>
      <c r="BH19" s="996"/>
      <c r="BI19" s="996"/>
      <c r="BJ19" s="996"/>
      <c r="BK19" s="996"/>
      <c r="BL19" s="689">
        <f>+BL17/BL18-1</f>
        <v>-5.819433841031052E-2</v>
      </c>
      <c r="BM19" s="996"/>
      <c r="BN19" s="996"/>
      <c r="BO19" s="996"/>
      <c r="BP19" s="996"/>
      <c r="BQ19" s="689">
        <f>+BQ17/BQ18-1</f>
        <v>5.1608541683927145E-2</v>
      </c>
      <c r="BX19" s="1368"/>
      <c r="CA19" s="996"/>
      <c r="CB19" s="996"/>
      <c r="CC19" s="996"/>
      <c r="CD19" s="996"/>
      <c r="CF19" s="996"/>
      <c r="CG19" s="996"/>
      <c r="CH19" s="996"/>
      <c r="CI19" s="996"/>
      <c r="CK19" s="996"/>
      <c r="CL19" s="996"/>
      <c r="CM19" s="996"/>
      <c r="CN19" s="996"/>
      <c r="CP19" s="996"/>
      <c r="CQ19" s="996"/>
      <c r="CR19" s="996"/>
      <c r="CS19" s="996"/>
      <c r="CU19" s="996"/>
      <c r="CV19" s="996"/>
      <c r="CW19" s="996"/>
      <c r="CX19" s="996"/>
      <c r="DB19" s="1681" t="s">
        <v>11</v>
      </c>
      <c r="DC19" s="1"/>
      <c r="DD19" s="1"/>
      <c r="DE19" s="1680">
        <v>0.3</v>
      </c>
      <c r="DT19" s="1321"/>
      <c r="DU19" s="1616">
        <f>SUM(DU16:DU18)</f>
        <v>3630.7</v>
      </c>
    </row>
    <row r="20" spans="2:125">
      <c r="C20" t="s">
        <v>46</v>
      </c>
      <c r="S20" s="997"/>
      <c r="T20" s="7"/>
      <c r="U20" s="7"/>
      <c r="V20" s="7"/>
      <c r="W20" s="7"/>
      <c r="X20" s="996"/>
      <c r="Y20" s="996"/>
      <c r="Z20" s="996"/>
      <c r="AA20" s="996"/>
      <c r="AB20" s="996"/>
      <c r="AC20" s="996"/>
      <c r="AD20" s="996"/>
      <c r="AE20" s="996"/>
      <c r="AF20" s="996"/>
      <c r="AG20" s="996"/>
      <c r="AH20" s="996">
        <f>+AM20</f>
        <v>3.6355177993527506E-2</v>
      </c>
      <c r="AI20" s="37"/>
      <c r="AJ20" s="37"/>
      <c r="AK20" s="37"/>
      <c r="AL20" s="37"/>
      <c r="AM20" s="996">
        <f>+AR20</f>
        <v>3.6355177993527506E-2</v>
      </c>
      <c r="AN20" s="37"/>
      <c r="AO20" s="37"/>
      <c r="AP20" s="37"/>
      <c r="AQ20" s="37"/>
      <c r="AR20" s="996">
        <f>+AW20</f>
        <v>3.6355177993527506E-2</v>
      </c>
      <c r="AS20" s="37"/>
      <c r="AT20" s="37"/>
      <c r="AU20" s="37"/>
      <c r="AV20" s="37"/>
      <c r="AW20" s="996">
        <f>+BB20</f>
        <v>3.6355177993527506E-2</v>
      </c>
      <c r="AX20" s="37"/>
      <c r="AY20" s="37"/>
      <c r="AZ20" s="37"/>
      <c r="BA20" s="37"/>
      <c r="BB20" s="996">
        <f>+BG20</f>
        <v>3.6355177993527506E-2</v>
      </c>
      <c r="BC20" s="37"/>
      <c r="BD20" s="37"/>
      <c r="BE20" s="37"/>
      <c r="BF20" s="37"/>
      <c r="BG20" s="996">
        <f>+BL20</f>
        <v>3.6355177993527506E-2</v>
      </c>
      <c r="BH20" s="37"/>
      <c r="BI20" s="37"/>
      <c r="BJ20" s="37"/>
      <c r="BK20" s="37"/>
      <c r="BL20" s="996">
        <f>+BQ20</f>
        <v>3.6355177993527506E-2</v>
      </c>
      <c r="BM20" s="37"/>
      <c r="BN20" s="37"/>
      <c r="BO20" s="37"/>
      <c r="BP20" s="37"/>
      <c r="BQ20" s="1746">
        <f>Financial!BB38</f>
        <v>3.6355177993527506E-2</v>
      </c>
      <c r="BT20" t="s">
        <v>606</v>
      </c>
      <c r="BU20" s="64"/>
      <c r="BV20" s="64"/>
      <c r="BW20" s="911">
        <f>+$AR$18</f>
        <v>49.44</v>
      </c>
      <c r="BX20" s="911">
        <f>+$AR$18</f>
        <v>49.44</v>
      </c>
      <c r="BY20" s="911">
        <f>+$AR$18</f>
        <v>49.44</v>
      </c>
      <c r="CA20" s="37"/>
      <c r="CB20" s="37"/>
      <c r="CC20" s="37"/>
      <c r="CD20" s="37"/>
      <c r="CF20" s="37"/>
      <c r="CG20" s="37"/>
      <c r="CH20" s="37"/>
      <c r="CI20" s="37"/>
      <c r="CK20" s="37"/>
      <c r="CL20" s="37"/>
      <c r="CM20" s="37"/>
      <c r="CN20" s="37"/>
      <c r="CP20" s="37"/>
      <c r="CQ20" s="37"/>
      <c r="CR20" s="37"/>
      <c r="CS20" s="37"/>
      <c r="CU20" s="37"/>
      <c r="CV20" s="37"/>
      <c r="CW20" s="37"/>
      <c r="CX20" s="37"/>
      <c r="DB20" s="1681" t="s">
        <v>28</v>
      </c>
      <c r="DC20" s="1"/>
      <c r="DD20" s="1"/>
      <c r="DE20" s="1675">
        <v>7.0000000000000007E-2</v>
      </c>
      <c r="DT20" s="1321"/>
    </row>
    <row r="21" spans="2:125">
      <c r="C21" s="324" t="s">
        <v>642</v>
      </c>
      <c r="D21" s="925"/>
      <c r="E21" s="925"/>
      <c r="F21" s="925"/>
      <c r="G21" s="925"/>
      <c r="H21" s="925"/>
      <c r="I21" s="925"/>
      <c r="J21" s="925"/>
      <c r="K21" s="925"/>
      <c r="L21" s="925"/>
      <c r="M21" s="925"/>
      <c r="N21" s="925"/>
      <c r="O21" s="925"/>
      <c r="P21" s="925"/>
      <c r="Q21" s="925"/>
      <c r="R21" s="925"/>
      <c r="S21" s="926"/>
      <c r="T21" s="925"/>
      <c r="U21" s="925"/>
      <c r="V21" s="925"/>
      <c r="W21" s="925"/>
      <c r="X21" s="926"/>
      <c r="Y21" s="925"/>
      <c r="Z21" s="925"/>
      <c r="AA21" s="925"/>
      <c r="AB21" s="925"/>
      <c r="AC21" s="926"/>
      <c r="AD21" s="925"/>
      <c r="AE21" s="925"/>
      <c r="AF21" s="925"/>
      <c r="AG21" s="925"/>
      <c r="AH21" s="1224">
        <f>+AH20+AH19</f>
        <v>-0.18325086639655475</v>
      </c>
      <c r="AI21" s="920"/>
      <c r="AJ21" s="920"/>
      <c r="AK21" s="920"/>
      <c r="AL21" s="920"/>
      <c r="AM21" s="1224">
        <f>+AM20+AM19</f>
        <v>-0.14088662309201649</v>
      </c>
      <c r="AN21" s="920"/>
      <c r="AO21" s="920"/>
      <c r="AP21" s="920"/>
      <c r="AQ21" s="920"/>
      <c r="AR21" s="1224">
        <f>+AR20+AR19</f>
        <v>-0.14144404734602345</v>
      </c>
      <c r="AS21" s="920"/>
      <c r="AT21" s="920"/>
      <c r="AU21" s="920"/>
      <c r="AV21" s="920"/>
      <c r="AW21" s="1224">
        <f>+AW20+AW19</f>
        <v>-0.13256154133394626</v>
      </c>
      <c r="AX21" s="920"/>
      <c r="AY21" s="920"/>
      <c r="AZ21" s="920"/>
      <c r="BA21" s="920"/>
      <c r="BB21" s="1224">
        <f>+BB20+BB19</f>
        <v>-6.9580850439293851E-2</v>
      </c>
      <c r="BC21" s="920"/>
      <c r="BD21" s="920"/>
      <c r="BE21" s="920"/>
      <c r="BF21" s="920"/>
      <c r="BG21" s="1224">
        <f>+BG20+BG19</f>
        <v>-5.6083933654809008E-2</v>
      </c>
      <c r="BH21" s="920"/>
      <c r="BI21" s="920"/>
      <c r="BJ21" s="920"/>
      <c r="BK21" s="920"/>
      <c r="BL21" s="1224">
        <f>+BL20+BL19</f>
        <v>-2.1839160416783014E-2</v>
      </c>
      <c r="BM21" s="920"/>
      <c r="BN21" s="920"/>
      <c r="BO21" s="920"/>
      <c r="BP21" s="920"/>
      <c r="BQ21" s="1224">
        <f>+BQ20+BQ19</f>
        <v>8.7963719677454644E-2</v>
      </c>
      <c r="BT21" t="s">
        <v>641</v>
      </c>
      <c r="BU21" s="64"/>
      <c r="BV21" s="64"/>
      <c r="BW21" s="689">
        <f>+BW18/BW20-1</f>
        <v>-0.15048543689320382</v>
      </c>
      <c r="BX21" s="689">
        <f ca="1">+BX18/BX20-1</f>
        <v>0.15291262135922334</v>
      </c>
      <c r="BY21" s="689">
        <f>+BY18/BY20-1</f>
        <v>0.47653721682847894</v>
      </c>
      <c r="BZ21" s="932">
        <v>42369</v>
      </c>
      <c r="CA21" s="920"/>
      <c r="CB21" s="920"/>
      <c r="CC21" s="920"/>
      <c r="CD21" s="920"/>
      <c r="CE21" s="932">
        <v>42735</v>
      </c>
      <c r="CF21" s="920"/>
      <c r="CG21" s="920"/>
      <c r="CH21" s="920"/>
      <c r="CI21" s="920"/>
      <c r="CK21" s="920"/>
      <c r="CL21" s="920"/>
      <c r="CM21" s="920"/>
      <c r="CN21" s="920"/>
      <c r="CP21" s="920"/>
      <c r="CQ21" s="920"/>
      <c r="CR21" s="920"/>
      <c r="CS21" s="920"/>
      <c r="CU21" s="920"/>
      <c r="CV21" s="920"/>
      <c r="CW21" s="920"/>
      <c r="CX21" s="920"/>
      <c r="DB21" s="1681" t="s">
        <v>30</v>
      </c>
      <c r="DC21" s="1"/>
      <c r="DD21" s="1"/>
      <c r="DE21" s="1675">
        <v>0.03</v>
      </c>
    </row>
    <row r="22" spans="2:125">
      <c r="BT22" t="s">
        <v>46</v>
      </c>
      <c r="BU22" s="305"/>
      <c r="BV22" s="305"/>
      <c r="BW22" s="689">
        <f>+$AR$20</f>
        <v>3.6355177993527506E-2</v>
      </c>
      <c r="BX22" s="689">
        <f>+$AR$20</f>
        <v>3.6355177993527506E-2</v>
      </c>
      <c r="BY22" s="689">
        <f>+$AR$20</f>
        <v>3.6355177993527506E-2</v>
      </c>
      <c r="BZ22" s="932"/>
      <c r="CE22" s="932"/>
      <c r="DB22" s="1682" t="s">
        <v>32</v>
      </c>
      <c r="DC22" s="1"/>
      <c r="DD22" s="1"/>
      <c r="DE22" s="1675">
        <v>0.06</v>
      </c>
    </row>
    <row r="23" spans="2:125">
      <c r="BT23" s="324" t="s">
        <v>642</v>
      </c>
      <c r="BU23" s="925"/>
      <c r="BV23" s="925"/>
      <c r="BW23" s="926">
        <f>+BW22+BW21</f>
        <v>-0.11413025889967632</v>
      </c>
      <c r="BX23" s="926">
        <f ca="1">+BX22+BX21</f>
        <v>0.18926779935275084</v>
      </c>
      <c r="BY23" s="927">
        <f>+BY22+BY21</f>
        <v>0.51289239482200644</v>
      </c>
      <c r="DB23" s="1682" t="s">
        <v>34</v>
      </c>
      <c r="DC23" s="1"/>
      <c r="DD23" s="1"/>
      <c r="DE23" s="1678">
        <v>1.3</v>
      </c>
    </row>
    <row r="24" spans="2:125">
      <c r="C24" s="305" t="s">
        <v>47</v>
      </c>
      <c r="S24" s="655"/>
      <c r="T24" s="655"/>
      <c r="U24" s="655"/>
      <c r="V24" s="655"/>
      <c r="W24" s="655"/>
      <c r="X24" s="655">
        <f>Power!X46</f>
        <v>3.0069419146825398</v>
      </c>
      <c r="Y24" s="655"/>
      <c r="Z24" s="655"/>
      <c r="AA24" s="655"/>
      <c r="AB24" s="655"/>
      <c r="AC24" s="655">
        <f>Power!AC46</f>
        <v>3.7244195312500001</v>
      </c>
      <c r="AD24" s="655"/>
      <c r="AE24" s="655"/>
      <c r="AF24" s="655"/>
      <c r="AG24" s="655"/>
      <c r="AH24" s="655">
        <f>Power!AH46</f>
        <v>4.3820542392418025</v>
      </c>
      <c r="AI24" s="655"/>
      <c r="AJ24" s="655"/>
      <c r="AK24" s="655"/>
      <c r="AL24" s="655"/>
      <c r="AM24" s="655">
        <f>Power!AM46</f>
        <v>2.6328803023393492</v>
      </c>
      <c r="AN24" s="655"/>
      <c r="AO24" s="655"/>
      <c r="AP24" s="655"/>
      <c r="AQ24" s="655"/>
      <c r="AR24" s="655">
        <f>Power!AR46</f>
        <v>2.5075177712685086</v>
      </c>
      <c r="AS24" s="655"/>
      <c r="AT24" s="655"/>
      <c r="AU24" s="655"/>
      <c r="AV24" s="655"/>
      <c r="AW24" s="655">
        <f>Power!AW46</f>
        <v>2.9824985499071941</v>
      </c>
      <c r="AX24" s="655"/>
      <c r="AY24" s="655"/>
      <c r="AZ24" s="655"/>
      <c r="BA24" s="655"/>
      <c r="BB24" s="655">
        <f>Power!BB46</f>
        <v>2.8767841530054645</v>
      </c>
      <c r="BC24" s="655"/>
      <c r="BD24" s="655"/>
      <c r="BE24" s="655"/>
      <c r="BF24" s="655"/>
      <c r="BG24" s="655">
        <f>Power!BG46</f>
        <v>2.7594999999999996</v>
      </c>
      <c r="BH24" s="655"/>
      <c r="BI24" s="655"/>
      <c r="BJ24" s="655"/>
      <c r="BK24" s="655"/>
      <c r="BL24" s="655">
        <f>Power!BL46</f>
        <v>2.8007499999999994</v>
      </c>
      <c r="BM24" s="655"/>
      <c r="BN24" s="655"/>
      <c r="BO24" s="655"/>
      <c r="BP24" s="655"/>
      <c r="BQ24" s="655">
        <f>Power!BQ46</f>
        <v>2.7763125</v>
      </c>
      <c r="BT24" s="64"/>
      <c r="BY24" s="655"/>
      <c r="CA24" s="655"/>
      <c r="CB24" s="655"/>
      <c r="CC24" s="655"/>
      <c r="CD24" s="655"/>
      <c r="CF24" s="655"/>
      <c r="CG24" s="655"/>
      <c r="CH24" s="655"/>
      <c r="CI24" s="655"/>
      <c r="CK24" s="655"/>
      <c r="CL24" s="655"/>
      <c r="CM24" s="655"/>
      <c r="CN24" s="655"/>
      <c r="CP24" s="655"/>
      <c r="CQ24" s="655"/>
      <c r="CR24" s="655"/>
      <c r="CS24" s="655"/>
      <c r="CU24" s="655"/>
      <c r="CV24" s="655"/>
      <c r="CW24" s="655"/>
      <c r="CX24" s="655"/>
      <c r="DB24" s="1682" t="s">
        <v>548</v>
      </c>
      <c r="DC24" s="1"/>
      <c r="DD24" s="1"/>
      <c r="DE24" s="1676">
        <v>0.23</v>
      </c>
    </row>
    <row r="25" spans="2:125">
      <c r="C25" t="s">
        <v>48</v>
      </c>
      <c r="S25" s="928"/>
      <c r="T25" s="928"/>
      <c r="U25" s="928"/>
      <c r="V25" s="928"/>
      <c r="W25" s="928"/>
      <c r="X25" s="928">
        <v>0</v>
      </c>
      <c r="Y25" s="928"/>
      <c r="Z25" s="928"/>
      <c r="AA25" s="928"/>
      <c r="AB25" s="928"/>
      <c r="AC25" s="928">
        <v>0</v>
      </c>
      <c r="AD25" s="928"/>
      <c r="AE25" s="928"/>
      <c r="AF25" s="928"/>
      <c r="AG25" s="928"/>
      <c r="AH25" s="928">
        <v>0</v>
      </c>
      <c r="AI25" s="928"/>
      <c r="AJ25" s="928"/>
      <c r="AK25" s="928"/>
      <c r="AL25" s="928"/>
      <c r="AM25" s="928">
        <v>0</v>
      </c>
      <c r="AN25" s="928"/>
      <c r="AO25" s="928"/>
      <c r="AP25" s="928"/>
      <c r="AQ25" s="928"/>
      <c r="AR25" s="928">
        <v>0</v>
      </c>
      <c r="AS25" s="928"/>
      <c r="AT25" s="928"/>
      <c r="AU25" s="928"/>
      <c r="AV25" s="928"/>
      <c r="AW25" s="928">
        <v>0</v>
      </c>
      <c r="AX25" s="928"/>
      <c r="AY25" s="928"/>
      <c r="AZ25" s="928"/>
      <c r="BA25" s="928"/>
      <c r="BB25" s="928">
        <v>0</v>
      </c>
      <c r="BC25" s="928"/>
      <c r="BD25" s="928"/>
      <c r="BE25" s="928"/>
      <c r="BF25" s="928"/>
      <c r="BG25" s="928">
        <v>0</v>
      </c>
      <c r="BH25" s="928"/>
      <c r="BI25" s="928"/>
      <c r="BJ25" s="928"/>
      <c r="BK25" s="928"/>
      <c r="BL25" s="928">
        <v>0</v>
      </c>
      <c r="BM25" s="928"/>
      <c r="BN25" s="928"/>
      <c r="BO25" s="928"/>
      <c r="BP25" s="928"/>
      <c r="BQ25" s="928">
        <v>0</v>
      </c>
      <c r="BX25" s="930"/>
      <c r="BY25" s="930"/>
      <c r="CA25" s="928"/>
      <c r="CB25" s="928"/>
      <c r="CC25" s="928"/>
      <c r="CD25" s="928"/>
      <c r="CF25" s="928"/>
      <c r="CG25" s="928"/>
      <c r="CH25" s="928"/>
      <c r="CI25" s="928"/>
      <c r="CK25" s="928"/>
      <c r="CL25" s="928"/>
      <c r="CM25" s="928"/>
      <c r="CN25" s="928"/>
      <c r="CP25" s="928"/>
      <c r="CQ25" s="928"/>
      <c r="CR25" s="928"/>
      <c r="CS25" s="928"/>
      <c r="CU25" s="928"/>
      <c r="CV25" s="928"/>
      <c r="CW25" s="928"/>
      <c r="CX25" s="928"/>
      <c r="DB25" s="1683" t="s">
        <v>1090</v>
      </c>
      <c r="DC25" s="1684"/>
      <c r="DD25" s="1684"/>
      <c r="DE25" s="1679">
        <v>6.3269999999999993E-2</v>
      </c>
    </row>
    <row r="26" spans="2:125">
      <c r="C26" s="2" t="s">
        <v>35</v>
      </c>
      <c r="X26" s="928">
        <v>0</v>
      </c>
      <c r="Y26" s="928"/>
      <c r="Z26" s="928"/>
      <c r="AA26" s="928"/>
      <c r="AB26" s="928"/>
      <c r="AC26" s="928">
        <v>0</v>
      </c>
      <c r="AD26" s="928"/>
      <c r="AE26" s="928"/>
      <c r="AF26" s="928"/>
      <c r="AG26" s="928"/>
      <c r="AH26" s="928">
        <v>0</v>
      </c>
      <c r="AI26" s="928"/>
      <c r="AJ26" s="928"/>
      <c r="AK26" s="928"/>
      <c r="AL26" s="928"/>
      <c r="AM26" s="928">
        <v>0</v>
      </c>
      <c r="AN26" s="928"/>
      <c r="AO26" s="928"/>
      <c r="AP26" s="928"/>
      <c r="AQ26" s="928"/>
      <c r="AR26" s="928">
        <v>0</v>
      </c>
      <c r="AS26" s="928"/>
      <c r="AT26" s="928"/>
      <c r="AU26" s="928"/>
      <c r="AV26" s="928"/>
      <c r="AW26" s="928">
        <v>0</v>
      </c>
      <c r="AX26" s="928"/>
      <c r="AY26" s="928"/>
      <c r="AZ26" s="928"/>
      <c r="BA26" s="928"/>
      <c r="BB26" s="928">
        <v>0</v>
      </c>
      <c r="BC26" s="928"/>
      <c r="BD26" s="928"/>
      <c r="BE26" s="928"/>
      <c r="BF26" s="928"/>
      <c r="BG26" s="928">
        <v>0</v>
      </c>
      <c r="BH26" s="928"/>
      <c r="BI26" s="928"/>
      <c r="BJ26" s="928"/>
      <c r="BK26" s="928"/>
      <c r="BL26" s="928">
        <v>0</v>
      </c>
      <c r="BM26" s="928"/>
      <c r="BN26" s="928"/>
      <c r="BO26" s="928"/>
      <c r="BP26" s="928"/>
      <c r="BQ26" s="928">
        <v>0</v>
      </c>
      <c r="BS26" s="276" t="s">
        <v>709</v>
      </c>
      <c r="BT26" s="276"/>
      <c r="BU26" s="49"/>
      <c r="BW26" s="1212" t="s">
        <v>637</v>
      </c>
      <c r="BX26" s="1212" t="s">
        <v>638</v>
      </c>
      <c r="BY26" s="1212" t="s">
        <v>639</v>
      </c>
      <c r="CA26" s="928"/>
      <c r="CB26" s="928"/>
      <c r="CC26" s="928"/>
      <c r="CD26" s="928"/>
      <c r="CF26" s="928"/>
      <c r="CG26" s="928"/>
      <c r="CH26" s="928"/>
      <c r="CI26" s="928"/>
      <c r="CK26" s="928"/>
      <c r="CL26" s="928"/>
      <c r="CM26" s="928"/>
      <c r="CN26" s="928"/>
      <c r="CP26" s="928"/>
      <c r="CQ26" s="928"/>
      <c r="CR26" s="928"/>
      <c r="CS26" s="928"/>
      <c r="CU26" s="928"/>
      <c r="CV26" s="928"/>
      <c r="CW26" s="928"/>
      <c r="CX26" s="928"/>
    </row>
    <row r="27" spans="2:125">
      <c r="BT27" s="37" t="s">
        <v>710</v>
      </c>
      <c r="BW27" s="1189">
        <v>2.25</v>
      </c>
      <c r="BX27" s="1689">
        <v>2.75</v>
      </c>
      <c r="BY27" s="1189">
        <v>3.5</v>
      </c>
      <c r="CE27" s="1321"/>
    </row>
    <row r="28" spans="2:125">
      <c r="BB28" s="1641"/>
      <c r="BT28" t="s">
        <v>836</v>
      </c>
      <c r="BW28" s="1303">
        <v>0</v>
      </c>
      <c r="BX28" s="1690">
        <v>-0.25</v>
      </c>
      <c r="BY28" s="1303">
        <v>-0.25</v>
      </c>
    </row>
    <row r="29" spans="2:125">
      <c r="BT29" s="37" t="s">
        <v>827</v>
      </c>
      <c r="BW29" s="1187">
        <v>100</v>
      </c>
      <c r="BX29" s="1691">
        <v>150</v>
      </c>
      <c r="BY29" s="1187">
        <v>247.50000000000003</v>
      </c>
      <c r="CE29" s="1187"/>
      <c r="CJ29" s="1188"/>
      <c r="CO29" s="1188"/>
      <c r="CT29" s="1188"/>
      <c r="CY29" s="1188"/>
      <c r="CZ29" s="1188"/>
      <c r="DB29" s="1188"/>
      <c r="DC29" s="1188"/>
      <c r="DD29" s="1188"/>
      <c r="DE29" s="1188"/>
      <c r="DF29" s="1187"/>
    </row>
    <row r="30" spans="2:125">
      <c r="BT30" s="37" t="s">
        <v>995</v>
      </c>
      <c r="BW30" s="1187">
        <v>100</v>
      </c>
      <c r="BX30" s="1691">
        <v>225</v>
      </c>
      <c r="BY30" s="1187">
        <v>242.00000000000003</v>
      </c>
      <c r="CE30" s="1187"/>
      <c r="CJ30" s="1188"/>
      <c r="CO30" s="1188"/>
      <c r="CT30" s="1188"/>
      <c r="CY30" s="1188"/>
      <c r="CZ30" s="1188"/>
      <c r="DB30" s="1188"/>
      <c r="DC30" s="1188"/>
      <c r="DD30" s="1188"/>
      <c r="DE30" s="1188"/>
      <c r="DF30" s="1187"/>
    </row>
    <row r="31" spans="2:125">
      <c r="C31" s="2"/>
      <c r="BT31" s="37" t="s">
        <v>899</v>
      </c>
      <c r="BW31" s="1187">
        <v>100</v>
      </c>
      <c r="BX31" s="1691">
        <v>225</v>
      </c>
      <c r="BY31" s="1187">
        <v>247.50000000000003</v>
      </c>
      <c r="CE31" s="1187"/>
      <c r="CJ31" s="1188"/>
      <c r="CO31" s="1188"/>
      <c r="CT31" s="1188"/>
      <c r="CY31" s="1188"/>
    </row>
    <row r="32" spans="2:125">
      <c r="B32" s="304" t="s">
        <v>65</v>
      </c>
      <c r="C32" s="304"/>
      <c r="D32" s="18"/>
      <c r="J32" s="909"/>
      <c r="K32" s="909"/>
      <c r="L32" s="909"/>
      <c r="M32" s="909"/>
      <c r="N32" s="909"/>
      <c r="O32" s="909"/>
      <c r="P32" s="909"/>
      <c r="Q32" s="909"/>
      <c r="R32" s="909"/>
      <c r="S32" s="909"/>
      <c r="T32" s="909"/>
      <c r="U32" s="909"/>
      <c r="V32" s="909"/>
      <c r="W32" s="909"/>
      <c r="X32" s="909" t="s">
        <v>797</v>
      </c>
      <c r="Y32" s="909"/>
      <c r="Z32" s="909"/>
      <c r="AA32" s="909"/>
      <c r="AB32" s="909"/>
      <c r="AC32" s="909" t="s">
        <v>870</v>
      </c>
      <c r="AD32" s="909"/>
      <c r="AE32" s="909"/>
      <c r="AF32" s="909"/>
      <c r="AG32" s="909"/>
      <c r="AH32" s="909" t="s">
        <v>929</v>
      </c>
      <c r="AI32" s="909"/>
      <c r="AJ32" s="909"/>
      <c r="AK32" s="909"/>
      <c r="AL32" s="909"/>
      <c r="AM32" s="909" t="s">
        <v>1014</v>
      </c>
      <c r="AN32" s="909"/>
      <c r="AO32" s="909"/>
      <c r="AP32" s="909"/>
      <c r="AQ32" s="909"/>
      <c r="AR32" s="909" t="s">
        <v>1072</v>
      </c>
      <c r="AS32" s="909"/>
      <c r="AT32" s="909"/>
      <c r="AU32" s="909"/>
      <c r="AV32" s="909"/>
      <c r="AW32" s="909" t="s">
        <v>1110</v>
      </c>
      <c r="AX32" s="909"/>
      <c r="AY32" s="909"/>
      <c r="AZ32" s="909"/>
      <c r="BA32" s="909"/>
      <c r="BB32" s="909" t="s">
        <v>879</v>
      </c>
      <c r="BC32" s="909"/>
      <c r="BD32" s="909"/>
      <c r="BE32" s="909"/>
      <c r="BF32" s="909"/>
      <c r="BG32" s="909" t="s">
        <v>941</v>
      </c>
      <c r="BH32" s="909"/>
      <c r="BI32" s="909"/>
      <c r="BJ32" s="909"/>
      <c r="BK32" s="909"/>
      <c r="BL32" s="909" t="s">
        <v>946</v>
      </c>
      <c r="BM32" s="909"/>
      <c r="BN32" s="909"/>
      <c r="BO32" s="909"/>
      <c r="BP32" s="909"/>
      <c r="BQ32" s="909" t="s">
        <v>1046</v>
      </c>
      <c r="BT32" s="37" t="s">
        <v>861</v>
      </c>
      <c r="BW32" s="1187">
        <v>125</v>
      </c>
      <c r="BX32" s="1691">
        <v>200</v>
      </c>
      <c r="BY32" s="1187">
        <v>230</v>
      </c>
      <c r="CE32" s="1187"/>
      <c r="CZ32" s="909"/>
      <c r="DA32" s="909"/>
    </row>
    <row r="33" spans="3:137">
      <c r="C33" s="64" t="s">
        <v>66</v>
      </c>
      <c r="AH33" s="29"/>
      <c r="BT33" s="1402" t="s">
        <v>900</v>
      </c>
      <c r="BW33" s="1403" t="s">
        <v>763</v>
      </c>
      <c r="BX33" s="1691" t="s">
        <v>763</v>
      </c>
      <c r="BY33" s="1403" t="s">
        <v>762</v>
      </c>
      <c r="DB33" s="276" t="s">
        <v>353</v>
      </c>
      <c r="DC33" s="280"/>
      <c r="DD33" s="281"/>
      <c r="DE33" s="281"/>
      <c r="DF33" s="281"/>
      <c r="DG33" s="282"/>
      <c r="DH33" s="274"/>
      <c r="DI33" s="274"/>
      <c r="DJ33" s="274"/>
      <c r="DK33" s="275"/>
      <c r="DL33" s="275"/>
      <c r="DM33" s="275"/>
      <c r="DN33" s="279"/>
      <c r="DO33" s="279"/>
      <c r="DP33" s="283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79"/>
      <c r="EC33" s="279"/>
      <c r="ED33" s="2"/>
      <c r="EE33" s="2"/>
      <c r="EF33" s="2"/>
      <c r="EG33" s="2"/>
    </row>
    <row r="34" spans="3:137">
      <c r="C34" s="958" t="s">
        <v>188</v>
      </c>
      <c r="N34" s="691"/>
      <c r="S34" s="691"/>
      <c r="T34" s="691"/>
      <c r="U34" s="691"/>
      <c r="V34" s="691"/>
      <c r="W34" s="691"/>
      <c r="X34" s="691">
        <f>'PSE&amp;G'!X54</f>
        <v>0</v>
      </c>
      <c r="Y34" s="691"/>
      <c r="Z34" s="691"/>
      <c r="AA34" s="691"/>
      <c r="AB34" s="691"/>
      <c r="AC34" s="691">
        <f>'PSE&amp;G'!AC54</f>
        <v>0</v>
      </c>
      <c r="AD34" s="691"/>
      <c r="AE34" s="691"/>
      <c r="AF34" s="691"/>
      <c r="AG34" s="691"/>
      <c r="AH34" s="691">
        <f>'PSE&amp;G'!AH54</f>
        <v>0</v>
      </c>
      <c r="AI34" s="691"/>
      <c r="AJ34" s="691"/>
      <c r="AK34" s="691"/>
      <c r="AL34" s="691"/>
      <c r="AM34" s="691">
        <f>'PSE&amp;G'!AM54</f>
        <v>0</v>
      </c>
      <c r="AN34" s="691"/>
      <c r="AO34" s="691"/>
      <c r="AP34" s="691"/>
      <c r="AQ34" s="691"/>
      <c r="AR34" s="691">
        <f>'PSE&amp;G'!AR54</f>
        <v>0</v>
      </c>
      <c r="AS34" s="691"/>
      <c r="AT34" s="691"/>
      <c r="AU34" s="691"/>
      <c r="AV34" s="691"/>
      <c r="AW34" s="691">
        <f>'PSE&amp;G'!AW54</f>
        <v>0</v>
      </c>
      <c r="AX34" s="691"/>
      <c r="AY34" s="691"/>
      <c r="AZ34" s="691"/>
      <c r="BA34" s="691"/>
      <c r="BB34" s="691">
        <f>'PSE&amp;G'!BB54</f>
        <v>-75</v>
      </c>
      <c r="BC34" s="691"/>
      <c r="BD34" s="691"/>
      <c r="BE34" s="691"/>
      <c r="BF34" s="691"/>
      <c r="BG34" s="691">
        <f>'PSE&amp;G'!BG54</f>
        <v>175.5</v>
      </c>
      <c r="BH34" s="691"/>
      <c r="BI34" s="691"/>
      <c r="BJ34" s="691"/>
      <c r="BK34" s="691"/>
      <c r="BL34" s="691">
        <f>'PSE&amp;G'!BL54</f>
        <v>120</v>
      </c>
      <c r="BM34" s="691"/>
      <c r="BN34" s="691"/>
      <c r="BO34" s="691"/>
      <c r="BP34" s="691"/>
      <c r="BQ34" s="691">
        <f>'PSE&amp;G'!BQ54</f>
        <v>120</v>
      </c>
      <c r="BT34" s="1402" t="s">
        <v>975</v>
      </c>
      <c r="BW34" s="1187">
        <v>0</v>
      </c>
      <c r="BX34" s="1692">
        <v>0</v>
      </c>
      <c r="BY34" s="1187">
        <v>5</v>
      </c>
      <c r="CY34" s="909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203"/>
      <c r="DM34" s="2"/>
      <c r="DN34" s="7"/>
      <c r="DO34" s="7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7"/>
      <c r="EC34" s="3"/>
      <c r="ED34" s="2"/>
      <c r="EE34" s="2"/>
      <c r="EF34" s="2"/>
      <c r="EG34" s="2"/>
    </row>
    <row r="35" spans="3:137">
      <c r="C35" s="958" t="s">
        <v>1077</v>
      </c>
      <c r="N35" s="691"/>
      <c r="S35" s="691"/>
      <c r="T35" s="691"/>
      <c r="U35" s="691"/>
      <c r="V35" s="691"/>
      <c r="W35" s="691"/>
      <c r="X35" s="691">
        <f>'PSE&amp;G'!X55</f>
        <v>0</v>
      </c>
      <c r="Y35" s="691"/>
      <c r="Z35" s="691"/>
      <c r="AA35" s="691"/>
      <c r="AB35" s="691"/>
      <c r="AC35" s="691">
        <f>'PSE&amp;G'!AC55</f>
        <v>0</v>
      </c>
      <c r="AD35" s="691"/>
      <c r="AE35" s="691"/>
      <c r="AF35" s="691"/>
      <c r="AG35" s="691"/>
      <c r="AH35" s="691">
        <f>'PSE&amp;G'!AH55</f>
        <v>0</v>
      </c>
      <c r="AI35" s="691"/>
      <c r="AJ35" s="691"/>
      <c r="AK35" s="691"/>
      <c r="AL35" s="691"/>
      <c r="AM35" s="691">
        <f>'PSE&amp;G'!AM55</f>
        <v>0</v>
      </c>
      <c r="AN35" s="691"/>
      <c r="AO35" s="691"/>
      <c r="AP35" s="691"/>
      <c r="AQ35" s="691"/>
      <c r="AR35" s="691">
        <f>'PSE&amp;G'!AR55</f>
        <v>0</v>
      </c>
      <c r="AS35" s="691"/>
      <c r="AT35" s="691"/>
      <c r="AU35" s="691"/>
      <c r="AV35" s="691"/>
      <c r="AW35" s="691">
        <f>'PSE&amp;G'!AW55</f>
        <v>0</v>
      </c>
      <c r="AX35" s="691"/>
      <c r="AY35" s="691"/>
      <c r="AZ35" s="691"/>
      <c r="BA35" s="691"/>
      <c r="BB35" s="691">
        <f>'PSE&amp;G'!BB55</f>
        <v>-80</v>
      </c>
      <c r="BC35" s="691"/>
      <c r="BD35" s="691"/>
      <c r="BE35" s="691"/>
      <c r="BF35" s="691"/>
      <c r="BG35" s="691">
        <f>'PSE&amp;G'!BG55</f>
        <v>20</v>
      </c>
      <c r="BH35" s="691"/>
      <c r="BI35" s="691"/>
      <c r="BJ35" s="691"/>
      <c r="BK35" s="691"/>
      <c r="BL35" s="691">
        <f>'PSE&amp;G'!BL55</f>
        <v>0</v>
      </c>
      <c r="BM35" s="691"/>
      <c r="BN35" s="691"/>
      <c r="BO35" s="691"/>
      <c r="BP35" s="691"/>
      <c r="BQ35" s="691">
        <f>'PSE&amp;G'!BQ55</f>
        <v>0</v>
      </c>
      <c r="BW35" s="655"/>
      <c r="BX35" s="1543"/>
      <c r="CA35" s="909"/>
      <c r="CB35" s="909"/>
      <c r="CC35" s="909"/>
      <c r="CD35" s="909"/>
      <c r="CF35" s="909"/>
      <c r="CG35" s="909"/>
      <c r="CH35" s="909"/>
      <c r="CI35" s="909"/>
      <c r="CJ35" s="909"/>
      <c r="CK35" s="909"/>
      <c r="CL35" s="909"/>
      <c r="CM35" s="909"/>
      <c r="CN35" s="909"/>
      <c r="CO35" s="909"/>
      <c r="CP35" s="909"/>
      <c r="CQ35" s="909"/>
      <c r="CR35" s="909"/>
      <c r="CS35" s="909"/>
      <c r="CT35" s="909"/>
      <c r="CU35" s="909"/>
      <c r="CV35" s="909"/>
      <c r="CW35" s="909"/>
      <c r="CX35" s="909"/>
      <c r="CY35" s="965"/>
      <c r="CZ35" s="965"/>
      <c r="DB35" s="49" t="s">
        <v>662</v>
      </c>
      <c r="DF35" s="933"/>
      <c r="DG35" s="203" t="s">
        <v>7</v>
      </c>
      <c r="DH35" s="7"/>
      <c r="DI35" s="7"/>
      <c r="DJ35" s="7"/>
      <c r="DK35" s="7"/>
      <c r="DL35" s="7"/>
      <c r="DM35" s="2"/>
      <c r="DN35" s="7"/>
      <c r="DO35" s="7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7"/>
      <c r="EC35" s="3"/>
      <c r="ED35" s="2"/>
      <c r="EE35" s="2"/>
      <c r="EF35" s="2"/>
      <c r="EG35" s="2"/>
    </row>
    <row r="36" spans="3:137">
      <c r="C36" s="958" t="s">
        <v>25</v>
      </c>
      <c r="S36" s="691"/>
      <c r="T36" s="691"/>
      <c r="U36" s="691"/>
      <c r="V36" s="691"/>
      <c r="W36" s="691"/>
      <c r="X36" s="691">
        <f>'PSE&amp;G'!X56</f>
        <v>0</v>
      </c>
      <c r="Y36" s="691"/>
      <c r="Z36" s="691"/>
      <c r="AA36" s="691"/>
      <c r="AB36" s="691"/>
      <c r="AC36" s="691">
        <f>'PSE&amp;G'!AC56</f>
        <v>0</v>
      </c>
      <c r="AD36" s="691"/>
      <c r="AE36" s="691"/>
      <c r="AF36" s="691"/>
      <c r="AG36" s="691"/>
      <c r="AH36" s="691">
        <f>'PSE&amp;G'!AH56</f>
        <v>0</v>
      </c>
      <c r="AI36" s="691"/>
      <c r="AJ36" s="691"/>
      <c r="AK36" s="691"/>
      <c r="AL36" s="691"/>
      <c r="AM36" s="691">
        <f>'PSE&amp;G'!AM56</f>
        <v>0</v>
      </c>
      <c r="AN36" s="691"/>
      <c r="AO36" s="691"/>
      <c r="AP36" s="691"/>
      <c r="AQ36" s="691"/>
      <c r="AR36" s="691">
        <f>'PSE&amp;G'!AR56</f>
        <v>0</v>
      </c>
      <c r="AS36" s="691"/>
      <c r="AT36" s="691"/>
      <c r="AU36" s="691"/>
      <c r="AV36" s="691"/>
      <c r="AW36" s="691">
        <f>'PSE&amp;G'!AW56</f>
        <v>0</v>
      </c>
      <c r="AX36" s="691"/>
      <c r="AY36" s="691"/>
      <c r="AZ36" s="691"/>
      <c r="BA36" s="691"/>
      <c r="BB36" s="691">
        <f>'PSE&amp;G'!BB56</f>
        <v>10.199999999999999</v>
      </c>
      <c r="BC36" s="691"/>
      <c r="BD36" s="691"/>
      <c r="BE36" s="691"/>
      <c r="BF36" s="691"/>
      <c r="BG36" s="691">
        <f>'PSE&amp;G'!BG56</f>
        <v>9</v>
      </c>
      <c r="BH36" s="691"/>
      <c r="BI36" s="691"/>
      <c r="BJ36" s="691"/>
      <c r="BK36" s="691"/>
      <c r="BL36" s="691">
        <f>'PSE&amp;G'!BL56</f>
        <v>6.6</v>
      </c>
      <c r="BM36" s="691"/>
      <c r="BN36" s="691"/>
      <c r="BO36" s="691"/>
      <c r="BP36" s="691"/>
      <c r="BQ36" s="691">
        <f>'PSE&amp;G'!BQ56</f>
        <v>0</v>
      </c>
      <c r="BT36" s="964">
        <f ca="1">TODAY()</f>
        <v>43203</v>
      </c>
      <c r="BU36" s="931"/>
      <c r="BV36" s="965"/>
      <c r="BW36" s="988"/>
      <c r="BX36" s="965">
        <v>42004</v>
      </c>
      <c r="BY36" s="965">
        <v>42369</v>
      </c>
      <c r="BZ36" s="965">
        <v>42735</v>
      </c>
      <c r="CE36" s="965">
        <v>43100</v>
      </c>
      <c r="CJ36" s="965">
        <v>43465</v>
      </c>
      <c r="CO36" s="965">
        <v>43830</v>
      </c>
      <c r="CT36" s="965">
        <v>44196</v>
      </c>
      <c r="CY36" s="965">
        <v>44561</v>
      </c>
      <c r="CZ36" s="909"/>
      <c r="DB36" s="2" t="s">
        <v>629</v>
      </c>
      <c r="DC36" s="7"/>
      <c r="DD36" s="7"/>
      <c r="DE36" s="938">
        <v>3</v>
      </c>
      <c r="DF36" s="962"/>
      <c r="DG36" s="7" t="s">
        <v>8</v>
      </c>
      <c r="DH36" s="7"/>
      <c r="DI36" s="7"/>
      <c r="DJ36" s="7"/>
      <c r="DK36" s="7"/>
      <c r="DL36" s="934">
        <f>DE45</f>
        <v>8.4150000000000003E-2</v>
      </c>
      <c r="DM36" s="2"/>
      <c r="DN36" s="7"/>
      <c r="DO36" s="7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7"/>
      <c r="EC36" s="3"/>
      <c r="ED36" s="7"/>
      <c r="EE36" s="7"/>
      <c r="EF36" s="7"/>
      <c r="EG36" s="7"/>
    </row>
    <row r="37" spans="3:137">
      <c r="C37" s="958" t="s">
        <v>187</v>
      </c>
      <c r="S37" s="691"/>
      <c r="T37" s="691"/>
      <c r="U37" s="691"/>
      <c r="V37" s="691"/>
      <c r="W37" s="691"/>
      <c r="X37" s="691">
        <f>'PSE&amp;G'!X57</f>
        <v>0</v>
      </c>
      <c r="Y37" s="691"/>
      <c r="Z37" s="691"/>
      <c r="AA37" s="691"/>
      <c r="AB37" s="691"/>
      <c r="AC37" s="691">
        <f>'PSE&amp;G'!AC57</f>
        <v>0</v>
      </c>
      <c r="AD37" s="691"/>
      <c r="AE37" s="691"/>
      <c r="AF37" s="691"/>
      <c r="AG37" s="691"/>
      <c r="AH37" s="691">
        <f>'PSE&amp;G'!AH57</f>
        <v>0</v>
      </c>
      <c r="AI37" s="691"/>
      <c r="AJ37" s="691"/>
      <c r="AK37" s="691"/>
      <c r="AL37" s="691"/>
      <c r="AM37" s="691">
        <f>'PSE&amp;G'!AM57</f>
        <v>0</v>
      </c>
      <c r="AN37" s="691"/>
      <c r="AO37" s="691"/>
      <c r="AP37" s="691"/>
      <c r="AQ37" s="691"/>
      <c r="AR37" s="691">
        <f>'PSE&amp;G'!AR57</f>
        <v>0</v>
      </c>
      <c r="AS37" s="691"/>
      <c r="AT37" s="691"/>
      <c r="AU37" s="691"/>
      <c r="AV37" s="691"/>
      <c r="AW37" s="691">
        <f>'PSE&amp;G'!AW57</f>
        <v>0</v>
      </c>
      <c r="AX37" s="691"/>
      <c r="AY37" s="691"/>
      <c r="AZ37" s="691"/>
      <c r="BA37" s="691"/>
      <c r="BB37" s="691">
        <f>'PSE&amp;G'!BB57</f>
        <v>-112.03329166666674</v>
      </c>
      <c r="BC37" s="691"/>
      <c r="BD37" s="691"/>
      <c r="BE37" s="691"/>
      <c r="BF37" s="691"/>
      <c r="BG37" s="691">
        <f>'PSE&amp;G'!BG57</f>
        <v>0</v>
      </c>
      <c r="BH37" s="691"/>
      <c r="BI37" s="691"/>
      <c r="BJ37" s="691"/>
      <c r="BK37" s="691"/>
      <c r="BL37" s="691">
        <f>'PSE&amp;G'!BL57</f>
        <v>0</v>
      </c>
      <c r="BM37" s="691"/>
      <c r="BN37" s="691"/>
      <c r="BO37" s="691"/>
      <c r="BP37" s="691"/>
      <c r="BQ37" s="691">
        <f>'PSE&amp;G'!BQ57</f>
        <v>0</v>
      </c>
      <c r="BS37" s="304" t="s">
        <v>9</v>
      </c>
      <c r="BT37" s="304"/>
      <c r="BU37" s="18"/>
      <c r="BV37" s="909"/>
      <c r="BW37" s="909"/>
      <c r="BX37" s="909" t="s">
        <v>929</v>
      </c>
      <c r="BY37" s="909" t="s">
        <v>1014</v>
      </c>
      <c r="BZ37" s="909" t="s">
        <v>1072</v>
      </c>
      <c r="CA37" s="691"/>
      <c r="CB37" s="691"/>
      <c r="CC37" s="691"/>
      <c r="CD37" s="691"/>
      <c r="CE37" s="909" t="s">
        <v>1110</v>
      </c>
      <c r="CF37" s="691"/>
      <c r="CG37" s="691"/>
      <c r="CH37" s="691"/>
      <c r="CI37" s="691"/>
      <c r="CJ37" s="909" t="s">
        <v>879</v>
      </c>
      <c r="CK37" s="691"/>
      <c r="CL37" s="691"/>
      <c r="CM37" s="691"/>
      <c r="CN37" s="691"/>
      <c r="CO37" s="909" t="s">
        <v>941</v>
      </c>
      <c r="CP37" s="691"/>
      <c r="CQ37" s="691"/>
      <c r="CR37" s="691"/>
      <c r="CS37" s="691"/>
      <c r="CT37" s="909" t="s">
        <v>946</v>
      </c>
      <c r="CU37" s="691"/>
      <c r="CV37" s="691"/>
      <c r="CW37" s="691"/>
      <c r="CX37" s="691"/>
      <c r="CY37" s="909" t="s">
        <v>1046</v>
      </c>
      <c r="CZ37" s="691"/>
      <c r="DB37" s="2" t="s">
        <v>615</v>
      </c>
      <c r="DC37" s="7"/>
      <c r="DD37" s="7"/>
      <c r="DE37" s="938">
        <v>8</v>
      </c>
      <c r="DF37" s="962"/>
      <c r="DG37" s="7" t="s">
        <v>27</v>
      </c>
      <c r="DH37" s="7"/>
      <c r="DI37" s="7"/>
      <c r="DJ37" s="7"/>
      <c r="DK37" s="7"/>
      <c r="DL37" s="935">
        <v>2</v>
      </c>
      <c r="DM37" s="2"/>
      <c r="DN37" s="7"/>
      <c r="DO37" s="7"/>
      <c r="DQ37" s="2"/>
      <c r="DR37" s="302"/>
      <c r="DS37" s="2"/>
      <c r="DT37" s="2"/>
      <c r="DU37" s="2"/>
      <c r="DV37" s="2"/>
      <c r="DW37" s="2"/>
      <c r="DX37" s="2"/>
      <c r="DY37" s="2"/>
      <c r="DZ37" s="2"/>
      <c r="EA37" s="2"/>
      <c r="EB37" s="7"/>
      <c r="EC37" s="3"/>
      <c r="ED37" s="7"/>
      <c r="EE37" s="7"/>
      <c r="EF37" s="7"/>
      <c r="EG37" s="7"/>
    </row>
    <row r="38" spans="3:137">
      <c r="C38" s="24" t="s">
        <v>667</v>
      </c>
      <c r="X38" s="691">
        <f>'PSE&amp;G'!X58</f>
        <v>0</v>
      </c>
      <c r="AC38" s="691">
        <f>'PSE&amp;G'!AC58</f>
        <v>0</v>
      </c>
      <c r="AH38" s="691">
        <f>'PSE&amp;G'!AH58</f>
        <v>0</v>
      </c>
      <c r="AM38" s="691">
        <f>'PSE&amp;G'!AM58</f>
        <v>0</v>
      </c>
      <c r="AR38" s="691">
        <f>'PSE&amp;G'!AR58</f>
        <v>0</v>
      </c>
      <c r="AW38" s="691">
        <f>'PSE&amp;G'!AW58</f>
        <v>0</v>
      </c>
      <c r="BB38" s="691">
        <f>'PSE&amp;G'!BB58</f>
        <v>39</v>
      </c>
      <c r="BG38" s="691">
        <f>'PSE&amp;G'!BG58</f>
        <v>39</v>
      </c>
      <c r="BL38" s="691">
        <f>'PSE&amp;G'!BL58</f>
        <v>39</v>
      </c>
      <c r="BQ38" s="691">
        <f>'PSE&amp;G'!BQ58</f>
        <v>39</v>
      </c>
      <c r="BT38" t="s">
        <v>75</v>
      </c>
      <c r="BV38" s="691"/>
      <c r="BW38" s="691"/>
      <c r="BX38" s="691">
        <f>Power!AH21</f>
        <v>1665</v>
      </c>
      <c r="BY38" s="691">
        <f>Power!AM21</f>
        <v>1779</v>
      </c>
      <c r="BZ38" s="691">
        <f>Power!AR21</f>
        <v>922</v>
      </c>
      <c r="CA38" s="691"/>
      <c r="CB38" s="691"/>
      <c r="CC38" s="691"/>
      <c r="CD38" s="691"/>
      <c r="CE38" s="691">
        <f>Power!AW21</f>
        <v>1068</v>
      </c>
      <c r="CF38" s="691"/>
      <c r="CG38" s="691"/>
      <c r="CH38" s="691"/>
      <c r="CI38" s="691"/>
      <c r="CJ38" s="691">
        <f>Power!BB21</f>
        <v>1129.7065257761597</v>
      </c>
      <c r="CK38" s="691"/>
      <c r="CL38" s="691"/>
      <c r="CM38" s="691"/>
      <c r="CN38" s="691"/>
      <c r="CO38" s="691">
        <f>Power!BG21</f>
        <v>1088.0548343264229</v>
      </c>
      <c r="CP38" s="691"/>
      <c r="CQ38" s="691"/>
      <c r="CR38" s="691"/>
      <c r="CS38" s="691"/>
      <c r="CT38" s="691">
        <f>Power!BL21</f>
        <v>1090.3941407901602</v>
      </c>
      <c r="CU38" s="691"/>
      <c r="CV38" s="691"/>
      <c r="CW38" s="691"/>
      <c r="CX38" s="691"/>
      <c r="CY38" s="691">
        <f>Power!BQ21</f>
        <v>1254.568837598177</v>
      </c>
      <c r="CZ38" s="691"/>
      <c r="DB38" s="2" t="s">
        <v>10</v>
      </c>
      <c r="DC38" s="7"/>
      <c r="DD38" s="7"/>
      <c r="DE38" s="963">
        <f>DE36/DE37</f>
        <v>0.375</v>
      </c>
      <c r="DF38" s="7"/>
      <c r="DG38" s="7" t="s">
        <v>29</v>
      </c>
      <c r="DH38" s="7"/>
      <c r="DI38" s="7"/>
      <c r="DJ38" s="7"/>
      <c r="DK38" s="7"/>
      <c r="DL38" s="937">
        <v>0.02</v>
      </c>
      <c r="DM38" s="49">
        <v>1</v>
      </c>
      <c r="DN38" s="7"/>
      <c r="DO38" s="7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7"/>
      <c r="EC38" s="3"/>
      <c r="ED38" s="7"/>
      <c r="EE38" s="7"/>
      <c r="EF38" s="7"/>
      <c r="EG38" s="7"/>
    </row>
    <row r="39" spans="3:137">
      <c r="C39" s="24" t="s">
        <v>863</v>
      </c>
      <c r="X39" s="691">
        <f>'PSE&amp;G'!X59</f>
        <v>0</v>
      </c>
      <c r="AC39" s="691">
        <f>'PSE&amp;G'!AC59</f>
        <v>0</v>
      </c>
      <c r="AH39" s="691">
        <f>'PSE&amp;G'!AH59</f>
        <v>0</v>
      </c>
      <c r="AM39" s="691">
        <f>'PSE&amp;G'!AM59</f>
        <v>0</v>
      </c>
      <c r="AR39" s="691">
        <f>'PSE&amp;G'!AR59</f>
        <v>0</v>
      </c>
      <c r="AW39" s="691">
        <f>'PSE&amp;G'!AW59</f>
        <v>0</v>
      </c>
      <c r="BB39" s="691">
        <f>'PSE&amp;G'!BB59</f>
        <v>4.55</v>
      </c>
      <c r="BG39" s="691">
        <f>'PSE&amp;G'!BG59</f>
        <v>0</v>
      </c>
      <c r="BL39" s="691">
        <f>'PSE&amp;G'!BL59</f>
        <v>0</v>
      </c>
      <c r="BQ39" s="691">
        <f>'PSE&amp;G'!BQ59</f>
        <v>0</v>
      </c>
      <c r="BT39" t="s">
        <v>632</v>
      </c>
      <c r="BV39" s="691"/>
      <c r="BW39" s="691"/>
      <c r="BX39" s="691">
        <f>Power!AH13</f>
        <v>292</v>
      </c>
      <c r="BY39" s="691">
        <f>Power!AM13</f>
        <v>291</v>
      </c>
      <c r="BZ39" s="691">
        <f>Power!AR13</f>
        <v>881</v>
      </c>
      <c r="CA39" s="691"/>
      <c r="CB39" s="691"/>
      <c r="CC39" s="691"/>
      <c r="CD39" s="691"/>
      <c r="CE39" s="691">
        <f>Power!AW13</f>
        <v>1268</v>
      </c>
      <c r="CF39" s="691"/>
      <c r="CG39" s="691"/>
      <c r="CH39" s="691"/>
      <c r="CI39" s="691"/>
      <c r="CJ39" s="691">
        <f>Power!BB13</f>
        <v>333.22607952008599</v>
      </c>
      <c r="CK39" s="691"/>
      <c r="CL39" s="691"/>
      <c r="CM39" s="691"/>
      <c r="CN39" s="691"/>
      <c r="CO39" s="691">
        <f>Power!BG13</f>
        <v>337.21470648013042</v>
      </c>
      <c r="CP39" s="691"/>
      <c r="CQ39" s="691"/>
      <c r="CR39" s="691"/>
      <c r="CS39" s="691"/>
      <c r="CT39" s="691">
        <f>Power!BL13</f>
        <v>333.54553960373732</v>
      </c>
      <c r="CU39" s="691"/>
      <c r="CV39" s="691"/>
      <c r="CW39" s="691"/>
      <c r="CX39" s="691"/>
      <c r="CY39" s="691">
        <f>Power!BQ13</f>
        <v>328.6726839259361</v>
      </c>
      <c r="CZ39" s="691"/>
      <c r="DB39" s="2" t="s">
        <v>11</v>
      </c>
      <c r="DC39" s="7"/>
      <c r="DD39" s="7"/>
      <c r="DE39" s="948">
        <f>(DE37-DE36)/DE37</f>
        <v>0.625</v>
      </c>
      <c r="DF39" s="7"/>
      <c r="DG39" s="7" t="s">
        <v>31</v>
      </c>
      <c r="DH39" s="7"/>
      <c r="DI39" s="7"/>
      <c r="DJ39" s="7"/>
      <c r="DK39" s="7"/>
      <c r="DL39" s="938">
        <f>DE53</f>
        <v>8.4163929616128268</v>
      </c>
      <c r="DM39" s="49">
        <v>2</v>
      </c>
      <c r="DN39" s="7"/>
      <c r="DO39" s="7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7"/>
      <c r="EC39" s="3"/>
      <c r="ED39" s="7"/>
      <c r="EE39" s="7"/>
      <c r="EF39" s="7"/>
      <c r="EG39" s="7"/>
    </row>
    <row r="40" spans="3:137">
      <c r="C40" t="s">
        <v>739</v>
      </c>
      <c r="S40" s="691"/>
      <c r="X40" s="691">
        <f>'PSE&amp;G'!X60</f>
        <v>0</v>
      </c>
      <c r="AC40" s="691">
        <f>'PSE&amp;G'!AC60</f>
        <v>0</v>
      </c>
      <c r="AH40" s="691">
        <f>'PSE&amp;G'!AH60</f>
        <v>0</v>
      </c>
      <c r="AM40" s="691">
        <f>'PSE&amp;G'!AM60</f>
        <v>0</v>
      </c>
      <c r="AR40" s="691">
        <f>'PSE&amp;G'!AR60</f>
        <v>0</v>
      </c>
      <c r="AW40" s="691">
        <f>'PSE&amp;G'!AW60</f>
        <v>0</v>
      </c>
      <c r="BB40" s="691">
        <f>'PSE&amp;G'!BB60</f>
        <v>26</v>
      </c>
      <c r="BG40" s="691">
        <f>'PSE&amp;G'!BG60</f>
        <v>60.45</v>
      </c>
      <c r="BL40" s="691">
        <f>'PSE&amp;G'!BL60</f>
        <v>60.45</v>
      </c>
      <c r="BQ40" s="691">
        <f>'PSE&amp;G'!BQ60</f>
        <v>60.45</v>
      </c>
      <c r="BT40" t="s">
        <v>384</v>
      </c>
      <c r="BV40" s="691"/>
      <c r="BW40" s="691"/>
      <c r="BX40" s="691">
        <f>-Power!AH23</f>
        <v>-122</v>
      </c>
      <c r="BY40" s="691">
        <f>-Power!AM23</f>
        <v>-121</v>
      </c>
      <c r="BZ40" s="691">
        <f>-Power!AR23</f>
        <v>-84</v>
      </c>
      <c r="CA40" s="691"/>
      <c r="CB40" s="691"/>
      <c r="CC40" s="691"/>
      <c r="CD40" s="691"/>
      <c r="CE40" s="691">
        <f>-Power!AW23</f>
        <v>-50</v>
      </c>
      <c r="CF40" s="691"/>
      <c r="CG40" s="691"/>
      <c r="CH40" s="691"/>
      <c r="CI40" s="691"/>
      <c r="CJ40" s="691">
        <f>-Power!BB23</f>
        <v>-82.874343544080176</v>
      </c>
      <c r="CK40" s="691"/>
      <c r="CL40" s="691"/>
      <c r="CM40" s="691"/>
      <c r="CN40" s="691"/>
      <c r="CO40" s="691">
        <f>-Power!BG23</f>
        <v>-120</v>
      </c>
      <c r="CP40" s="691"/>
      <c r="CQ40" s="691"/>
      <c r="CR40" s="691"/>
      <c r="CS40" s="691"/>
      <c r="CT40" s="691">
        <f>-Power!BL23</f>
        <v>-114.83154913606208</v>
      </c>
      <c r="CU40" s="691"/>
      <c r="CV40" s="691"/>
      <c r="CW40" s="691"/>
      <c r="CX40" s="691"/>
      <c r="CY40" s="691">
        <f>-Power!BQ23</f>
        <v>-121.26543244990619</v>
      </c>
      <c r="CZ40" s="679"/>
      <c r="DB40" s="2" t="s">
        <v>28</v>
      </c>
      <c r="DC40" s="7"/>
      <c r="DD40" s="7"/>
      <c r="DE40" s="936">
        <v>0.06</v>
      </c>
      <c r="DF40" s="7"/>
      <c r="DG40" s="7"/>
      <c r="DH40" s="7"/>
      <c r="DI40" s="7"/>
      <c r="DJ40" s="7"/>
      <c r="DK40" s="7"/>
      <c r="DL40" s="934"/>
      <c r="DM40" s="2"/>
      <c r="DN40" s="7"/>
      <c r="DO40" s="7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7"/>
      <c r="EC40" s="3"/>
      <c r="ED40" s="7"/>
      <c r="EE40" s="7"/>
      <c r="EF40" s="7"/>
      <c r="EG40" s="7"/>
    </row>
    <row r="41" spans="3:137">
      <c r="BT41" s="305" t="s">
        <v>1114</v>
      </c>
      <c r="BU41" s="959"/>
      <c r="BV41" s="679"/>
      <c r="BW41" s="679"/>
      <c r="BX41" s="679">
        <f>-(BX38-BX39+BX40)*$DE$44</f>
        <v>-325.26</v>
      </c>
      <c r="BY41" s="679">
        <f>-(BY38-BY39+BY40)*$DE$44</f>
        <v>-355.42</v>
      </c>
      <c r="BZ41" s="679">
        <f>-(BZ38-BZ39+BZ40)*$DE$44</f>
        <v>11.18</v>
      </c>
      <c r="CE41" s="679">
        <f>-(CE38-CE39+CE40)*$DE$44</f>
        <v>65</v>
      </c>
      <c r="CJ41" s="679">
        <f>-(CJ38-CJ39+CJ40)*$DE$44</f>
        <v>-185.53758670511834</v>
      </c>
      <c r="CO41" s="679">
        <f>-(CO38-CO39+CO40)*$DE$44</f>
        <v>-164.01843324003605</v>
      </c>
      <c r="CT41" s="679">
        <f>-(CT38-CT39+CT40)*$DE$44</f>
        <v>-166.9244335330938</v>
      </c>
      <c r="CY41" s="679">
        <f>-(CY38-CY39+CY40)*$DE$44</f>
        <v>-209.20398751780704</v>
      </c>
      <c r="CZ41" s="693"/>
      <c r="DB41" s="2" t="s">
        <v>30</v>
      </c>
      <c r="DC41" s="7"/>
      <c r="DD41" s="7"/>
      <c r="DE41" s="936">
        <v>0.03</v>
      </c>
      <c r="DF41" s="7"/>
      <c r="DH41" s="940"/>
      <c r="DI41" s="941"/>
      <c r="DJ41" s="941"/>
      <c r="DK41" s="941"/>
      <c r="DL41" s="7"/>
      <c r="DM41" s="2"/>
      <c r="DN41" s="7"/>
      <c r="DO41" s="7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7"/>
      <c r="EC41" s="3"/>
      <c r="ED41" s="7"/>
      <c r="EE41" s="7"/>
      <c r="EF41" s="7"/>
      <c r="EG41" s="7"/>
    </row>
    <row r="42" spans="3:137">
      <c r="C42" t="s">
        <v>36</v>
      </c>
      <c r="N42" s="689"/>
      <c r="O42" s="689"/>
      <c r="P42" s="689"/>
      <c r="Q42" s="689"/>
      <c r="R42" s="689"/>
      <c r="S42" s="689"/>
      <c r="T42" s="689"/>
      <c r="U42" s="689"/>
      <c r="V42" s="689"/>
      <c r="W42" s="689"/>
      <c r="X42" s="689">
        <f>'PSE&amp;G'!X49</f>
        <v>-2.0580487345940313E-2</v>
      </c>
      <c r="Y42" s="689"/>
      <c r="Z42" s="689"/>
      <c r="AA42" s="689"/>
      <c r="AB42" s="689"/>
      <c r="AC42" s="689">
        <f>'PSE&amp;G'!AC49</f>
        <v>-8.5252515549578689E-3</v>
      </c>
      <c r="AD42" s="689"/>
      <c r="AE42" s="689"/>
      <c r="AF42" s="689"/>
      <c r="AG42" s="689"/>
      <c r="AH42" s="689">
        <f>'PSE&amp;G'!AH49</f>
        <v>-1.305527297388942E-2</v>
      </c>
      <c r="AI42" s="689"/>
      <c r="AJ42" s="689"/>
      <c r="AK42" s="689"/>
      <c r="AL42" s="689"/>
      <c r="AM42" s="689">
        <f>'PSE&amp;G'!AM49</f>
        <v>2.4001767001251562E-2</v>
      </c>
      <c r="AN42" s="689"/>
      <c r="AO42" s="689"/>
      <c r="AP42" s="689"/>
      <c r="AQ42" s="689"/>
      <c r="AR42" s="689">
        <f>'PSE&amp;G'!AR49</f>
        <v>-3.2354703415218289E-3</v>
      </c>
      <c r="AS42" s="689"/>
      <c r="AT42" s="689"/>
      <c r="AU42" s="689"/>
      <c r="AV42" s="689"/>
      <c r="AW42" s="689">
        <f>'PSE&amp;G'!AW49</f>
        <v>-2.0221207020918452E-2</v>
      </c>
      <c r="AX42" s="689"/>
      <c r="AY42" s="689"/>
      <c r="AZ42" s="689"/>
      <c r="BA42" s="689"/>
      <c r="BB42" s="689">
        <f>'PSE&amp;G'!BB49</f>
        <v>0</v>
      </c>
      <c r="BC42" s="689"/>
      <c r="BD42" s="689"/>
      <c r="BE42" s="689"/>
      <c r="BF42" s="689"/>
      <c r="BG42" s="689">
        <f>'PSE&amp;G'!BG49</f>
        <v>0</v>
      </c>
      <c r="BH42" s="689"/>
      <c r="BI42" s="689"/>
      <c r="BJ42" s="689"/>
      <c r="BK42" s="689"/>
      <c r="BL42" s="689">
        <f>'PSE&amp;G'!BL49</f>
        <v>0</v>
      </c>
      <c r="BM42" s="689"/>
      <c r="BN42" s="689"/>
      <c r="BO42" s="689"/>
      <c r="BP42" s="689"/>
      <c r="BQ42" s="689">
        <f>'PSE&amp;G'!BQ49</f>
        <v>0</v>
      </c>
      <c r="BT42" s="64" t="s">
        <v>171</v>
      </c>
      <c r="BV42" s="693"/>
      <c r="BW42" s="693"/>
      <c r="BX42" s="693">
        <f>+BX38+BX40+BX41</f>
        <v>1217.74</v>
      </c>
      <c r="BY42" s="693">
        <f>+BY38+BY40+BY41</f>
        <v>1302.58</v>
      </c>
      <c r="BZ42" s="693">
        <f>+BZ38+BZ40+BZ41</f>
        <v>849.18</v>
      </c>
      <c r="CE42" s="693">
        <f>+CE38+CE40+CE41</f>
        <v>1083</v>
      </c>
      <c r="CJ42" s="693">
        <f>+CJ38+CJ40+CJ41</f>
        <v>861.29459552696119</v>
      </c>
      <c r="CO42" s="693">
        <f>+CO38+CO40+CO41</f>
        <v>804.03640108638683</v>
      </c>
      <c r="CT42" s="693">
        <f>+CT38+CT40+CT41</f>
        <v>808.63815812100438</v>
      </c>
      <c r="CY42" s="693">
        <f>+CY38+CY40+CY41</f>
        <v>924.09941763046368</v>
      </c>
      <c r="DB42" s="7" t="s">
        <v>32</v>
      </c>
      <c r="DC42" s="7"/>
      <c r="DD42" s="7"/>
      <c r="DE42" s="936">
        <v>0.06</v>
      </c>
      <c r="DF42" s="7"/>
      <c r="DM42" s="2"/>
      <c r="DN42" s="7"/>
      <c r="DO42" s="7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7"/>
      <c r="EC42" s="3"/>
      <c r="ED42" s="7"/>
      <c r="EE42" s="7"/>
      <c r="EF42" s="7"/>
      <c r="EG42" s="7"/>
    </row>
    <row r="43" spans="3:137">
      <c r="C43" t="s">
        <v>469</v>
      </c>
      <c r="N43" s="689"/>
      <c r="O43" s="689"/>
      <c r="P43" s="689"/>
      <c r="Q43" s="689"/>
      <c r="R43" s="689"/>
      <c r="S43" s="689"/>
      <c r="T43" s="689"/>
      <c r="U43" s="689"/>
      <c r="V43" s="689"/>
      <c r="W43" s="689"/>
      <c r="X43" s="689">
        <f>'PSE&amp;G'!X62</f>
        <v>6.9970845481049482E-2</v>
      </c>
      <c r="Y43" s="689"/>
      <c r="Z43" s="689"/>
      <c r="AA43" s="689"/>
      <c r="AB43" s="689"/>
      <c r="AC43" s="689">
        <f>'PSE&amp;G'!AC62</f>
        <v>0.10694822888283384</v>
      </c>
      <c r="AD43" s="689"/>
      <c r="AE43" s="689"/>
      <c r="AF43" s="689"/>
      <c r="AG43" s="689"/>
      <c r="AH43" s="689">
        <f>'PSE&amp;G'!AH62</f>
        <v>-4.1230769230769182E-2</v>
      </c>
      <c r="AI43" s="689"/>
      <c r="AJ43" s="689"/>
      <c r="AK43" s="689"/>
      <c r="AL43" s="689"/>
      <c r="AM43" s="689">
        <f>'PSE&amp;G'!AM62</f>
        <v>1.2836970474967568E-3</v>
      </c>
      <c r="AN43" s="689"/>
      <c r="AO43" s="689"/>
      <c r="AP43" s="689"/>
      <c r="AQ43" s="689"/>
      <c r="AR43" s="689">
        <f>'PSE&amp;G'!AR62</f>
        <v>-5.4487179487179516E-2</v>
      </c>
      <c r="AS43" s="689"/>
      <c r="AT43" s="689"/>
      <c r="AU43" s="689"/>
      <c r="AV43" s="689"/>
      <c r="AW43" s="689">
        <f>'PSE&amp;G'!AW62</f>
        <v>-2.7796610169491531E-2</v>
      </c>
      <c r="AX43" s="689"/>
      <c r="AY43" s="689"/>
      <c r="AZ43" s="689"/>
      <c r="BA43" s="689"/>
      <c r="BB43" s="689">
        <f>'PSE&amp;G'!BB62</f>
        <v>1.4999999999999999E-2</v>
      </c>
      <c r="BC43" s="689"/>
      <c r="BD43" s="689"/>
      <c r="BE43" s="689"/>
      <c r="BF43" s="689"/>
      <c r="BG43" s="689">
        <f>'PSE&amp;G'!BG62</f>
        <v>1.4999999999999999E-2</v>
      </c>
      <c r="BH43" s="689"/>
      <c r="BI43" s="689"/>
      <c r="BJ43" s="689"/>
      <c r="BK43" s="689"/>
      <c r="BL43" s="689">
        <f>'PSE&amp;G'!BL62</f>
        <v>1.4999999999999999E-2</v>
      </c>
      <c r="BM43" s="689"/>
      <c r="BN43" s="689"/>
      <c r="BO43" s="689"/>
      <c r="BP43" s="689"/>
      <c r="BQ43" s="689">
        <f>'PSE&amp;G'!BQ62</f>
        <v>1.4999999999999999E-2</v>
      </c>
      <c r="CZ43" s="691"/>
      <c r="DB43" s="7" t="s">
        <v>34</v>
      </c>
      <c r="DC43" s="7"/>
      <c r="DD43" s="7"/>
      <c r="DE43" s="939">
        <v>1.3</v>
      </c>
      <c r="DF43" s="7"/>
      <c r="DM43" s="2"/>
      <c r="DN43" s="7"/>
      <c r="DO43" s="7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7"/>
      <c r="EC43" s="3"/>
      <c r="ED43" s="7"/>
      <c r="EE43" s="7"/>
      <c r="EF43" s="7"/>
      <c r="EG43" s="7"/>
    </row>
    <row r="44" spans="3:137">
      <c r="BT44" t="s">
        <v>327</v>
      </c>
      <c r="BV44" s="691"/>
      <c r="BW44" s="691"/>
      <c r="BX44" s="691">
        <f>Power!AH475</f>
        <v>0</v>
      </c>
      <c r="BY44" s="691">
        <f>Power!AM475</f>
        <v>0</v>
      </c>
      <c r="BZ44" s="691">
        <f>Power!AR475</f>
        <v>0</v>
      </c>
      <c r="CE44" s="691">
        <f>Power!AW475</f>
        <v>0</v>
      </c>
      <c r="CJ44" s="691">
        <f>Power!BB475</f>
        <v>170</v>
      </c>
      <c r="CO44" s="691">
        <f>Power!BG475</f>
        <v>165</v>
      </c>
      <c r="CT44" s="691">
        <f>Power!BL475</f>
        <v>165</v>
      </c>
      <c r="CY44" s="691">
        <f>Power!BQ475</f>
        <v>190</v>
      </c>
      <c r="CZ44" s="691"/>
      <c r="DB44" s="7" t="s">
        <v>548</v>
      </c>
      <c r="DC44" s="7"/>
      <c r="DD44" s="7"/>
      <c r="DE44" s="937">
        <v>0.26</v>
      </c>
      <c r="DF44" s="7"/>
      <c r="DM44" s="2"/>
      <c r="DN44" s="7"/>
      <c r="DO44" s="7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7"/>
      <c r="EC44" s="3"/>
      <c r="ED44" s="7"/>
      <c r="EE44" s="7"/>
      <c r="EF44" s="7"/>
      <c r="EG44" s="7"/>
    </row>
    <row r="45" spans="3:137">
      <c r="C45" t="s">
        <v>140</v>
      </c>
      <c r="N45" s="689"/>
      <c r="O45" s="689"/>
      <c r="P45" s="689"/>
      <c r="Q45" s="689"/>
      <c r="R45" s="689"/>
      <c r="S45" s="689"/>
      <c r="T45" s="689"/>
      <c r="U45" s="689"/>
      <c r="V45" s="689"/>
      <c r="W45" s="689"/>
      <c r="X45" s="689">
        <f>'PSE&amp;G'!X68</f>
        <v>0.125</v>
      </c>
      <c r="Y45" s="689"/>
      <c r="Z45" s="689"/>
      <c r="AA45" s="689"/>
      <c r="AB45" s="689"/>
      <c r="AC45" s="689">
        <f>'PSE&amp;G'!AC68</f>
        <v>0.12322809278350515</v>
      </c>
      <c r="AD45" s="689"/>
      <c r="AE45" s="689"/>
      <c r="AF45" s="689"/>
      <c r="AG45" s="689"/>
      <c r="AH45" s="689">
        <f>'PSE&amp;G'!AH68</f>
        <v>0.12996760770381446</v>
      </c>
      <c r="AI45" s="689"/>
      <c r="AJ45" s="689"/>
      <c r="AK45" s="689"/>
      <c r="AL45" s="689"/>
      <c r="AM45" s="689">
        <f>'PSE&amp;G'!AM68</f>
        <v>0.1240398955254912</v>
      </c>
      <c r="AN45" s="689"/>
      <c r="AO45" s="689"/>
      <c r="AP45" s="689"/>
      <c r="AQ45" s="689"/>
      <c r="AR45" s="689">
        <f>'PSE&amp;G'!AR68</f>
        <v>0.12141285960326799</v>
      </c>
      <c r="AS45" s="689"/>
      <c r="AT45" s="689"/>
      <c r="AU45" s="689"/>
      <c r="AV45" s="689"/>
      <c r="AW45" s="689">
        <f>'PSE&amp;G'!AW68</f>
        <v>0.11801296723036123</v>
      </c>
      <c r="AX45" s="689"/>
      <c r="AY45" s="689"/>
      <c r="AZ45" s="689"/>
      <c r="BA45" s="689"/>
      <c r="BB45" s="689">
        <f>'PSE&amp;G'!BB68</f>
        <v>0.11403277647823852</v>
      </c>
      <c r="BC45" s="689"/>
      <c r="BD45" s="689"/>
      <c r="BE45" s="689"/>
      <c r="BF45" s="689"/>
      <c r="BG45" s="689">
        <f>'PSE&amp;G'!BG68</f>
        <v>0.1121206548531139</v>
      </c>
      <c r="BH45" s="689"/>
      <c r="BI45" s="689"/>
      <c r="BJ45" s="689"/>
      <c r="BK45" s="689"/>
      <c r="BL45" s="689">
        <f>'PSE&amp;G'!BL68</f>
        <v>0.10929697169370205</v>
      </c>
      <c r="BM45" s="689"/>
      <c r="BN45" s="689"/>
      <c r="BO45" s="689"/>
      <c r="BP45" s="689"/>
      <c r="BQ45" s="689">
        <f>'PSE&amp;G'!BQ68</f>
        <v>0.10607594485786503</v>
      </c>
      <c r="BT45" t="s">
        <v>49</v>
      </c>
      <c r="BV45" s="691"/>
      <c r="BW45" s="691"/>
      <c r="BX45" s="691">
        <f>Power!AH476</f>
        <v>0</v>
      </c>
      <c r="BY45" s="691">
        <f>Power!AM476</f>
        <v>0</v>
      </c>
      <c r="BZ45" s="691">
        <f>Power!AR476</f>
        <v>0</v>
      </c>
      <c r="CA45" s="689"/>
      <c r="CB45" s="689"/>
      <c r="CC45" s="689"/>
      <c r="CD45" s="689"/>
      <c r="CE45" s="691">
        <f>Power!AW476</f>
        <v>0</v>
      </c>
      <c r="CF45" s="689"/>
      <c r="CG45" s="689"/>
      <c r="CH45" s="689"/>
      <c r="CI45" s="689"/>
      <c r="CJ45" s="691">
        <f>Power!BB476</f>
        <v>30</v>
      </c>
      <c r="CK45" s="689"/>
      <c r="CL45" s="689"/>
      <c r="CM45" s="689"/>
      <c r="CN45" s="689"/>
      <c r="CO45" s="691">
        <f>Power!BG476</f>
        <v>30</v>
      </c>
      <c r="CP45" s="689"/>
      <c r="CQ45" s="689"/>
      <c r="CR45" s="689"/>
      <c r="CS45" s="689"/>
      <c r="CT45" s="691">
        <f>Power!BL476</f>
        <v>20</v>
      </c>
      <c r="CU45" s="689"/>
      <c r="CV45" s="689"/>
      <c r="CW45" s="689"/>
      <c r="CX45" s="689"/>
      <c r="CY45" s="691">
        <f>Power!BQ476</f>
        <v>10</v>
      </c>
      <c r="CZ45" s="691"/>
      <c r="DB45" s="324" t="s">
        <v>661</v>
      </c>
      <c r="DC45" s="919"/>
      <c r="DD45" s="919"/>
      <c r="DE45" s="942">
        <f>(DE38*(DE40*(1-DE44)))+(DE39*(DE41+(DE42*DE43)))</f>
        <v>8.4150000000000003E-2</v>
      </c>
      <c r="DF45" s="7"/>
      <c r="DM45" s="2"/>
      <c r="DN45" s="7"/>
      <c r="DO45" s="7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7"/>
      <c r="EC45" s="3"/>
      <c r="ED45" s="7"/>
      <c r="EE45" s="7"/>
      <c r="EF45" s="7"/>
      <c r="EG45" s="7"/>
    </row>
    <row r="46" spans="3:137">
      <c r="C46" t="s">
        <v>37</v>
      </c>
      <c r="N46" s="669"/>
      <c r="O46" s="669"/>
      <c r="P46" s="669"/>
      <c r="Q46" s="669"/>
      <c r="R46" s="669"/>
      <c r="S46" s="689"/>
      <c r="T46" s="689"/>
      <c r="U46" s="689"/>
      <c r="V46" s="689"/>
      <c r="W46" s="689"/>
      <c r="X46" s="689">
        <f>'PSE&amp;G'!X227</f>
        <v>0.50571679859278806</v>
      </c>
      <c r="Y46" s="689"/>
      <c r="Z46" s="689"/>
      <c r="AA46" s="689"/>
      <c r="AB46" s="689"/>
      <c r="AC46" s="689">
        <f>'PSE&amp;G'!AC227</f>
        <v>0.51129256428075054</v>
      </c>
      <c r="AD46" s="689"/>
      <c r="AE46" s="689"/>
      <c r="AF46" s="689"/>
      <c r="AG46" s="689"/>
      <c r="AH46" s="689">
        <f>'PSE&amp;G'!AH227</f>
        <v>0.50808504267105858</v>
      </c>
      <c r="AI46" s="689"/>
      <c r="AJ46" s="689"/>
      <c r="AK46" s="689"/>
      <c r="AL46" s="689"/>
      <c r="AM46" s="689">
        <f>'PSE&amp;G'!AM227</f>
        <v>0.52058843747851791</v>
      </c>
      <c r="AN46" s="689"/>
      <c r="AO46" s="689"/>
      <c r="AP46" s="689"/>
      <c r="AQ46" s="689"/>
      <c r="AR46" s="689">
        <f>'PSE&amp;G'!AR227</f>
        <v>0.52704174228675138</v>
      </c>
      <c r="AS46" s="689"/>
      <c r="AT46" s="689"/>
      <c r="AU46" s="689"/>
      <c r="AV46" s="689"/>
      <c r="AW46" s="689">
        <f>'PSE&amp;G'!AW227</f>
        <v>0.53373134328358207</v>
      </c>
      <c r="AX46" s="689"/>
      <c r="AY46" s="689"/>
      <c r="AZ46" s="689"/>
      <c r="BA46" s="689"/>
      <c r="BB46" s="689">
        <f>'PSE&amp;G'!BB227</f>
        <v>0.51607325951081229</v>
      </c>
      <c r="BC46" s="689"/>
      <c r="BD46" s="689"/>
      <c r="BE46" s="689"/>
      <c r="BF46" s="689"/>
      <c r="BG46" s="689">
        <f>'PSE&amp;G'!BG227</f>
        <v>0.50976124693770719</v>
      </c>
      <c r="BH46" s="689"/>
      <c r="BI46" s="689"/>
      <c r="BJ46" s="689"/>
      <c r="BK46" s="689"/>
      <c r="BL46" s="689">
        <f>'PSE&amp;G'!BL227</f>
        <v>0.50855889926484121</v>
      </c>
      <c r="BM46" s="689"/>
      <c r="BN46" s="689"/>
      <c r="BO46" s="689"/>
      <c r="BP46" s="689"/>
      <c r="BQ46" s="689">
        <f>'PSE&amp;G'!BQ227</f>
        <v>0.50828031570644816</v>
      </c>
      <c r="BT46" t="s">
        <v>445</v>
      </c>
      <c r="BV46" s="691"/>
      <c r="BW46" s="691"/>
      <c r="BX46" s="691">
        <f>Power!AH477+Power!AH479</f>
        <v>0</v>
      </c>
      <c r="BY46" s="691">
        <f>SUM(Power!AM477:'Power'!AM479)</f>
        <v>0</v>
      </c>
      <c r="BZ46" s="691">
        <f>SUM(Power!AR477:'Power'!AR479)</f>
        <v>0</v>
      </c>
      <c r="CA46" s="689"/>
      <c r="CB46" s="689"/>
      <c r="CC46" s="689"/>
      <c r="CD46" s="689"/>
      <c r="CE46" s="691">
        <f>SUM(Power!AW477:AW479)</f>
        <v>0</v>
      </c>
      <c r="CF46" s="689"/>
      <c r="CG46" s="689"/>
      <c r="CH46" s="689"/>
      <c r="CI46" s="689"/>
      <c r="CJ46" s="691">
        <f>SUM(Power!BB477:BB479)</f>
        <v>445</v>
      </c>
      <c r="CK46" s="689"/>
      <c r="CL46" s="689"/>
      <c r="CM46" s="689"/>
      <c r="CN46" s="689"/>
      <c r="CO46" s="691">
        <f>SUM(Power!BG477:BG479)</f>
        <v>65</v>
      </c>
      <c r="CP46" s="689"/>
      <c r="CQ46" s="689"/>
      <c r="CR46" s="689"/>
      <c r="CS46" s="689"/>
      <c r="CT46" s="691">
        <f>SUM(Power!BL477:BL479)</f>
        <v>10</v>
      </c>
      <c r="CU46" s="689"/>
      <c r="CV46" s="689"/>
      <c r="CW46" s="689"/>
      <c r="CX46" s="689"/>
      <c r="CY46" s="691">
        <f>SUM(Power!BQ477:'Power'!BQ479)</f>
        <v>5</v>
      </c>
      <c r="CZ46" s="706"/>
      <c r="DF46" s="7"/>
      <c r="DM46" s="2"/>
      <c r="DN46" s="7"/>
      <c r="DO46" s="7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7"/>
      <c r="EC46" s="3"/>
      <c r="ED46" s="7"/>
      <c r="EE46" s="7"/>
      <c r="EF46" s="7"/>
      <c r="EG46" s="7"/>
    </row>
    <row r="47" spans="3:137">
      <c r="BT47" s="64" t="s">
        <v>614</v>
      </c>
      <c r="BV47" s="706"/>
      <c r="BW47" s="706"/>
      <c r="BX47" s="706">
        <f>SUM(BX44:BX46)</f>
        <v>0</v>
      </c>
      <c r="BY47" s="706">
        <f>SUM(BY44:BY46)</f>
        <v>0</v>
      </c>
      <c r="BZ47" s="706">
        <f>SUM(BZ44:BZ46)</f>
        <v>0</v>
      </c>
      <c r="CE47" s="706">
        <f>SUM(CE44:CE46)</f>
        <v>0</v>
      </c>
      <c r="CJ47" s="706">
        <f>SUM(CJ44:CJ46)</f>
        <v>645</v>
      </c>
      <c r="CO47" s="706">
        <f>SUM(CO44:CO46)</f>
        <v>260</v>
      </c>
      <c r="CT47" s="706">
        <f>SUM(CT44:CT46)</f>
        <v>195</v>
      </c>
      <c r="CY47" s="706">
        <f>SUM(CY44:CY46)</f>
        <v>205</v>
      </c>
      <c r="DB47" s="49" t="s">
        <v>626</v>
      </c>
      <c r="DC47" s="7"/>
      <c r="DD47" s="7"/>
      <c r="DM47" s="2"/>
      <c r="DN47" s="7"/>
      <c r="DO47" s="7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7"/>
      <c r="EC47" s="3"/>
      <c r="ED47" s="7"/>
      <c r="EE47" s="7"/>
      <c r="EF47" s="7"/>
      <c r="EG47" s="7"/>
    </row>
    <row r="48" spans="3:137">
      <c r="C48" t="s">
        <v>50</v>
      </c>
      <c r="S48" s="689"/>
      <c r="T48" s="689"/>
      <c r="U48" s="689"/>
      <c r="V48" s="689"/>
      <c r="W48" s="689"/>
      <c r="X48" s="689">
        <f>'PSE&amp;G'!X67</f>
        <v>0.10880000000000001</v>
      </c>
      <c r="Y48" s="689"/>
      <c r="Z48" s="689"/>
      <c r="AA48" s="689"/>
      <c r="AB48" s="689"/>
      <c r="AC48" s="689">
        <f>'PSE&amp;G'!AC67</f>
        <v>0.10880000000000001</v>
      </c>
      <c r="AD48" s="689"/>
      <c r="AE48" s="689"/>
      <c r="AF48" s="689"/>
      <c r="AG48" s="689"/>
      <c r="AH48" s="689">
        <f>'PSE&amp;G'!AH67</f>
        <v>0.10880000000000001</v>
      </c>
      <c r="AI48" s="689"/>
      <c r="AJ48" s="689"/>
      <c r="AK48" s="689"/>
      <c r="AL48" s="689"/>
      <c r="AM48" s="689">
        <f>'PSE&amp;G'!AM67</f>
        <v>0.10880000000000001</v>
      </c>
      <c r="AN48" s="689"/>
      <c r="AO48" s="689"/>
      <c r="AP48" s="689"/>
      <c r="AQ48" s="689"/>
      <c r="AR48" s="689">
        <f>'PSE&amp;G'!AR67</f>
        <v>0.10880000000000001</v>
      </c>
      <c r="AS48" s="689"/>
      <c r="AT48" s="689"/>
      <c r="AU48" s="689"/>
      <c r="AV48" s="689"/>
      <c r="AW48" s="689">
        <f>'PSE&amp;G'!AW67</f>
        <v>0.1098875</v>
      </c>
      <c r="AX48" s="689"/>
      <c r="AY48" s="689"/>
      <c r="AZ48" s="689"/>
      <c r="BA48" s="689"/>
      <c r="BB48" s="689">
        <f>'PSE&amp;G'!BB67</f>
        <v>0.107</v>
      </c>
      <c r="BC48" s="689"/>
      <c r="BD48" s="689"/>
      <c r="BE48" s="689"/>
      <c r="BF48" s="689"/>
      <c r="BG48" s="689">
        <f>'PSE&amp;G'!BG67</f>
        <v>0.10769999999999999</v>
      </c>
      <c r="BH48" s="689"/>
      <c r="BI48" s="689"/>
      <c r="BJ48" s="689"/>
      <c r="BK48" s="689"/>
      <c r="BL48" s="689">
        <f>'PSE&amp;G'!BL67</f>
        <v>0.10769999999999999</v>
      </c>
      <c r="BM48" s="689"/>
      <c r="BN48" s="689"/>
      <c r="BO48" s="689"/>
      <c r="BP48" s="689"/>
      <c r="BQ48" s="689">
        <f>'PSE&amp;G'!BQ67</f>
        <v>0.10769999999999999</v>
      </c>
      <c r="CA48" s="689"/>
      <c r="CB48" s="689"/>
      <c r="CC48" s="689"/>
      <c r="CD48" s="689"/>
      <c r="CF48" s="689"/>
      <c r="CG48" s="689"/>
      <c r="CH48" s="689"/>
      <c r="CI48" s="689"/>
      <c r="CK48" s="689"/>
      <c r="CL48" s="689"/>
      <c r="CM48" s="689"/>
      <c r="CN48" s="689"/>
      <c r="CP48" s="689"/>
      <c r="CQ48" s="689"/>
      <c r="CR48" s="689"/>
      <c r="CS48" s="689"/>
      <c r="CU48" s="689"/>
      <c r="CV48" s="689"/>
      <c r="CW48" s="689"/>
      <c r="CX48" s="689"/>
      <c r="CZ48" s="944"/>
      <c r="DB48" s="2" t="s">
        <v>492</v>
      </c>
      <c r="DC48" s="7"/>
      <c r="DD48" s="7"/>
      <c r="DE48" s="934">
        <f>DE45</f>
        <v>8.4150000000000003E-2</v>
      </c>
      <c r="DF48" s="7"/>
      <c r="DM48" s="2"/>
      <c r="DN48" s="7"/>
      <c r="DO48" s="7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7"/>
      <c r="EC48" s="3"/>
      <c r="ED48" s="7"/>
      <c r="EE48" s="7"/>
      <c r="EF48" s="7"/>
      <c r="EG48" s="7"/>
    </row>
    <row r="49" spans="2:137">
      <c r="C49" t="s">
        <v>643</v>
      </c>
      <c r="S49" s="689"/>
      <c r="T49" s="689"/>
      <c r="U49" s="689"/>
      <c r="V49" s="689"/>
      <c r="W49" s="689"/>
      <c r="X49" s="689">
        <f>'PSE&amp;G'!X265</f>
        <v>0.51200000000000001</v>
      </c>
      <c r="Y49" s="689"/>
      <c r="Z49" s="689"/>
      <c r="AA49" s="689"/>
      <c r="AB49" s="689"/>
      <c r="AC49" s="689">
        <f>'PSE&amp;G'!AC265</f>
        <v>0.51200000000000001</v>
      </c>
      <c r="AD49" s="689"/>
      <c r="AE49" s="689"/>
      <c r="AF49" s="689"/>
      <c r="AG49" s="689"/>
      <c r="AH49" s="689">
        <f>'PSE&amp;G'!AH265</f>
        <v>0.51200000000000001</v>
      </c>
      <c r="AI49" s="689"/>
      <c r="AJ49" s="689"/>
      <c r="AK49" s="689"/>
      <c r="AL49" s="689"/>
      <c r="AM49" s="689">
        <f>'PSE&amp;G'!AM265</f>
        <v>0.51200000000000001</v>
      </c>
      <c r="AN49" s="689"/>
      <c r="AO49" s="689"/>
      <c r="AP49" s="689"/>
      <c r="AQ49" s="689"/>
      <c r="AR49" s="689">
        <f>'PSE&amp;G'!AR265</f>
        <v>0.51200000000000001</v>
      </c>
      <c r="AS49" s="689"/>
      <c r="AT49" s="689"/>
      <c r="AU49" s="689"/>
      <c r="AV49" s="689"/>
      <c r="AW49" s="689">
        <f>'PSE&amp;G'!AW265</f>
        <v>0.51200000000000001</v>
      </c>
      <c r="AX49" s="689"/>
      <c r="AY49" s="689"/>
      <c r="AZ49" s="689"/>
      <c r="BA49" s="689"/>
      <c r="BB49" s="689">
        <f>'PSE&amp;G'!BB265</f>
        <v>0.51200000000000001</v>
      </c>
      <c r="BC49" s="689"/>
      <c r="BD49" s="689"/>
      <c r="BE49" s="689"/>
      <c r="BF49" s="689"/>
      <c r="BG49" s="689">
        <f>'PSE&amp;G'!BG265</f>
        <v>0.51200000000000001</v>
      </c>
      <c r="BH49" s="689"/>
      <c r="BI49" s="689"/>
      <c r="BJ49" s="689"/>
      <c r="BK49" s="689"/>
      <c r="BL49" s="689">
        <f>'PSE&amp;G'!BL265</f>
        <v>0.51200000000000001</v>
      </c>
      <c r="BM49" s="689"/>
      <c r="BN49" s="689"/>
      <c r="BO49" s="689"/>
      <c r="BP49" s="689"/>
      <c r="BQ49" s="689">
        <f>'PSE&amp;G'!BQ265</f>
        <v>0.51200000000000001</v>
      </c>
      <c r="BT49" s="305" t="s">
        <v>51</v>
      </c>
      <c r="BU49" s="305"/>
      <c r="BV49" s="944"/>
      <c r="BW49" s="944"/>
      <c r="BX49" s="944">
        <f>BX42-BX47</f>
        <v>1217.74</v>
      </c>
      <c r="BY49" s="944">
        <f>BY42-BY47</f>
        <v>1302.58</v>
      </c>
      <c r="BZ49" s="944">
        <f>BZ42-BZ47</f>
        <v>849.18</v>
      </c>
      <c r="CA49" s="689"/>
      <c r="CB49" s="689"/>
      <c r="CC49" s="689"/>
      <c r="CD49" s="689"/>
      <c r="CE49" s="944">
        <f>CE42-CE47</f>
        <v>1083</v>
      </c>
      <c r="CF49" s="689"/>
      <c r="CG49" s="689"/>
      <c r="CH49" s="689"/>
      <c r="CI49" s="689"/>
      <c r="CJ49" s="944">
        <f>CJ42-CJ47</f>
        <v>216.29459552696119</v>
      </c>
      <c r="CK49" s="689"/>
      <c r="CL49" s="689"/>
      <c r="CM49" s="689"/>
      <c r="CN49" s="689"/>
      <c r="CO49" s="944">
        <f>CO42-CO47</f>
        <v>544.03640108638683</v>
      </c>
      <c r="CP49" s="689"/>
      <c r="CQ49" s="689"/>
      <c r="CR49" s="689"/>
      <c r="CS49" s="689"/>
      <c r="CT49" s="944">
        <f>CT42-CT47</f>
        <v>613.63815812100438</v>
      </c>
      <c r="CU49" s="689"/>
      <c r="CV49" s="689"/>
      <c r="CW49" s="689"/>
      <c r="CX49" s="689"/>
      <c r="CY49" s="944">
        <f>CY42-CY47</f>
        <v>719.09941763046368</v>
      </c>
      <c r="CZ49" s="706"/>
      <c r="DB49" s="2" t="s">
        <v>627</v>
      </c>
      <c r="DC49" s="7"/>
      <c r="DD49" s="7"/>
      <c r="DE49" s="943">
        <f>DY59/CY38</f>
        <v>4.5437030849767828</v>
      </c>
      <c r="DF49" s="7"/>
      <c r="DM49" s="2"/>
      <c r="DN49" s="7"/>
      <c r="DO49" s="7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7"/>
      <c r="EC49" s="3"/>
      <c r="ED49" s="7"/>
      <c r="EE49" s="7"/>
      <c r="EF49" s="7"/>
      <c r="EG49" s="7"/>
    </row>
    <row r="50" spans="2:137">
      <c r="BT50" s="64" t="s">
        <v>52</v>
      </c>
      <c r="BU50" s="64"/>
      <c r="BV50" s="706"/>
      <c r="BW50" s="706"/>
      <c r="BX50" s="706">
        <f>+BX49+-(BX40*(1-$DE$44))</f>
        <v>1308.02</v>
      </c>
      <c r="BY50" s="706">
        <f>+BY49+-(BY40*(1-$DE$44))</f>
        <v>1392.12</v>
      </c>
      <c r="BZ50" s="706">
        <f>+BZ49+-(BZ40*(1-$DE$44))</f>
        <v>911.33999999999992</v>
      </c>
      <c r="CE50" s="706">
        <f>+CE49+-(CE40*(1-$DE$44))</f>
        <v>1120</v>
      </c>
      <c r="CJ50" s="706">
        <f>+CJ49+-(CJ40*(1-$DE$44))</f>
        <v>277.6216097495805</v>
      </c>
      <c r="CO50" s="706">
        <f>+CO49+-(CO40*(1-$DE$44))</f>
        <v>632.83640108638679</v>
      </c>
      <c r="CT50" s="706">
        <f>+CT49+-(CT40*(1-$DE$44))</f>
        <v>698.61350448169037</v>
      </c>
      <c r="CY50" s="706">
        <f>+CY49+-(CY40*(1-$DE$44))</f>
        <v>808.83583764339426</v>
      </c>
      <c r="CZ50" s="961"/>
      <c r="DB50" s="2" t="s">
        <v>623</v>
      </c>
      <c r="DC50" s="7"/>
      <c r="DD50" s="7"/>
      <c r="DE50" s="1051">
        <f>CY44/CY38</f>
        <v>0.15144645260259101</v>
      </c>
      <c r="DF50" s="7"/>
      <c r="DM50" s="2"/>
      <c r="DN50" s="7"/>
      <c r="DO50" s="7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7"/>
      <c r="EC50" s="3"/>
      <c r="ED50" s="7"/>
      <c r="EE50" s="7"/>
      <c r="EF50" s="7"/>
      <c r="EG50" s="7"/>
    </row>
    <row r="51" spans="2:137">
      <c r="BT51" s="64" t="s">
        <v>616</v>
      </c>
      <c r="CA51" s="689"/>
      <c r="CB51" s="689"/>
      <c r="CC51" s="689"/>
      <c r="CD51" s="689"/>
      <c r="CE51" s="961"/>
      <c r="CF51" s="689"/>
      <c r="CG51" s="689"/>
      <c r="CH51" s="689"/>
      <c r="CI51" s="689"/>
      <c r="CJ51" s="961"/>
      <c r="CK51" s="689"/>
      <c r="CL51" s="689"/>
      <c r="CM51" s="689"/>
      <c r="CN51" s="689"/>
      <c r="CO51" s="961"/>
      <c r="CP51" s="689"/>
      <c r="CQ51" s="689"/>
      <c r="CR51" s="689"/>
      <c r="CS51" s="689"/>
      <c r="CT51" s="961"/>
      <c r="CU51" s="689"/>
      <c r="CV51" s="689"/>
      <c r="CW51" s="689"/>
      <c r="CX51" s="689"/>
      <c r="CY51" s="961">
        <f>IF(DL37=2,CY38*DE53,(CY50+CY46+CY45)/(DE45-DL38))</f>
        <v>10558.944334620082</v>
      </c>
      <c r="DB51" s="2" t="s">
        <v>628</v>
      </c>
      <c r="DC51" s="7"/>
      <c r="DD51" s="7"/>
      <c r="DE51" s="937">
        <v>0.01</v>
      </c>
      <c r="DF51" s="7"/>
      <c r="DM51" s="2"/>
      <c r="DN51" s="7"/>
      <c r="DO51" s="7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7"/>
      <c r="EC51" s="3"/>
      <c r="ED51" s="7"/>
      <c r="EE51" s="7"/>
      <c r="EF51" s="7"/>
      <c r="EG51" s="7"/>
    </row>
    <row r="52" spans="2:137">
      <c r="B52" s="304" t="s">
        <v>53</v>
      </c>
      <c r="C52" s="304"/>
      <c r="D52" s="18"/>
      <c r="J52" s="909"/>
      <c r="K52" s="909"/>
      <c r="L52" s="909"/>
      <c r="M52" s="909"/>
      <c r="N52" s="909"/>
      <c r="O52" s="909"/>
      <c r="P52" s="909"/>
      <c r="Q52" s="909"/>
      <c r="R52" s="909"/>
      <c r="S52" s="909"/>
      <c r="T52" s="909"/>
      <c r="U52" s="909"/>
      <c r="V52" s="909"/>
      <c r="W52" s="909"/>
      <c r="X52" s="909" t="s">
        <v>797</v>
      </c>
      <c r="Y52" s="909"/>
      <c r="Z52" s="909"/>
      <c r="AA52" s="909"/>
      <c r="AB52" s="909"/>
      <c r="AC52" s="909" t="s">
        <v>870</v>
      </c>
      <c r="AD52" s="909"/>
      <c r="AE52" s="909"/>
      <c r="AF52" s="909"/>
      <c r="AG52" s="909"/>
      <c r="AH52" s="909" t="s">
        <v>929</v>
      </c>
      <c r="AI52" s="909"/>
      <c r="AJ52" s="909"/>
      <c r="AK52" s="909"/>
      <c r="AL52" s="909"/>
      <c r="AM52" s="909" t="s">
        <v>1014</v>
      </c>
      <c r="AN52" s="909"/>
      <c r="AO52" s="909"/>
      <c r="AP52" s="909"/>
      <c r="AQ52" s="909"/>
      <c r="AR52" s="909" t="s">
        <v>1072</v>
      </c>
      <c r="AS52" s="909"/>
      <c r="AT52" s="909"/>
      <c r="AU52" s="909"/>
      <c r="AV52" s="909"/>
      <c r="AW52" s="909" t="s">
        <v>1110</v>
      </c>
      <c r="AX52" s="909"/>
      <c r="AY52" s="909"/>
      <c r="AZ52" s="909"/>
      <c r="BA52" s="909"/>
      <c r="BB52" s="909" t="s">
        <v>879</v>
      </c>
      <c r="BC52" s="909"/>
      <c r="BD52" s="909"/>
      <c r="BE52" s="909"/>
      <c r="BF52" s="909"/>
      <c r="BG52" s="909" t="s">
        <v>941</v>
      </c>
      <c r="BH52" s="909"/>
      <c r="BI52" s="909"/>
      <c r="BJ52" s="909"/>
      <c r="BK52" s="909"/>
      <c r="BL52" s="909" t="s">
        <v>946</v>
      </c>
      <c r="BM52" s="909"/>
      <c r="BN52" s="909"/>
      <c r="BO52" s="909"/>
      <c r="BP52" s="909"/>
      <c r="BQ52" s="909" t="s">
        <v>1046</v>
      </c>
      <c r="CA52" s="689"/>
      <c r="CB52" s="689"/>
      <c r="CC52" s="689"/>
      <c r="CD52" s="689"/>
      <c r="CF52" s="689"/>
      <c r="CG52" s="689"/>
      <c r="CH52" s="689"/>
      <c r="CI52" s="689"/>
      <c r="CK52" s="689"/>
      <c r="CL52" s="689"/>
      <c r="CM52" s="689"/>
      <c r="CN52" s="689"/>
      <c r="CP52" s="689"/>
      <c r="CQ52" s="689"/>
      <c r="CR52" s="689"/>
      <c r="CS52" s="689"/>
      <c r="CU52" s="689"/>
      <c r="CV52" s="689"/>
      <c r="CW52" s="689"/>
      <c r="CX52" s="689"/>
      <c r="CZ52" s="947"/>
      <c r="DB52" s="2" t="s">
        <v>629</v>
      </c>
      <c r="DC52" s="7"/>
      <c r="DD52" s="7"/>
      <c r="DE52" s="943">
        <f>DE36</f>
        <v>3</v>
      </c>
      <c r="DF52" s="7"/>
      <c r="DM52" s="2"/>
      <c r="DN52" s="7"/>
      <c r="DO52" s="7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7"/>
      <c r="EC52" s="3"/>
      <c r="ED52" s="7"/>
      <c r="EE52" s="7"/>
      <c r="EF52" s="7"/>
      <c r="EG52" s="7"/>
    </row>
    <row r="53" spans="2:137">
      <c r="C53" t="s">
        <v>67</v>
      </c>
      <c r="J53" s="909"/>
      <c r="K53" s="909"/>
      <c r="L53" s="909"/>
      <c r="M53" s="909"/>
      <c r="N53" s="946"/>
      <c r="O53" s="946"/>
      <c r="P53" s="946"/>
      <c r="Q53" s="946"/>
      <c r="R53" s="946"/>
      <c r="S53" s="946"/>
      <c r="T53" s="946"/>
      <c r="U53" s="946"/>
      <c r="V53" s="946"/>
      <c r="W53" s="946"/>
      <c r="X53" s="946">
        <f>'PSE&amp;G'!X259</f>
        <v>8250</v>
      </c>
      <c r="Y53" s="946"/>
      <c r="Z53" s="946"/>
      <c r="AA53" s="946"/>
      <c r="AB53" s="946"/>
      <c r="AC53" s="946">
        <f>'PSE&amp;G'!AC259</f>
        <v>9700</v>
      </c>
      <c r="AD53" s="946"/>
      <c r="AE53" s="946"/>
      <c r="AF53" s="946"/>
      <c r="AG53" s="946"/>
      <c r="AH53" s="946">
        <f>'PSE&amp;G'!AH259</f>
        <v>10895.142643750001</v>
      </c>
      <c r="AI53" s="946"/>
      <c r="AJ53" s="946"/>
      <c r="AK53" s="946"/>
      <c r="AL53" s="946"/>
      <c r="AM53" s="946">
        <f>'PSE&amp;G'!AM259</f>
        <v>12392.056350000001</v>
      </c>
      <c r="AN53" s="946"/>
      <c r="AO53" s="946"/>
      <c r="AP53" s="946"/>
      <c r="AQ53" s="946"/>
      <c r="AR53" s="946">
        <f>'PSE&amp;G'!AR259</f>
        <v>14301.023225000001</v>
      </c>
      <c r="AS53" s="946"/>
      <c r="AT53" s="946"/>
      <c r="AU53" s="946"/>
      <c r="AV53" s="946"/>
      <c r="AW53" s="946">
        <f>'PSE&amp;G'!AW259</f>
        <v>16103.235683333332</v>
      </c>
      <c r="AX53" s="946"/>
      <c r="AY53" s="946"/>
      <c r="AZ53" s="946"/>
      <c r="BA53" s="946"/>
      <c r="BB53" s="946">
        <f>'PSE&amp;G'!BB259</f>
        <v>17749.860540666319</v>
      </c>
      <c r="BC53" s="946"/>
      <c r="BD53" s="946"/>
      <c r="BE53" s="946"/>
      <c r="BF53" s="946"/>
      <c r="BG53" s="946">
        <f>'PSE&amp;G'!BG259</f>
        <v>19340.748021992651</v>
      </c>
      <c r="BH53" s="946"/>
      <c r="BI53" s="946"/>
      <c r="BJ53" s="946"/>
      <c r="BK53" s="946"/>
      <c r="BL53" s="946">
        <f>'PSE&amp;G'!BL259</f>
        <v>21107.344997470867</v>
      </c>
      <c r="BM53" s="946"/>
      <c r="BN53" s="946"/>
      <c r="BO53" s="946"/>
      <c r="BP53" s="946"/>
      <c r="BQ53" s="946">
        <f>'PSE&amp;G'!BQ259</f>
        <v>23028.938582163511</v>
      </c>
      <c r="BT53" t="s">
        <v>491</v>
      </c>
      <c r="BV53" s="947"/>
      <c r="BW53" s="947"/>
      <c r="BX53" s="947">
        <f ca="1">(1/(1+$DE$45))^((BX36-$BT$36)/365)</f>
        <v>1.3039657690015094</v>
      </c>
      <c r="BY53" s="947">
        <f ca="1">(1/(1+$DE$45))^((BY36-$BT$36)/365)</f>
        <v>1.2027540183567857</v>
      </c>
      <c r="BZ53" s="947">
        <f ca="1">(1/(1+$DE$45))^((BZ36-$BT$36)/365)</f>
        <v>1.1091526141415686</v>
      </c>
      <c r="CE53" s="947">
        <f ca="1">(1/(1+$DE$45))^((CE36-$BT$36)/365)</f>
        <v>1.0230619509676415</v>
      </c>
      <c r="CJ53" s="947">
        <f ca="1">(1/(1+$DE$45))^((CJ36-$BT$36)/365)</f>
        <v>0.94365350824852801</v>
      </c>
      <c r="CO53" s="947">
        <f ca="1">(1/(1+$DE$45))^((CO36-$BT$36)/365)</f>
        <v>0.8704086226523341</v>
      </c>
      <c r="CT53" s="947">
        <f ca="1">(1/(1+$DE$45))^((CT36-$BT$36)/365)</f>
        <v>0.80267118999540665</v>
      </c>
      <c r="CY53" s="947">
        <f ca="1">(1/(1+$DE$45))^((CY36-$BT$36)/365)</f>
        <v>0.74036912788397058</v>
      </c>
      <c r="CZ53" s="691"/>
      <c r="DB53" s="324" t="s">
        <v>756</v>
      </c>
      <c r="DC53" s="919"/>
      <c r="DD53" s="919"/>
      <c r="DE53" s="953">
        <f>DH93</f>
        <v>8.4163929616128268</v>
      </c>
      <c r="DF53" s="7"/>
      <c r="DL53" s="7"/>
      <c r="DM53" s="2"/>
      <c r="DN53" s="7"/>
      <c r="DO53" s="7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7"/>
      <c r="EC53" s="3"/>
      <c r="ED53" s="7"/>
      <c r="EE53" s="7"/>
      <c r="EF53" s="7"/>
      <c r="EG53" s="7"/>
    </row>
    <row r="54" spans="2:137">
      <c r="C54" s="64"/>
      <c r="J54" s="909"/>
      <c r="K54" s="909"/>
      <c r="L54" s="909"/>
      <c r="M54" s="909"/>
      <c r="N54" s="946"/>
      <c r="O54" s="946"/>
      <c r="P54" s="946"/>
      <c r="Q54" s="946"/>
      <c r="R54" s="946"/>
      <c r="S54" s="946"/>
      <c r="T54" s="946"/>
      <c r="U54" s="946"/>
      <c r="V54" s="946"/>
      <c r="W54" s="946"/>
      <c r="X54" s="946"/>
      <c r="Y54" s="946"/>
      <c r="Z54" s="946"/>
      <c r="AA54" s="946"/>
      <c r="AB54" s="946"/>
      <c r="AC54" s="946"/>
      <c r="AD54" s="946"/>
      <c r="AE54" s="946"/>
      <c r="AF54" s="946"/>
      <c r="AG54" s="946"/>
      <c r="AH54" s="946"/>
      <c r="AI54" s="946"/>
      <c r="AJ54" s="946"/>
      <c r="AK54" s="946"/>
      <c r="AL54" s="946"/>
      <c r="AM54" s="946"/>
      <c r="AN54" s="946"/>
      <c r="AO54" s="946"/>
      <c r="AP54" s="946"/>
      <c r="AQ54" s="946"/>
      <c r="AR54" s="946"/>
      <c r="AS54" s="946"/>
      <c r="AT54" s="946"/>
      <c r="AU54" s="946"/>
      <c r="AV54" s="946"/>
      <c r="AW54" s="946"/>
      <c r="AX54" s="946"/>
      <c r="AY54" s="946"/>
      <c r="AZ54" s="946"/>
      <c r="BA54" s="946"/>
      <c r="BB54" s="946"/>
      <c r="BC54" s="946"/>
      <c r="BD54" s="946"/>
      <c r="BE54" s="946"/>
      <c r="BF54" s="946"/>
      <c r="BG54" s="946"/>
      <c r="BH54" s="946"/>
      <c r="BI54" s="946"/>
      <c r="BJ54" s="946"/>
      <c r="BK54" s="946"/>
      <c r="BL54" s="946"/>
      <c r="BM54" s="946"/>
      <c r="BN54" s="946"/>
      <c r="BO54" s="946"/>
      <c r="BP54" s="946"/>
      <c r="BQ54" s="946"/>
      <c r="BT54" t="s">
        <v>624</v>
      </c>
      <c r="BV54" s="691"/>
      <c r="BW54" s="691"/>
      <c r="BX54" s="691">
        <f ca="1">+BX53*BX50</f>
        <v>1705.6133051693544</v>
      </c>
      <c r="BY54" s="691">
        <f ca="1">+BY53*BY50</f>
        <v>1674.3779240348485</v>
      </c>
      <c r="BZ54" s="691">
        <f ca="1">BZ53*(SUM(BZ50:BZ51))</f>
        <v>1010.815143371777</v>
      </c>
      <c r="CE54" s="691">
        <f ca="1">CE53*(SUM(CE50:CE51))</f>
        <v>1145.8293850837586</v>
      </c>
      <c r="CJ54" s="691">
        <f ca="1">CJ53*(SUM(CJ50:CJ51))</f>
        <v>261.97860600579537</v>
      </c>
      <c r="CO54" s="691">
        <f ca="1">CO53*(SUM(CO50:CO51))</f>
        <v>550.82626023386194</v>
      </c>
      <c r="CT54" s="691">
        <f ca="1">CT53*(SUM(CT50:CT51))</f>
        <v>560.75693298917975</v>
      </c>
      <c r="CY54" s="691">
        <f ca="1">CY53*(SUM(CY50:CY51))</f>
        <v>8416.3534921154023</v>
      </c>
      <c r="DF54" s="7"/>
      <c r="DM54" s="2"/>
      <c r="DN54" s="7"/>
      <c r="DO54" s="7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7"/>
      <c r="EC54" s="3"/>
      <c r="ED54" s="7"/>
      <c r="EE54" s="7"/>
      <c r="EF54" s="7"/>
      <c r="EG54" s="7"/>
    </row>
    <row r="55" spans="2:137">
      <c r="C55" t="s">
        <v>643</v>
      </c>
      <c r="J55" s="909"/>
      <c r="K55" s="909"/>
      <c r="L55" s="909"/>
      <c r="M55" s="909"/>
      <c r="N55" s="924"/>
      <c r="O55" s="924"/>
      <c r="P55" s="924"/>
      <c r="Q55" s="924"/>
      <c r="R55" s="924"/>
      <c r="S55" s="924"/>
      <c r="T55" s="924"/>
      <c r="U55" s="924"/>
      <c r="V55" s="924"/>
      <c r="W55" s="924"/>
      <c r="X55" s="924">
        <f>+X46</f>
        <v>0.50571679859278806</v>
      </c>
      <c r="Y55" s="924"/>
      <c r="Z55" s="924"/>
      <c r="AA55" s="924"/>
      <c r="AB55" s="924"/>
      <c r="AC55" s="924">
        <f>+AC46</f>
        <v>0.51129256428075054</v>
      </c>
      <c r="AD55" s="924"/>
      <c r="AE55" s="924"/>
      <c r="AF55" s="924"/>
      <c r="AG55" s="924"/>
      <c r="AH55" s="924">
        <f>+AH46</f>
        <v>0.50808504267105858</v>
      </c>
      <c r="AI55" s="924"/>
      <c r="AJ55" s="924"/>
      <c r="AK55" s="924"/>
      <c r="AL55" s="924"/>
      <c r="AM55" s="924">
        <f>+AM46</f>
        <v>0.52058843747851791</v>
      </c>
      <c r="AN55" s="924"/>
      <c r="AO55" s="924"/>
      <c r="AP55" s="924"/>
      <c r="AQ55" s="924"/>
      <c r="AR55" s="924">
        <f>+AR46</f>
        <v>0.52704174228675138</v>
      </c>
      <c r="AS55" s="924"/>
      <c r="AT55" s="924"/>
      <c r="AU55" s="924"/>
      <c r="AV55" s="924"/>
      <c r="AW55" s="924">
        <f>+AW46</f>
        <v>0.53373134328358207</v>
      </c>
      <c r="AX55" s="924"/>
      <c r="AY55" s="924"/>
      <c r="AZ55" s="924"/>
      <c r="BA55" s="924"/>
      <c r="BB55" s="924">
        <f>+BB46</f>
        <v>0.51607325951081229</v>
      </c>
      <c r="BC55" s="924"/>
      <c r="BD55" s="924"/>
      <c r="BE55" s="924"/>
      <c r="BF55" s="924"/>
      <c r="BG55" s="924">
        <f>+BG46</f>
        <v>0.50976124693770719</v>
      </c>
      <c r="BH55" s="924"/>
      <c r="BI55" s="924"/>
      <c r="BJ55" s="924"/>
      <c r="BK55" s="924"/>
      <c r="BL55" s="924">
        <f>+BL46</f>
        <v>0.50855889926484121</v>
      </c>
      <c r="BM55" s="924"/>
      <c r="BN55" s="924"/>
      <c r="BO55" s="924"/>
      <c r="BP55" s="924"/>
      <c r="BQ55" s="924">
        <f>+BQ46</f>
        <v>0.50828031570644816</v>
      </c>
      <c r="CA55" s="909"/>
      <c r="CB55" s="909"/>
      <c r="CC55" s="909"/>
      <c r="CD55" s="909"/>
      <c r="CF55" s="909"/>
      <c r="CG55" s="909"/>
      <c r="CH55" s="909"/>
      <c r="CI55" s="909"/>
      <c r="CK55" s="909"/>
      <c r="CL55" s="909"/>
      <c r="CM55" s="909"/>
      <c r="CN55" s="909"/>
      <c r="CP55" s="909"/>
      <c r="CQ55" s="909"/>
      <c r="CR55" s="909"/>
      <c r="CS55" s="909"/>
      <c r="CU55" s="909"/>
      <c r="CV55" s="909"/>
      <c r="CW55" s="909"/>
      <c r="CX55" s="909"/>
      <c r="CZ55" s="950"/>
      <c r="DF55" s="7"/>
      <c r="DM55" s="2"/>
      <c r="DN55" s="7"/>
      <c r="DO55" s="7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7"/>
      <c r="EC55" s="3"/>
      <c r="ED55" s="7"/>
      <c r="EE55" s="7"/>
      <c r="EF55" s="7"/>
      <c r="EG55" s="7"/>
    </row>
    <row r="56" spans="2:137">
      <c r="C56" t="s">
        <v>650</v>
      </c>
      <c r="J56" s="909"/>
      <c r="K56" s="909"/>
      <c r="L56" s="909"/>
      <c r="M56" s="909"/>
      <c r="N56" s="924"/>
      <c r="O56" s="924"/>
      <c r="P56" s="924"/>
      <c r="Q56" s="924"/>
      <c r="R56" s="924"/>
      <c r="S56" s="924"/>
      <c r="T56" s="924"/>
      <c r="U56" s="924"/>
      <c r="V56" s="924"/>
      <c r="W56" s="924"/>
      <c r="X56" s="924">
        <f>+X45</f>
        <v>0.125</v>
      </c>
      <c r="Y56" s="924"/>
      <c r="Z56" s="924"/>
      <c r="AA56" s="924"/>
      <c r="AB56" s="924"/>
      <c r="AC56" s="924">
        <f>+AC45</f>
        <v>0.12322809278350515</v>
      </c>
      <c r="AD56" s="924"/>
      <c r="AE56" s="924"/>
      <c r="AF56" s="924"/>
      <c r="AG56" s="924"/>
      <c r="AH56" s="924">
        <f>+AH45</f>
        <v>0.12996760770381446</v>
      </c>
      <c r="AI56" s="924"/>
      <c r="AJ56" s="924"/>
      <c r="AK56" s="924"/>
      <c r="AL56" s="924"/>
      <c r="AM56" s="924">
        <f>+AM45</f>
        <v>0.1240398955254912</v>
      </c>
      <c r="AN56" s="924"/>
      <c r="AO56" s="924"/>
      <c r="AP56" s="924"/>
      <c r="AQ56" s="924"/>
      <c r="AR56" s="924">
        <f>+AR45</f>
        <v>0.12141285960326799</v>
      </c>
      <c r="AS56" s="924"/>
      <c r="AT56" s="924"/>
      <c r="AU56" s="924"/>
      <c r="AV56" s="924"/>
      <c r="AW56" s="924">
        <f>+AW45</f>
        <v>0.11801296723036123</v>
      </c>
      <c r="AX56" s="924"/>
      <c r="AY56" s="924"/>
      <c r="AZ56" s="924"/>
      <c r="BA56" s="924"/>
      <c r="BB56" s="924">
        <f>+BB45</f>
        <v>0.11403277647823852</v>
      </c>
      <c r="BC56" s="924"/>
      <c r="BD56" s="924"/>
      <c r="BE56" s="924"/>
      <c r="BF56" s="924"/>
      <c r="BG56" s="924">
        <f>+BG45</f>
        <v>0.1121206548531139</v>
      </c>
      <c r="BH56" s="924"/>
      <c r="BI56" s="924"/>
      <c r="BJ56" s="924"/>
      <c r="BK56" s="924"/>
      <c r="BL56" s="924">
        <f>+BL45</f>
        <v>0.10929697169370205</v>
      </c>
      <c r="BM56" s="924"/>
      <c r="BN56" s="924"/>
      <c r="BO56" s="924"/>
      <c r="BP56" s="924"/>
      <c r="BQ56" s="924">
        <f>+BQ45</f>
        <v>0.10607594485786503</v>
      </c>
      <c r="BT56" s="949" t="s">
        <v>54</v>
      </c>
      <c r="BU56" s="949"/>
      <c r="BV56" s="950"/>
      <c r="BW56" s="950"/>
      <c r="BX56" s="950"/>
      <c r="BY56" s="950"/>
      <c r="BZ56" s="950">
        <f ca="1">($BV$61)/BZ38</f>
        <v>10.618129383236703</v>
      </c>
      <c r="CA56" s="946"/>
      <c r="CB56" s="946"/>
      <c r="CC56" s="946"/>
      <c r="CD56" s="946"/>
      <c r="CE56" s="950">
        <f ca="1">($BV$61)/CE38</f>
        <v>9.1665873514459175</v>
      </c>
      <c r="CF56" s="946"/>
      <c r="CG56" s="946"/>
      <c r="CH56" s="946"/>
      <c r="CI56" s="946"/>
      <c r="CJ56" s="950">
        <f ca="1">($BV$61)/CJ38</f>
        <v>8.6658924844380483</v>
      </c>
      <c r="CK56" s="946"/>
      <c r="CL56" s="946"/>
      <c r="CM56" s="946"/>
      <c r="CN56" s="946"/>
      <c r="CO56" s="950">
        <f ca="1">($BV$61)/CO38</f>
        <v>8.9976304341360116</v>
      </c>
      <c r="CP56" s="946"/>
      <c r="CQ56" s="946"/>
      <c r="CR56" s="946"/>
      <c r="CS56" s="946"/>
      <c r="CT56" s="950">
        <f ca="1">($BV$61)/CT38</f>
        <v>8.9783271251346992</v>
      </c>
      <c r="CU56" s="946"/>
      <c r="CV56" s="946"/>
      <c r="CW56" s="946"/>
      <c r="CX56" s="946"/>
      <c r="CY56" s="950">
        <f ca="1">($BV$61)/CY38</f>
        <v>7.8034102218628751</v>
      </c>
      <c r="CZ56" s="1362"/>
      <c r="DF56" s="7"/>
      <c r="DK56" s="7"/>
      <c r="DM56" s="2"/>
      <c r="DN56" s="7"/>
      <c r="DO56" s="7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7"/>
      <c r="EC56" s="3"/>
      <c r="ED56" s="7"/>
      <c r="EE56" s="7"/>
      <c r="EF56" s="7"/>
      <c r="EG56" s="7"/>
    </row>
    <row r="57" spans="2:137">
      <c r="C57" s="278"/>
      <c r="J57" s="909"/>
      <c r="K57" s="909"/>
      <c r="L57" s="909"/>
      <c r="M57" s="909"/>
      <c r="N57" s="951"/>
      <c r="O57" s="951"/>
      <c r="P57" s="951"/>
      <c r="Q57" s="951"/>
      <c r="R57" s="951"/>
      <c r="S57" s="951"/>
      <c r="T57" s="951"/>
      <c r="U57" s="951"/>
      <c r="V57" s="951"/>
      <c r="W57" s="951"/>
      <c r="X57" s="951"/>
      <c r="Y57" s="951"/>
      <c r="Z57" s="951"/>
      <c r="AA57" s="951"/>
      <c r="AB57" s="951"/>
      <c r="AC57" s="951"/>
      <c r="AD57" s="951"/>
      <c r="AE57" s="951"/>
      <c r="AF57" s="951"/>
      <c r="AG57" s="951"/>
      <c r="AH57" s="951"/>
      <c r="AI57" s="951"/>
      <c r="AJ57" s="951"/>
      <c r="AK57" s="951"/>
      <c r="AL57" s="951"/>
      <c r="AM57" s="951"/>
      <c r="AN57" s="951"/>
      <c r="AO57" s="951"/>
      <c r="AP57" s="951"/>
      <c r="AQ57" s="951"/>
      <c r="AR57" s="951"/>
      <c r="AS57" s="951"/>
      <c r="AT57" s="951"/>
      <c r="AU57" s="951"/>
      <c r="AV57" s="951"/>
      <c r="AW57" s="951"/>
      <c r="AX57" s="951"/>
      <c r="AY57" s="951"/>
      <c r="AZ57" s="951"/>
      <c r="BA57" s="951"/>
      <c r="BB57" s="951"/>
      <c r="BC57" s="951"/>
      <c r="BD57" s="951"/>
      <c r="BE57" s="951"/>
      <c r="BF57" s="951"/>
      <c r="BG57" s="951"/>
      <c r="BH57" s="951"/>
      <c r="BI57" s="951"/>
      <c r="BJ57" s="951"/>
      <c r="BK57" s="951"/>
      <c r="BL57" s="951"/>
      <c r="BM57" s="951"/>
      <c r="BN57" s="951"/>
      <c r="BO57" s="951"/>
      <c r="BP57" s="951"/>
      <c r="BQ57" s="951"/>
      <c r="BT57" s="949" t="s">
        <v>834</v>
      </c>
      <c r="BU57" s="949"/>
      <c r="BV57" s="1362"/>
      <c r="BW57" s="1362"/>
      <c r="BX57" s="1362"/>
      <c r="BY57" s="1362"/>
      <c r="BZ57" s="1362">
        <f ca="1">IF(BZ$49&lt;=0,0,BZ$49/$BV$63)</f>
        <v>0.11048521455295422</v>
      </c>
      <c r="CA57" s="946"/>
      <c r="CB57" s="946"/>
      <c r="CC57" s="946"/>
      <c r="CD57" s="946"/>
      <c r="CE57" s="1362">
        <f ca="1">IF(CE$49&lt;=0,0,CE$49/$BV$63)</f>
        <v>0.14090709550489816</v>
      </c>
      <c r="CF57" s="946"/>
      <c r="CG57" s="946"/>
      <c r="CH57" s="946"/>
      <c r="CI57" s="946"/>
      <c r="CJ57" s="1362">
        <f ca="1">IF(CJ$49&lt;=0,0,CJ$49/$BV$63)</f>
        <v>2.8141683498717304E-2</v>
      </c>
      <c r="CK57" s="946"/>
      <c r="CL57" s="946"/>
      <c r="CM57" s="946"/>
      <c r="CN57" s="946"/>
      <c r="CO57" s="1362">
        <f ca="1">IF(CO$49&lt;=0,0,CO$49/$BV$63)</f>
        <v>7.0783554132983012E-2</v>
      </c>
      <c r="CP57" s="946"/>
      <c r="CQ57" s="946"/>
      <c r="CR57" s="946"/>
      <c r="CS57" s="946"/>
      <c r="CT57" s="1362">
        <f ca="1">IF(CT$49&lt;=0,0,CT$49/$BV$63)</f>
        <v>7.9839307988740699E-2</v>
      </c>
      <c r="CU57" s="946"/>
      <c r="CV57" s="946"/>
      <c r="CW57" s="946"/>
      <c r="CX57" s="946"/>
      <c r="CY57" s="1362">
        <f ca="1">IF(CY$49&lt;=0,0,CY$49/$BV$63)</f>
        <v>9.3560674346788927E-2</v>
      </c>
      <c r="DF57" s="7"/>
      <c r="DK57" s="7"/>
      <c r="DM57" s="2"/>
      <c r="DN57" s="7"/>
      <c r="DO57" s="7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7"/>
      <c r="EC57" s="3"/>
      <c r="ED57" s="7"/>
      <c r="EE57" s="7"/>
      <c r="EF57" s="7"/>
      <c r="EG57" s="7"/>
    </row>
    <row r="58" spans="2:137">
      <c r="C58" s="64" t="s">
        <v>55</v>
      </c>
      <c r="J58" s="909"/>
      <c r="K58" s="909"/>
      <c r="L58" s="909"/>
      <c r="M58" s="909"/>
      <c r="N58" s="952"/>
      <c r="O58" s="952"/>
      <c r="P58" s="952"/>
      <c r="Q58" s="952"/>
      <c r="R58" s="952"/>
      <c r="S58" s="952"/>
      <c r="T58" s="952"/>
      <c r="U58" s="952"/>
      <c r="V58" s="952"/>
      <c r="W58" s="952"/>
      <c r="X58" s="952">
        <f>+X53*X55*X56</f>
        <v>521.52044854881274</v>
      </c>
      <c r="Y58" s="952"/>
      <c r="Z58" s="952"/>
      <c r="AA58" s="952"/>
      <c r="AB58" s="952"/>
      <c r="AC58" s="952">
        <f>+AC53*AC55*AC56</f>
        <v>611.15439324183455</v>
      </c>
      <c r="AD58" s="952"/>
      <c r="AE58" s="952"/>
      <c r="AF58" s="952"/>
      <c r="AG58" s="952"/>
      <c r="AH58" s="952">
        <f>+AH53*AH55*AH56</f>
        <v>719.45635925101078</v>
      </c>
      <c r="AI58" s="952"/>
      <c r="AJ58" s="952"/>
      <c r="AK58" s="952"/>
      <c r="AL58" s="952"/>
      <c r="AM58" s="952">
        <f>+AM53*AM55*AM56</f>
        <v>800.20136776483116</v>
      </c>
      <c r="AN58" s="952"/>
      <c r="AO58" s="952"/>
      <c r="AP58" s="952"/>
      <c r="AQ58" s="952"/>
      <c r="AR58" s="952">
        <f>+AR53*AR55*AR56</f>
        <v>915.11740018148816</v>
      </c>
      <c r="AS58" s="952"/>
      <c r="AT58" s="952"/>
      <c r="AU58" s="952"/>
      <c r="AV58" s="952"/>
      <c r="AW58" s="952">
        <f>+AW53*AW55*AW56</f>
        <v>1014.2980410447761</v>
      </c>
      <c r="AX58" s="952"/>
      <c r="AY58" s="952"/>
      <c r="AZ58" s="952"/>
      <c r="BA58" s="952"/>
      <c r="BB58" s="952">
        <f>+BB53*BB55*BB56</f>
        <v>1044.5662759259014</v>
      </c>
      <c r="BC58" s="952"/>
      <c r="BD58" s="952"/>
      <c r="BE58" s="952"/>
      <c r="BF58" s="952"/>
      <c r="BG58" s="952">
        <f>+BG53*BG55*BG56</f>
        <v>1105.4159047442256</v>
      </c>
      <c r="BH58" s="952"/>
      <c r="BI58" s="952"/>
      <c r="BJ58" s="952"/>
      <c r="BK58" s="952"/>
      <c r="BL58" s="952">
        <f>+BL53*BL55*BL56</f>
        <v>1173.2295586845464</v>
      </c>
      <c r="BM58" s="952"/>
      <c r="BN58" s="952"/>
      <c r="BO58" s="952"/>
      <c r="BP58" s="952"/>
      <c r="BQ58" s="952">
        <f>+BQ53*BQ55*BQ56</f>
        <v>1241.6355007520472</v>
      </c>
      <c r="CA58" s="924"/>
      <c r="CB58" s="924"/>
      <c r="CC58" s="924"/>
      <c r="CD58" s="924"/>
      <c r="CE58" s="684"/>
      <c r="CF58" s="924"/>
      <c r="CG58" s="924"/>
      <c r="CH58" s="924"/>
      <c r="CI58" s="924"/>
      <c r="CK58" s="924"/>
      <c r="CL58" s="924"/>
      <c r="CM58" s="924"/>
      <c r="CN58" s="924"/>
      <c r="CP58" s="924"/>
      <c r="CQ58" s="924"/>
      <c r="CR58" s="924"/>
      <c r="CS58" s="924"/>
      <c r="CU58" s="924"/>
      <c r="CV58" s="924"/>
      <c r="CW58" s="924"/>
      <c r="CX58" s="924"/>
      <c r="DF58" s="7"/>
      <c r="DK58" s="7"/>
      <c r="DM58" s="2"/>
      <c r="DN58" s="7"/>
      <c r="DO58" s="64">
        <v>2011</v>
      </c>
      <c r="DP58" s="64">
        <v>2012</v>
      </c>
      <c r="DQ58" s="49">
        <f t="shared" ref="DQ58:DX58" si="11">+DP58+1</f>
        <v>2013</v>
      </c>
      <c r="DR58" s="49">
        <f t="shared" si="11"/>
        <v>2014</v>
      </c>
      <c r="DS58" s="49">
        <f t="shared" si="11"/>
        <v>2015</v>
      </c>
      <c r="DT58" s="49">
        <f t="shared" si="11"/>
        <v>2016</v>
      </c>
      <c r="DU58" s="49">
        <f t="shared" si="11"/>
        <v>2017</v>
      </c>
      <c r="DV58" s="49">
        <f t="shared" si="11"/>
        <v>2018</v>
      </c>
      <c r="DW58" s="49">
        <f t="shared" si="11"/>
        <v>2019</v>
      </c>
      <c r="DX58" s="49">
        <f t="shared" si="11"/>
        <v>2020</v>
      </c>
      <c r="DY58" s="49">
        <v>2021</v>
      </c>
      <c r="DZ58" s="2"/>
      <c r="EA58" s="2"/>
      <c r="EB58" s="7"/>
      <c r="EC58" s="3"/>
      <c r="ED58" s="7"/>
      <c r="EE58" s="7"/>
      <c r="EF58" s="7"/>
      <c r="EG58" s="7"/>
    </row>
    <row r="59" spans="2:137">
      <c r="C59" t="s">
        <v>68</v>
      </c>
      <c r="J59" s="909"/>
      <c r="K59" s="909"/>
      <c r="L59" s="909"/>
      <c r="M59" s="909"/>
      <c r="N59" s="699"/>
      <c r="O59" s="699"/>
      <c r="P59" s="699"/>
      <c r="Q59" s="699"/>
      <c r="R59" s="699"/>
      <c r="S59" s="699"/>
      <c r="T59" s="699"/>
      <c r="U59" s="699"/>
      <c r="V59" s="699"/>
      <c r="W59" s="699"/>
      <c r="X59" s="699">
        <f>Parent!X31</f>
        <v>63.999999999999773</v>
      </c>
      <c r="Y59" s="699"/>
      <c r="Z59" s="699"/>
      <c r="AA59" s="699"/>
      <c r="AB59" s="699"/>
      <c r="AC59" s="699">
        <f>Parent!AC31</f>
        <v>-13</v>
      </c>
      <c r="AD59" s="699"/>
      <c r="AE59" s="699"/>
      <c r="AF59" s="699"/>
      <c r="AG59" s="699"/>
      <c r="AH59" s="699">
        <f>Parent!AH31</f>
        <v>33</v>
      </c>
      <c r="AI59" s="699"/>
      <c r="AJ59" s="699"/>
      <c r="AK59" s="699"/>
      <c r="AL59" s="699"/>
      <c r="AM59" s="699">
        <f>Parent!AM31</f>
        <v>36</v>
      </c>
      <c r="AN59" s="699"/>
      <c r="AO59" s="699"/>
      <c r="AP59" s="699"/>
      <c r="AQ59" s="699"/>
      <c r="AR59" s="699">
        <f>Parent!AR31</f>
        <v>72</v>
      </c>
      <c r="AS59" s="699"/>
      <c r="AT59" s="699"/>
      <c r="AU59" s="699"/>
      <c r="AV59" s="699"/>
      <c r="AW59" s="699">
        <f>Parent!AW31</f>
        <v>19.999999999999773</v>
      </c>
      <c r="AX59" s="699"/>
      <c r="AY59" s="699"/>
      <c r="AZ59" s="699"/>
      <c r="BA59" s="699"/>
      <c r="BB59" s="699">
        <f>Parent!BB31</f>
        <v>39.529865031262034</v>
      </c>
      <c r="BC59" s="699"/>
      <c r="BD59" s="699"/>
      <c r="BE59" s="699"/>
      <c r="BF59" s="699"/>
      <c r="BG59" s="699">
        <f>Parent!BG31</f>
        <v>51.040787932972449</v>
      </c>
      <c r="BH59" s="699"/>
      <c r="BI59" s="699"/>
      <c r="BJ59" s="699"/>
      <c r="BK59" s="699"/>
      <c r="BL59" s="699">
        <f>Parent!BL31</f>
        <v>33.306376871308032</v>
      </c>
      <c r="BM59" s="699"/>
      <c r="BN59" s="699"/>
      <c r="BO59" s="699"/>
      <c r="BP59" s="699"/>
      <c r="BQ59" s="699">
        <f>Parent!BQ31</f>
        <v>40.400928307947552</v>
      </c>
      <c r="BT59" s="64" t="s">
        <v>56</v>
      </c>
      <c r="BU59" s="64"/>
      <c r="BV59" s="706">
        <f ca="1">SUM(CJ54:CY54)</f>
        <v>9789.9152913442394</v>
      </c>
      <c r="CA59" s="924"/>
      <c r="CB59" s="924"/>
      <c r="CC59" s="924"/>
      <c r="CD59" s="924"/>
      <c r="CE59" s="1316"/>
      <c r="CF59" s="924"/>
      <c r="CG59" s="924"/>
      <c r="CH59" s="924"/>
      <c r="CI59" s="924"/>
      <c r="CK59" s="924"/>
      <c r="CL59" s="924"/>
      <c r="CM59" s="924"/>
      <c r="CN59" s="924"/>
      <c r="CP59" s="924"/>
      <c r="CQ59" s="924"/>
      <c r="CR59" s="924"/>
      <c r="CS59" s="924"/>
      <c r="CU59" s="924"/>
      <c r="CV59" s="924"/>
      <c r="CW59" s="924"/>
      <c r="CX59" s="924"/>
      <c r="DF59" s="7"/>
      <c r="DM59" s="2"/>
      <c r="DN59" s="7"/>
      <c r="DO59" s="945">
        <f>+Power!S467-(1266+53)/0.4</f>
        <v>2649.5</v>
      </c>
      <c r="DP59" s="707">
        <f>+DO59+(Power!X480-Power!X472)</f>
        <v>3058.5</v>
      </c>
      <c r="DQ59" s="707">
        <f>+DP59+(Power!AC480-Power!AC472)</f>
        <v>3408.0056749438268</v>
      </c>
      <c r="DR59" s="707">
        <f>+DQ59+(Power!AH480-Power!AH472)</f>
        <v>3742.0056749438268</v>
      </c>
      <c r="DS59" s="707">
        <f>+DR59+(Power!AM480-Power!AM472)</f>
        <v>4568.0056749438263</v>
      </c>
      <c r="DT59" s="707">
        <f>+DS59+(Power!AR480-Power!AR472)-Power!AR505</f>
        <v>5238.0056749438263</v>
      </c>
      <c r="DU59" s="707">
        <f>+DT59+(Power!AW480-Power!AW472)-Power!AW505</f>
        <v>6008.0056749438263</v>
      </c>
      <c r="DV59" s="707">
        <f>+DU59+(Power!BB480-Power!BB472)-Power!BB505</f>
        <v>6111.5566882349922</v>
      </c>
      <c r="DW59" s="707">
        <f>+DV59+(Power!BG480-Power!BG472)-Power!BG505</f>
        <v>5940.8033169492983</v>
      </c>
      <c r="DX59" s="707">
        <f>+DW59+(Power!BL480-Power!BL472)</f>
        <v>5813.3418171142512</v>
      </c>
      <c r="DY59" s="707">
        <f>+DX59+(Power!BQ480-Power!BQ472)</f>
        <v>5700.3882977105732</v>
      </c>
      <c r="DZ59" s="2"/>
      <c r="EA59" s="2"/>
      <c r="EB59" s="7"/>
      <c r="EC59" s="3"/>
      <c r="ED59" s="7"/>
      <c r="EE59" s="7"/>
      <c r="EF59" s="7"/>
      <c r="EG59" s="7"/>
    </row>
    <row r="60" spans="2:137">
      <c r="C60" s="64" t="s">
        <v>57</v>
      </c>
      <c r="D60" s="7"/>
      <c r="E60" s="7"/>
      <c r="F60" s="7"/>
      <c r="G60" s="279"/>
      <c r="H60" s="279"/>
      <c r="I60" s="2"/>
      <c r="J60" s="2"/>
      <c r="K60" s="2"/>
      <c r="L60" s="2"/>
      <c r="M60" s="2"/>
      <c r="N60" s="2"/>
      <c r="O60" s="2"/>
      <c r="P60" s="2"/>
      <c r="Q60" s="2"/>
      <c r="R60" s="2"/>
      <c r="S60" s="952"/>
      <c r="T60" s="2"/>
      <c r="U60" s="952"/>
      <c r="V60" s="952"/>
      <c r="W60" s="952"/>
      <c r="X60" s="952">
        <f>+X58+X59</f>
        <v>585.52044854881251</v>
      </c>
      <c r="Y60" s="952"/>
      <c r="Z60" s="952"/>
      <c r="AA60" s="952"/>
      <c r="AB60" s="952"/>
      <c r="AC60" s="952">
        <f>+AC58+AC59</f>
        <v>598.15439324183455</v>
      </c>
      <c r="AD60" s="952"/>
      <c r="AE60" s="952"/>
      <c r="AF60" s="952"/>
      <c r="AG60" s="952"/>
      <c r="AH60" s="952">
        <f>+AH58+AH59</f>
        <v>752.45635925101078</v>
      </c>
      <c r="AI60" s="952"/>
      <c r="AJ60" s="952"/>
      <c r="AK60" s="952"/>
      <c r="AL60" s="952"/>
      <c r="AM60" s="952">
        <f>+AM58+AM59</f>
        <v>836.20136776483116</v>
      </c>
      <c r="AN60" s="952"/>
      <c r="AO60" s="952"/>
      <c r="AP60" s="952"/>
      <c r="AQ60" s="952"/>
      <c r="AR60" s="952">
        <f>+AR58+AR59</f>
        <v>987.11740018148816</v>
      </c>
      <c r="AS60" s="952"/>
      <c r="AT60" s="952"/>
      <c r="AU60" s="952"/>
      <c r="AV60" s="952"/>
      <c r="AW60" s="952">
        <f>+AW58+AW59</f>
        <v>1034.2980410447758</v>
      </c>
      <c r="AX60" s="952"/>
      <c r="AY60" s="952"/>
      <c r="AZ60" s="952"/>
      <c r="BA60" s="952"/>
      <c r="BB60" s="952">
        <f>+BB58+BB59</f>
        <v>1084.0961409571635</v>
      </c>
      <c r="BC60" s="952"/>
      <c r="BD60" s="952"/>
      <c r="BE60" s="952"/>
      <c r="BF60" s="952"/>
      <c r="BG60" s="952">
        <f>+BG58+BG59</f>
        <v>1156.4566926771981</v>
      </c>
      <c r="BH60" s="952"/>
      <c r="BI60" s="952"/>
      <c r="BJ60" s="952"/>
      <c r="BK60" s="952"/>
      <c r="BL60" s="952">
        <f>+BL58+BL59</f>
        <v>1206.5359355558544</v>
      </c>
      <c r="BM60" s="952"/>
      <c r="BN60" s="952"/>
      <c r="BO60" s="952"/>
      <c r="BP60" s="952"/>
      <c r="BQ60" s="952">
        <f>+BQ58+BQ59</f>
        <v>1282.0364290599948</v>
      </c>
      <c r="BV60" s="1205"/>
      <c r="BW60" s="707"/>
      <c r="BX60" s="707"/>
      <c r="BY60" s="707"/>
      <c r="CA60" s="951"/>
      <c r="CB60" s="951"/>
      <c r="CC60" s="951"/>
      <c r="CD60" s="951"/>
      <c r="CF60" s="951"/>
      <c r="CG60" s="951"/>
      <c r="CH60" s="951"/>
      <c r="CI60" s="951"/>
      <c r="CK60" s="951"/>
      <c r="CL60" s="951"/>
      <c r="CM60" s="951"/>
      <c r="CN60" s="951"/>
      <c r="CP60" s="951"/>
      <c r="CQ60" s="951"/>
      <c r="CR60" s="951"/>
      <c r="CS60" s="951"/>
      <c r="CU60" s="951"/>
      <c r="CV60" s="951"/>
      <c r="CW60" s="951"/>
      <c r="CX60" s="951"/>
      <c r="DF60" s="7"/>
      <c r="DG60" s="7"/>
      <c r="DH60" s="7"/>
      <c r="DI60" s="7"/>
      <c r="DJ60" s="7"/>
      <c r="DK60" s="7"/>
      <c r="DL60" s="7"/>
      <c r="DM60" s="2"/>
      <c r="DN60" s="7"/>
      <c r="DO60" s="7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7"/>
      <c r="EC60" s="3"/>
      <c r="ED60" s="7"/>
      <c r="EE60" s="7"/>
      <c r="EF60" s="7"/>
      <c r="EG60" s="7"/>
    </row>
    <row r="61" spans="2:137">
      <c r="C61" t="s">
        <v>58</v>
      </c>
      <c r="J61" s="909"/>
      <c r="K61" s="909"/>
      <c r="L61" s="909"/>
      <c r="M61" s="909"/>
      <c r="N61" s="699"/>
      <c r="O61" s="699"/>
      <c r="P61" s="699"/>
      <c r="Q61" s="699"/>
      <c r="R61" s="699"/>
      <c r="S61" s="699"/>
      <c r="T61" s="699"/>
      <c r="U61" s="699"/>
      <c r="V61" s="699"/>
      <c r="W61" s="699"/>
      <c r="X61" s="699">
        <f>'PSE&amp;G'!X41</f>
        <v>507.08600000000001</v>
      </c>
      <c r="Y61" s="699"/>
      <c r="Z61" s="699"/>
      <c r="AA61" s="699"/>
      <c r="AB61" s="699"/>
      <c r="AC61" s="699">
        <f>'PSE&amp;G'!AC41</f>
        <v>507.52499999999998</v>
      </c>
      <c r="AD61" s="699"/>
      <c r="AE61" s="699"/>
      <c r="AF61" s="699"/>
      <c r="AG61" s="699"/>
      <c r="AH61" s="699">
        <f>'PSE&amp;G'!AH41</f>
        <v>508</v>
      </c>
      <c r="AI61" s="699"/>
      <c r="AJ61" s="699"/>
      <c r="AK61" s="699"/>
      <c r="AL61" s="699"/>
      <c r="AM61" s="699">
        <f>'PSE&amp;G'!AM41</f>
        <v>508</v>
      </c>
      <c r="AN61" s="699"/>
      <c r="AO61" s="699"/>
      <c r="AP61" s="699"/>
      <c r="AQ61" s="699"/>
      <c r="AR61" s="699">
        <f>'PSE&amp;G'!AR41</f>
        <v>508</v>
      </c>
      <c r="AS61" s="699"/>
      <c r="AT61" s="699"/>
      <c r="AU61" s="699"/>
      <c r="AV61" s="699"/>
      <c r="AW61" s="699">
        <f>'PSE&amp;G'!AW41</f>
        <v>507</v>
      </c>
      <c r="AX61" s="699"/>
      <c r="AY61" s="699"/>
      <c r="AZ61" s="699"/>
      <c r="BA61" s="699"/>
      <c r="BB61" s="699">
        <f>'PSE&amp;G'!BB41</f>
        <v>508</v>
      </c>
      <c r="BC61" s="699"/>
      <c r="BD61" s="699"/>
      <c r="BE61" s="699"/>
      <c r="BF61" s="699"/>
      <c r="BG61" s="699">
        <f>'PSE&amp;G'!BG41</f>
        <v>508</v>
      </c>
      <c r="BH61" s="699"/>
      <c r="BI61" s="699"/>
      <c r="BJ61" s="699"/>
      <c r="BK61" s="699"/>
      <c r="BL61" s="699">
        <f>'PSE&amp;G'!BL41</f>
        <v>508</v>
      </c>
      <c r="BM61" s="699"/>
      <c r="BN61" s="699"/>
      <c r="BO61" s="699"/>
      <c r="BP61" s="699"/>
      <c r="BQ61" s="699">
        <f>'PSE&amp;G'!BQ41</f>
        <v>508</v>
      </c>
      <c r="BT61" s="64" t="s">
        <v>562</v>
      </c>
      <c r="BV61" s="706">
        <f ca="1">+BV59+BV60</f>
        <v>9789.9152913442394</v>
      </c>
      <c r="BW61" s="707"/>
      <c r="CA61" s="952"/>
      <c r="CB61" s="952"/>
      <c r="CC61" s="952"/>
      <c r="CD61" s="952"/>
      <c r="CF61" s="952"/>
      <c r="CG61" s="952"/>
      <c r="CH61" s="952"/>
      <c r="CI61" s="952"/>
      <c r="CK61" s="952"/>
      <c r="CL61" s="952"/>
      <c r="CM61" s="952"/>
      <c r="CN61" s="952"/>
      <c r="CP61" s="952"/>
      <c r="CQ61" s="952"/>
      <c r="CR61" s="952"/>
      <c r="CS61" s="952"/>
      <c r="CU61" s="952"/>
      <c r="CV61" s="952"/>
      <c r="CW61" s="952"/>
      <c r="CX61" s="952"/>
      <c r="DF61" s="311"/>
      <c r="DG61" s="7"/>
      <c r="DH61" s="7"/>
      <c r="DI61" s="7"/>
      <c r="DJ61" s="7"/>
      <c r="DK61" s="7"/>
      <c r="DL61" s="7"/>
      <c r="DM61" s="2"/>
      <c r="DN61" s="7"/>
      <c r="DO61" s="7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7"/>
      <c r="EC61" s="3"/>
      <c r="ED61" s="7"/>
      <c r="EE61" s="7"/>
      <c r="EF61" s="7"/>
      <c r="EG61" s="7"/>
    </row>
    <row r="62" spans="2:137">
      <c r="C62" s="324" t="s">
        <v>59</v>
      </c>
      <c r="D62" s="919"/>
      <c r="E62" s="920"/>
      <c r="F62" s="920"/>
      <c r="G62" s="920"/>
      <c r="H62" s="920"/>
      <c r="I62" s="920"/>
      <c r="J62" s="920"/>
      <c r="K62" s="920"/>
      <c r="L62" s="920"/>
      <c r="M62" s="920"/>
      <c r="N62" s="920"/>
      <c r="O62" s="920"/>
      <c r="P62" s="920"/>
      <c r="Q62" s="920"/>
      <c r="R62" s="920"/>
      <c r="S62" s="920"/>
      <c r="T62" s="920"/>
      <c r="U62" s="920"/>
      <c r="V62" s="920"/>
      <c r="W62" s="920"/>
      <c r="X62" s="920">
        <f>+X60/X61</f>
        <v>1.1546768172436479</v>
      </c>
      <c r="Y62" s="920"/>
      <c r="Z62" s="920"/>
      <c r="AA62" s="920"/>
      <c r="AB62" s="920"/>
      <c r="AC62" s="920">
        <f>+AC60/AC61</f>
        <v>1.1785712885903838</v>
      </c>
      <c r="AD62" s="920"/>
      <c r="AE62" s="920"/>
      <c r="AF62" s="920"/>
      <c r="AG62" s="920"/>
      <c r="AH62" s="920">
        <f>+AH60/AH61</f>
        <v>1.4812133056122259</v>
      </c>
      <c r="AI62" s="920"/>
      <c r="AJ62" s="920"/>
      <c r="AK62" s="920"/>
      <c r="AL62" s="920"/>
      <c r="AM62" s="920">
        <f>+AM60/AM61</f>
        <v>1.6460656845764392</v>
      </c>
      <c r="AN62" s="920"/>
      <c r="AO62" s="920"/>
      <c r="AP62" s="920"/>
      <c r="AQ62" s="920"/>
      <c r="AR62" s="920">
        <f>+AR60/AR61</f>
        <v>1.9431444885462366</v>
      </c>
      <c r="AS62" s="920"/>
      <c r="AT62" s="920"/>
      <c r="AU62" s="920"/>
      <c r="AV62" s="920"/>
      <c r="AW62" s="920">
        <f>+AW60/AW61</f>
        <v>2.040035583914745</v>
      </c>
      <c r="AX62" s="920"/>
      <c r="AY62" s="920"/>
      <c r="AZ62" s="920"/>
      <c r="BA62" s="920"/>
      <c r="BB62" s="920">
        <f>+BB60/BB61</f>
        <v>2.1340475215692196</v>
      </c>
      <c r="BC62" s="920"/>
      <c r="BD62" s="920"/>
      <c r="BE62" s="920"/>
      <c r="BF62" s="920"/>
      <c r="BG62" s="920">
        <f>+BG60/BG61</f>
        <v>2.2764895525141697</v>
      </c>
      <c r="BH62" s="920"/>
      <c r="BI62" s="920"/>
      <c r="BJ62" s="920"/>
      <c r="BK62" s="920"/>
      <c r="BL62" s="920">
        <f>+BL60/BL61</f>
        <v>2.3750707392831778</v>
      </c>
      <c r="BM62" s="920"/>
      <c r="BN62" s="920"/>
      <c r="BO62" s="920"/>
      <c r="BP62" s="920"/>
      <c r="BQ62" s="920">
        <f>+BQ60/BQ61</f>
        <v>2.5236937579921159</v>
      </c>
      <c r="BR62" s="1733"/>
      <c r="BT62" t="s">
        <v>60</v>
      </c>
      <c r="BV62" s="691">
        <f>2136-32</f>
        <v>2104</v>
      </c>
      <c r="CA62" s="699"/>
      <c r="CB62" s="699"/>
      <c r="CC62" s="699"/>
      <c r="CD62" s="699"/>
      <c r="CF62" s="699"/>
      <c r="CG62" s="699"/>
      <c r="CH62" s="699"/>
      <c r="CI62" s="699"/>
      <c r="CK62" s="699"/>
      <c r="CL62" s="699"/>
      <c r="CM62" s="699"/>
      <c r="CN62" s="699"/>
      <c r="CP62" s="699"/>
      <c r="CQ62" s="699"/>
      <c r="CR62" s="699"/>
      <c r="CS62" s="699"/>
      <c r="CU62" s="699"/>
      <c r="CV62" s="699"/>
      <c r="CW62" s="699"/>
      <c r="CX62" s="699"/>
      <c r="DB62" s="64" t="s">
        <v>596</v>
      </c>
      <c r="DC62" s="64"/>
      <c r="DD62" s="954" t="s">
        <v>75</v>
      </c>
      <c r="DE62" s="64" t="s">
        <v>613</v>
      </c>
      <c r="DF62" s="64" t="s">
        <v>493</v>
      </c>
      <c r="DG62" s="954" t="s">
        <v>609</v>
      </c>
      <c r="DH62" s="64" t="s">
        <v>630</v>
      </c>
      <c r="DI62" s="64"/>
      <c r="DJ62" s="64" t="s">
        <v>631</v>
      </c>
      <c r="DK62" s="64" t="s">
        <v>632</v>
      </c>
      <c r="DL62" s="64" t="s">
        <v>633</v>
      </c>
      <c r="ED62" s="7"/>
      <c r="EE62" s="7"/>
      <c r="EF62" s="7"/>
      <c r="EG62" s="7"/>
    </row>
    <row r="63" spans="2:137">
      <c r="C63" s="278" t="s">
        <v>742</v>
      </c>
      <c r="D63" s="278"/>
      <c r="E63" s="278"/>
      <c r="F63" s="278"/>
      <c r="G63" s="278"/>
      <c r="H63" s="278"/>
      <c r="I63" s="278"/>
      <c r="J63" s="278"/>
      <c r="K63" s="278"/>
      <c r="L63" s="278"/>
      <c r="M63" s="278"/>
      <c r="N63" s="278"/>
      <c r="O63" s="278"/>
      <c r="P63" s="278"/>
      <c r="Q63" s="278"/>
      <c r="R63" s="278"/>
      <c r="S63" s="278"/>
      <c r="T63" s="278"/>
      <c r="U63" s="278"/>
      <c r="V63" s="278"/>
      <c r="W63" s="278"/>
      <c r="X63" s="1052">
        <f>+X8+X9</f>
        <v>1.1674548301471541</v>
      </c>
      <c r="Y63" s="278"/>
      <c r="Z63" s="278"/>
      <c r="AA63" s="278"/>
      <c r="AB63" s="278"/>
      <c r="AC63" s="1052">
        <f>+AC8+AC9</f>
        <v>1.1802374267277473</v>
      </c>
      <c r="AD63" s="278"/>
      <c r="AE63" s="278"/>
      <c r="AF63" s="278"/>
      <c r="AG63" s="278"/>
      <c r="AH63" s="1052">
        <f>+AH8+AH9</f>
        <v>1.4921259842519685</v>
      </c>
      <c r="AI63" s="278"/>
      <c r="AJ63" s="278"/>
      <c r="AK63" s="278"/>
      <c r="AL63" s="278"/>
      <c r="AM63" s="1052">
        <f>+AM8+AM9</f>
        <v>1.6200787401574803</v>
      </c>
      <c r="AN63" s="278"/>
      <c r="AO63" s="278"/>
      <c r="AP63" s="278"/>
      <c r="AQ63" s="278"/>
      <c r="AR63" s="1052">
        <f>+AR8+AR9</f>
        <v>1.8917322834645669</v>
      </c>
      <c r="AS63" s="278"/>
      <c r="AT63" s="278"/>
      <c r="AU63" s="278"/>
      <c r="AV63" s="278"/>
      <c r="AW63" s="1052">
        <f>+AW8+AW9</f>
        <v>1.9388560157790922</v>
      </c>
      <c r="AX63" s="278"/>
      <c r="AY63" s="278"/>
      <c r="AZ63" s="278"/>
      <c r="BA63" s="278"/>
      <c r="BB63" s="1052">
        <f>+BB8+BB9</f>
        <v>2.1178181011077966</v>
      </c>
      <c r="BC63" s="278"/>
      <c r="BD63" s="278"/>
      <c r="BE63" s="278"/>
      <c r="BF63" s="278"/>
      <c r="BG63" s="1052">
        <f>+BG8+BG9</f>
        <v>2.2860461077230569</v>
      </c>
      <c r="BH63" s="278"/>
      <c r="BI63" s="278"/>
      <c r="BJ63" s="278"/>
      <c r="BK63" s="278"/>
      <c r="BL63" s="1052">
        <f>+BL8+BL9</f>
        <v>2.3906977320763976</v>
      </c>
      <c r="BM63" s="278"/>
      <c r="BN63" s="278"/>
      <c r="BO63" s="278"/>
      <c r="BP63" s="278"/>
      <c r="BQ63" s="1052">
        <f>+BQ8+BQ9</f>
        <v>2.5415805805638527</v>
      </c>
      <c r="BT63" s="64" t="s">
        <v>61</v>
      </c>
      <c r="BV63" s="693">
        <f ca="1">MAX(0,BV59+BV60-BV62)</f>
        <v>7685.9152913442394</v>
      </c>
      <c r="CA63" s="952"/>
      <c r="CB63" s="952"/>
      <c r="CC63" s="952"/>
      <c r="CD63" s="952"/>
      <c r="CF63" s="952"/>
      <c r="CG63" s="952"/>
      <c r="CH63" s="952"/>
      <c r="CI63" s="952"/>
      <c r="CK63" s="952"/>
      <c r="CL63" s="952"/>
      <c r="CM63" s="952"/>
      <c r="CN63" s="952"/>
      <c r="CP63" s="952"/>
      <c r="CQ63" s="952"/>
      <c r="CR63" s="952"/>
      <c r="CS63" s="952"/>
      <c r="CU63" s="952"/>
      <c r="CV63" s="952"/>
      <c r="CW63" s="952"/>
      <c r="CX63" s="952"/>
      <c r="DB63">
        <v>1</v>
      </c>
      <c r="DD63" s="956">
        <f>1</f>
        <v>1</v>
      </c>
      <c r="DE63" s="684">
        <f t="shared" ref="DE63:DE92" si="12">-$DE$44*(DD63-($DE$36*$DE$40)-EG64)</f>
        <v>-0.12359825735648246</v>
      </c>
      <c r="DF63" s="684">
        <f>DE50*DD63*-1</f>
        <v>-0.15144645260259101</v>
      </c>
      <c r="DG63" s="684">
        <f t="shared" ref="DG63:DG72" si="13">DD63+DE63+DF63</f>
        <v>0.72495529004092651</v>
      </c>
      <c r="DH63" s="684">
        <f t="shared" ref="DH63:DH92" si="14">DG63/(1+$DE$48)^DB63</f>
        <v>0.66868541257291569</v>
      </c>
      <c r="DJ63" s="957">
        <v>3.7499999999999999E-2</v>
      </c>
      <c r="DK63" s="684">
        <f t="shared" ref="DK63:DK83" si="15">$DE$49*$DD$63*DJ63</f>
        <v>0.17038886568662934</v>
      </c>
      <c r="DL63" s="684">
        <f t="shared" ref="DL63:DL83" si="16">$DE$50*$DD$63*DJ63</f>
        <v>5.6792419725971632E-3</v>
      </c>
      <c r="ED63" s="7"/>
      <c r="EE63" s="7"/>
      <c r="EF63" s="7"/>
      <c r="EG63" s="956">
        <f>SUM(DK63:EF63)</f>
        <v>0.17606810765922651</v>
      </c>
    </row>
    <row r="64" spans="2:137">
      <c r="BZ64" s="684"/>
      <c r="CA64" s="699"/>
      <c r="CB64" s="699"/>
      <c r="CC64" s="699"/>
      <c r="CD64" s="699"/>
      <c r="CF64" s="699"/>
      <c r="CG64" s="699"/>
      <c r="CH64" s="699"/>
      <c r="CI64" s="699"/>
      <c r="CK64" s="699"/>
      <c r="CL64" s="699"/>
      <c r="CM64" s="699"/>
      <c r="CN64" s="699"/>
      <c r="CP64" s="699"/>
      <c r="CQ64" s="699"/>
      <c r="CR64" s="699"/>
      <c r="CS64" s="699"/>
      <c r="CU64" s="699"/>
      <c r="CV64" s="699"/>
      <c r="CW64" s="699"/>
      <c r="CX64" s="699"/>
      <c r="DB64">
        <f t="shared" ref="DB64:DB92" si="17">DB63+1</f>
        <v>2</v>
      </c>
      <c r="DD64" s="956">
        <f t="shared" ref="DD64:DD92" si="18">DD63*(1+$DE$51)</f>
        <v>1.01</v>
      </c>
      <c r="DE64" s="684">
        <f t="shared" si="12"/>
        <v>-0.12997210303736026</v>
      </c>
      <c r="DF64" s="684">
        <f>DF63</f>
        <v>-0.15144645260259101</v>
      </c>
      <c r="DG64" s="684">
        <f t="shared" si="13"/>
        <v>0.72858144436004868</v>
      </c>
      <c r="DH64" s="684">
        <f t="shared" si="14"/>
        <v>0.61986820140820198</v>
      </c>
      <c r="DJ64" s="957">
        <v>7.2190000000000004E-2</v>
      </c>
      <c r="DK64" s="684">
        <f t="shared" si="15"/>
        <v>0.32800992570447396</v>
      </c>
      <c r="DL64" s="684">
        <f t="shared" si="16"/>
        <v>1.0932919413381046E-2</v>
      </c>
      <c r="DM64" s="684">
        <f>DL63</f>
        <v>5.6792419725971632E-3</v>
      </c>
      <c r="EG64" s="956">
        <f>SUM(DK64:EF64)</f>
        <v>0.34462208709045217</v>
      </c>
    </row>
    <row r="65" spans="1:137">
      <c r="C65" t="s">
        <v>743</v>
      </c>
      <c r="J65" s="909"/>
      <c r="K65" s="909"/>
      <c r="L65" s="909"/>
      <c r="M65" s="909"/>
      <c r="N65" s="916"/>
      <c r="O65" s="916"/>
      <c r="P65" s="916"/>
      <c r="Q65" s="916"/>
      <c r="R65" s="916"/>
      <c r="S65" s="916"/>
      <c r="T65" s="916"/>
      <c r="U65" s="916"/>
      <c r="V65" s="916"/>
      <c r="W65" s="916"/>
      <c r="X65" s="915"/>
      <c r="Y65" s="915"/>
      <c r="Z65" s="915"/>
      <c r="AA65" s="915"/>
      <c r="AB65" s="915"/>
      <c r="AC65" s="915"/>
      <c r="AD65" s="915"/>
      <c r="AE65" s="915"/>
      <c r="AF65" s="915"/>
      <c r="AG65" s="915"/>
      <c r="AH65" s="915">
        <f>AM65*1.05</f>
        <v>21.392910000000008</v>
      </c>
      <c r="AI65" s="915"/>
      <c r="AJ65" s="915"/>
      <c r="AK65" s="915"/>
      <c r="AL65" s="915"/>
      <c r="AM65" s="915">
        <f>AR65*1.05</f>
        <v>20.374200000000005</v>
      </c>
      <c r="AN65" s="1225"/>
      <c r="AO65" s="1225"/>
      <c r="AP65" s="1225"/>
      <c r="AQ65" s="1225"/>
      <c r="AR65" s="915">
        <f>AW65*1.05</f>
        <v>19.404000000000003</v>
      </c>
      <c r="AS65" s="1225"/>
      <c r="AT65" s="1225"/>
      <c r="AU65" s="1225"/>
      <c r="AV65" s="1225"/>
      <c r="AW65" s="915">
        <f>BB65*1.05</f>
        <v>18.480000000000004</v>
      </c>
      <c r="AX65" s="1429"/>
      <c r="AY65" s="1429"/>
      <c r="AZ65" s="1429"/>
      <c r="BA65" s="1429"/>
      <c r="BB65" s="1627">
        <f>UtilityPE</f>
        <v>17.600000000000001</v>
      </c>
      <c r="BC65" s="1225"/>
      <c r="BD65" s="1225"/>
      <c r="BE65" s="1225"/>
      <c r="BF65" s="1225"/>
      <c r="BG65" s="1429">
        <f>BB65/1.05</f>
        <v>16.761904761904763</v>
      </c>
      <c r="BH65" s="1429"/>
      <c r="BI65" s="1429"/>
      <c r="BJ65" s="1429"/>
      <c r="BK65" s="1429"/>
      <c r="BL65" s="1429">
        <f>BG65/1.05</f>
        <v>15.963718820861677</v>
      </c>
      <c r="BM65" s="1429"/>
      <c r="BN65" s="1429"/>
      <c r="BO65" s="1429"/>
      <c r="BP65" s="1429"/>
      <c r="BQ65" s="1429">
        <f>BL65/1.05</f>
        <v>15.203541734153978</v>
      </c>
      <c r="BT65" s="64" t="s">
        <v>62</v>
      </c>
      <c r="BV65" s="688">
        <f ca="1">BV63/PEG!AW46</f>
        <v>15.159596235392977</v>
      </c>
      <c r="CA65" s="920"/>
      <c r="CB65" s="920"/>
      <c r="CC65" s="920"/>
      <c r="CD65" s="920"/>
      <c r="CF65" s="920"/>
      <c r="CG65" s="920"/>
      <c r="CH65" s="920"/>
      <c r="CI65" s="920"/>
      <c r="CK65" s="920"/>
      <c r="CL65" s="920"/>
      <c r="CM65" s="920"/>
      <c r="CN65" s="920"/>
      <c r="CP65" s="920"/>
      <c r="CQ65" s="920"/>
      <c r="CR65" s="920"/>
      <c r="CS65" s="920"/>
      <c r="CU65" s="920"/>
      <c r="CV65" s="920"/>
      <c r="CW65" s="920"/>
      <c r="CX65" s="920"/>
      <c r="DB65">
        <f t="shared" si="17"/>
        <v>3</v>
      </c>
      <c r="DD65" s="956">
        <f t="shared" si="18"/>
        <v>1.0201</v>
      </c>
      <c r="DE65" s="684">
        <f t="shared" si="12"/>
        <v>-0.13607265672974195</v>
      </c>
      <c r="DF65" s="684">
        <f>DF64</f>
        <v>-0.15144645260259101</v>
      </c>
      <c r="DG65" s="684">
        <f t="shared" si="13"/>
        <v>0.73258089066766707</v>
      </c>
      <c r="DH65" s="684">
        <f t="shared" si="14"/>
        <v>0.5748935862365262</v>
      </c>
      <c r="DJ65" s="957">
        <v>6.6769999999999996E-2</v>
      </c>
      <c r="DK65" s="684">
        <f t="shared" si="15"/>
        <v>0.30338305498389978</v>
      </c>
      <c r="DL65" s="684">
        <f t="shared" si="16"/>
        <v>1.0112079640275001E-2</v>
      </c>
      <c r="DM65" s="684">
        <f>DL64</f>
        <v>1.0932919413381046E-2</v>
      </c>
      <c r="DN65" s="684">
        <f>DM64</f>
        <v>5.6792419725971632E-3</v>
      </c>
      <c r="EG65" s="956">
        <f>SUM(DK65:EF65)</f>
        <v>0.33010729601015298</v>
      </c>
    </row>
    <row r="66" spans="1:137">
      <c r="C66" t="s">
        <v>42</v>
      </c>
      <c r="J66" s="909"/>
      <c r="K66" s="909"/>
      <c r="L66" s="909"/>
      <c r="M66" s="909"/>
      <c r="N66" s="955"/>
      <c r="O66" s="955"/>
      <c r="P66" s="955"/>
      <c r="Q66" s="955"/>
      <c r="R66" s="955"/>
      <c r="S66" s="955"/>
      <c r="T66" s="955"/>
      <c r="U66" s="955"/>
      <c r="V66" s="955"/>
      <c r="W66" s="955"/>
      <c r="X66" s="955"/>
      <c r="Y66" s="955"/>
      <c r="Z66" s="955"/>
      <c r="AA66" s="955"/>
      <c r="AB66" s="955"/>
      <c r="AC66" s="924"/>
      <c r="AD66" s="924"/>
      <c r="AE66" s="924"/>
      <c r="AF66" s="924"/>
      <c r="AG66" s="924"/>
      <c r="AH66" s="696">
        <f>+AM66</f>
        <v>0.05</v>
      </c>
      <c r="AI66" s="924"/>
      <c r="AJ66" s="924"/>
      <c r="AK66" s="924"/>
      <c r="AL66" s="924"/>
      <c r="AM66" s="924">
        <f>BX11</f>
        <v>0.05</v>
      </c>
      <c r="AN66" s="696"/>
      <c r="AO66" s="696"/>
      <c r="AP66" s="696"/>
      <c r="AQ66" s="696"/>
      <c r="AR66" s="696">
        <f>+AM66</f>
        <v>0.05</v>
      </c>
      <c r="AS66" s="696"/>
      <c r="AT66" s="696"/>
      <c r="AU66" s="696"/>
      <c r="AV66" s="696"/>
      <c r="AW66" s="696">
        <f>+AR66</f>
        <v>0.05</v>
      </c>
      <c r="AX66" s="696"/>
      <c r="AY66" s="696"/>
      <c r="AZ66" s="696"/>
      <c r="BA66" s="696"/>
      <c r="BB66" s="696">
        <f>+AW66</f>
        <v>0.05</v>
      </c>
      <c r="BC66" s="696"/>
      <c r="BD66" s="696"/>
      <c r="BE66" s="696"/>
      <c r="BF66" s="696"/>
      <c r="BG66" s="696">
        <f>+BB66</f>
        <v>0.05</v>
      </c>
      <c r="BH66" s="696"/>
      <c r="BI66" s="696"/>
      <c r="BJ66" s="696"/>
      <c r="BK66" s="696"/>
      <c r="BL66" s="696">
        <f>+BG66</f>
        <v>0.05</v>
      </c>
      <c r="BM66" s="696"/>
      <c r="BN66" s="696"/>
      <c r="BO66" s="696"/>
      <c r="BP66" s="696"/>
      <c r="BQ66" s="696">
        <f>+BL66</f>
        <v>0.05</v>
      </c>
      <c r="CA66" s="278"/>
      <c r="CB66" s="278"/>
      <c r="CC66" s="278"/>
      <c r="CD66" s="278"/>
      <c r="CF66" s="278"/>
      <c r="CG66" s="278"/>
      <c r="CH66" s="278"/>
      <c r="CI66" s="278"/>
      <c r="CK66" s="278"/>
      <c r="CL66" s="278"/>
      <c r="CM66" s="278"/>
      <c r="CN66" s="278"/>
      <c r="CP66" s="278"/>
      <c r="CQ66" s="278"/>
      <c r="CR66" s="278"/>
      <c r="CS66" s="278"/>
      <c r="CU66" s="278"/>
      <c r="CV66" s="278"/>
      <c r="CW66" s="278"/>
      <c r="CX66" s="278"/>
      <c r="DB66">
        <f t="shared" si="17"/>
        <v>4</v>
      </c>
      <c r="DD66" s="956">
        <f t="shared" si="18"/>
        <v>1.0303009999999999</v>
      </c>
      <c r="DE66" s="684">
        <f t="shared" si="12"/>
        <v>-0.14195688481378954</v>
      </c>
      <c r="DF66" s="684">
        <f>DF65</f>
        <v>-0.15144645260259101</v>
      </c>
      <c r="DG66" s="684">
        <f t="shared" si="13"/>
        <v>0.73689766258361933</v>
      </c>
      <c r="DH66" s="684">
        <f t="shared" si="14"/>
        <v>0.53339591137074982</v>
      </c>
      <c r="DJ66" s="957">
        <v>6.1769999999999999E-2</v>
      </c>
      <c r="DK66" s="684">
        <f t="shared" si="15"/>
        <v>0.28066453955901588</v>
      </c>
      <c r="DL66" s="684">
        <f t="shared" si="16"/>
        <v>9.3548473772620475E-3</v>
      </c>
      <c r="DM66" s="684">
        <f>DL65</f>
        <v>1.0112079640275001E-2</v>
      </c>
      <c r="DN66" s="684">
        <f>DM65</f>
        <v>1.0932919413381046E-2</v>
      </c>
      <c r="DO66" s="684">
        <f>DN65</f>
        <v>5.6792419725971632E-3</v>
      </c>
      <c r="EG66" s="956">
        <f>SUM(DK66:EF66)</f>
        <v>0.31674362796253114</v>
      </c>
    </row>
    <row r="67" spans="1:137">
      <c r="C67" t="s">
        <v>43</v>
      </c>
      <c r="J67" s="909"/>
      <c r="K67" s="909"/>
      <c r="L67" s="909"/>
      <c r="M67" s="909"/>
      <c r="N67" s="916"/>
      <c r="O67" s="916"/>
      <c r="P67" s="916"/>
      <c r="Q67" s="916"/>
      <c r="R67" s="916"/>
      <c r="S67" s="916"/>
      <c r="T67" s="916"/>
      <c r="U67" s="916"/>
      <c r="V67" s="916"/>
      <c r="W67" s="916"/>
      <c r="X67" s="916"/>
      <c r="Y67" s="916"/>
      <c r="Z67" s="916"/>
      <c r="AA67" s="916"/>
      <c r="AB67" s="916"/>
      <c r="AC67" s="916"/>
      <c r="AD67" s="916"/>
      <c r="AE67" s="916"/>
      <c r="AF67" s="916"/>
      <c r="AG67" s="916"/>
      <c r="AH67" s="916">
        <f>+AH65*(1+AH66)</f>
        <v>22.462555500000008</v>
      </c>
      <c r="AI67" s="916"/>
      <c r="AJ67" s="916"/>
      <c r="AK67" s="916"/>
      <c r="AL67" s="916"/>
      <c r="AM67" s="916">
        <f>+AM65*(1+AM66)</f>
        <v>21.392910000000008</v>
      </c>
      <c r="AN67" s="916"/>
      <c r="AO67" s="916"/>
      <c r="AP67" s="916"/>
      <c r="AQ67" s="916"/>
      <c r="AR67" s="916">
        <f>+AR65*(1+AR66)</f>
        <v>20.374200000000005</v>
      </c>
      <c r="AS67" s="916"/>
      <c r="AT67" s="916"/>
      <c r="AU67" s="916"/>
      <c r="AV67" s="916"/>
      <c r="AW67" s="916">
        <f>+AW65*(1+AW66)</f>
        <v>19.404000000000003</v>
      </c>
      <c r="AX67" s="916"/>
      <c r="AY67" s="916"/>
      <c r="AZ67" s="916"/>
      <c r="BA67" s="916"/>
      <c r="BB67" s="916">
        <f>+BB65*(1+BB66)</f>
        <v>18.480000000000004</v>
      </c>
      <c r="BC67" s="916"/>
      <c r="BD67" s="916"/>
      <c r="BE67" s="916"/>
      <c r="BF67" s="916"/>
      <c r="BG67" s="916">
        <f>+BG65*(1+BG66)</f>
        <v>17.600000000000001</v>
      </c>
      <c r="BH67" s="916"/>
      <c r="BI67" s="916"/>
      <c r="BJ67" s="916"/>
      <c r="BK67" s="916"/>
      <c r="BL67" s="916">
        <f>+BL65*(1+BL66)</f>
        <v>16.761904761904763</v>
      </c>
      <c r="BM67" s="916"/>
      <c r="BN67" s="916"/>
      <c r="BO67" s="916"/>
      <c r="BP67" s="916"/>
      <c r="BQ67" s="916">
        <f>+BQ65*(1+BQ66)</f>
        <v>15.963718820861677</v>
      </c>
      <c r="DB67">
        <f t="shared" si="17"/>
        <v>5</v>
      </c>
      <c r="DD67" s="956">
        <f t="shared" si="18"/>
        <v>1.04060401</v>
      </c>
      <c r="DE67" s="684">
        <f t="shared" si="12"/>
        <v>-0.14761087450153951</v>
      </c>
      <c r="DF67" s="684">
        <f>DF66</f>
        <v>-0.15144645260259101</v>
      </c>
      <c r="DG67" s="684">
        <f t="shared" si="13"/>
        <v>0.74154668289586945</v>
      </c>
      <c r="DH67" s="684">
        <f t="shared" si="14"/>
        <v>0.4950985174087037</v>
      </c>
      <c r="DJ67" s="957">
        <v>5.713E-2</v>
      </c>
      <c r="DK67" s="684">
        <f t="shared" si="15"/>
        <v>0.2595817572447236</v>
      </c>
      <c r="DL67" s="684">
        <f t="shared" si="16"/>
        <v>8.6521358371860254E-3</v>
      </c>
      <c r="DM67" s="684">
        <f>DL66</f>
        <v>9.3548473772620475E-3</v>
      </c>
      <c r="DN67" s="684">
        <f>DM66</f>
        <v>1.0112079640275001E-2</v>
      </c>
      <c r="DO67" s="684">
        <f t="shared" ref="DM67:EA83" si="19">DN66</f>
        <v>1.0932919413381046E-2</v>
      </c>
      <c r="DP67" s="684">
        <f t="shared" si="19"/>
        <v>5.6792419725971632E-3</v>
      </c>
      <c r="EG67" s="956">
        <f t="shared" ref="EG67:EG73" si="20">SUM(DK67:EF67)</f>
        <v>0.3043129814854249</v>
      </c>
    </row>
    <row r="68" spans="1:137">
      <c r="C68" s="324" t="s">
        <v>45</v>
      </c>
      <c r="D68" s="919"/>
      <c r="E68" s="919"/>
      <c r="F68" s="919"/>
      <c r="G68" s="919"/>
      <c r="H68" s="919"/>
      <c r="I68" s="919"/>
      <c r="J68" s="920"/>
      <c r="K68" s="920"/>
      <c r="L68" s="920"/>
      <c r="M68" s="920"/>
      <c r="N68" s="920"/>
      <c r="O68" s="920"/>
      <c r="P68" s="920"/>
      <c r="Q68" s="920"/>
      <c r="R68" s="920"/>
      <c r="S68" s="920"/>
      <c r="T68" s="920"/>
      <c r="U68" s="920"/>
      <c r="V68" s="920"/>
      <c r="W68" s="920"/>
      <c r="X68" s="920"/>
      <c r="Y68" s="920"/>
      <c r="Z68" s="920"/>
      <c r="AA68" s="920"/>
      <c r="AB68" s="920"/>
      <c r="AC68" s="920"/>
      <c r="AD68" s="920"/>
      <c r="AE68" s="920"/>
      <c r="AF68" s="920"/>
      <c r="AG68" s="920"/>
      <c r="AH68" s="920">
        <f>AH62*AH67</f>
        <v>33.271836084653096</v>
      </c>
      <c r="AI68" s="920"/>
      <c r="AJ68" s="920"/>
      <c r="AK68" s="920"/>
      <c r="AL68" s="920"/>
      <c r="AM68" s="920">
        <f>AM62*AM67</f>
        <v>35.214135044232165</v>
      </c>
      <c r="AN68" s="920"/>
      <c r="AO68" s="920"/>
      <c r="AP68" s="920"/>
      <c r="AQ68" s="920"/>
      <c r="AR68" s="920">
        <f>AR62*AR67</f>
        <v>39.590014438538745</v>
      </c>
      <c r="AS68" s="920"/>
      <c r="AT68" s="920"/>
      <c r="AU68" s="920"/>
      <c r="AV68" s="920"/>
      <c r="AW68" s="920">
        <f>AW62*AW67</f>
        <v>39.584850470281722</v>
      </c>
      <c r="AX68" s="920"/>
      <c r="AY68" s="920"/>
      <c r="AZ68" s="920"/>
      <c r="BA68" s="920"/>
      <c r="BB68" s="920">
        <f>BB62*BB67</f>
        <v>39.437198198599184</v>
      </c>
      <c r="BC68" s="920"/>
      <c r="BD68" s="920"/>
      <c r="BE68" s="920"/>
      <c r="BF68" s="920"/>
      <c r="BG68" s="920">
        <f>BG62*BG67</f>
        <v>40.066216124249394</v>
      </c>
      <c r="BH68" s="920"/>
      <c r="BI68" s="920"/>
      <c r="BJ68" s="920"/>
      <c r="BK68" s="920"/>
      <c r="BL68" s="920">
        <f>BL62*BL67</f>
        <v>39.810709534651366</v>
      </c>
      <c r="BM68" s="920"/>
      <c r="BN68" s="920"/>
      <c r="BO68" s="920"/>
      <c r="BP68" s="920"/>
      <c r="BQ68" s="920">
        <f>BQ62*BQ67</f>
        <v>40.287537542549877</v>
      </c>
      <c r="BR68" s="1733"/>
      <c r="CA68" s="1225"/>
      <c r="CB68" s="1225"/>
      <c r="CC68" s="1225"/>
      <c r="CD68" s="1225"/>
      <c r="CF68" s="1225"/>
      <c r="CG68" s="1225"/>
      <c r="CH68" s="1225"/>
      <c r="CI68" s="1225"/>
      <c r="CK68" s="1225"/>
      <c r="CL68" s="1225"/>
      <c r="CM68" s="1225"/>
      <c r="CN68" s="1225"/>
      <c r="CP68" s="1225"/>
      <c r="CQ68" s="1225"/>
      <c r="CR68" s="1225"/>
      <c r="CS68" s="1225"/>
      <c r="CU68" s="1225"/>
      <c r="CV68" s="1225"/>
      <c r="CW68" s="1225"/>
      <c r="CX68" s="1225"/>
      <c r="DB68">
        <f t="shared" si="17"/>
        <v>6</v>
      </c>
      <c r="DD68" s="956">
        <f t="shared" si="18"/>
        <v>1.0510100500999999</v>
      </c>
      <c r="DE68" s="684">
        <f t="shared" si="12"/>
        <v>-0.15317941168539836</v>
      </c>
      <c r="DF68" s="684">
        <f t="shared" ref="DF68:DF92" si="21">DF67</f>
        <v>-0.15144645260259101</v>
      </c>
      <c r="DG68" s="684">
        <f t="shared" si="13"/>
        <v>0.74638418581201049</v>
      </c>
      <c r="DH68" s="684">
        <f t="shared" si="14"/>
        <v>0.45964885673578021</v>
      </c>
      <c r="DJ68" s="957">
        <v>5.2850000000000001E-2</v>
      </c>
      <c r="DK68" s="684">
        <f t="shared" si="15"/>
        <v>0.24013470804102297</v>
      </c>
      <c r="DL68" s="684">
        <f t="shared" si="16"/>
        <v>8.0039450200469348E-3</v>
      </c>
      <c r="DM68" s="684">
        <f t="shared" si="19"/>
        <v>8.6521358371860254E-3</v>
      </c>
      <c r="DN68" s="684">
        <f>DM67</f>
        <v>9.3548473772620475E-3</v>
      </c>
      <c r="DO68" s="684">
        <f t="shared" si="19"/>
        <v>1.0112079640275001E-2</v>
      </c>
      <c r="DP68" s="684">
        <f t="shared" si="19"/>
        <v>1.0932919413381046E-2</v>
      </c>
      <c r="DQ68" s="684">
        <f t="shared" si="19"/>
        <v>5.6792419725971632E-3</v>
      </c>
      <c r="EG68" s="956">
        <f t="shared" si="20"/>
        <v>0.29286987730177122</v>
      </c>
    </row>
    <row r="69" spans="1:137">
      <c r="BS69" s="304" t="s">
        <v>22</v>
      </c>
      <c r="BT69" s="304"/>
      <c r="BU69" s="18"/>
      <c r="BW69" s="909"/>
      <c r="BX69" s="909" t="s">
        <v>929</v>
      </c>
      <c r="BY69" s="909" t="s">
        <v>1014</v>
      </c>
      <c r="BZ69" s="909" t="s">
        <v>1072</v>
      </c>
      <c r="CA69" s="696"/>
      <c r="CB69" s="696"/>
      <c r="CC69" s="696"/>
      <c r="CD69" s="696"/>
      <c r="CE69" s="909" t="s">
        <v>1110</v>
      </c>
      <c r="CF69" s="696"/>
      <c r="CG69" s="696"/>
      <c r="CH69" s="696"/>
      <c r="CI69" s="696"/>
      <c r="CJ69" s="909" t="s">
        <v>879</v>
      </c>
      <c r="CK69" s="696"/>
      <c r="CL69" s="696"/>
      <c r="CM69" s="696"/>
      <c r="CN69" s="696"/>
      <c r="CO69" s="909" t="s">
        <v>941</v>
      </c>
      <c r="CP69" s="696"/>
      <c r="CQ69" s="696"/>
      <c r="CR69" s="696"/>
      <c r="CS69" s="696"/>
      <c r="CT69" s="909" t="s">
        <v>946</v>
      </c>
      <c r="CU69" s="696"/>
      <c r="CV69" s="696"/>
      <c r="CW69" s="696"/>
      <c r="CX69" s="696"/>
      <c r="CY69" s="909" t="s">
        <v>1046</v>
      </c>
      <c r="DB69">
        <f t="shared" si="17"/>
        <v>7</v>
      </c>
      <c r="DD69" s="956">
        <f t="shared" si="18"/>
        <v>1.0615201506009999</v>
      </c>
      <c r="DE69" s="684">
        <f t="shared" si="12"/>
        <v>-0.15836073041461557</v>
      </c>
      <c r="DF69" s="684">
        <f t="shared" si="21"/>
        <v>-0.15144645260259101</v>
      </c>
      <c r="DG69" s="684">
        <f t="shared" si="13"/>
        <v>0.75171296758379336</v>
      </c>
      <c r="DH69" s="684">
        <f t="shared" si="14"/>
        <v>0.42699857254941814</v>
      </c>
      <c r="DJ69" s="957">
        <v>4.8800000000000003E-2</v>
      </c>
      <c r="DK69" s="684">
        <f t="shared" si="15"/>
        <v>0.22173271054686702</v>
      </c>
      <c r="DL69" s="684">
        <f t="shared" si="16"/>
        <v>7.3905868870064416E-3</v>
      </c>
      <c r="DM69" s="684">
        <f t="shared" si="19"/>
        <v>8.0039450200469348E-3</v>
      </c>
      <c r="DN69" s="684">
        <f t="shared" si="19"/>
        <v>8.6521358371860254E-3</v>
      </c>
      <c r="DO69" s="684">
        <f t="shared" si="19"/>
        <v>9.3548473772620475E-3</v>
      </c>
      <c r="DP69" s="684">
        <f>DO68</f>
        <v>1.0112079640275001E-2</v>
      </c>
      <c r="DQ69" s="684">
        <f t="shared" si="19"/>
        <v>1.0932919413381046E-2</v>
      </c>
      <c r="DR69" s="684">
        <f t="shared" si="19"/>
        <v>5.6792419725971632E-3</v>
      </c>
      <c r="EG69" s="956">
        <f t="shared" si="20"/>
        <v>0.28185846669462167</v>
      </c>
    </row>
    <row r="70" spans="1:137">
      <c r="C70" t="s">
        <v>64</v>
      </c>
      <c r="S70" s="655"/>
      <c r="X70" s="655"/>
      <c r="AC70" s="655"/>
      <c r="AH70" s="655">
        <f ca="1">+$BX$15</f>
        <v>15.159596235392977</v>
      </c>
      <c r="AM70" s="655">
        <f ca="1">+$BX$15</f>
        <v>15.159596235392977</v>
      </c>
      <c r="AR70" s="655">
        <f ca="1">+$BX$15</f>
        <v>15.159596235392977</v>
      </c>
      <c r="AW70" s="655">
        <f ca="1">+$BX$15</f>
        <v>15.159596235392977</v>
      </c>
      <c r="BB70" s="655">
        <f ca="1">+$BX$15</f>
        <v>15.159596235392977</v>
      </c>
      <c r="BG70" s="655">
        <f ca="1">+$BX$15</f>
        <v>15.159596235392977</v>
      </c>
      <c r="BL70" s="655">
        <f ca="1">+$BX$15</f>
        <v>15.159596235392977</v>
      </c>
      <c r="BQ70" s="655">
        <f ca="1">+$BX$15</f>
        <v>15.159596235392977</v>
      </c>
      <c r="BT70" t="s">
        <v>23</v>
      </c>
      <c r="BW70" s="707"/>
      <c r="BX70" s="707">
        <f>+BX38</f>
        <v>1665</v>
      </c>
      <c r="BY70" s="707">
        <f>+BY38</f>
        <v>1779</v>
      </c>
      <c r="BZ70" s="707">
        <f>+BZ38</f>
        <v>922</v>
      </c>
      <c r="CA70" s="916"/>
      <c r="CB70" s="916"/>
      <c r="CC70" s="916"/>
      <c r="CD70" s="916"/>
      <c r="CE70" s="707">
        <f>+CE38</f>
        <v>1068</v>
      </c>
      <c r="CF70" s="916"/>
      <c r="CG70" s="916"/>
      <c r="CH70" s="916"/>
      <c r="CI70" s="916"/>
      <c r="CJ70" s="707">
        <f>+CJ38</f>
        <v>1129.7065257761597</v>
      </c>
      <c r="CK70" s="916"/>
      <c r="CL70" s="916"/>
      <c r="CM70" s="916"/>
      <c r="CN70" s="916"/>
      <c r="CO70" s="707">
        <f>+CO38</f>
        <v>1088.0548343264229</v>
      </c>
      <c r="CP70" s="916"/>
      <c r="CQ70" s="916"/>
      <c r="CR70" s="916"/>
      <c r="CS70" s="916"/>
      <c r="CT70" s="707">
        <f>+CT38</f>
        <v>1090.3941407901602</v>
      </c>
      <c r="CU70" s="916"/>
      <c r="CV70" s="916"/>
      <c r="CW70" s="916"/>
      <c r="CX70" s="916"/>
      <c r="CY70" s="707">
        <f>+CY38</f>
        <v>1254.568837598177</v>
      </c>
      <c r="DB70">
        <f t="shared" si="17"/>
        <v>8</v>
      </c>
      <c r="DD70" s="956">
        <f t="shared" si="18"/>
        <v>1.0721353521070098</v>
      </c>
      <c r="DE70" s="684">
        <f t="shared" si="12"/>
        <v>-0.16007253990150133</v>
      </c>
      <c r="DF70" s="684">
        <f t="shared" si="21"/>
        <v>-0.15144645260259101</v>
      </c>
      <c r="DG70" s="684">
        <f t="shared" si="13"/>
        <v>0.76061635960291751</v>
      </c>
      <c r="DH70" s="684">
        <f t="shared" si="14"/>
        <v>0.39852050224476931</v>
      </c>
      <c r="DJ70" s="957">
        <v>4.5220000000000003E-2</v>
      </c>
      <c r="DK70" s="684">
        <f t="shared" si="15"/>
        <v>0.20546625350265013</v>
      </c>
      <c r="DL70" s="684">
        <f t="shared" si="16"/>
        <v>6.8484085866891663E-3</v>
      </c>
      <c r="DM70" s="684">
        <f t="shared" si="19"/>
        <v>7.3905868870064416E-3</v>
      </c>
      <c r="DN70" s="684">
        <f t="shared" si="19"/>
        <v>8.0039450200469348E-3</v>
      </c>
      <c r="DO70" s="684">
        <f t="shared" si="19"/>
        <v>8.6521358371860254E-3</v>
      </c>
      <c r="DP70" s="684">
        <f>DO69</f>
        <v>9.3548473772620475E-3</v>
      </c>
      <c r="DQ70" s="684">
        <f t="shared" si="19"/>
        <v>1.0112079640275001E-2</v>
      </c>
      <c r="DR70" s="684">
        <f t="shared" si="19"/>
        <v>1.0932919413381046E-2</v>
      </c>
      <c r="DS70" s="684">
        <f t="shared" si="19"/>
        <v>5.6792419725971632E-3</v>
      </c>
      <c r="EG70" s="956">
        <f t="shared" si="20"/>
        <v>0.27244041823709397</v>
      </c>
    </row>
    <row r="71" spans="1:137">
      <c r="C71" s="324" t="s">
        <v>44</v>
      </c>
      <c r="D71" s="919"/>
      <c r="E71" s="920"/>
      <c r="F71" s="920"/>
      <c r="G71" s="920"/>
      <c r="H71" s="920"/>
      <c r="I71" s="920"/>
      <c r="J71" s="920"/>
      <c r="K71" s="920"/>
      <c r="L71" s="920"/>
      <c r="M71" s="920"/>
      <c r="N71" s="920"/>
      <c r="O71" s="920"/>
      <c r="P71" s="920"/>
      <c r="Q71" s="920"/>
      <c r="R71" s="920"/>
      <c r="S71" s="920"/>
      <c r="T71" s="920"/>
      <c r="U71" s="920"/>
      <c r="V71" s="920"/>
      <c r="W71" s="920"/>
      <c r="X71" s="920"/>
      <c r="Y71" s="920"/>
      <c r="Z71" s="920"/>
      <c r="AA71" s="920"/>
      <c r="AB71" s="920"/>
      <c r="AC71" s="920"/>
      <c r="AD71" s="920"/>
      <c r="AE71" s="920"/>
      <c r="AF71" s="920"/>
      <c r="AG71" s="920"/>
      <c r="AH71" s="920">
        <f ca="1">+AH70+AH68</f>
        <v>48.431432320046071</v>
      </c>
      <c r="AI71" s="920"/>
      <c r="AJ71" s="920"/>
      <c r="AK71" s="920"/>
      <c r="AL71" s="920"/>
      <c r="AM71" s="920">
        <f ca="1">+AM70+AM68</f>
        <v>50.37373127962514</v>
      </c>
      <c r="AN71" s="920"/>
      <c r="AO71" s="920"/>
      <c r="AP71" s="920"/>
      <c r="AQ71" s="920"/>
      <c r="AR71" s="920">
        <f ca="1">+AR70+AR68</f>
        <v>54.74961067393172</v>
      </c>
      <c r="AS71" s="920"/>
      <c r="AT71" s="920"/>
      <c r="AU71" s="920"/>
      <c r="AV71" s="920"/>
      <c r="AW71" s="920">
        <f ca="1">+AW70+AW68</f>
        <v>54.744446705674697</v>
      </c>
      <c r="AX71" s="920"/>
      <c r="AY71" s="920"/>
      <c r="AZ71" s="920"/>
      <c r="BA71" s="920"/>
      <c r="BB71" s="920">
        <f ca="1">+BB70+BB68</f>
        <v>54.596794433992159</v>
      </c>
      <c r="BC71" s="920"/>
      <c r="BD71" s="920"/>
      <c r="BE71" s="920"/>
      <c r="BF71" s="920"/>
      <c r="BG71" s="920">
        <f ca="1">+BG70+BG68</f>
        <v>55.225812359642369</v>
      </c>
      <c r="BH71" s="920"/>
      <c r="BI71" s="920"/>
      <c r="BJ71" s="920"/>
      <c r="BK71" s="920"/>
      <c r="BL71" s="920">
        <f ca="1">+BL70+BL68</f>
        <v>54.970305770044341</v>
      </c>
      <c r="BM71" s="920"/>
      <c r="BN71" s="920"/>
      <c r="BO71" s="920"/>
      <c r="BP71" s="920"/>
      <c r="BQ71" s="920">
        <f ca="1">+BQ70+BQ68</f>
        <v>55.447133777942852</v>
      </c>
      <c r="BR71" s="1733"/>
      <c r="BT71" t="s">
        <v>12</v>
      </c>
      <c r="BW71" s="691"/>
      <c r="BX71" s="691">
        <f>+Power!AH214-Power!AH212</f>
        <v>-495.67428410199057</v>
      </c>
      <c r="BY71" s="691">
        <f>+Power!AM214-Power!AM212</f>
        <v>452.3815422620662</v>
      </c>
      <c r="BZ71" s="691">
        <f>+Power!AR214-Power!AR212</f>
        <v>708.46219043652457</v>
      </c>
      <c r="CA71" s="920"/>
      <c r="CB71" s="920"/>
      <c r="CC71" s="920"/>
      <c r="CD71" s="920"/>
      <c r="CE71" s="691">
        <f>+Power!AW214-Power!AW212</f>
        <v>366.05376762315325</v>
      </c>
      <c r="CF71" s="920"/>
      <c r="CG71" s="920"/>
      <c r="CH71" s="920"/>
      <c r="CI71" s="920"/>
      <c r="CJ71" s="691">
        <f>+Power!BB214-Power!BB212</f>
        <v>-72.882150410070636</v>
      </c>
      <c r="CK71" s="920"/>
      <c r="CL71" s="920"/>
      <c r="CM71" s="920"/>
      <c r="CN71" s="920"/>
      <c r="CO71" s="691">
        <f>+Power!BG214-Power!BG212</f>
        <v>15.373511310355298</v>
      </c>
      <c r="CP71" s="920"/>
      <c r="CQ71" s="920"/>
      <c r="CR71" s="920"/>
      <c r="CS71" s="920"/>
      <c r="CT71" s="691">
        <f>+Power!BL214-Power!BL212</f>
        <v>31.379039092158223</v>
      </c>
      <c r="CU71" s="920"/>
      <c r="CV71" s="920"/>
      <c r="CW71" s="920"/>
      <c r="CX71" s="920"/>
      <c r="CY71" s="691">
        <f>+Power!BQ214-Power!BQ212</f>
        <v>0</v>
      </c>
      <c r="DB71">
        <f t="shared" si="17"/>
        <v>9</v>
      </c>
      <c r="DD71" s="956">
        <f t="shared" si="18"/>
        <v>1.08285670562808</v>
      </c>
      <c r="DE71" s="684">
        <f t="shared" si="12"/>
        <v>-0.16111533861984415</v>
      </c>
      <c r="DF71" s="684">
        <f t="shared" si="21"/>
        <v>-0.15144645260259101</v>
      </c>
      <c r="DG71" s="684">
        <f t="shared" si="13"/>
        <v>0.77029491440564479</v>
      </c>
      <c r="DH71" s="684">
        <f t="shared" si="14"/>
        <v>0.37226539182250479</v>
      </c>
      <c r="DJ71" s="957">
        <v>4.462E-2</v>
      </c>
      <c r="DK71" s="684">
        <f t="shared" si="15"/>
        <v>0.20274003165166404</v>
      </c>
      <c r="DL71" s="684">
        <f t="shared" si="16"/>
        <v>6.757540715127611E-3</v>
      </c>
      <c r="DM71" s="684">
        <f t="shared" si="19"/>
        <v>6.8484085866891663E-3</v>
      </c>
      <c r="DN71" s="684">
        <f t="shared" si="19"/>
        <v>7.3905868870064416E-3</v>
      </c>
      <c r="DO71" s="684">
        <f t="shared" si="19"/>
        <v>8.0039450200469348E-3</v>
      </c>
      <c r="DP71" s="684">
        <f t="shared" si="19"/>
        <v>8.6521358371860254E-3</v>
      </c>
      <c r="DQ71" s="684">
        <f t="shared" si="19"/>
        <v>9.3548473772620475E-3</v>
      </c>
      <c r="DR71" s="684">
        <f t="shared" si="19"/>
        <v>1.0112079640275001E-2</v>
      </c>
      <c r="DS71" s="684">
        <f t="shared" si="19"/>
        <v>1.0932919413381046E-2</v>
      </c>
      <c r="DT71" s="684">
        <f t="shared" si="19"/>
        <v>5.6792419725971632E-3</v>
      </c>
      <c r="EG71" s="956">
        <f t="shared" si="20"/>
        <v>0.27647173710123552</v>
      </c>
    </row>
    <row r="72" spans="1:137">
      <c r="BT72" s="64" t="s">
        <v>13</v>
      </c>
      <c r="BU72" s="64"/>
      <c r="BW72" s="706"/>
      <c r="BX72" s="706">
        <f>+BX70-BX71</f>
        <v>2160.6742841019905</v>
      </c>
      <c r="BY72" s="706">
        <f>+BY70-BY71</f>
        <v>1326.6184577379338</v>
      </c>
      <c r="BZ72" s="706">
        <f>+BZ70-BZ71</f>
        <v>213.53780956347543</v>
      </c>
      <c r="CE72" s="706">
        <f>+CE70-CE71</f>
        <v>701.94623237684675</v>
      </c>
      <c r="CJ72" s="706">
        <f>+CJ70-CJ71</f>
        <v>1202.5886761862303</v>
      </c>
      <c r="CO72" s="706">
        <f>+CO70-CO71</f>
        <v>1072.6813230160676</v>
      </c>
      <c r="CT72" s="706">
        <f>+CT70-CT71</f>
        <v>1059.0151016980021</v>
      </c>
      <c r="CY72" s="706">
        <f>+CY70-CY71</f>
        <v>1254.568837598177</v>
      </c>
      <c r="DB72">
        <f t="shared" si="17"/>
        <v>10</v>
      </c>
      <c r="DD72" s="956">
        <f t="shared" si="18"/>
        <v>1.0936852726843609</v>
      </c>
      <c r="DE72" s="684">
        <f t="shared" si="12"/>
        <v>-0.16216199184052305</v>
      </c>
      <c r="DF72" s="684">
        <f t="shared" si="21"/>
        <v>-0.15144645260259101</v>
      </c>
      <c r="DG72" s="684">
        <f t="shared" si="13"/>
        <v>0.7800768282412468</v>
      </c>
      <c r="DH72" s="684">
        <f t="shared" si="14"/>
        <v>0.34773118149416687</v>
      </c>
      <c r="DJ72" s="957">
        <v>4.4609999999999997E-2</v>
      </c>
      <c r="DK72" s="684">
        <f t="shared" si="15"/>
        <v>0.20269459462081427</v>
      </c>
      <c r="DL72" s="684">
        <f t="shared" si="16"/>
        <v>6.7560262506015847E-3</v>
      </c>
      <c r="DM72" s="684">
        <f t="shared" si="19"/>
        <v>6.757540715127611E-3</v>
      </c>
      <c r="DN72" s="684">
        <f t="shared" si="19"/>
        <v>6.8484085866891663E-3</v>
      </c>
      <c r="DO72" s="684">
        <f t="shared" si="19"/>
        <v>7.3905868870064416E-3</v>
      </c>
      <c r="DP72" s="684">
        <f t="shared" si="19"/>
        <v>8.0039450200469348E-3</v>
      </c>
      <c r="DQ72" s="684">
        <f t="shared" si="19"/>
        <v>8.6521358371860254E-3</v>
      </c>
      <c r="DR72" s="684">
        <f t="shared" si="19"/>
        <v>9.3548473772620475E-3</v>
      </c>
      <c r="DS72" s="684">
        <f t="shared" si="19"/>
        <v>1.0112079640275001E-2</v>
      </c>
      <c r="DT72" s="684">
        <f t="shared" si="19"/>
        <v>1.0932919413381046E-2</v>
      </c>
      <c r="DU72" s="684">
        <f t="shared" si="19"/>
        <v>5.6792419725971632E-3</v>
      </c>
      <c r="EG72" s="956">
        <f t="shared" si="20"/>
        <v>0.28318232632098728</v>
      </c>
    </row>
    <row r="73" spans="1:137">
      <c r="C73" t="s">
        <v>606</v>
      </c>
      <c r="J73" s="909"/>
      <c r="K73" s="909"/>
      <c r="L73" s="909"/>
      <c r="M73" s="909"/>
      <c r="N73" s="655"/>
      <c r="O73" s="655"/>
      <c r="P73" s="655"/>
      <c r="Q73" s="655"/>
      <c r="R73" s="655"/>
      <c r="S73" s="655"/>
      <c r="T73" s="655"/>
      <c r="U73" s="655"/>
      <c r="V73" s="655"/>
      <c r="W73" s="655"/>
      <c r="X73" s="655"/>
      <c r="Y73" s="655"/>
      <c r="Z73" s="655"/>
      <c r="AA73" s="655"/>
      <c r="AB73" s="655"/>
      <c r="AC73" s="655"/>
      <c r="AD73" s="655"/>
      <c r="AE73" s="655"/>
      <c r="AF73" s="655"/>
      <c r="AG73" s="655"/>
      <c r="AH73" s="655">
        <f>+AH18</f>
        <v>49.44</v>
      </c>
      <c r="AI73" s="655"/>
      <c r="AJ73" s="655"/>
      <c r="AK73" s="655"/>
      <c r="AL73" s="655"/>
      <c r="AM73" s="655">
        <f>+AM18</f>
        <v>49.44</v>
      </c>
      <c r="AN73" s="655"/>
      <c r="AO73" s="655"/>
      <c r="AP73" s="655"/>
      <c r="AQ73" s="655"/>
      <c r="AR73" s="655">
        <f>+AR18</f>
        <v>49.44</v>
      </c>
      <c r="AS73" s="655"/>
      <c r="AT73" s="655"/>
      <c r="AU73" s="655"/>
      <c r="AV73" s="655"/>
      <c r="AW73" s="655">
        <f>+AW18</f>
        <v>49.44</v>
      </c>
      <c r="AX73" s="655"/>
      <c r="AY73" s="655"/>
      <c r="AZ73" s="655"/>
      <c r="BA73" s="655"/>
      <c r="BB73" s="655">
        <f>+BB18</f>
        <v>49.44</v>
      </c>
      <c r="BC73" s="655"/>
      <c r="BD73" s="655"/>
      <c r="BE73" s="655"/>
      <c r="BF73" s="655"/>
      <c r="BG73" s="655">
        <f>+BG18</f>
        <v>49.44</v>
      </c>
      <c r="BH73" s="655"/>
      <c r="BI73" s="655"/>
      <c r="BJ73" s="655"/>
      <c r="BK73" s="655"/>
      <c r="BL73" s="655">
        <f>+BL18</f>
        <v>49.44</v>
      </c>
      <c r="BM73" s="655"/>
      <c r="BN73" s="655"/>
      <c r="BO73" s="655"/>
      <c r="BP73" s="655"/>
      <c r="BQ73" s="655">
        <f>+BQ18</f>
        <v>49.44</v>
      </c>
      <c r="BT73" t="s">
        <v>14</v>
      </c>
      <c r="BW73" s="915"/>
      <c r="BX73" s="915">
        <v>7</v>
      </c>
      <c r="BY73" s="915">
        <v>7</v>
      </c>
      <c r="BZ73" s="915">
        <v>7</v>
      </c>
      <c r="CE73" s="915">
        <v>7</v>
      </c>
      <c r="CJ73" s="915">
        <v>7</v>
      </c>
      <c r="CO73" s="915">
        <v>7</v>
      </c>
      <c r="CT73" s="915">
        <v>7</v>
      </c>
      <c r="CY73" s="915">
        <v>7</v>
      </c>
      <c r="DB73">
        <f t="shared" si="17"/>
        <v>11</v>
      </c>
      <c r="DD73" s="956">
        <f t="shared" si="18"/>
        <v>1.1046221254112045</v>
      </c>
      <c r="DE73" s="684">
        <f t="shared" si="12"/>
        <v>-0.16326082035236691</v>
      </c>
      <c r="DF73" s="684">
        <f t="shared" si="21"/>
        <v>-0.15144645260259101</v>
      </c>
      <c r="DG73" s="684">
        <f t="shared" ref="DG73:DG92" si="22">DD73+DE73+DF73</f>
        <v>0.7899148524562466</v>
      </c>
      <c r="DH73" s="684">
        <f t="shared" si="14"/>
        <v>0.32478589799512525</v>
      </c>
      <c r="DJ73" s="957">
        <v>4.462E-2</v>
      </c>
      <c r="DK73" s="684">
        <f t="shared" si="15"/>
        <v>0.20274003165166404</v>
      </c>
      <c r="DL73" s="684">
        <f t="shared" si="16"/>
        <v>6.757540715127611E-3</v>
      </c>
      <c r="DM73" s="684">
        <f t="shared" si="19"/>
        <v>6.7560262506015847E-3</v>
      </c>
      <c r="DN73" s="684">
        <f t="shared" si="19"/>
        <v>6.757540715127611E-3</v>
      </c>
      <c r="DO73" s="684">
        <f t="shared" si="19"/>
        <v>6.8484085866891663E-3</v>
      </c>
      <c r="DP73" s="684">
        <f t="shared" si="19"/>
        <v>7.3905868870064416E-3</v>
      </c>
      <c r="DQ73" s="684">
        <f t="shared" si="19"/>
        <v>8.0039450200469348E-3</v>
      </c>
      <c r="DR73" s="684">
        <f t="shared" si="19"/>
        <v>8.6521358371860254E-3</v>
      </c>
      <c r="DS73" s="684">
        <f t="shared" si="19"/>
        <v>9.3548473772620475E-3</v>
      </c>
      <c r="DT73" s="684">
        <f t="shared" si="19"/>
        <v>1.0112079640275001E-2</v>
      </c>
      <c r="DU73" s="684">
        <f t="shared" si="19"/>
        <v>1.0932919413381046E-2</v>
      </c>
      <c r="DV73" s="684">
        <f t="shared" si="19"/>
        <v>5.6792419725971632E-3</v>
      </c>
      <c r="EG73" s="956">
        <f t="shared" si="20"/>
        <v>0.28998530406696471</v>
      </c>
    </row>
    <row r="74" spans="1:137">
      <c r="A74" s="305"/>
      <c r="C74" t="s">
        <v>641</v>
      </c>
      <c r="J74" s="909"/>
      <c r="K74" s="909"/>
      <c r="L74" s="909"/>
      <c r="M74" s="909"/>
      <c r="N74" s="689"/>
      <c r="O74" s="689"/>
      <c r="P74" s="689"/>
      <c r="Q74" s="689"/>
      <c r="R74" s="689"/>
      <c r="S74" s="689"/>
      <c r="T74" s="689"/>
      <c r="U74" s="689"/>
      <c r="V74" s="689"/>
      <c r="W74" s="689"/>
      <c r="X74" s="689"/>
      <c r="Y74" s="689"/>
      <c r="Z74" s="689"/>
      <c r="AA74" s="689"/>
      <c r="AB74" s="689"/>
      <c r="AC74" s="689"/>
      <c r="AD74" s="689"/>
      <c r="AE74" s="689"/>
      <c r="AF74" s="689"/>
      <c r="AG74" s="689"/>
      <c r="AH74" s="689">
        <f ca="1">+AH71/AH73-1</f>
        <v>-2.0399831714278505E-2</v>
      </c>
      <c r="AI74" s="689"/>
      <c r="AJ74" s="689"/>
      <c r="AK74" s="689"/>
      <c r="AL74" s="689"/>
      <c r="AM74" s="689">
        <f ca="1">+AM71/AM73-1</f>
        <v>1.8886150477854802E-2</v>
      </c>
      <c r="AN74" s="689"/>
      <c r="AO74" s="689"/>
      <c r="AP74" s="689"/>
      <c r="AQ74" s="689"/>
      <c r="AR74" s="689">
        <f ca="1">+AR71/AR73-1</f>
        <v>0.10739503790314964</v>
      </c>
      <c r="AS74" s="689"/>
      <c r="AT74" s="689"/>
      <c r="AU74" s="689"/>
      <c r="AV74" s="689"/>
      <c r="AW74" s="689">
        <f ca="1">+AW71/AW73-1</f>
        <v>0.10729058870701258</v>
      </c>
      <c r="AX74" s="689"/>
      <c r="AY74" s="689"/>
      <c r="AZ74" s="689"/>
      <c r="BA74" s="689"/>
      <c r="BB74" s="689">
        <f ca="1">+BB71/BB73-1</f>
        <v>0.1043040945386764</v>
      </c>
      <c r="BC74" s="689"/>
      <c r="BD74" s="689"/>
      <c r="BE74" s="689"/>
      <c r="BF74" s="689"/>
      <c r="BG74" s="689">
        <f ca="1">+BG71/BG73-1</f>
        <v>0.1170269490218927</v>
      </c>
      <c r="BH74" s="689"/>
      <c r="BI74" s="689"/>
      <c r="BJ74" s="689"/>
      <c r="BK74" s="689"/>
      <c r="BL74" s="689">
        <f ca="1">+BL71/BL73-1</f>
        <v>0.1118589354782431</v>
      </c>
      <c r="BM74" s="689"/>
      <c r="BN74" s="689"/>
      <c r="BO74" s="689"/>
      <c r="BP74" s="689"/>
      <c r="BQ74" s="689">
        <f ca="1">+BQ71/BQ73-1</f>
        <v>0.12150351492602862</v>
      </c>
      <c r="BT74" s="64" t="s">
        <v>15</v>
      </c>
      <c r="BW74" s="693"/>
      <c r="BX74" s="693">
        <f>+BX72*BX73</f>
        <v>15124.719988713932</v>
      </c>
      <c r="BY74" s="693">
        <f>+BY72*BY73</f>
        <v>9286.3292041655368</v>
      </c>
      <c r="BZ74" s="693">
        <f>+BZ72*BZ73</f>
        <v>1494.7646669443279</v>
      </c>
      <c r="CA74" s="920"/>
      <c r="CB74" s="920"/>
      <c r="CC74" s="920"/>
      <c r="CD74" s="920"/>
      <c r="CE74" s="693">
        <f>+CE72*CE73</f>
        <v>4913.6236266379274</v>
      </c>
      <c r="CF74" s="920"/>
      <c r="CG74" s="920"/>
      <c r="CH74" s="920"/>
      <c r="CI74" s="920"/>
      <c r="CJ74" s="693">
        <f>+CJ72*CJ73</f>
        <v>8418.1207333036109</v>
      </c>
      <c r="CK74" s="920"/>
      <c r="CL74" s="920"/>
      <c r="CM74" s="920"/>
      <c r="CN74" s="920"/>
      <c r="CO74" s="693">
        <f>+CO72*CO73</f>
        <v>7508.769261112473</v>
      </c>
      <c r="CP74" s="920"/>
      <c r="CQ74" s="920"/>
      <c r="CR74" s="920"/>
      <c r="CS74" s="920"/>
      <c r="CT74" s="693">
        <f>+CT72*CT73</f>
        <v>7413.1057118860153</v>
      </c>
      <c r="CU74" s="920"/>
      <c r="CV74" s="920"/>
      <c r="CW74" s="920"/>
      <c r="CX74" s="920"/>
      <c r="CY74" s="693">
        <f>+CY72*CY73</f>
        <v>8781.9818631872386</v>
      </c>
      <c r="DB74">
        <f t="shared" si="17"/>
        <v>12</v>
      </c>
      <c r="DD74" s="956">
        <f t="shared" si="18"/>
        <v>1.1156683466653166</v>
      </c>
      <c r="DE74" s="684">
        <f t="shared" si="12"/>
        <v>-0.16437627105327962</v>
      </c>
      <c r="DF74" s="684">
        <f t="shared" si="21"/>
        <v>-0.15144645260259101</v>
      </c>
      <c r="DG74" s="684">
        <f t="shared" si="22"/>
        <v>0.79984562300944584</v>
      </c>
      <c r="DH74" s="684">
        <f t="shared" si="14"/>
        <v>0.30334279415285625</v>
      </c>
      <c r="DJ74" s="957">
        <v>4.4609999999999997E-2</v>
      </c>
      <c r="DK74" s="684">
        <f t="shared" si="15"/>
        <v>0.20269459462081427</v>
      </c>
      <c r="DL74" s="684">
        <f>$DE$50*$DD$63*DJ74</f>
        <v>6.7560262506015847E-3</v>
      </c>
      <c r="DM74" s="684">
        <f>DL73</f>
        <v>6.757540715127611E-3</v>
      </c>
      <c r="DN74" s="684">
        <f>DM73</f>
        <v>6.7560262506015847E-3</v>
      </c>
      <c r="DO74" s="684">
        <f t="shared" si="19"/>
        <v>6.757540715127611E-3</v>
      </c>
      <c r="DP74" s="684">
        <f t="shared" si="19"/>
        <v>6.8484085866891663E-3</v>
      </c>
      <c r="DQ74" s="684">
        <f t="shared" si="19"/>
        <v>7.3905868870064416E-3</v>
      </c>
      <c r="DR74" s="684">
        <f t="shared" si="19"/>
        <v>8.0039450200469348E-3</v>
      </c>
      <c r="DS74" s="684">
        <f t="shared" si="19"/>
        <v>8.6521358371860254E-3</v>
      </c>
      <c r="DT74" s="684">
        <f t="shared" si="19"/>
        <v>9.3548473772620475E-3</v>
      </c>
      <c r="DU74" s="684">
        <f t="shared" si="19"/>
        <v>1.0112079640275001E-2</v>
      </c>
      <c r="DV74" s="684">
        <f t="shared" si="19"/>
        <v>1.0932919413381046E-2</v>
      </c>
      <c r="DW74" s="684">
        <f t="shared" si="19"/>
        <v>5.6792419725971632E-3</v>
      </c>
      <c r="EG74" s="956">
        <f t="shared" ref="EG74:EG83" si="23">SUM(DK74:EF74)</f>
        <v>0.29669589328671653</v>
      </c>
    </row>
    <row r="75" spans="1:137">
      <c r="A75" s="305"/>
      <c r="C75" t="s">
        <v>46</v>
      </c>
      <c r="J75" s="909"/>
      <c r="K75" s="909"/>
      <c r="L75" s="909"/>
      <c r="M75" s="909"/>
      <c r="N75" s="689"/>
      <c r="O75" s="689"/>
      <c r="P75" s="689"/>
      <c r="Q75" s="689"/>
      <c r="R75" s="689"/>
      <c r="S75" s="689"/>
      <c r="T75" s="689"/>
      <c r="U75" s="689"/>
      <c r="V75" s="689"/>
      <c r="W75" s="689"/>
      <c r="X75" s="689"/>
      <c r="Y75" s="689"/>
      <c r="Z75" s="689"/>
      <c r="AA75" s="689"/>
      <c r="AB75" s="689"/>
      <c r="AC75" s="689"/>
      <c r="AD75" s="689"/>
      <c r="AE75" s="689"/>
      <c r="AF75" s="689"/>
      <c r="AG75" s="689"/>
      <c r="AH75" s="689">
        <f>+AH20</f>
        <v>3.6355177993527506E-2</v>
      </c>
      <c r="AI75" s="689"/>
      <c r="AJ75" s="689"/>
      <c r="AK75" s="689"/>
      <c r="AL75" s="689"/>
      <c r="AM75" s="689">
        <f>+AM20</f>
        <v>3.6355177993527506E-2</v>
      </c>
      <c r="AN75" s="689"/>
      <c r="AO75" s="689"/>
      <c r="AP75" s="689"/>
      <c r="AQ75" s="689"/>
      <c r="AR75" s="689">
        <f>+AR20</f>
        <v>3.6355177993527506E-2</v>
      </c>
      <c r="AS75" s="689"/>
      <c r="AT75" s="689"/>
      <c r="AU75" s="689"/>
      <c r="AV75" s="689"/>
      <c r="AW75" s="689">
        <f>+AW20</f>
        <v>3.6355177993527506E-2</v>
      </c>
      <c r="AX75" s="689"/>
      <c r="AY75" s="689"/>
      <c r="AZ75" s="689"/>
      <c r="BA75" s="689"/>
      <c r="BB75" s="689">
        <f>+BB20</f>
        <v>3.6355177993527506E-2</v>
      </c>
      <c r="BC75" s="689"/>
      <c r="BD75" s="689"/>
      <c r="BE75" s="689"/>
      <c r="BF75" s="689"/>
      <c r="BG75" s="689">
        <f>+BG20</f>
        <v>3.6355177993527506E-2</v>
      </c>
      <c r="BH75" s="689"/>
      <c r="BI75" s="689"/>
      <c r="BJ75" s="689"/>
      <c r="BK75" s="689"/>
      <c r="BL75" s="689">
        <f>+BL20</f>
        <v>3.6355177993527506E-2</v>
      </c>
      <c r="BM75" s="689"/>
      <c r="BN75" s="689"/>
      <c r="BO75" s="689"/>
      <c r="BP75" s="689"/>
      <c r="BQ75" s="689">
        <f>+BQ20</f>
        <v>3.6355177993527506E-2</v>
      </c>
      <c r="BR75" s="305"/>
      <c r="BT75" s="305" t="s">
        <v>16</v>
      </c>
      <c r="BW75" s="679"/>
      <c r="BX75" s="679">
        <f>SUM(BX71:$CO71)*0.9</f>
        <v>876.34311940803423</v>
      </c>
      <c r="BY75" s="679">
        <f>SUM(BY71:$CO71)*0.9</f>
        <v>1322.4499750998261</v>
      </c>
      <c r="BZ75" s="679">
        <f>SUM(BZ71:$CO71)*0.9</f>
        <v>915.30658706396628</v>
      </c>
      <c r="CE75" s="679">
        <f>SUM(CE71:$CO71)*0.9</f>
        <v>277.69061567109418</v>
      </c>
      <c r="CJ75" s="679">
        <f>SUM($CJ71:CO71)*0.9</f>
        <v>-51.757775189743803</v>
      </c>
      <c r="CO75" s="679">
        <f>SUM($CO71:CO71)*0.9</f>
        <v>13.836160179319767</v>
      </c>
      <c r="CT75" s="679">
        <f>SUM($CT71:CT71)*0.9</f>
        <v>28.241135182942401</v>
      </c>
      <c r="CY75" s="679">
        <f>SUM($CT71:CY71)*0.9</f>
        <v>28.241135182942401</v>
      </c>
      <c r="CZ75" s="305"/>
      <c r="DA75" s="305"/>
      <c r="DB75">
        <f t="shared" si="17"/>
        <v>13</v>
      </c>
      <c r="DD75" s="956">
        <f t="shared" si="18"/>
        <v>1.1268250301319698</v>
      </c>
      <c r="DE75" s="684">
        <f t="shared" si="12"/>
        <v>-0.16552044192945306</v>
      </c>
      <c r="DF75" s="684">
        <f t="shared" si="21"/>
        <v>-0.15144645260259101</v>
      </c>
      <c r="DG75" s="684">
        <f t="shared" si="22"/>
        <v>0.8098581355999257</v>
      </c>
      <c r="DH75" s="684">
        <f t="shared" si="14"/>
        <v>0.28330033330014498</v>
      </c>
      <c r="DJ75" s="957">
        <v>4.4609999999999997E-2</v>
      </c>
      <c r="DK75" s="684">
        <f t="shared" si="15"/>
        <v>0.20269459462081427</v>
      </c>
      <c r="DL75" s="684">
        <f t="shared" si="16"/>
        <v>6.7560262506015847E-3</v>
      </c>
      <c r="DM75" s="684">
        <f t="shared" si="19"/>
        <v>6.7560262506015847E-3</v>
      </c>
      <c r="DN75" s="684">
        <f t="shared" si="19"/>
        <v>6.757540715127611E-3</v>
      </c>
      <c r="DO75" s="684">
        <f t="shared" si="19"/>
        <v>6.7560262506015847E-3</v>
      </c>
      <c r="DP75" s="684">
        <f t="shared" si="19"/>
        <v>6.757540715127611E-3</v>
      </c>
      <c r="DQ75" s="684">
        <f t="shared" si="19"/>
        <v>6.8484085866891663E-3</v>
      </c>
      <c r="DR75" s="684">
        <f t="shared" si="19"/>
        <v>7.3905868870064416E-3</v>
      </c>
      <c r="DS75" s="684">
        <f t="shared" si="19"/>
        <v>8.0039450200469348E-3</v>
      </c>
      <c r="DT75" s="684">
        <f t="shared" si="19"/>
        <v>8.6521358371860254E-3</v>
      </c>
      <c r="DU75" s="684">
        <f t="shared" si="19"/>
        <v>9.3548473772620475E-3</v>
      </c>
      <c r="DV75" s="684">
        <f t="shared" si="19"/>
        <v>1.0112079640275001E-2</v>
      </c>
      <c r="DW75" s="684">
        <f t="shared" si="19"/>
        <v>1.0932919413381046E-2</v>
      </c>
      <c r="DX75" s="684">
        <f t="shared" si="19"/>
        <v>5.6792419725971632E-3</v>
      </c>
      <c r="EG75" s="956">
        <f t="shared" si="23"/>
        <v>0.30345191953731809</v>
      </c>
    </row>
    <row r="76" spans="1:137">
      <c r="B76" s="305"/>
      <c r="C76" s="324" t="s">
        <v>642</v>
      </c>
      <c r="D76" s="925"/>
      <c r="E76" s="920"/>
      <c r="F76" s="920"/>
      <c r="G76" s="920"/>
      <c r="H76" s="920"/>
      <c r="I76" s="920"/>
      <c r="J76" s="920"/>
      <c r="K76" s="920"/>
      <c r="L76" s="920"/>
      <c r="M76" s="920"/>
      <c r="N76" s="920"/>
      <c r="O76" s="920"/>
      <c r="P76" s="920"/>
      <c r="Q76" s="920"/>
      <c r="R76" s="920"/>
      <c r="S76" s="920"/>
      <c r="T76" s="926"/>
      <c r="U76" s="926"/>
      <c r="V76" s="926"/>
      <c r="W76" s="926"/>
      <c r="X76" s="926"/>
      <c r="Y76" s="926"/>
      <c r="Z76" s="926"/>
      <c r="AA76" s="926"/>
      <c r="AB76" s="926"/>
      <c r="AC76" s="926"/>
      <c r="AD76" s="926"/>
      <c r="AE76" s="926"/>
      <c r="AF76" s="926"/>
      <c r="AG76" s="926"/>
      <c r="AH76" s="926">
        <f ca="1">+AH75+AH74</f>
        <v>1.5955346279249001E-2</v>
      </c>
      <c r="AI76" s="926"/>
      <c r="AJ76" s="926"/>
      <c r="AK76" s="926"/>
      <c r="AL76" s="926"/>
      <c r="AM76" s="926">
        <f ca="1">+AM75+AM74</f>
        <v>5.5241328471382307E-2</v>
      </c>
      <c r="AN76" s="926"/>
      <c r="AO76" s="926"/>
      <c r="AP76" s="926"/>
      <c r="AQ76" s="926"/>
      <c r="AR76" s="926">
        <f ca="1">+AR75+AR74</f>
        <v>0.14375021589667714</v>
      </c>
      <c r="AS76" s="926"/>
      <c r="AT76" s="926"/>
      <c r="AU76" s="926"/>
      <c r="AV76" s="926"/>
      <c r="AW76" s="926">
        <f ca="1">+AW75+AW74</f>
        <v>0.14364576670054008</v>
      </c>
      <c r="AX76" s="926"/>
      <c r="AY76" s="926"/>
      <c r="AZ76" s="926"/>
      <c r="BA76" s="926"/>
      <c r="BB76" s="926">
        <f ca="1">+BB75+BB74</f>
        <v>0.14065927253220389</v>
      </c>
      <c r="BC76" s="926"/>
      <c r="BD76" s="926"/>
      <c r="BE76" s="926"/>
      <c r="BF76" s="926"/>
      <c r="BG76" s="926">
        <f ca="1">+BG75+BG74</f>
        <v>0.1533821270154202</v>
      </c>
      <c r="BH76" s="926"/>
      <c r="BI76" s="926"/>
      <c r="BJ76" s="926"/>
      <c r="BK76" s="926"/>
      <c r="BL76" s="926">
        <f ca="1">+BL75+BL74</f>
        <v>0.1482141134717706</v>
      </c>
      <c r="BM76" s="926"/>
      <c r="BN76" s="926"/>
      <c r="BO76" s="926"/>
      <c r="BP76" s="926"/>
      <c r="BQ76" s="926">
        <f ca="1">+BQ75+BQ74</f>
        <v>0.15785869291955612</v>
      </c>
      <c r="BR76" s="1734"/>
      <c r="BT76" s="305" t="s">
        <v>17</v>
      </c>
      <c r="BW76" s="707"/>
      <c r="BX76" s="707">
        <f>-SUM(BY45:CO45)*0.9</f>
        <v>-54</v>
      </c>
      <c r="BY76" s="707">
        <f>-SUM(BZ45:CO45)*0.9</f>
        <v>-54</v>
      </c>
      <c r="BZ76" s="707">
        <f>-SUM(CE45:CS45)*0.9</f>
        <v>-54</v>
      </c>
      <c r="CA76" s="655"/>
      <c r="CB76" s="655"/>
      <c r="CC76" s="655"/>
      <c r="CD76" s="655"/>
      <c r="CE76" s="707">
        <f>-SUM(CJ45:CO45)*0.9</f>
        <v>-54</v>
      </c>
      <c r="CF76" s="655"/>
      <c r="CG76" s="655"/>
      <c r="CH76" s="655"/>
      <c r="CI76" s="655"/>
      <c r="CJ76" s="707">
        <f>-SUM(CO45)*0.9</f>
        <v>-27</v>
      </c>
      <c r="CK76" s="655"/>
      <c r="CL76" s="655"/>
      <c r="CM76" s="655"/>
      <c r="CN76" s="655"/>
      <c r="CO76" s="1205">
        <v>0</v>
      </c>
      <c r="CP76" s="655"/>
      <c r="CQ76" s="655"/>
      <c r="CR76" s="655"/>
      <c r="CS76" s="655"/>
      <c r="CT76" s="1205">
        <v>0</v>
      </c>
      <c r="CU76" s="655"/>
      <c r="CV76" s="655"/>
      <c r="CW76" s="655"/>
      <c r="CX76" s="655"/>
      <c r="CY76" s="1205">
        <v>0</v>
      </c>
      <c r="CZ76" s="305"/>
      <c r="DA76" s="305"/>
      <c r="DB76">
        <f t="shared" si="17"/>
        <v>14</v>
      </c>
      <c r="DD76" s="956">
        <f t="shared" si="18"/>
        <v>1.1380932804332895</v>
      </c>
      <c r="DE76" s="684">
        <f t="shared" si="12"/>
        <v>-0.16669362018263975</v>
      </c>
      <c r="DF76" s="684">
        <f t="shared" si="21"/>
        <v>-0.15144645260259101</v>
      </c>
      <c r="DG76" s="684">
        <f t="shared" si="22"/>
        <v>0.81995320764805868</v>
      </c>
      <c r="DH76" s="684">
        <f t="shared" si="14"/>
        <v>0.26456831485977284</v>
      </c>
      <c r="DJ76" s="957">
        <v>4.4609999999999997E-2</v>
      </c>
      <c r="DK76" s="684">
        <f t="shared" si="15"/>
        <v>0.20269459462081427</v>
      </c>
      <c r="DL76" s="684">
        <f t="shared" si="16"/>
        <v>6.7560262506015847E-3</v>
      </c>
      <c r="DM76" s="684">
        <f t="shared" ref="DM76:DM81" si="24">DL75</f>
        <v>6.7560262506015847E-3</v>
      </c>
      <c r="DN76" s="684">
        <f t="shared" si="19"/>
        <v>6.7560262506015847E-3</v>
      </c>
      <c r="DO76" s="684">
        <f t="shared" si="19"/>
        <v>6.757540715127611E-3</v>
      </c>
      <c r="DP76" s="684">
        <f t="shared" si="19"/>
        <v>6.7560262506015847E-3</v>
      </c>
      <c r="DQ76" s="684">
        <f t="shared" si="19"/>
        <v>6.757540715127611E-3</v>
      </c>
      <c r="DR76" s="684">
        <f t="shared" si="19"/>
        <v>6.8484085866891663E-3</v>
      </c>
      <c r="DS76" s="684">
        <f t="shared" si="19"/>
        <v>7.3905868870064416E-3</v>
      </c>
      <c r="DT76" s="684">
        <f t="shared" si="19"/>
        <v>8.0039450200469348E-3</v>
      </c>
      <c r="DU76" s="684">
        <f t="shared" si="19"/>
        <v>8.6521358371860254E-3</v>
      </c>
      <c r="DV76" s="684">
        <f t="shared" si="19"/>
        <v>9.3548473772620475E-3</v>
      </c>
      <c r="DW76" s="684">
        <f t="shared" si="19"/>
        <v>1.0112079640275001E-2</v>
      </c>
      <c r="DX76" s="684">
        <f t="shared" si="19"/>
        <v>1.0932919413381046E-2</v>
      </c>
      <c r="DY76" s="684">
        <f t="shared" si="19"/>
        <v>5.6792419725971632E-3</v>
      </c>
      <c r="EG76" s="956">
        <f t="shared" si="23"/>
        <v>0.31020794578791966</v>
      </c>
    </row>
    <row r="77" spans="1:137">
      <c r="A77" s="64"/>
      <c r="B77" s="305"/>
      <c r="C77" s="305"/>
      <c r="D77" s="305"/>
      <c r="E77" s="305"/>
      <c r="F77" s="305"/>
      <c r="G77" s="305"/>
      <c r="H77" s="305"/>
      <c r="I77" s="305"/>
      <c r="J77" s="305"/>
      <c r="K77" s="305"/>
      <c r="L77" s="305"/>
      <c r="M77" s="305"/>
      <c r="N77" s="305"/>
      <c r="O77" s="305"/>
      <c r="P77" s="305"/>
      <c r="Q77" s="305"/>
      <c r="R77" s="305"/>
      <c r="S77" s="305"/>
      <c r="T77" s="305"/>
      <c r="U77" s="305"/>
      <c r="V77" s="305"/>
      <c r="W77" s="305"/>
      <c r="X77" s="305"/>
      <c r="Y77" s="305"/>
      <c r="Z77" s="305"/>
      <c r="AA77" s="305"/>
      <c r="AB77" s="305"/>
      <c r="AC77" s="305"/>
      <c r="AD77" s="305"/>
      <c r="AE77" s="305"/>
      <c r="AF77" s="305"/>
      <c r="AG77" s="305"/>
      <c r="AH77" s="305"/>
      <c r="AI77" s="305"/>
      <c r="AJ77" s="305"/>
      <c r="AK77" s="305"/>
      <c r="AL77" s="305"/>
      <c r="AM77" s="305"/>
      <c r="AN77" s="305"/>
      <c r="AO77" s="305"/>
      <c r="AP77" s="305"/>
      <c r="AQ77" s="305"/>
      <c r="AR77" s="305"/>
      <c r="AS77" s="305"/>
      <c r="AT77" s="305"/>
      <c r="AU77" s="305"/>
      <c r="AV77" s="305"/>
      <c r="AW77" s="305"/>
      <c r="AX77" s="305"/>
      <c r="AY77" s="305"/>
      <c r="AZ77" s="305"/>
      <c r="BA77" s="305"/>
      <c r="BB77" s="305"/>
      <c r="BC77" s="305"/>
      <c r="BD77" s="305"/>
      <c r="BE77" s="305"/>
      <c r="BF77" s="305"/>
      <c r="BG77" s="305"/>
      <c r="BH77" s="305"/>
      <c r="BI77" s="305"/>
      <c r="BJ77" s="305"/>
      <c r="BK77" s="305"/>
      <c r="BL77" s="305"/>
      <c r="BM77" s="305"/>
      <c r="BN77" s="305"/>
      <c r="BO77" s="305"/>
      <c r="BP77" s="305"/>
      <c r="BQ77" s="305"/>
      <c r="BT77" s="64" t="s">
        <v>18</v>
      </c>
      <c r="BW77" s="706"/>
      <c r="BX77" s="706">
        <f>+BX75+BX74+BX76</f>
        <v>15947.063108121967</v>
      </c>
      <c r="BY77" s="706">
        <f>+BY75+BY74+BY76</f>
        <v>10554.779179265362</v>
      </c>
      <c r="BZ77" s="706">
        <f>+BZ75+BZ74+BZ76</f>
        <v>2356.0712540082941</v>
      </c>
      <c r="CA77" s="689"/>
      <c r="CB77" s="689"/>
      <c r="CC77" s="689"/>
      <c r="CD77" s="689"/>
      <c r="CE77" s="706">
        <f>+CE75+CE74+CE76</f>
        <v>5137.3142423090212</v>
      </c>
      <c r="CF77" s="689"/>
      <c r="CG77" s="689"/>
      <c r="CH77" s="689"/>
      <c r="CI77" s="689"/>
      <c r="CJ77" s="706">
        <f>+CJ75+CJ74+CJ76</f>
        <v>8339.3629581138666</v>
      </c>
      <c r="CK77" s="689"/>
      <c r="CL77" s="689"/>
      <c r="CM77" s="689"/>
      <c r="CN77" s="689"/>
      <c r="CO77" s="706">
        <f>+CO75+CO74+CO76</f>
        <v>7522.6054212917925</v>
      </c>
      <c r="CP77" s="689"/>
      <c r="CQ77" s="689"/>
      <c r="CR77" s="689"/>
      <c r="CS77" s="689"/>
      <c r="CT77" s="706">
        <f>+CT75+CT74+CT76</f>
        <v>7441.3468470689577</v>
      </c>
      <c r="CU77" s="689"/>
      <c r="CV77" s="689"/>
      <c r="CW77" s="689"/>
      <c r="CX77" s="689"/>
      <c r="CY77" s="706">
        <f>+CY75+CY74+CY76</f>
        <v>8810.2229983701818</v>
      </c>
      <c r="DB77">
        <f t="shared" si="17"/>
        <v>15</v>
      </c>
      <c r="DD77" s="956">
        <f t="shared" si="18"/>
        <v>1.1494742132376223</v>
      </c>
      <c r="DE77" s="684">
        <f t="shared" si="12"/>
        <v>-0.16789609588660986</v>
      </c>
      <c r="DF77" s="684">
        <f t="shared" si="21"/>
        <v>-0.15144645260259101</v>
      </c>
      <c r="DG77" s="684">
        <f t="shared" si="22"/>
        <v>0.83013166474842148</v>
      </c>
      <c r="DH77" s="684">
        <f t="shared" si="14"/>
        <v>0.24706223612717423</v>
      </c>
      <c r="DJ77" s="957">
        <v>4.4609999999999997E-2</v>
      </c>
      <c r="DK77" s="684">
        <f t="shared" si="15"/>
        <v>0.20269459462081427</v>
      </c>
      <c r="DL77" s="684">
        <f t="shared" si="16"/>
        <v>6.7560262506015847E-3</v>
      </c>
      <c r="DM77" s="684">
        <f t="shared" si="24"/>
        <v>6.7560262506015847E-3</v>
      </c>
      <c r="DN77" s="684">
        <f t="shared" si="19"/>
        <v>6.7560262506015847E-3</v>
      </c>
      <c r="DO77" s="684">
        <f t="shared" si="19"/>
        <v>6.7560262506015847E-3</v>
      </c>
      <c r="DP77" s="684">
        <f t="shared" si="19"/>
        <v>6.757540715127611E-3</v>
      </c>
      <c r="DQ77" s="684">
        <f t="shared" si="19"/>
        <v>6.7560262506015847E-3</v>
      </c>
      <c r="DR77" s="684">
        <f t="shared" si="19"/>
        <v>6.757540715127611E-3</v>
      </c>
      <c r="DS77" s="684">
        <f t="shared" si="19"/>
        <v>6.8484085866891663E-3</v>
      </c>
      <c r="DT77" s="684">
        <f t="shared" si="19"/>
        <v>7.3905868870064416E-3</v>
      </c>
      <c r="DU77" s="684">
        <f t="shared" si="19"/>
        <v>8.0039450200469348E-3</v>
      </c>
      <c r="DV77" s="684">
        <f t="shared" si="19"/>
        <v>8.6521358371860254E-3</v>
      </c>
      <c r="DW77" s="684">
        <f t="shared" si="19"/>
        <v>9.3548473772620475E-3</v>
      </c>
      <c r="DX77" s="684">
        <f t="shared" si="19"/>
        <v>1.0112079640275001E-2</v>
      </c>
      <c r="DY77" s="684">
        <f t="shared" si="19"/>
        <v>1.0932919413381046E-2</v>
      </c>
      <c r="DZ77" s="684">
        <f t="shared" si="19"/>
        <v>5.6792419725971632E-3</v>
      </c>
      <c r="EG77" s="956">
        <f t="shared" si="23"/>
        <v>0.31696397203852128</v>
      </c>
    </row>
    <row r="78" spans="1:137">
      <c r="BR78" s="64"/>
      <c r="BT78" s="305" t="s">
        <v>19</v>
      </c>
      <c r="BW78" s="966"/>
      <c r="BX78" s="966">
        <f>+Power!AH549</f>
        <v>2534</v>
      </c>
      <c r="BY78" s="966">
        <f>+Power!AM549</f>
        <v>2225</v>
      </c>
      <c r="BZ78" s="966">
        <f>+Power!AR549</f>
        <v>2371</v>
      </c>
      <c r="CA78" s="689"/>
      <c r="CB78" s="689"/>
      <c r="CC78" s="689"/>
      <c r="CD78" s="689"/>
      <c r="CE78" s="966">
        <f>+Power!AW549</f>
        <v>2354</v>
      </c>
      <c r="CF78" s="689"/>
      <c r="CG78" s="689"/>
      <c r="CH78" s="689"/>
      <c r="CI78" s="689"/>
      <c r="CJ78" s="966">
        <f>+Power!BB549</f>
        <v>2136</v>
      </c>
      <c r="CK78" s="689"/>
      <c r="CL78" s="689"/>
      <c r="CM78" s="689"/>
      <c r="CN78" s="689"/>
      <c r="CO78" s="966">
        <f>+Power!BG549</f>
        <v>2192</v>
      </c>
      <c r="CP78" s="689"/>
      <c r="CQ78" s="689"/>
      <c r="CR78" s="689"/>
      <c r="CS78" s="689"/>
      <c r="CT78" s="966">
        <f>+Power!BL549</f>
        <v>2186</v>
      </c>
      <c r="CU78" s="689"/>
      <c r="CV78" s="689"/>
      <c r="CW78" s="689"/>
      <c r="CX78" s="689"/>
      <c r="CY78" s="966">
        <f>+Power!BQ549</f>
        <v>1877.0217320559332</v>
      </c>
      <c r="CZ78" s="64"/>
      <c r="DA78" s="64"/>
      <c r="DB78">
        <f t="shared" si="17"/>
        <v>16</v>
      </c>
      <c r="DD78" s="956">
        <f t="shared" si="18"/>
        <v>1.1609689553699987</v>
      </c>
      <c r="DE78" s="684">
        <f t="shared" si="12"/>
        <v>-0.1691281620158713</v>
      </c>
      <c r="DF78" s="684">
        <f t="shared" si="21"/>
        <v>-0.15144645260259101</v>
      </c>
      <c r="DG78" s="684">
        <f t="shared" si="22"/>
        <v>0.8403943407515363</v>
      </c>
      <c r="DH78" s="684">
        <f t="shared" si="14"/>
        <v>0.23070294202630923</v>
      </c>
      <c r="DJ78" s="957">
        <v>4.4609999999999997E-2</v>
      </c>
      <c r="DK78" s="684">
        <f t="shared" si="15"/>
        <v>0.20269459462081427</v>
      </c>
      <c r="DL78" s="684">
        <f t="shared" si="16"/>
        <v>6.7560262506015847E-3</v>
      </c>
      <c r="DM78" s="684">
        <f t="shared" si="24"/>
        <v>6.7560262506015847E-3</v>
      </c>
      <c r="DN78" s="684">
        <f t="shared" si="19"/>
        <v>6.7560262506015847E-3</v>
      </c>
      <c r="DO78" s="684">
        <f t="shared" si="19"/>
        <v>6.7560262506015847E-3</v>
      </c>
      <c r="DP78" s="684">
        <f t="shared" si="19"/>
        <v>6.7560262506015847E-3</v>
      </c>
      <c r="DQ78" s="684">
        <f t="shared" si="19"/>
        <v>6.757540715127611E-3</v>
      </c>
      <c r="DR78" s="684">
        <f t="shared" si="19"/>
        <v>6.7560262506015847E-3</v>
      </c>
      <c r="DS78" s="684">
        <f t="shared" si="19"/>
        <v>6.757540715127611E-3</v>
      </c>
      <c r="DT78" s="684">
        <f t="shared" si="19"/>
        <v>6.8484085866891663E-3</v>
      </c>
      <c r="DU78" s="684">
        <f t="shared" si="19"/>
        <v>7.3905868870064416E-3</v>
      </c>
      <c r="DV78" s="684">
        <f t="shared" si="19"/>
        <v>8.0039450200469348E-3</v>
      </c>
      <c r="DW78" s="684">
        <f t="shared" si="19"/>
        <v>8.6521358371860254E-3</v>
      </c>
      <c r="DX78" s="684">
        <f t="shared" si="19"/>
        <v>9.3548473772620475E-3</v>
      </c>
      <c r="DY78" s="684">
        <f t="shared" si="19"/>
        <v>1.0112079640275001E-2</v>
      </c>
      <c r="DZ78" s="684">
        <f t="shared" si="19"/>
        <v>1.0932919413381046E-2</v>
      </c>
      <c r="EA78" s="684">
        <f t="shared" si="19"/>
        <v>5.6792419725971632E-3</v>
      </c>
      <c r="EG78" s="956">
        <f t="shared" si="23"/>
        <v>0.3237199982891229</v>
      </c>
    </row>
    <row r="79" spans="1:137">
      <c r="B79" s="64"/>
      <c r="C79" s="64"/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T79" s="64" t="s">
        <v>61</v>
      </c>
      <c r="BW79" s="706"/>
      <c r="BX79" s="706">
        <f>+BX77-BX78</f>
        <v>13413.063108121967</v>
      </c>
      <c r="BY79" s="706">
        <f>+BY77-BY78</f>
        <v>8329.7791792653625</v>
      </c>
      <c r="BZ79" s="706">
        <f>+BZ77-BZ78</f>
        <v>-14.92874599170591</v>
      </c>
      <c r="CA79" s="926"/>
      <c r="CB79" s="926"/>
      <c r="CC79" s="926"/>
      <c r="CD79" s="926"/>
      <c r="CE79" s="706">
        <f>+CE77-CE78</f>
        <v>2783.3142423090212</v>
      </c>
      <c r="CF79" s="926"/>
      <c r="CG79" s="926"/>
      <c r="CH79" s="926"/>
      <c r="CI79" s="926"/>
      <c r="CJ79" s="706">
        <f>+CJ77-CJ78</f>
        <v>6203.3629581138666</v>
      </c>
      <c r="CK79" s="926"/>
      <c r="CL79" s="926"/>
      <c r="CM79" s="926"/>
      <c r="CN79" s="926"/>
      <c r="CO79" s="706">
        <f>+CO77-CO78</f>
        <v>5330.6054212917925</v>
      </c>
      <c r="CP79" s="926"/>
      <c r="CQ79" s="926"/>
      <c r="CR79" s="926"/>
      <c r="CS79" s="926"/>
      <c r="CT79" s="706">
        <f>+CT77-CT78</f>
        <v>5255.3468470689577</v>
      </c>
      <c r="CU79" s="926"/>
      <c r="CV79" s="926"/>
      <c r="CW79" s="926"/>
      <c r="CX79" s="926"/>
      <c r="CY79" s="706">
        <f>+CY77-CY78</f>
        <v>6933.2012663142486</v>
      </c>
      <c r="DB79">
        <f t="shared" si="17"/>
        <v>17</v>
      </c>
      <c r="DD79" s="956">
        <f t="shared" si="18"/>
        <v>1.1725786449236986</v>
      </c>
      <c r="DE79" s="684">
        <f t="shared" si="12"/>
        <v>-0.17039011447467686</v>
      </c>
      <c r="DF79" s="684">
        <f t="shared" si="21"/>
        <v>-0.15144645260259101</v>
      </c>
      <c r="DG79" s="684">
        <f t="shared" si="22"/>
        <v>0.85074207784643063</v>
      </c>
      <c r="DH79" s="684">
        <f t="shared" si="14"/>
        <v>0.21541629553452415</v>
      </c>
      <c r="DJ79" s="957">
        <v>4.4609999999999997E-2</v>
      </c>
      <c r="DK79" s="684">
        <f t="shared" si="15"/>
        <v>0.20269459462081427</v>
      </c>
      <c r="DL79" s="684">
        <f t="shared" si="16"/>
        <v>6.7560262506015847E-3</v>
      </c>
      <c r="DM79" s="684">
        <f t="shared" si="24"/>
        <v>6.7560262506015847E-3</v>
      </c>
      <c r="DN79" s="684">
        <f t="shared" si="19"/>
        <v>6.7560262506015847E-3</v>
      </c>
      <c r="DO79" s="684">
        <f t="shared" si="19"/>
        <v>6.7560262506015847E-3</v>
      </c>
      <c r="DP79" s="684">
        <f t="shared" si="19"/>
        <v>6.7560262506015847E-3</v>
      </c>
      <c r="DQ79" s="684">
        <f t="shared" si="19"/>
        <v>6.7560262506015847E-3</v>
      </c>
      <c r="DR79" s="684">
        <f t="shared" si="19"/>
        <v>6.757540715127611E-3</v>
      </c>
      <c r="DS79" s="684">
        <f t="shared" si="19"/>
        <v>6.7560262506015847E-3</v>
      </c>
      <c r="DT79" s="684">
        <f t="shared" si="19"/>
        <v>6.757540715127611E-3</v>
      </c>
      <c r="DU79" s="684">
        <f t="shared" si="19"/>
        <v>6.8484085866891663E-3</v>
      </c>
      <c r="DV79" s="684">
        <f t="shared" si="19"/>
        <v>7.3905868870064416E-3</v>
      </c>
      <c r="DW79" s="684">
        <f t="shared" si="19"/>
        <v>8.0039450200469348E-3</v>
      </c>
      <c r="DX79" s="684">
        <f t="shared" si="19"/>
        <v>8.6521358371860254E-3</v>
      </c>
      <c r="DY79" s="684">
        <f t="shared" si="19"/>
        <v>9.3548473772620475E-3</v>
      </c>
      <c r="DZ79" s="684">
        <f t="shared" si="19"/>
        <v>1.0112079640275001E-2</v>
      </c>
      <c r="EA79" s="684">
        <f t="shared" si="19"/>
        <v>1.0932919413381046E-2</v>
      </c>
      <c r="EB79" s="684">
        <f>EA78</f>
        <v>5.6792419725971632E-3</v>
      </c>
      <c r="EG79" s="956">
        <f t="shared" si="23"/>
        <v>0.33047602453972447</v>
      </c>
    </row>
    <row r="80" spans="1:137">
      <c r="BT80" s="305" t="s">
        <v>280</v>
      </c>
      <c r="BV80" s="305"/>
      <c r="BW80" s="699"/>
      <c r="BX80" s="699">
        <f>+AH61</f>
        <v>508</v>
      </c>
      <c r="BY80" s="699">
        <f>+AM61</f>
        <v>508</v>
      </c>
      <c r="BZ80" s="1230">
        <f>+BY80</f>
        <v>508</v>
      </c>
      <c r="CA80" s="305"/>
      <c r="CB80" s="305"/>
      <c r="CC80" s="305"/>
      <c r="CD80" s="305"/>
      <c r="CE80" s="1230">
        <f>+BZ80</f>
        <v>508</v>
      </c>
      <c r="CF80" s="305"/>
      <c r="CG80" s="305"/>
      <c r="CH80" s="305"/>
      <c r="CI80" s="305"/>
      <c r="CJ80" s="1230">
        <f>+CE80</f>
        <v>508</v>
      </c>
      <c r="CK80" s="305"/>
      <c r="CL80" s="305"/>
      <c r="CM80" s="305"/>
      <c r="CN80" s="305"/>
      <c r="CO80" s="1230">
        <f>+CJ80</f>
        <v>508</v>
      </c>
      <c r="CP80" s="305"/>
      <c r="CQ80" s="305"/>
      <c r="CR80" s="305"/>
      <c r="CS80" s="305"/>
      <c r="CT80" s="1230">
        <f>+CO80</f>
        <v>508</v>
      </c>
      <c r="CU80" s="305"/>
      <c r="CV80" s="305"/>
      <c r="CW80" s="305"/>
      <c r="CX80" s="305"/>
      <c r="CY80" s="1230">
        <f>+CT80</f>
        <v>508</v>
      </c>
      <c r="DB80">
        <f t="shared" si="17"/>
        <v>18</v>
      </c>
      <c r="DD80" s="956">
        <f t="shared" si="18"/>
        <v>1.1843044313729356</v>
      </c>
      <c r="DE80" s="684">
        <f t="shared" si="12"/>
        <v>-0.1716822521263221</v>
      </c>
      <c r="DF80" s="684">
        <f t="shared" si="21"/>
        <v>-0.15144645260259101</v>
      </c>
      <c r="DG80" s="684">
        <f t="shared" si="22"/>
        <v>0.86117572664402242</v>
      </c>
      <c r="DH80" s="684">
        <f t="shared" si="14"/>
        <v>0.20113286763510316</v>
      </c>
      <c r="DJ80" s="957">
        <v>4.4609999999999997E-2</v>
      </c>
      <c r="DK80" s="684">
        <f t="shared" si="15"/>
        <v>0.20269459462081427</v>
      </c>
      <c r="DL80" s="684">
        <f t="shared" si="16"/>
        <v>6.7560262506015847E-3</v>
      </c>
      <c r="DM80" s="684">
        <f t="shared" si="24"/>
        <v>6.7560262506015847E-3</v>
      </c>
      <c r="DN80" s="684">
        <f t="shared" si="19"/>
        <v>6.7560262506015847E-3</v>
      </c>
      <c r="DO80" s="684">
        <f t="shared" si="19"/>
        <v>6.7560262506015847E-3</v>
      </c>
      <c r="DP80" s="684">
        <f t="shared" si="19"/>
        <v>6.7560262506015847E-3</v>
      </c>
      <c r="DQ80" s="684">
        <f t="shared" si="19"/>
        <v>6.7560262506015847E-3</v>
      </c>
      <c r="DR80" s="684">
        <f t="shared" si="19"/>
        <v>6.7560262506015847E-3</v>
      </c>
      <c r="DS80" s="684">
        <f t="shared" si="19"/>
        <v>6.757540715127611E-3</v>
      </c>
      <c r="DT80" s="684">
        <f t="shared" si="19"/>
        <v>6.7560262506015847E-3</v>
      </c>
      <c r="DU80" s="684">
        <f t="shared" si="19"/>
        <v>6.757540715127611E-3</v>
      </c>
      <c r="DV80" s="684">
        <f t="shared" si="19"/>
        <v>6.8484085866891663E-3</v>
      </c>
      <c r="DW80" s="684">
        <f t="shared" si="19"/>
        <v>7.3905868870064416E-3</v>
      </c>
      <c r="DX80" s="684">
        <f t="shared" si="19"/>
        <v>8.0039450200469348E-3</v>
      </c>
      <c r="DY80" s="684">
        <f t="shared" si="19"/>
        <v>8.6521358371860254E-3</v>
      </c>
      <c r="DZ80" s="684">
        <f t="shared" si="19"/>
        <v>9.3548473772620475E-3</v>
      </c>
      <c r="EA80" s="684">
        <f t="shared" si="19"/>
        <v>1.0112079640275001E-2</v>
      </c>
      <c r="EB80" s="684">
        <f>EA79</f>
        <v>1.0932919413381046E-2</v>
      </c>
      <c r="EC80" s="684">
        <f>EB79</f>
        <v>5.6792419725971632E-3</v>
      </c>
      <c r="EG80" s="956">
        <f t="shared" si="23"/>
        <v>0.33723205079032609</v>
      </c>
    </row>
    <row r="81" spans="72:137">
      <c r="BT81" s="64" t="s">
        <v>20</v>
      </c>
      <c r="BV81" s="305"/>
      <c r="BW81" s="967"/>
      <c r="BX81" s="967">
        <f>+BX79/BX80</f>
        <v>26.403667535673165</v>
      </c>
      <c r="BY81" s="967">
        <f>+BY79/BY80</f>
        <v>16.397203108790084</v>
      </c>
      <c r="BZ81" s="967">
        <f>+BZ79/BZ80</f>
        <v>-2.9387295259263601E-2</v>
      </c>
      <c r="CE81" s="967">
        <f>+CE79/CE80</f>
        <v>5.4789650439153963</v>
      </c>
      <c r="CJ81" s="967">
        <f>+CJ79/CJ80</f>
        <v>12.211344405735957</v>
      </c>
      <c r="CO81" s="967">
        <f>+CO79/CO80</f>
        <v>10.493317758448411</v>
      </c>
      <c r="CT81" s="967">
        <f>+CT79/CT80</f>
        <v>10.34517095879716</v>
      </c>
      <c r="CY81" s="967">
        <f>+CY79/CY80</f>
        <v>13.648033988807576</v>
      </c>
      <c r="DB81">
        <f t="shared" si="17"/>
        <v>19</v>
      </c>
      <c r="DD81" s="956">
        <f t="shared" si="18"/>
        <v>1.196147475686665</v>
      </c>
      <c r="DE81" s="684">
        <f t="shared" si="12"/>
        <v>-0.17300487682273533</v>
      </c>
      <c r="DF81" s="684">
        <f t="shared" si="21"/>
        <v>-0.15144645260259101</v>
      </c>
      <c r="DG81" s="684">
        <f t="shared" si="22"/>
        <v>0.87169614626133873</v>
      </c>
      <c r="DH81" s="684">
        <f t="shared" si="14"/>
        <v>0.18778764571179068</v>
      </c>
      <c r="DJ81" s="957">
        <v>4.4609999999999997E-2</v>
      </c>
      <c r="DK81" s="684">
        <f t="shared" si="15"/>
        <v>0.20269459462081427</v>
      </c>
      <c r="DL81" s="684">
        <f t="shared" si="16"/>
        <v>6.7560262506015847E-3</v>
      </c>
      <c r="DM81" s="684">
        <f t="shared" si="24"/>
        <v>6.7560262506015847E-3</v>
      </c>
      <c r="DN81" s="684">
        <f t="shared" si="19"/>
        <v>6.7560262506015847E-3</v>
      </c>
      <c r="DO81" s="684">
        <f t="shared" si="19"/>
        <v>6.7560262506015847E-3</v>
      </c>
      <c r="DP81" s="684">
        <f t="shared" si="19"/>
        <v>6.7560262506015847E-3</v>
      </c>
      <c r="DQ81" s="684">
        <f t="shared" si="19"/>
        <v>6.7560262506015847E-3</v>
      </c>
      <c r="DR81" s="684">
        <f t="shared" si="19"/>
        <v>6.7560262506015847E-3</v>
      </c>
      <c r="DS81" s="684">
        <f t="shared" si="19"/>
        <v>6.7560262506015847E-3</v>
      </c>
      <c r="DT81" s="684">
        <f t="shared" si="19"/>
        <v>6.757540715127611E-3</v>
      </c>
      <c r="DU81" s="684">
        <f t="shared" si="19"/>
        <v>6.7560262506015847E-3</v>
      </c>
      <c r="DV81" s="684">
        <f t="shared" si="19"/>
        <v>6.757540715127611E-3</v>
      </c>
      <c r="DW81" s="684">
        <f t="shared" si="19"/>
        <v>6.8484085866891663E-3</v>
      </c>
      <c r="DX81" s="684">
        <f t="shared" si="19"/>
        <v>7.3905868870064416E-3</v>
      </c>
      <c r="DY81" s="684">
        <f t="shared" si="19"/>
        <v>8.0039450200469348E-3</v>
      </c>
      <c r="DZ81" s="684">
        <f t="shared" si="19"/>
        <v>8.6521358371860254E-3</v>
      </c>
      <c r="EA81" s="684">
        <f t="shared" si="19"/>
        <v>9.3548473772620475E-3</v>
      </c>
      <c r="EB81" s="684">
        <f>EA80</f>
        <v>1.0112079640275001E-2</v>
      </c>
      <c r="EC81" s="684">
        <f>EB80</f>
        <v>1.0932919413381046E-2</v>
      </c>
      <c r="ED81" s="684">
        <f>EC80</f>
        <v>5.6792419725971632E-3</v>
      </c>
      <c r="EG81" s="956">
        <f t="shared" si="23"/>
        <v>0.34398807704092765</v>
      </c>
    </row>
    <row r="82" spans="72:137">
      <c r="CA82" s="64"/>
      <c r="CB82" s="64"/>
      <c r="CC82" s="64"/>
      <c r="CD82" s="64"/>
      <c r="CF82" s="64"/>
      <c r="CG82" s="64"/>
      <c r="CH82" s="64"/>
      <c r="CI82" s="64"/>
      <c r="CK82" s="64"/>
      <c r="CL82" s="64"/>
      <c r="CM82" s="64"/>
      <c r="CN82" s="64"/>
      <c r="CP82" s="64"/>
      <c r="CQ82" s="64"/>
      <c r="CR82" s="64"/>
      <c r="CS82" s="64"/>
      <c r="CU82" s="64"/>
      <c r="CV82" s="64"/>
      <c r="CW82" s="64"/>
      <c r="CX82" s="64"/>
      <c r="DB82">
        <f t="shared" si="17"/>
        <v>20</v>
      </c>
      <c r="DD82" s="956">
        <f t="shared" si="18"/>
        <v>1.2081089504435316</v>
      </c>
      <c r="DE82" s="684">
        <f t="shared" si="12"/>
        <v>-0.20158077045324946</v>
      </c>
      <c r="DF82" s="684">
        <f t="shared" si="21"/>
        <v>-0.15144645260259101</v>
      </c>
      <c r="DG82" s="684">
        <f t="shared" si="22"/>
        <v>0.85508172738769106</v>
      </c>
      <c r="DH82" s="684">
        <f t="shared" si="14"/>
        <v>0.16991047070182214</v>
      </c>
      <c r="DJ82" s="957">
        <v>4.4609999999999997E-2</v>
      </c>
      <c r="DK82" s="684">
        <f t="shared" si="15"/>
        <v>0.20269459462081427</v>
      </c>
      <c r="DL82" s="684">
        <f t="shared" si="16"/>
        <v>6.7560262506015847E-3</v>
      </c>
      <c r="DM82" s="684">
        <f t="shared" si="19"/>
        <v>6.7560262506015847E-3</v>
      </c>
      <c r="DN82" s="684">
        <f t="shared" si="19"/>
        <v>6.7560262506015847E-3</v>
      </c>
      <c r="DO82" s="684">
        <f t="shared" si="19"/>
        <v>6.7560262506015847E-3</v>
      </c>
      <c r="DP82" s="684">
        <f t="shared" si="19"/>
        <v>6.7560262506015847E-3</v>
      </c>
      <c r="DQ82" s="684">
        <f t="shared" si="19"/>
        <v>6.7560262506015847E-3</v>
      </c>
      <c r="DR82" s="684">
        <f t="shared" si="19"/>
        <v>6.7560262506015847E-3</v>
      </c>
      <c r="DS82" s="684">
        <f t="shared" si="19"/>
        <v>6.7560262506015847E-3</v>
      </c>
      <c r="DT82" s="684">
        <f t="shared" si="19"/>
        <v>6.7560262506015847E-3</v>
      </c>
      <c r="DU82" s="684">
        <f t="shared" si="19"/>
        <v>6.757540715127611E-3</v>
      </c>
      <c r="DV82" s="684">
        <f t="shared" si="19"/>
        <v>6.7560262506015847E-3</v>
      </c>
      <c r="DW82" s="684">
        <f t="shared" si="19"/>
        <v>6.757540715127611E-3</v>
      </c>
      <c r="DX82" s="684">
        <f t="shared" si="19"/>
        <v>6.8484085866891663E-3</v>
      </c>
      <c r="DY82" s="684">
        <f t="shared" si="19"/>
        <v>7.3905868870064416E-3</v>
      </c>
      <c r="DZ82" s="684">
        <f t="shared" si="19"/>
        <v>8.0039450200469348E-3</v>
      </c>
      <c r="EA82" s="684">
        <f t="shared" si="19"/>
        <v>8.6521358371860254E-3</v>
      </c>
      <c r="EB82" s="684">
        <f>EA81</f>
        <v>9.3548473772620475E-3</v>
      </c>
      <c r="EC82" s="684">
        <f>EB81</f>
        <v>1.0112079640275001E-2</v>
      </c>
      <c r="ED82" s="684">
        <f>EC81</f>
        <v>1.0932919413381046E-2</v>
      </c>
      <c r="EE82" s="684">
        <f>ED81</f>
        <v>5.6792419725971632E-3</v>
      </c>
      <c r="EG82" s="956">
        <f t="shared" si="23"/>
        <v>0.35074410329152922</v>
      </c>
    </row>
    <row r="83" spans="72:137">
      <c r="BT83" s="949" t="s">
        <v>21</v>
      </c>
      <c r="BU83" s="278"/>
      <c r="BV83" s="949"/>
      <c r="BW83" s="968"/>
      <c r="BX83" s="968">
        <f>+BX20-BX13</f>
        <v>7.1938679292778929</v>
      </c>
      <c r="BY83" s="968">
        <f>+BX83</f>
        <v>7.1938679292778929</v>
      </c>
      <c r="BZ83" s="968">
        <f>+BY83</f>
        <v>7.1938679292778929</v>
      </c>
      <c r="CE83" s="968">
        <f>+BZ83</f>
        <v>7.1938679292778929</v>
      </c>
      <c r="CJ83" s="968">
        <f>+CE83</f>
        <v>7.1938679292778929</v>
      </c>
      <c r="CO83" s="968">
        <f>+CJ83</f>
        <v>7.1938679292778929</v>
      </c>
      <c r="CT83" s="968">
        <f>+CO83</f>
        <v>7.1938679292778929</v>
      </c>
      <c r="CY83" s="968">
        <f>+CT83</f>
        <v>7.1938679292778929</v>
      </c>
      <c r="DB83">
        <f t="shared" si="17"/>
        <v>21</v>
      </c>
      <c r="DD83" s="956">
        <f t="shared" si="18"/>
        <v>1.220190039947967</v>
      </c>
      <c r="DE83" s="684">
        <f t="shared" si="12"/>
        <v>-0.27044941038647147</v>
      </c>
      <c r="DF83" s="684">
        <f t="shared" si="21"/>
        <v>-0.15144645260259101</v>
      </c>
      <c r="DG83" s="684">
        <f t="shared" si="22"/>
        <v>0.79829417695890459</v>
      </c>
      <c r="DH83" s="684">
        <f t="shared" si="14"/>
        <v>0.14631407443081126</v>
      </c>
      <c r="DJ83" s="957">
        <v>2.231E-2</v>
      </c>
      <c r="DK83" s="684">
        <f t="shared" si="15"/>
        <v>0.10137001582583202</v>
      </c>
      <c r="DL83" s="684">
        <f t="shared" si="16"/>
        <v>3.3787703575638055E-3</v>
      </c>
      <c r="DM83" s="684">
        <f t="shared" si="19"/>
        <v>6.7560262506015847E-3</v>
      </c>
      <c r="DN83" s="684">
        <f t="shared" si="19"/>
        <v>6.7560262506015847E-3</v>
      </c>
      <c r="DO83" s="684">
        <f t="shared" si="19"/>
        <v>6.7560262506015847E-3</v>
      </c>
      <c r="DP83" s="684">
        <f t="shared" si="19"/>
        <v>6.7560262506015847E-3</v>
      </c>
      <c r="DQ83" s="684">
        <f t="shared" si="19"/>
        <v>6.7560262506015847E-3</v>
      </c>
      <c r="DR83" s="684">
        <f t="shared" si="19"/>
        <v>6.7560262506015847E-3</v>
      </c>
      <c r="DS83" s="684">
        <f t="shared" si="19"/>
        <v>6.7560262506015847E-3</v>
      </c>
      <c r="DT83" s="684">
        <f t="shared" si="19"/>
        <v>6.7560262506015847E-3</v>
      </c>
      <c r="DU83" s="684">
        <f t="shared" si="19"/>
        <v>6.7560262506015847E-3</v>
      </c>
      <c r="DV83" s="684">
        <f t="shared" si="19"/>
        <v>6.757540715127611E-3</v>
      </c>
      <c r="DW83" s="684">
        <f>DV82</f>
        <v>6.7560262506015847E-3</v>
      </c>
      <c r="DX83" s="684">
        <f>DW82</f>
        <v>6.757540715127611E-3</v>
      </c>
      <c r="DY83" s="684">
        <f>DX82</f>
        <v>6.8484085866891663E-3</v>
      </c>
      <c r="DZ83" s="684">
        <f>DY82</f>
        <v>7.3905868870064416E-3</v>
      </c>
      <c r="EA83" s="684">
        <f>DZ82</f>
        <v>8.0039450200469348E-3</v>
      </c>
      <c r="EB83" s="684">
        <f>EA82</f>
        <v>8.6521358371860254E-3</v>
      </c>
      <c r="EC83" s="684">
        <f>EB82</f>
        <v>9.3548473772620475E-3</v>
      </c>
      <c r="ED83" s="684">
        <f>EC82</f>
        <v>1.0112079640275001E-2</v>
      </c>
      <c r="EE83" s="684">
        <f>ED82</f>
        <v>1.0932919413381046E-2</v>
      </c>
      <c r="EF83" s="684">
        <f>EE82</f>
        <v>5.6792419725971632E-3</v>
      </c>
      <c r="EG83" s="956">
        <f t="shared" si="23"/>
        <v>0.25279829485411071</v>
      </c>
    </row>
    <row r="84" spans="72:137">
      <c r="DB84">
        <f t="shared" si="17"/>
        <v>22</v>
      </c>
      <c r="DD84" s="956">
        <f t="shared" si="18"/>
        <v>1.2323919403474468</v>
      </c>
      <c r="DE84" s="684">
        <f t="shared" si="12"/>
        <v>-0.27362190449033619</v>
      </c>
      <c r="DF84" s="684">
        <f t="shared" si="21"/>
        <v>-0.15144645260259101</v>
      </c>
      <c r="DG84" s="684">
        <f t="shared" si="22"/>
        <v>0.80732358325451958</v>
      </c>
      <c r="DH84" s="684">
        <f t="shared" si="14"/>
        <v>0.13648389499237881</v>
      </c>
      <c r="ED84" s="684"/>
      <c r="EE84" s="684"/>
      <c r="EG84" s="956"/>
    </row>
    <row r="85" spans="72:137">
      <c r="DB85">
        <f t="shared" si="17"/>
        <v>23</v>
      </c>
      <c r="DD85" s="956">
        <f t="shared" si="18"/>
        <v>1.2447158597509214</v>
      </c>
      <c r="DE85" s="684">
        <f t="shared" si="12"/>
        <v>-0.27682612353523955</v>
      </c>
      <c r="DF85" s="684">
        <f t="shared" si="21"/>
        <v>-0.15144645260259101</v>
      </c>
      <c r="DG85" s="684">
        <f t="shared" si="22"/>
        <v>0.81644328361309071</v>
      </c>
      <c r="DH85" s="684">
        <f t="shared" si="14"/>
        <v>0.12731231503438067</v>
      </c>
      <c r="ED85" s="684"/>
      <c r="EE85" s="684"/>
      <c r="EF85" s="684"/>
      <c r="EG85" s="956"/>
    </row>
    <row r="86" spans="72:137">
      <c r="DB86">
        <f t="shared" si="17"/>
        <v>24</v>
      </c>
      <c r="DD86" s="956">
        <f t="shared" si="18"/>
        <v>1.2571630183484306</v>
      </c>
      <c r="DE86" s="684">
        <f t="shared" si="12"/>
        <v>-0.28006238477059198</v>
      </c>
      <c r="DF86" s="684">
        <f t="shared" si="21"/>
        <v>-0.15144645260259101</v>
      </c>
      <c r="DG86" s="684">
        <f t="shared" si="22"/>
        <v>0.82565418097524756</v>
      </c>
      <c r="DH86" s="684">
        <f t="shared" si="14"/>
        <v>0.11875535574177526</v>
      </c>
    </row>
    <row r="87" spans="72:137">
      <c r="DB87">
        <f t="shared" si="17"/>
        <v>25</v>
      </c>
      <c r="DD87" s="956">
        <f t="shared" si="18"/>
        <v>1.269734648531915</v>
      </c>
      <c r="DE87" s="684">
        <f t="shared" si="12"/>
        <v>-0.28333100861829791</v>
      </c>
      <c r="DF87" s="684">
        <f t="shared" si="21"/>
        <v>-0.15144645260259101</v>
      </c>
      <c r="DG87" s="684">
        <f t="shared" si="22"/>
        <v>0.83495718731102608</v>
      </c>
      <c r="DH87" s="684">
        <f t="shared" si="14"/>
        <v>0.11077196348475894</v>
      </c>
    </row>
    <row r="88" spans="72:137">
      <c r="DB88">
        <f t="shared" si="17"/>
        <v>26</v>
      </c>
      <c r="DD88" s="956">
        <f t="shared" si="18"/>
        <v>1.282431995017234</v>
      </c>
      <c r="DE88" s="684">
        <f t="shared" si="12"/>
        <v>-0.28663231870448086</v>
      </c>
      <c r="DF88" s="684">
        <f t="shared" si="21"/>
        <v>-0.15144645260259101</v>
      </c>
      <c r="DG88" s="684">
        <f t="shared" si="22"/>
        <v>0.84435322371016219</v>
      </c>
      <c r="DH88" s="684">
        <f t="shared" si="14"/>
        <v>0.10332381617312232</v>
      </c>
    </row>
    <row r="89" spans="72:137">
      <c r="DB89">
        <f t="shared" si="17"/>
        <v>27</v>
      </c>
      <c r="DD89" s="956">
        <f t="shared" si="18"/>
        <v>1.2952563149674063</v>
      </c>
      <c r="DE89" s="684">
        <f t="shared" si="12"/>
        <v>-0.28996664189152566</v>
      </c>
      <c r="DF89" s="684">
        <f t="shared" si="21"/>
        <v>-0.15144645260259101</v>
      </c>
      <c r="DG89" s="684">
        <f t="shared" si="22"/>
        <v>0.85384322047328964</v>
      </c>
      <c r="DH89" s="684">
        <f t="shared" si="14"/>
        <v>9.6375142356517882E-2</v>
      </c>
    </row>
    <row r="90" spans="72:137">
      <c r="DB90">
        <f t="shared" si="17"/>
        <v>28</v>
      </c>
      <c r="DD90" s="956">
        <f t="shared" si="18"/>
        <v>1.3082088781170804</v>
      </c>
      <c r="DE90" s="684">
        <f t="shared" si="12"/>
        <v>-0.29333430831044094</v>
      </c>
      <c r="DF90" s="684">
        <f t="shared" si="21"/>
        <v>-0.15144645260259101</v>
      </c>
      <c r="DG90" s="684">
        <f t="shared" si="22"/>
        <v>0.86342811720404844</v>
      </c>
      <c r="DH90" s="684">
        <f t="shared" si="14"/>
        <v>8.9892552237571866E-2</v>
      </c>
    </row>
    <row r="91" spans="72:137">
      <c r="DB91">
        <f t="shared" si="17"/>
        <v>29</v>
      </c>
      <c r="DD91" s="956">
        <f t="shared" si="18"/>
        <v>1.3212909668982513</v>
      </c>
      <c r="DE91" s="684">
        <f t="shared" si="12"/>
        <v>-0.29673565139354535</v>
      </c>
      <c r="DF91" s="684">
        <f t="shared" si="21"/>
        <v>-0.15144645260259101</v>
      </c>
      <c r="DG91" s="684">
        <f t="shared" si="22"/>
        <v>0.87310886290211498</v>
      </c>
      <c r="DH91" s="684">
        <f t="shared" si="14"/>
        <v>8.3844879818749787E-2</v>
      </c>
    </row>
    <row r="92" spans="72:137">
      <c r="DB92">
        <f t="shared" si="17"/>
        <v>30</v>
      </c>
      <c r="DD92" s="956">
        <f t="shared" si="18"/>
        <v>1.3345038765672339</v>
      </c>
      <c r="DE92" s="684">
        <f t="shared" si="12"/>
        <v>-0.30017100790748086</v>
      </c>
      <c r="DF92" s="684">
        <f t="shared" si="21"/>
        <v>-0.15144645260259101</v>
      </c>
      <c r="DG92" s="684">
        <f t="shared" si="22"/>
        <v>0.882886416057162</v>
      </c>
      <c r="DH92" s="684">
        <f t="shared" si="14"/>
        <v>7.8203035454399147E-2</v>
      </c>
    </row>
    <row r="93" spans="72:137">
      <c r="DH93" s="684">
        <f>SUM(DH63:DH92)</f>
        <v>8.4163929616128268</v>
      </c>
    </row>
  </sheetData>
  <phoneticPr fontId="2" type="noConversion"/>
  <pageMargins left="0.1" right="0.03" top="0.08" bottom="7.0000000000000007E-2" header="0" footer="0"/>
  <pageSetup scale="58" orientation="landscape" r:id="rId1"/>
  <headerFooter alignWithMargins="0"/>
  <colBreaks count="1" manualBreakCount="1">
    <brk id="82" max="1048575" man="1"/>
  </colBreaks>
  <cellWatches>
    <cellWatch r="BX17"/>
  </cellWatche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EI74"/>
  <sheetViews>
    <sheetView zoomScale="80" workbookViewId="0">
      <pane ySplit="5" topLeftCell="A6" activePane="bottomLeft" state="frozen"/>
      <selection activeCell="A5" sqref="A5"/>
      <selection pane="bottomLeft" activeCell="A6" sqref="A6"/>
    </sheetView>
  </sheetViews>
  <sheetFormatPr defaultRowHeight="12.75" outlineLevelCol="1"/>
  <cols>
    <col min="1" max="2" width="2.5703125" customWidth="1"/>
    <col min="3" max="3" width="40.7109375" customWidth="1"/>
    <col min="4" max="4" width="2.7109375" hidden="1" customWidth="1" outlineLevel="1"/>
    <col min="5" max="8" width="1.7109375" hidden="1" customWidth="1" outlineLevel="1"/>
    <col min="9" max="9" width="8.28515625" hidden="1" customWidth="1" outlineLevel="1"/>
    <col min="10" max="13" width="1.7109375" hidden="1" customWidth="1" outlineLevel="1"/>
    <col min="14" max="14" width="8.28515625" hidden="1" customWidth="1" outlineLevel="1"/>
    <col min="15" max="18" width="1.7109375" hidden="1" customWidth="1" outlineLevel="1"/>
    <col min="19" max="19" width="8.28515625" customWidth="1" collapsed="1"/>
    <col min="20" max="23" width="1.7109375" hidden="1" customWidth="1" outlineLevel="1"/>
    <col min="24" max="24" width="8.28515625" customWidth="1" collapsed="1"/>
    <col min="25" max="28" width="1.7109375" hidden="1" customWidth="1" outlineLevel="1"/>
    <col min="29" max="29" width="8.28515625" customWidth="1" collapsed="1"/>
    <col min="30" max="33" width="1.7109375" hidden="1" customWidth="1" outlineLevel="1"/>
    <col min="34" max="34" width="8.28515625" customWidth="1" collapsed="1"/>
    <col min="35" max="38" width="1.7109375" hidden="1" customWidth="1" outlineLevel="1"/>
    <col min="39" max="39" width="8.28515625" customWidth="1" collapsed="1"/>
    <col min="40" max="43" width="1.7109375" hidden="1" customWidth="1" outlineLevel="1"/>
    <col min="44" max="44" width="8.28515625" customWidth="1" collapsed="1"/>
    <col min="45" max="48" width="1.7109375" hidden="1" customWidth="1" outlineLevel="1"/>
    <col min="49" max="49" width="8.28515625" customWidth="1" collapsed="1"/>
    <col min="50" max="53" width="1.7109375" hidden="1" customWidth="1" outlineLevel="1"/>
    <col min="54" max="54" width="8.28515625" customWidth="1" collapsed="1"/>
    <col min="55" max="58" width="1.7109375" hidden="1" customWidth="1" outlineLevel="1"/>
    <col min="59" max="59" width="8.28515625" customWidth="1" collapsed="1"/>
    <col min="60" max="63" width="1.7109375" hidden="1" customWidth="1" outlineLevel="1"/>
    <col min="64" max="64" width="8.28515625" customWidth="1" collapsed="1"/>
    <col min="65" max="68" width="1.7109375" hidden="1" customWidth="1" outlineLevel="1"/>
    <col min="69" max="69" width="8.28515625" customWidth="1" collapsed="1"/>
    <col min="70" max="72" width="2.7109375" customWidth="1"/>
    <col min="73" max="73" width="40.7109375" customWidth="1"/>
    <col min="74" max="74" width="2.7109375" hidden="1" customWidth="1" outlineLevel="1"/>
    <col min="75" max="78" width="1.7109375" hidden="1" customWidth="1" outlineLevel="1"/>
    <col min="79" max="79" width="8.28515625" hidden="1" customWidth="1" outlineLevel="1"/>
    <col min="80" max="83" width="1.7109375" hidden="1" customWidth="1" outlineLevel="1"/>
    <col min="84" max="84" width="8.28515625" hidden="1" customWidth="1" outlineLevel="1"/>
    <col min="85" max="88" width="1.7109375" hidden="1" customWidth="1" outlineLevel="1"/>
    <col min="89" max="89" width="8.28515625" hidden="1" customWidth="1" collapsed="1"/>
    <col min="90" max="93" width="1.7109375" hidden="1" customWidth="1" outlineLevel="1"/>
    <col min="94" max="94" width="8.28515625" customWidth="1" collapsed="1"/>
    <col min="95" max="98" width="1.7109375" hidden="1" customWidth="1" outlineLevel="1"/>
    <col min="99" max="99" width="8.28515625" customWidth="1" collapsed="1"/>
    <col min="100" max="103" width="1.7109375" hidden="1" customWidth="1" outlineLevel="1"/>
    <col min="104" max="104" width="8.28515625" customWidth="1" collapsed="1"/>
    <col min="105" max="108" width="1.7109375" hidden="1" customWidth="1" outlineLevel="1"/>
    <col min="109" max="109" width="8.28515625" customWidth="1" collapsed="1"/>
    <col min="110" max="113" width="1.7109375" hidden="1" customWidth="1" outlineLevel="1"/>
    <col min="114" max="114" width="8.28515625" customWidth="1" collapsed="1"/>
    <col min="115" max="118" width="1.7109375" hidden="1" customWidth="1" outlineLevel="1"/>
    <col min="119" max="119" width="8.28515625" customWidth="1" collapsed="1"/>
    <col min="120" max="123" width="1.7109375" hidden="1" customWidth="1" outlineLevel="1"/>
    <col min="124" max="124" width="8.28515625" customWidth="1" collapsed="1"/>
    <col min="125" max="128" width="1.7109375" hidden="1" customWidth="1" outlineLevel="1"/>
    <col min="129" max="129" width="8.28515625" customWidth="1" collapsed="1"/>
    <col min="130" max="133" width="1.7109375" hidden="1" customWidth="1" outlineLevel="1"/>
    <col min="134" max="134" width="8.28515625" customWidth="1" collapsed="1"/>
    <col min="135" max="138" width="1.7109375" hidden="1" customWidth="1" outlineLevel="1"/>
    <col min="139" max="139" width="8.28515625" customWidth="1" collapsed="1"/>
  </cols>
  <sheetData>
    <row r="1" spans="1:139" ht="15" customHeight="1">
      <c r="A1" s="644"/>
      <c r="B1" s="644"/>
      <c r="C1" s="645"/>
      <c r="D1" s="646"/>
      <c r="E1" s="646"/>
      <c r="F1" s="646"/>
      <c r="G1" s="646"/>
      <c r="H1" s="646"/>
      <c r="I1" s="646"/>
      <c r="J1" s="646"/>
      <c r="K1" s="646"/>
      <c r="L1" s="646"/>
      <c r="M1" s="646"/>
      <c r="N1" s="646"/>
      <c r="O1" s="646"/>
      <c r="P1" s="646"/>
      <c r="Q1" s="646"/>
      <c r="R1" s="646"/>
      <c r="S1" s="646"/>
      <c r="T1" s="646"/>
      <c r="U1" s="646"/>
      <c r="V1" s="646"/>
      <c r="W1" s="646"/>
      <c r="X1" s="646"/>
      <c r="Y1" s="646"/>
      <c r="Z1" s="646"/>
      <c r="AA1" s="646"/>
      <c r="AB1" s="646"/>
      <c r="AC1" s="646"/>
      <c r="AD1" s="646"/>
      <c r="AE1" s="646"/>
      <c r="AF1" s="646"/>
      <c r="AG1" s="646"/>
      <c r="AH1" s="646"/>
      <c r="AI1" s="646"/>
      <c r="AJ1" s="646"/>
      <c r="AK1" s="646"/>
      <c r="AL1" s="646"/>
      <c r="AM1" s="646"/>
      <c r="AN1" s="646"/>
      <c r="AO1" s="646"/>
      <c r="AP1" s="646"/>
      <c r="AQ1" s="646"/>
      <c r="AR1" s="646"/>
      <c r="AS1" s="646"/>
      <c r="AT1" s="646"/>
      <c r="AU1" s="646"/>
      <c r="AV1" s="646"/>
      <c r="AW1" s="646"/>
      <c r="AX1" s="646"/>
      <c r="AY1" s="646"/>
      <c r="AZ1" s="646"/>
      <c r="BA1" s="646"/>
      <c r="BB1" s="646"/>
      <c r="BC1" s="646"/>
      <c r="BD1" s="646"/>
      <c r="BE1" s="646"/>
      <c r="BF1" s="646"/>
      <c r="BG1" s="646"/>
      <c r="BH1" s="646"/>
      <c r="BI1" s="646"/>
      <c r="BJ1" s="646"/>
      <c r="BK1" s="646"/>
      <c r="BL1" s="646"/>
      <c r="BM1" s="646"/>
      <c r="BN1" s="646"/>
      <c r="BO1" s="646"/>
      <c r="BP1" s="646"/>
      <c r="BQ1" s="646"/>
      <c r="BR1" s="646"/>
      <c r="BS1" s="646"/>
      <c r="BT1" s="646"/>
      <c r="BU1" s="646"/>
      <c r="BV1" s="646"/>
      <c r="BW1" s="646"/>
      <c r="BX1" s="646"/>
      <c r="BY1" s="646"/>
      <c r="BZ1" s="646"/>
      <c r="CA1" s="646"/>
      <c r="CB1" s="646"/>
      <c r="CC1" s="646"/>
      <c r="CD1" s="646"/>
      <c r="CE1" s="646"/>
      <c r="CF1" s="646"/>
      <c r="CG1" s="646"/>
      <c r="CH1" s="646"/>
      <c r="CI1" s="646"/>
      <c r="CJ1" s="646"/>
      <c r="CK1" s="646"/>
      <c r="CL1" s="646"/>
      <c r="CM1" s="646"/>
      <c r="CN1" s="646"/>
      <c r="CO1" s="646"/>
      <c r="CP1" s="646"/>
      <c r="CQ1" s="646"/>
      <c r="CR1" s="646"/>
      <c r="CS1" s="646"/>
      <c r="CT1" s="646"/>
      <c r="CU1" s="646"/>
      <c r="CV1" s="646"/>
      <c r="CW1" s="646"/>
      <c r="CX1" s="646"/>
      <c r="CY1" s="646"/>
      <c r="CZ1" s="646"/>
      <c r="DA1" s="646"/>
      <c r="DB1" s="646"/>
      <c r="DC1" s="646"/>
      <c r="DD1" s="646"/>
      <c r="DE1" s="646"/>
      <c r="DF1" s="646"/>
      <c r="DG1" s="646"/>
      <c r="DH1" s="646"/>
      <c r="DI1" s="646"/>
      <c r="DJ1" s="646"/>
      <c r="DK1" s="646"/>
      <c r="DL1" s="646"/>
      <c r="DM1" s="646"/>
      <c r="DN1" s="646"/>
      <c r="DO1" s="646"/>
      <c r="DP1" s="646"/>
      <c r="DQ1" s="646"/>
      <c r="DR1" s="646"/>
      <c r="DS1" s="646"/>
      <c r="DT1" s="646"/>
      <c r="DU1" s="646"/>
      <c r="DV1" s="646"/>
      <c r="DW1" s="646"/>
      <c r="DX1" s="646"/>
      <c r="DY1" s="646"/>
      <c r="DZ1" s="646"/>
      <c r="EA1" s="646"/>
      <c r="EB1" s="646"/>
      <c r="EC1" s="646"/>
      <c r="ED1" s="646"/>
      <c r="EE1" s="646"/>
      <c r="EF1" s="646"/>
      <c r="EG1" s="646"/>
      <c r="EH1" s="646"/>
      <c r="EI1" s="646"/>
    </row>
    <row r="2" spans="1:139" ht="15" customHeight="1">
      <c r="A2" s="644"/>
      <c r="B2" s="644" t="str">
        <f>Cover!$B$2</f>
        <v>Public Service Enterprise Group</v>
      </c>
      <c r="C2" s="644"/>
      <c r="D2" s="646"/>
      <c r="E2" s="646"/>
      <c r="F2" s="646"/>
      <c r="G2" s="646"/>
      <c r="H2" s="646"/>
      <c r="I2" s="646"/>
      <c r="J2" s="646"/>
      <c r="K2" s="646"/>
      <c r="L2" s="646"/>
      <c r="M2" s="646"/>
      <c r="N2" s="646"/>
      <c r="O2" s="646"/>
      <c r="P2" s="646"/>
      <c r="Q2" s="646"/>
      <c r="R2" s="646"/>
      <c r="S2" s="646"/>
      <c r="T2" s="646"/>
      <c r="U2" s="646"/>
      <c r="V2" s="646"/>
      <c r="W2" s="646"/>
      <c r="X2" s="646"/>
      <c r="Y2" s="646"/>
      <c r="Z2" s="646"/>
      <c r="AA2" s="646"/>
      <c r="AB2" s="646"/>
      <c r="AC2" s="646"/>
      <c r="AD2" s="646"/>
      <c r="AE2" s="646"/>
      <c r="AF2" s="646"/>
      <c r="AG2" s="646"/>
      <c r="AH2" s="646"/>
      <c r="AI2" s="646"/>
      <c r="AJ2" s="646"/>
      <c r="AK2" s="646"/>
      <c r="AL2" s="646"/>
      <c r="AM2" s="646"/>
      <c r="AN2" s="646"/>
      <c r="AO2" s="646"/>
      <c r="AP2" s="646"/>
      <c r="AQ2" s="646"/>
      <c r="AR2" s="646"/>
      <c r="AS2" s="646"/>
      <c r="AT2" s="646"/>
      <c r="AU2" s="646"/>
      <c r="AV2" s="646"/>
      <c r="AW2" s="646"/>
      <c r="AX2" s="646"/>
      <c r="AY2" s="646"/>
      <c r="AZ2" s="646"/>
      <c r="BA2" s="646"/>
      <c r="BB2" s="646"/>
      <c r="BC2" s="646"/>
      <c r="BD2" s="646"/>
      <c r="BE2" s="646"/>
      <c r="BF2" s="646"/>
      <c r="BG2" s="646"/>
      <c r="BH2" s="646"/>
      <c r="BI2" s="646"/>
      <c r="BJ2" s="646"/>
      <c r="BK2" s="646"/>
      <c r="BL2" s="646"/>
      <c r="BM2" s="646"/>
      <c r="BN2" s="646"/>
      <c r="BO2" s="646"/>
      <c r="BP2" s="646"/>
      <c r="BQ2" s="646"/>
      <c r="BR2" s="646"/>
      <c r="BS2" s="646"/>
      <c r="BT2" s="646"/>
      <c r="BU2" s="646"/>
      <c r="BV2" s="646"/>
      <c r="BW2" s="646"/>
      <c r="BX2" s="646"/>
      <c r="BY2" s="646"/>
      <c r="BZ2" s="646"/>
      <c r="CA2" s="646"/>
      <c r="CB2" s="646"/>
      <c r="CC2" s="646"/>
      <c r="CD2" s="646"/>
      <c r="CE2" s="646"/>
      <c r="CF2" s="646"/>
      <c r="CG2" s="646"/>
      <c r="CH2" s="646"/>
      <c r="CI2" s="646"/>
      <c r="CJ2" s="646"/>
      <c r="CK2" s="646"/>
      <c r="CL2" s="646"/>
      <c r="CM2" s="646"/>
      <c r="CN2" s="646"/>
      <c r="CO2" s="646"/>
      <c r="CP2" s="646"/>
      <c r="CQ2" s="646"/>
      <c r="CR2" s="646"/>
      <c r="CS2" s="646"/>
      <c r="CT2" s="646"/>
      <c r="CU2" s="646"/>
      <c r="CV2" s="646"/>
      <c r="CW2" s="646"/>
      <c r="CX2" s="646"/>
      <c r="CY2" s="646"/>
      <c r="CZ2" s="646"/>
      <c r="DA2" s="646"/>
      <c r="DB2" s="646"/>
      <c r="DC2" s="646"/>
      <c r="DD2" s="646"/>
      <c r="DE2" s="646"/>
      <c r="DF2" s="646"/>
      <c r="DG2" s="646"/>
      <c r="DH2" s="646"/>
      <c r="DI2" s="646"/>
      <c r="DJ2" s="646"/>
      <c r="DK2" s="646"/>
      <c r="DL2" s="646"/>
      <c r="DM2" s="646"/>
      <c r="DN2" s="646"/>
      <c r="DO2" s="646"/>
      <c r="DP2" s="646"/>
      <c r="DQ2" s="646"/>
      <c r="DR2" s="646"/>
      <c r="DS2" s="646"/>
      <c r="DT2" s="646"/>
      <c r="DU2" s="646"/>
      <c r="DV2" s="646"/>
      <c r="DW2" s="646"/>
      <c r="DX2" s="646"/>
      <c r="DY2" s="646"/>
      <c r="DZ2" s="646"/>
      <c r="EA2" s="646"/>
      <c r="EB2" s="646"/>
      <c r="EC2" s="646"/>
      <c r="ED2" s="646"/>
      <c r="EE2" s="646"/>
      <c r="EF2" s="646"/>
      <c r="EG2" s="646"/>
      <c r="EH2" s="646"/>
      <c r="EI2" s="646"/>
    </row>
    <row r="3" spans="1:139" ht="15" customHeight="1">
      <c r="A3" s="647"/>
      <c r="B3" s="647" t="s">
        <v>470</v>
      </c>
      <c r="C3" s="647"/>
      <c r="D3" s="646"/>
      <c r="E3" s="646"/>
      <c r="F3" s="646"/>
      <c r="G3" s="646"/>
      <c r="H3" s="646"/>
      <c r="I3" s="646"/>
      <c r="J3" s="646"/>
      <c r="K3" s="646"/>
      <c r="L3" s="646"/>
      <c r="M3" s="646"/>
      <c r="N3" s="646"/>
      <c r="O3" s="646"/>
      <c r="P3" s="646"/>
      <c r="Q3" s="646"/>
      <c r="R3" s="646"/>
      <c r="S3" s="646"/>
      <c r="T3" s="646"/>
      <c r="U3" s="646"/>
      <c r="V3" s="646"/>
      <c r="W3" s="646"/>
      <c r="X3" s="646"/>
      <c r="Y3" s="646"/>
      <c r="Z3" s="646"/>
      <c r="AA3" s="646"/>
      <c r="AB3" s="646"/>
      <c r="AC3" s="646"/>
      <c r="AD3" s="646"/>
      <c r="AE3" s="646"/>
      <c r="AF3" s="646"/>
      <c r="AG3" s="646"/>
      <c r="AH3" s="646"/>
      <c r="AI3" s="646"/>
      <c r="AJ3" s="646"/>
      <c r="AK3" s="646"/>
      <c r="AL3" s="646"/>
      <c r="AM3" s="646"/>
      <c r="AN3" s="646"/>
      <c r="AO3" s="646"/>
      <c r="AP3" s="646"/>
      <c r="AQ3" s="646"/>
      <c r="AR3" s="646"/>
      <c r="AS3" s="646"/>
      <c r="AT3" s="646"/>
      <c r="AU3" s="646"/>
      <c r="AV3" s="646"/>
      <c r="AW3" s="646"/>
      <c r="AX3" s="646"/>
      <c r="AY3" s="646"/>
      <c r="AZ3" s="646"/>
      <c r="BA3" s="646"/>
      <c r="BB3" s="646"/>
      <c r="BC3" s="646"/>
      <c r="BD3" s="646"/>
      <c r="BE3" s="646"/>
      <c r="BF3" s="646"/>
      <c r="BG3" s="646"/>
      <c r="BH3" s="646"/>
      <c r="BI3" s="646"/>
      <c r="BJ3" s="646"/>
      <c r="BK3" s="646"/>
      <c r="BL3" s="646"/>
      <c r="BM3" s="646"/>
      <c r="BN3" s="646"/>
      <c r="BO3" s="646"/>
      <c r="BP3" s="646"/>
      <c r="BQ3" s="646"/>
      <c r="BR3" s="646"/>
      <c r="BS3" s="646"/>
      <c r="BT3" s="646"/>
      <c r="BU3" s="646"/>
      <c r="BV3" s="646"/>
      <c r="BW3" s="646"/>
      <c r="BX3" s="646"/>
      <c r="BY3" s="646"/>
      <c r="BZ3" s="646"/>
      <c r="CA3" s="646"/>
      <c r="CB3" s="646"/>
      <c r="CC3" s="646"/>
      <c r="CD3" s="646"/>
      <c r="CE3" s="646"/>
      <c r="CF3" s="646"/>
      <c r="CG3" s="646"/>
      <c r="CH3" s="646"/>
      <c r="CI3" s="646"/>
      <c r="CJ3" s="646"/>
      <c r="CK3" s="646"/>
      <c r="CL3" s="646"/>
      <c r="CM3" s="646"/>
      <c r="CN3" s="646"/>
      <c r="CO3" s="646"/>
      <c r="CP3" s="646"/>
      <c r="CQ3" s="646"/>
      <c r="CR3" s="646"/>
      <c r="CS3" s="646"/>
      <c r="CT3" s="646"/>
      <c r="CU3" s="646"/>
      <c r="CV3" s="646"/>
      <c r="CW3" s="646"/>
      <c r="CX3" s="646"/>
      <c r="CY3" s="646"/>
      <c r="CZ3" s="646"/>
      <c r="DA3" s="646"/>
      <c r="DB3" s="646"/>
      <c r="DC3" s="646"/>
      <c r="DD3" s="646"/>
      <c r="DE3" s="646"/>
      <c r="DF3" s="646"/>
      <c r="DG3" s="646"/>
      <c r="DH3" s="646"/>
      <c r="DI3" s="646"/>
      <c r="DJ3" s="646"/>
      <c r="DK3" s="646"/>
      <c r="DL3" s="646"/>
      <c r="DM3" s="646"/>
      <c r="DN3" s="646"/>
      <c r="DO3" s="646"/>
      <c r="DP3" s="646"/>
      <c r="DQ3" s="646"/>
      <c r="DR3" s="646"/>
      <c r="DS3" s="646"/>
      <c r="DT3" s="646"/>
      <c r="DU3" s="646"/>
      <c r="DV3" s="646"/>
      <c r="DW3" s="646"/>
      <c r="DX3" s="646"/>
      <c r="DY3" s="646"/>
      <c r="DZ3" s="646"/>
      <c r="EA3" s="646"/>
      <c r="EB3" s="646"/>
      <c r="EC3" s="646"/>
      <c r="ED3" s="646"/>
      <c r="EE3" s="646"/>
      <c r="EF3" s="646"/>
      <c r="EG3" s="646"/>
      <c r="EH3" s="646"/>
      <c r="EI3" s="646"/>
    </row>
    <row r="4" spans="1:139">
      <c r="A4" s="16"/>
      <c r="B4" s="16" t="s">
        <v>78</v>
      </c>
      <c r="C4" s="16"/>
      <c r="D4" s="648"/>
      <c r="E4" s="648"/>
      <c r="F4" s="648"/>
      <c r="G4" s="648"/>
      <c r="H4" s="648"/>
      <c r="I4" s="648"/>
      <c r="J4" s="648"/>
      <c r="K4" s="648"/>
      <c r="L4" s="648"/>
      <c r="M4" s="648"/>
      <c r="N4" s="648"/>
      <c r="O4" s="648"/>
      <c r="P4" s="648"/>
      <c r="Q4" s="648"/>
      <c r="R4" s="648"/>
      <c r="S4" s="648"/>
      <c r="T4" s="648"/>
      <c r="U4" s="648"/>
      <c r="V4" s="648"/>
      <c r="W4" s="648"/>
      <c r="X4" s="648"/>
      <c r="Y4" s="648"/>
      <c r="Z4" s="648"/>
      <c r="AA4" s="648"/>
      <c r="AB4" s="648"/>
      <c r="AC4" s="648"/>
      <c r="AD4" s="648"/>
      <c r="AE4" s="648"/>
      <c r="AF4" s="648"/>
      <c r="AG4" s="648"/>
      <c r="AH4" s="648"/>
      <c r="AI4" s="648"/>
      <c r="AJ4" s="648"/>
      <c r="AK4" s="648"/>
      <c r="AL4" s="648"/>
      <c r="AM4" s="648"/>
      <c r="AN4" s="648"/>
      <c r="AO4" s="648"/>
      <c r="AP4" s="648"/>
      <c r="AQ4" s="648"/>
      <c r="AR4" s="648"/>
      <c r="AS4" s="648"/>
      <c r="AT4" s="648"/>
      <c r="AU4" s="648"/>
      <c r="AV4" s="648"/>
      <c r="AW4" s="648"/>
      <c r="AX4" s="648"/>
      <c r="AY4" s="648"/>
      <c r="AZ4" s="648"/>
      <c r="BA4" s="648"/>
      <c r="BB4" s="648"/>
      <c r="BC4" s="648"/>
      <c r="BD4" s="648"/>
      <c r="BE4" s="648"/>
      <c r="BF4" s="648"/>
      <c r="BG4" s="648"/>
      <c r="BH4" s="648"/>
      <c r="BI4" s="648"/>
      <c r="BJ4" s="648"/>
      <c r="BK4" s="648"/>
      <c r="BL4" s="648"/>
      <c r="BM4" s="648"/>
      <c r="BN4" s="648"/>
      <c r="BO4" s="648"/>
      <c r="BP4" s="648"/>
      <c r="BQ4" s="648"/>
      <c r="BR4" s="648"/>
      <c r="BS4" s="648"/>
      <c r="BT4" s="648"/>
      <c r="BU4" s="648"/>
      <c r="BV4" s="648"/>
      <c r="BW4" s="648"/>
      <c r="BX4" s="648"/>
      <c r="BY4" s="648"/>
      <c r="BZ4" s="648"/>
      <c r="CA4" s="648"/>
      <c r="CB4" s="648"/>
      <c r="CC4" s="648"/>
      <c r="CD4" s="648"/>
      <c r="CE4" s="648"/>
      <c r="CF4" s="648"/>
      <c r="CG4" s="648"/>
      <c r="CH4" s="648"/>
      <c r="CI4" s="648"/>
      <c r="CJ4" s="648"/>
      <c r="CK4" s="648"/>
      <c r="CL4" s="648"/>
      <c r="CM4" s="648"/>
      <c r="CN4" s="648"/>
      <c r="CO4" s="648"/>
      <c r="CP4" s="648"/>
      <c r="CQ4" s="648"/>
      <c r="CR4" s="648"/>
      <c r="CS4" s="648"/>
      <c r="CT4" s="648"/>
      <c r="CU4" s="648"/>
      <c r="CV4" s="648"/>
      <c r="CW4" s="648"/>
      <c r="CX4" s="648"/>
      <c r="CY4" s="648"/>
      <c r="CZ4" s="648"/>
      <c r="DA4" s="648"/>
      <c r="DB4" s="648"/>
      <c r="DC4" s="648"/>
      <c r="DD4" s="648"/>
      <c r="DE4" s="648"/>
      <c r="DF4" s="648"/>
      <c r="DG4" s="648"/>
      <c r="DH4" s="648"/>
      <c r="DI4" s="648"/>
      <c r="DJ4" s="648"/>
      <c r="DK4" s="648"/>
      <c r="DL4" s="648"/>
      <c r="DM4" s="648"/>
      <c r="DN4" s="648"/>
      <c r="DO4" s="648"/>
      <c r="DP4" s="648"/>
      <c r="DQ4" s="648"/>
      <c r="DR4" s="648"/>
      <c r="DS4" s="648"/>
      <c r="DT4" s="648"/>
      <c r="DU4" s="648"/>
      <c r="DV4" s="648"/>
      <c r="DW4" s="648"/>
      <c r="DX4" s="648"/>
      <c r="DY4" s="648"/>
      <c r="DZ4" s="648"/>
      <c r="EA4" s="648"/>
      <c r="EB4" s="648"/>
      <c r="EC4" s="648"/>
      <c r="ED4" s="648"/>
      <c r="EE4" s="648"/>
      <c r="EF4" s="648"/>
      <c r="EG4" s="648"/>
      <c r="EH4" s="648"/>
      <c r="EI4" s="648"/>
    </row>
    <row r="5" spans="1:139">
      <c r="A5" s="649"/>
      <c r="B5" s="649" t="s">
        <v>574</v>
      </c>
      <c r="C5" s="649"/>
      <c r="D5" s="650"/>
      <c r="E5" s="651"/>
      <c r="F5" s="651"/>
      <c r="G5" s="651"/>
      <c r="H5" s="651"/>
      <c r="I5" s="651">
        <v>2009</v>
      </c>
      <c r="J5" s="651"/>
      <c r="K5" s="651"/>
      <c r="L5" s="651"/>
      <c r="M5" s="651"/>
      <c r="N5" s="651">
        <f>I5+1</f>
        <v>2010</v>
      </c>
      <c r="O5" s="651"/>
      <c r="P5" s="651"/>
      <c r="Q5" s="651"/>
      <c r="R5" s="651"/>
      <c r="S5" s="1222">
        <f>N5+1</f>
        <v>2011</v>
      </c>
      <c r="T5" s="651"/>
      <c r="U5" s="651"/>
      <c r="V5" s="651"/>
      <c r="W5" s="651"/>
      <c r="X5" s="1222">
        <f>S5+1</f>
        <v>2012</v>
      </c>
      <c r="Y5" s="651"/>
      <c r="Z5" s="651"/>
      <c r="AA5" s="651"/>
      <c r="AB5" s="651"/>
      <c r="AC5" s="1222">
        <f>X5+1</f>
        <v>2013</v>
      </c>
      <c r="AD5" s="651"/>
      <c r="AE5" s="651"/>
      <c r="AF5" s="651"/>
      <c r="AG5" s="651"/>
      <c r="AH5" s="1222">
        <f>AC5+1</f>
        <v>2014</v>
      </c>
      <c r="AI5" s="651"/>
      <c r="AJ5" s="651"/>
      <c r="AK5" s="651"/>
      <c r="AL5" s="651"/>
      <c r="AM5" s="1222">
        <f>AH5+1</f>
        <v>2015</v>
      </c>
      <c r="AN5" s="651"/>
      <c r="AO5" s="651"/>
      <c r="AP5" s="651"/>
      <c r="AQ5" s="651"/>
      <c r="AR5" s="1222">
        <f>AM5+1</f>
        <v>2016</v>
      </c>
      <c r="AS5" s="651"/>
      <c r="AT5" s="651"/>
      <c r="AU5" s="651"/>
      <c r="AV5" s="651"/>
      <c r="AW5" s="1222">
        <f>AR5+1</f>
        <v>2017</v>
      </c>
      <c r="AX5" s="651"/>
      <c r="AY5" s="651"/>
      <c r="AZ5" s="651"/>
      <c r="BA5" s="651"/>
      <c r="BB5" s="1223">
        <f>AW5+1</f>
        <v>2018</v>
      </c>
      <c r="BC5" s="651"/>
      <c r="BD5" s="651"/>
      <c r="BE5" s="651"/>
      <c r="BF5" s="651"/>
      <c r="BG5" s="1223">
        <f>BB5+1</f>
        <v>2019</v>
      </c>
      <c r="BH5" s="651"/>
      <c r="BI5" s="651"/>
      <c r="BJ5" s="651"/>
      <c r="BK5" s="651"/>
      <c r="BL5" s="1223">
        <f>BG5+1</f>
        <v>2020</v>
      </c>
      <c r="BM5" s="651"/>
      <c r="BN5" s="651"/>
      <c r="BO5" s="651"/>
      <c r="BP5" s="651"/>
      <c r="BQ5" s="1223">
        <f>BL5+1</f>
        <v>2021</v>
      </c>
      <c r="BR5" s="649"/>
      <c r="BS5" s="649" t="s">
        <v>574</v>
      </c>
      <c r="BT5" s="649"/>
      <c r="BU5" s="649"/>
      <c r="BV5" s="650"/>
      <c r="BW5" s="651"/>
      <c r="BX5" s="651"/>
      <c r="BY5" s="651"/>
      <c r="BZ5" s="651"/>
      <c r="CA5" s="651">
        <v>2009</v>
      </c>
      <c r="CB5" s="651"/>
      <c r="CC5" s="651"/>
      <c r="CD5" s="651"/>
      <c r="CE5" s="651"/>
      <c r="CF5" s="651">
        <f>CA5+1</f>
        <v>2010</v>
      </c>
      <c r="CG5" s="651"/>
      <c r="CH5" s="651"/>
      <c r="CI5" s="651"/>
      <c r="CJ5" s="651"/>
      <c r="CK5" s="1222">
        <f>CF5+1</f>
        <v>2011</v>
      </c>
      <c r="CL5" s="1222"/>
      <c r="CM5" s="1222"/>
      <c r="CN5" s="1222"/>
      <c r="CO5" s="1222"/>
      <c r="CP5" s="1222">
        <f>CK5+1</f>
        <v>2012</v>
      </c>
      <c r="CQ5" s="651"/>
      <c r="CR5" s="651"/>
      <c r="CS5" s="651"/>
      <c r="CT5" s="651"/>
      <c r="CU5" s="1222">
        <f>CP5+1</f>
        <v>2013</v>
      </c>
      <c r="CV5" s="651"/>
      <c r="CW5" s="651"/>
      <c r="CX5" s="651"/>
      <c r="CY5" s="651"/>
      <c r="CZ5" s="1222">
        <f>CU5+1</f>
        <v>2014</v>
      </c>
      <c r="DA5" s="651"/>
      <c r="DB5" s="651"/>
      <c r="DC5" s="651"/>
      <c r="DD5" s="651"/>
      <c r="DE5" s="1222">
        <f>CZ5+1</f>
        <v>2015</v>
      </c>
      <c r="DF5" s="651"/>
      <c r="DG5" s="651"/>
      <c r="DH5" s="651"/>
      <c r="DI5" s="651"/>
      <c r="DJ5" s="1222">
        <f>DE5+1</f>
        <v>2016</v>
      </c>
      <c r="DK5" s="651"/>
      <c r="DL5" s="651"/>
      <c r="DM5" s="651"/>
      <c r="DN5" s="651"/>
      <c r="DO5" s="1222">
        <f>DJ5+1</f>
        <v>2017</v>
      </c>
      <c r="DP5" s="651"/>
      <c r="DQ5" s="651"/>
      <c r="DR5" s="651"/>
      <c r="DS5" s="651"/>
      <c r="DT5" s="1223">
        <f>DO5+1</f>
        <v>2018</v>
      </c>
      <c r="DU5" s="651"/>
      <c r="DV5" s="651"/>
      <c r="DW5" s="651"/>
      <c r="DX5" s="651"/>
      <c r="DY5" s="1223">
        <f>DT5+1</f>
        <v>2019</v>
      </c>
      <c r="DZ5" s="651"/>
      <c r="EA5" s="651"/>
      <c r="EB5" s="651"/>
      <c r="EC5" s="651"/>
      <c r="ED5" s="1223">
        <f>DY5+1</f>
        <v>2020</v>
      </c>
      <c r="EE5" s="651"/>
      <c r="EF5" s="651"/>
      <c r="EG5" s="651"/>
      <c r="EH5" s="651"/>
      <c r="EI5" s="1223">
        <f>ED5+1</f>
        <v>2021</v>
      </c>
    </row>
    <row r="6" spans="1:139">
      <c r="B6" s="47"/>
      <c r="C6" s="47"/>
      <c r="D6" s="47"/>
      <c r="I6" s="47"/>
      <c r="N6" s="47"/>
      <c r="S6" s="47"/>
      <c r="X6" s="47"/>
      <c r="AC6" s="47"/>
      <c r="AH6" s="47"/>
      <c r="AM6" s="47"/>
      <c r="AR6" s="47"/>
      <c r="AW6" s="47"/>
      <c r="BB6" s="47"/>
      <c r="BG6" s="47"/>
      <c r="BL6" s="47"/>
      <c r="BQ6" s="47"/>
      <c r="BR6" s="47"/>
      <c r="BS6" s="47"/>
      <c r="BT6" s="47"/>
      <c r="BU6" s="47"/>
      <c r="BV6" s="47"/>
      <c r="CA6" s="47"/>
      <c r="CF6" s="47"/>
      <c r="CK6" s="47"/>
      <c r="CP6" s="47"/>
      <c r="CU6" s="47"/>
      <c r="CZ6" s="47"/>
      <c r="DE6" s="47"/>
      <c r="DJ6" s="47"/>
      <c r="DO6" s="47"/>
      <c r="DT6" s="47"/>
      <c r="DY6" s="47"/>
      <c r="ED6" s="47"/>
      <c r="EI6" s="47"/>
    </row>
    <row r="7" spans="1:139" ht="12.75" customHeight="1">
      <c r="B7" s="304" t="s">
        <v>395</v>
      </c>
      <c r="C7" s="304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6"/>
      <c r="W7" s="106"/>
      <c r="X7" s="106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06"/>
      <c r="AM7" s="106"/>
      <c r="AN7" s="106"/>
      <c r="AO7" s="106"/>
      <c r="AP7" s="106"/>
      <c r="AQ7" s="106"/>
      <c r="AR7" s="106"/>
      <c r="AS7" s="106"/>
      <c r="AT7" s="106"/>
      <c r="AU7" s="106"/>
      <c r="AV7" s="106"/>
      <c r="AW7" s="106"/>
      <c r="AX7" s="106"/>
      <c r="AY7" s="106"/>
      <c r="AZ7" s="106"/>
      <c r="BA7" s="106"/>
      <c r="BB7" s="106"/>
      <c r="BC7" s="106"/>
      <c r="BD7" s="106"/>
      <c r="BE7" s="106"/>
      <c r="BF7" s="106"/>
      <c r="BG7" s="106"/>
      <c r="BH7" s="106"/>
      <c r="BI7" s="106"/>
      <c r="BJ7" s="106"/>
      <c r="BK7" s="106"/>
      <c r="BL7" s="106"/>
      <c r="BM7" s="106"/>
      <c r="BN7" s="106"/>
      <c r="BO7" s="106"/>
      <c r="BP7" s="106"/>
      <c r="BQ7" s="106"/>
      <c r="BR7" s="47"/>
      <c r="BS7" s="47"/>
      <c r="BT7" s="304" t="s">
        <v>396</v>
      </c>
      <c r="BU7" s="304"/>
      <c r="BV7" s="106"/>
      <c r="BW7" s="106"/>
      <c r="BX7" s="106"/>
      <c r="BY7" s="106"/>
      <c r="BZ7" s="106"/>
      <c r="CA7" s="106"/>
      <c r="CB7" s="106"/>
      <c r="CC7" s="106"/>
      <c r="CD7" s="106"/>
      <c r="CE7" s="106"/>
      <c r="CF7" s="106"/>
      <c r="CG7" s="106"/>
      <c r="CH7" s="106"/>
      <c r="CI7" s="106"/>
      <c r="CJ7" s="106"/>
      <c r="CK7" s="106"/>
      <c r="CL7" s="106"/>
      <c r="CM7" s="106"/>
      <c r="CN7" s="106"/>
      <c r="CO7" s="106"/>
      <c r="CP7" s="106"/>
      <c r="CQ7" s="106"/>
      <c r="CR7" s="106"/>
      <c r="CS7" s="106"/>
      <c r="CT7" s="106"/>
      <c r="CU7" s="106"/>
      <c r="CV7" s="106"/>
      <c r="CW7" s="106"/>
      <c r="CX7" s="106"/>
      <c r="CY7" s="106"/>
      <c r="CZ7" s="106"/>
      <c r="DA7" s="106"/>
      <c r="DB7" s="106"/>
      <c r="DC7" s="106"/>
      <c r="DD7" s="106"/>
      <c r="DE7" s="106"/>
      <c r="DF7" s="106"/>
      <c r="DG7" s="106"/>
      <c r="DH7" s="106"/>
      <c r="DI7" s="106"/>
      <c r="DJ7" s="106"/>
      <c r="DK7" s="106"/>
      <c r="DL7" s="106"/>
      <c r="DM7" s="106"/>
      <c r="DN7" s="106"/>
      <c r="DO7" s="106"/>
      <c r="DP7" s="106"/>
      <c r="DQ7" s="106"/>
      <c r="DR7" s="106"/>
      <c r="DS7" s="106"/>
      <c r="DT7" s="106"/>
      <c r="DU7" s="106"/>
      <c r="DV7" s="106"/>
      <c r="DW7" s="106"/>
      <c r="DX7" s="106"/>
      <c r="DY7" s="106"/>
      <c r="DZ7" s="106"/>
      <c r="EA7" s="106"/>
      <c r="EB7" s="106"/>
      <c r="EC7" s="106"/>
      <c r="ED7" s="106"/>
      <c r="EE7" s="106"/>
      <c r="EF7" s="106"/>
      <c r="EG7" s="106"/>
      <c r="EH7" s="106"/>
      <c r="EI7" s="106"/>
    </row>
    <row r="8" spans="1:139" ht="12.75" customHeight="1">
      <c r="B8" s="47"/>
      <c r="C8" s="47"/>
      <c r="D8" s="47"/>
      <c r="E8" s="307"/>
      <c r="F8" s="307"/>
      <c r="G8" s="307"/>
      <c r="H8" s="307"/>
      <c r="I8" s="652"/>
      <c r="J8" s="307"/>
      <c r="K8" s="307"/>
      <c r="L8" s="307"/>
      <c r="M8" s="307"/>
      <c r="N8" s="652"/>
      <c r="O8" s="307"/>
      <c r="P8" s="307"/>
      <c r="Q8" s="307"/>
      <c r="R8" s="307"/>
      <c r="S8" s="652"/>
      <c r="T8" s="307"/>
      <c r="U8" s="307"/>
      <c r="V8" s="307"/>
      <c r="W8" s="307"/>
      <c r="X8" s="652"/>
      <c r="Y8" s="307"/>
      <c r="Z8" s="307"/>
      <c r="AA8" s="307"/>
      <c r="AB8" s="307"/>
      <c r="AC8" s="709"/>
      <c r="AD8" s="307"/>
      <c r="AE8" s="307"/>
      <c r="AF8" s="307"/>
      <c r="AG8" s="307"/>
      <c r="AH8" s="709"/>
      <c r="AI8" s="307"/>
      <c r="AJ8" s="307"/>
      <c r="AK8" s="307"/>
      <c r="AL8" s="307"/>
      <c r="AM8" s="709"/>
      <c r="AN8" s="307"/>
      <c r="AO8" s="307"/>
      <c r="AP8" s="307"/>
      <c r="AQ8" s="307"/>
      <c r="AR8" s="709"/>
      <c r="AS8" s="307"/>
      <c r="AT8" s="307"/>
      <c r="AU8" s="307"/>
      <c r="AV8" s="307"/>
      <c r="AW8" s="709"/>
      <c r="AX8" s="307"/>
      <c r="AY8" s="307"/>
      <c r="AZ8" s="307"/>
      <c r="BA8" s="307"/>
      <c r="BB8" s="709"/>
      <c r="BC8" s="307"/>
      <c r="BD8" s="307"/>
      <c r="BE8" s="307"/>
      <c r="BF8" s="307"/>
      <c r="BG8" s="709"/>
      <c r="BH8" s="307"/>
      <c r="BI8" s="307"/>
      <c r="BJ8" s="307"/>
      <c r="BK8" s="307"/>
      <c r="BL8" s="709"/>
      <c r="BM8" s="307"/>
      <c r="BN8" s="307"/>
      <c r="BO8" s="307"/>
      <c r="BP8" s="307"/>
      <c r="BQ8" s="709"/>
      <c r="BR8" s="47"/>
      <c r="BS8" s="47"/>
      <c r="BT8" s="47"/>
      <c r="BU8" s="47"/>
      <c r="BV8" s="47"/>
      <c r="CA8" s="47"/>
      <c r="CF8" s="47"/>
      <c r="CK8" s="47"/>
      <c r="CP8" s="47"/>
      <c r="CU8" s="47"/>
      <c r="CZ8" s="47"/>
      <c r="DE8" s="47"/>
      <c r="DJ8" s="47"/>
      <c r="DO8" s="47"/>
      <c r="DT8" s="47"/>
      <c r="DY8" s="47"/>
      <c r="ED8" s="47"/>
      <c r="EI8" s="47"/>
    </row>
    <row r="9" spans="1:139" ht="12.75" customHeight="1">
      <c r="A9" s="653"/>
      <c r="B9" s="47"/>
      <c r="C9" s="64" t="s">
        <v>397</v>
      </c>
      <c r="D9" s="654"/>
      <c r="E9" s="307"/>
      <c r="F9" s="307"/>
      <c r="G9" s="307"/>
      <c r="H9" s="307"/>
      <c r="I9" s="652"/>
      <c r="J9" s="652"/>
      <c r="K9" s="652"/>
      <c r="L9" s="652"/>
      <c r="M9" s="652"/>
      <c r="N9" s="652"/>
      <c r="O9" s="652"/>
      <c r="P9" s="652"/>
      <c r="Q9" s="652"/>
      <c r="R9" s="652"/>
      <c r="S9" s="652"/>
      <c r="T9" s="652"/>
      <c r="U9" s="652"/>
      <c r="V9" s="652"/>
      <c r="W9" s="652"/>
      <c r="X9" s="652"/>
      <c r="Y9" s="652"/>
      <c r="Z9" s="652"/>
      <c r="AA9" s="652"/>
      <c r="AB9" s="652"/>
      <c r="AC9" s="652"/>
      <c r="AD9" s="652"/>
      <c r="AE9" s="652"/>
      <c r="AF9" s="652"/>
      <c r="AG9" s="652"/>
      <c r="AH9" s="652"/>
      <c r="AI9" s="652"/>
      <c r="AJ9" s="652"/>
      <c r="AK9" s="652"/>
      <c r="AL9" s="652"/>
      <c r="AM9" s="652"/>
      <c r="AN9" s="652"/>
      <c r="AO9" s="652"/>
      <c r="AP9" s="652"/>
      <c r="AQ9" s="652"/>
      <c r="AR9" s="652"/>
      <c r="AS9" s="652"/>
      <c r="AT9" s="652"/>
      <c r="AU9" s="652"/>
      <c r="AV9" s="652"/>
      <c r="AW9" s="652"/>
      <c r="AX9" s="652"/>
      <c r="AY9" s="652"/>
      <c r="AZ9" s="652"/>
      <c r="BA9" s="652"/>
      <c r="BB9" s="652"/>
      <c r="BC9" s="652"/>
      <c r="BD9" s="652"/>
      <c r="BE9" s="652"/>
      <c r="BF9" s="652"/>
      <c r="BG9" s="652"/>
      <c r="BH9" s="652"/>
      <c r="BI9" s="652"/>
      <c r="BJ9" s="652"/>
      <c r="BK9" s="652"/>
      <c r="BL9" s="652"/>
      <c r="BM9" s="652"/>
      <c r="BN9" s="652"/>
      <c r="BO9" s="652"/>
      <c r="BP9" s="652"/>
      <c r="BQ9" s="652"/>
      <c r="BR9" s="47"/>
      <c r="BS9" s="47"/>
      <c r="BT9" s="47"/>
      <c r="BU9" s="64" t="s">
        <v>563</v>
      </c>
      <c r="BV9" s="64"/>
      <c r="BW9" s="64"/>
      <c r="BX9" s="64"/>
      <c r="BY9" s="64"/>
      <c r="BZ9" s="64"/>
      <c r="CA9" s="642">
        <f>PEG!I187</f>
        <v>350</v>
      </c>
      <c r="CB9" s="64"/>
      <c r="CC9" s="64"/>
      <c r="CD9" s="64"/>
      <c r="CE9" s="64"/>
      <c r="CF9" s="642">
        <f>PEG!N187</f>
        <v>280</v>
      </c>
      <c r="CG9" s="64">
        <f>PEG!O187</f>
        <v>900</v>
      </c>
      <c r="CH9" s="64">
        <f>PEG!P187</f>
        <v>159</v>
      </c>
      <c r="CI9" s="64">
        <f>PEG!Q187</f>
        <v>1242</v>
      </c>
      <c r="CJ9" s="64">
        <f>PEG!R187</f>
        <v>834</v>
      </c>
      <c r="CK9" s="642">
        <f>PEG!S187</f>
        <v>834</v>
      </c>
      <c r="CL9" s="64">
        <f>PEG!T187</f>
        <v>931</v>
      </c>
      <c r="CM9" s="64">
        <f>PEG!U187</f>
        <v>765</v>
      </c>
      <c r="CN9" s="64">
        <f>PEG!V187</f>
        <v>780</v>
      </c>
      <c r="CO9" s="64">
        <f>PEG!W187</f>
        <v>379</v>
      </c>
      <c r="CP9" s="642">
        <f>PEG!X187</f>
        <v>379</v>
      </c>
      <c r="CQ9" s="64"/>
      <c r="CR9" s="64"/>
      <c r="CS9" s="64"/>
      <c r="CT9" s="64"/>
      <c r="CU9" s="642">
        <f>PEG!AC187</f>
        <v>493</v>
      </c>
      <c r="CV9" s="64"/>
      <c r="CW9" s="64"/>
      <c r="CX9" s="64"/>
      <c r="CY9" s="64"/>
      <c r="CZ9" s="642">
        <f>PEG!AH187</f>
        <v>402</v>
      </c>
      <c r="DA9" s="64"/>
      <c r="DB9" s="64"/>
      <c r="DC9" s="64"/>
      <c r="DD9" s="64"/>
      <c r="DE9" s="642">
        <f>PEG!AM187</f>
        <v>394</v>
      </c>
      <c r="DF9" s="64"/>
      <c r="DG9" s="64"/>
      <c r="DH9" s="64"/>
      <c r="DI9" s="64"/>
      <c r="DJ9" s="642">
        <f>PEG!AR187</f>
        <v>423</v>
      </c>
      <c r="DK9" s="64"/>
      <c r="DL9" s="64"/>
      <c r="DM9" s="64"/>
      <c r="DN9" s="64"/>
      <c r="DO9" s="642">
        <f>PEG!AW187</f>
        <v>313</v>
      </c>
      <c r="DP9" s="64"/>
      <c r="DQ9" s="64"/>
      <c r="DR9" s="64"/>
      <c r="DS9" s="64"/>
      <c r="DT9" s="642">
        <f>PEG!BB187</f>
        <v>129.07610122374604</v>
      </c>
      <c r="DU9" s="64"/>
      <c r="DV9" s="64"/>
      <c r="DW9" s="64"/>
      <c r="DX9" s="64"/>
      <c r="DY9" s="642">
        <f>PEG!BG187</f>
        <v>188.33247038009665</v>
      </c>
      <c r="DZ9" s="64"/>
      <c r="EA9" s="64"/>
      <c r="EB9" s="64"/>
      <c r="EC9" s="64"/>
      <c r="ED9" s="642">
        <f>PEG!BL187</f>
        <v>160.59276891782804</v>
      </c>
      <c r="EE9" s="64"/>
      <c r="EF9" s="64"/>
      <c r="EG9" s="64"/>
      <c r="EH9" s="64"/>
      <c r="EI9" s="642">
        <f>PEG!BQ187</f>
        <v>177.44170688964641</v>
      </c>
    </row>
    <row r="10" spans="1:139" ht="12.75" customHeight="1">
      <c r="A10" s="653"/>
      <c r="B10" s="643"/>
      <c r="C10" s="553" t="s">
        <v>478</v>
      </c>
      <c r="D10" s="641"/>
      <c r="E10" s="655"/>
      <c r="F10" s="655"/>
      <c r="G10" s="655"/>
      <c r="H10" s="655"/>
      <c r="I10" s="656">
        <f>PEG!I68</f>
        <v>2.5576632778121233</v>
      </c>
      <c r="J10" s="657"/>
      <c r="K10" s="657"/>
      <c r="L10" s="657"/>
      <c r="M10" s="657"/>
      <c r="N10" s="656">
        <f>PEG!N68</f>
        <v>2.1654882702718692</v>
      </c>
      <c r="O10" s="657"/>
      <c r="P10" s="657"/>
      <c r="Q10" s="657"/>
      <c r="R10" s="657"/>
      <c r="S10" s="656">
        <f>PEG!S68</f>
        <v>1.7081474292972925</v>
      </c>
      <c r="T10" s="657"/>
      <c r="U10" s="657"/>
      <c r="V10" s="657"/>
      <c r="W10" s="657"/>
      <c r="X10" s="656">
        <f>PEG!X68</f>
        <v>1.2700015382006207</v>
      </c>
      <c r="Y10" s="657"/>
      <c r="Z10" s="657"/>
      <c r="AA10" s="657"/>
      <c r="AB10" s="657"/>
      <c r="AC10" s="656">
        <f>PEG!AC68</f>
        <v>1.3989458647357274</v>
      </c>
      <c r="AD10" s="657"/>
      <c r="AE10" s="657"/>
      <c r="AF10" s="657"/>
      <c r="AG10" s="657"/>
      <c r="AH10" s="656">
        <f>PEG!AH68</f>
        <v>1.2637795275590551</v>
      </c>
      <c r="AI10" s="657"/>
      <c r="AJ10" s="657"/>
      <c r="AK10" s="657"/>
      <c r="AL10" s="657"/>
      <c r="AM10" s="656">
        <f>PEG!AM68</f>
        <v>1.2854330708661417</v>
      </c>
      <c r="AN10" s="657"/>
      <c r="AO10" s="657"/>
      <c r="AP10" s="657"/>
      <c r="AQ10" s="657"/>
      <c r="AR10" s="656">
        <f>PEG!AR68</f>
        <v>1.0118110236220472</v>
      </c>
      <c r="AS10" s="657"/>
      <c r="AT10" s="657"/>
      <c r="AU10" s="657"/>
      <c r="AV10" s="657"/>
      <c r="AW10" s="656">
        <f>PEG!AW68</f>
        <v>0.99605522682445757</v>
      </c>
      <c r="AX10" s="657"/>
      <c r="AY10" s="657"/>
      <c r="AZ10" s="657"/>
      <c r="BA10" s="657"/>
      <c r="BB10" s="656">
        <f>PEG!BB68</f>
        <v>1.0395049527694398</v>
      </c>
      <c r="BC10" s="657"/>
      <c r="BD10" s="657"/>
      <c r="BE10" s="657"/>
      <c r="BF10" s="657"/>
      <c r="BG10" s="656">
        <f>PEG!BG68</f>
        <v>0.91894034371310296</v>
      </c>
      <c r="BH10" s="657"/>
      <c r="BI10" s="657"/>
      <c r="BJ10" s="657"/>
      <c r="BK10" s="657"/>
      <c r="BL10" s="656">
        <f>PEG!BL68</f>
        <v>0.93522168999462008</v>
      </c>
      <c r="BM10" s="657"/>
      <c r="BN10" s="657"/>
      <c r="BO10" s="657"/>
      <c r="BP10" s="657"/>
      <c r="BQ10" s="656">
        <f>PEG!BQ68</f>
        <v>1.1720998694971019</v>
      </c>
      <c r="BR10" s="47"/>
      <c r="BS10" s="47"/>
      <c r="BT10" s="47"/>
      <c r="BU10" s="305"/>
      <c r="BV10" s="658"/>
      <c r="CA10" s="652"/>
      <c r="CF10" s="652"/>
      <c r="CK10" s="652"/>
      <c r="CP10" s="652"/>
      <c r="CU10" s="652"/>
      <c r="CZ10" s="652"/>
      <c r="DE10" s="652"/>
      <c r="DJ10" s="652"/>
      <c r="DO10" s="652"/>
      <c r="DT10" s="652"/>
      <c r="DY10" s="652"/>
      <c r="ED10" s="652"/>
      <c r="EI10" s="652"/>
    </row>
    <row r="11" spans="1:139" ht="12.75" customHeight="1">
      <c r="A11" s="653"/>
      <c r="B11" s="643"/>
      <c r="C11" s="553" t="s">
        <v>477</v>
      </c>
      <c r="D11" s="641"/>
      <c r="E11" s="655"/>
      <c r="F11" s="655"/>
      <c r="G11" s="655"/>
      <c r="H11" s="655"/>
      <c r="I11" s="656">
        <f>PEG!I69</f>
        <v>0.63892282344728446</v>
      </c>
      <c r="J11" s="657"/>
      <c r="K11" s="657"/>
      <c r="L11" s="657"/>
      <c r="M11" s="657"/>
      <c r="N11" s="656">
        <f>PEG!N69</f>
        <v>0.84805096194617835</v>
      </c>
      <c r="O11" s="657"/>
      <c r="P11" s="657"/>
      <c r="Q11" s="657"/>
      <c r="R11" s="657"/>
      <c r="S11" s="656">
        <f>PEG!S69</f>
        <v>1.027649896840519</v>
      </c>
      <c r="T11" s="657"/>
      <c r="U11" s="657"/>
      <c r="V11" s="657"/>
      <c r="W11" s="657"/>
      <c r="X11" s="656">
        <f>PEG!X69</f>
        <v>1.0412434971582729</v>
      </c>
      <c r="Y11" s="657"/>
      <c r="Z11" s="657"/>
      <c r="AA11" s="657"/>
      <c r="AB11" s="657"/>
      <c r="AC11" s="656">
        <f>PEG!AC69</f>
        <v>1.2058519284764297</v>
      </c>
      <c r="AD11" s="657"/>
      <c r="AE11" s="657"/>
      <c r="AF11" s="657"/>
      <c r="AG11" s="657"/>
      <c r="AH11" s="656">
        <f>PEG!AH69</f>
        <v>1.4271653543307086</v>
      </c>
      <c r="AI11" s="657"/>
      <c r="AJ11" s="657"/>
      <c r="AK11" s="657"/>
      <c r="AL11" s="657"/>
      <c r="AM11" s="656">
        <f>PEG!AM69</f>
        <v>1.5492125984251968</v>
      </c>
      <c r="AN11" s="657"/>
      <c r="AO11" s="657"/>
      <c r="AP11" s="657"/>
      <c r="AQ11" s="657"/>
      <c r="AR11" s="656">
        <f>PEG!AR69</f>
        <v>1.75</v>
      </c>
      <c r="AS11" s="657"/>
      <c r="AT11" s="657"/>
      <c r="AU11" s="657"/>
      <c r="AV11" s="657"/>
      <c r="AW11" s="656">
        <f>PEG!AW69</f>
        <v>1.8994082840236686</v>
      </c>
      <c r="AX11" s="657"/>
      <c r="AY11" s="657"/>
      <c r="AZ11" s="657"/>
      <c r="BA11" s="657"/>
      <c r="BB11" s="656">
        <f>PEG!BB69</f>
        <v>2.0400034061643675</v>
      </c>
      <c r="BC11" s="657"/>
      <c r="BD11" s="657"/>
      <c r="BE11" s="657"/>
      <c r="BF11" s="657"/>
      <c r="BG11" s="656">
        <f>PEG!BG69</f>
        <v>2.1855721157290167</v>
      </c>
      <c r="BH11" s="657"/>
      <c r="BI11" s="657"/>
      <c r="BJ11" s="657"/>
      <c r="BK11" s="657"/>
      <c r="BL11" s="656">
        <f>PEG!BL69</f>
        <v>2.3251339980777597</v>
      </c>
      <c r="BM11" s="657"/>
      <c r="BN11" s="657"/>
      <c r="BO11" s="657"/>
      <c r="BP11" s="657"/>
      <c r="BQ11" s="656">
        <f>PEG!BQ69</f>
        <v>2.4620511941308849</v>
      </c>
      <c r="BR11" s="47"/>
      <c r="BS11" s="47"/>
      <c r="BT11" s="47"/>
      <c r="BU11" s="305" t="s">
        <v>447</v>
      </c>
      <c r="BV11" s="658"/>
      <c r="CA11" s="659">
        <f>PEG!I189</f>
        <v>530</v>
      </c>
      <c r="CF11" s="659">
        <f>PEG!N189</f>
        <v>64</v>
      </c>
      <c r="CG11">
        <f>PEG!O189</f>
        <v>21</v>
      </c>
      <c r="CH11">
        <f>PEG!P189</f>
        <v>298</v>
      </c>
      <c r="CI11">
        <f>PEG!Q189</f>
        <v>0</v>
      </c>
      <c r="CJ11">
        <f>PEG!R189</f>
        <v>0</v>
      </c>
      <c r="CK11" s="659">
        <f>PEG!S189</f>
        <v>0</v>
      </c>
      <c r="CL11">
        <f>PEG!T189</f>
        <v>29</v>
      </c>
      <c r="CM11">
        <f>PEG!U189</f>
        <v>16</v>
      </c>
      <c r="CN11">
        <f>PEG!V189</f>
        <v>0</v>
      </c>
      <c r="CO11">
        <f>PEG!W189</f>
        <v>263</v>
      </c>
      <c r="CP11" s="659">
        <f>PEG!X189</f>
        <v>263</v>
      </c>
      <c r="CU11" s="659">
        <f>PEG!AC189</f>
        <v>60</v>
      </c>
      <c r="CZ11" s="659">
        <f>PEG!AH189</f>
        <v>0</v>
      </c>
      <c r="DE11" s="659">
        <f>PEG!AM189</f>
        <v>364</v>
      </c>
      <c r="DJ11" s="659">
        <f>PEG!AR189</f>
        <v>388</v>
      </c>
      <c r="DO11" s="659">
        <f>PEG!AW189</f>
        <v>542</v>
      </c>
      <c r="DT11" s="659">
        <f>PEG!BB189</f>
        <v>0</v>
      </c>
      <c r="DY11" s="659">
        <f>PEG!BG189</f>
        <v>0</v>
      </c>
      <c r="ED11" s="659">
        <f>PEG!BL189</f>
        <v>0</v>
      </c>
      <c r="EI11" s="659">
        <f>PEG!BQ189</f>
        <v>0</v>
      </c>
    </row>
    <row r="12" spans="1:139" ht="12.75" customHeight="1">
      <c r="A12" s="653"/>
      <c r="B12" s="643"/>
      <c r="C12" s="47" t="s">
        <v>40</v>
      </c>
      <c r="D12" s="47"/>
      <c r="I12" s="656">
        <f>Parent!I37</f>
        <v>7.0991424827476043E-2</v>
      </c>
      <c r="J12" s="656"/>
      <c r="K12" s="656"/>
      <c r="L12" s="656"/>
      <c r="M12" s="656"/>
      <c r="N12" s="656">
        <f>Parent!N37</f>
        <v>0.14988807699513759</v>
      </c>
      <c r="O12" s="656"/>
      <c r="P12" s="656"/>
      <c r="Q12" s="656"/>
      <c r="R12" s="656"/>
      <c r="S12" s="656">
        <f>Parent!S37</f>
        <v>4.5366502163784905E-2</v>
      </c>
      <c r="T12" s="656"/>
      <c r="U12" s="656"/>
      <c r="V12" s="656"/>
      <c r="W12" s="656"/>
      <c r="X12" s="656">
        <f>Parent!X37</f>
        <v>0.12621133298888113</v>
      </c>
      <c r="Y12" s="656"/>
      <c r="Z12" s="656"/>
      <c r="AA12" s="656"/>
      <c r="AB12" s="656"/>
      <c r="AC12" s="656">
        <f>Parent!AC37</f>
        <v>-2.5614501748682333E-2</v>
      </c>
      <c r="AD12" s="656"/>
      <c r="AE12" s="656"/>
      <c r="AF12" s="656"/>
      <c r="AG12" s="656"/>
      <c r="AH12" s="656">
        <f>Parent!AH37</f>
        <v>6.4960629921259838E-2</v>
      </c>
      <c r="AI12" s="656"/>
      <c r="AJ12" s="656"/>
      <c r="AK12" s="656"/>
      <c r="AL12" s="656"/>
      <c r="AM12" s="656">
        <f>Parent!AM37</f>
        <v>7.0866141732283464E-2</v>
      </c>
      <c r="AN12" s="656"/>
      <c r="AO12" s="656"/>
      <c r="AP12" s="656"/>
      <c r="AQ12" s="656"/>
      <c r="AR12" s="656">
        <f>Parent!AR37</f>
        <v>0.14173228346456693</v>
      </c>
      <c r="AS12" s="656"/>
      <c r="AT12" s="656"/>
      <c r="AU12" s="656"/>
      <c r="AV12" s="656"/>
      <c r="AW12" s="656">
        <f>Parent!AW37</f>
        <v>3.9447731755423612E-2</v>
      </c>
      <c r="AX12" s="656"/>
      <c r="AY12" s="656"/>
      <c r="AZ12" s="656"/>
      <c r="BA12" s="656"/>
      <c r="BB12" s="656">
        <f>Parent!BB37</f>
        <v>7.78146949434292E-2</v>
      </c>
      <c r="BC12" s="656"/>
      <c r="BD12" s="656"/>
      <c r="BE12" s="656"/>
      <c r="BF12" s="656"/>
      <c r="BG12" s="656">
        <f>Parent!BG37</f>
        <v>0.10047399199404025</v>
      </c>
      <c r="BH12" s="656"/>
      <c r="BI12" s="656"/>
      <c r="BJ12" s="656"/>
      <c r="BK12" s="656"/>
      <c r="BL12" s="656">
        <f>Parent!BL37</f>
        <v>6.5563733998637852E-2</v>
      </c>
      <c r="BM12" s="656"/>
      <c r="BN12" s="656"/>
      <c r="BO12" s="656"/>
      <c r="BP12" s="656"/>
      <c r="BQ12" s="656">
        <f>Parent!BQ37</f>
        <v>7.9529386432967628E-2</v>
      </c>
      <c r="BR12" s="47"/>
      <c r="BS12" s="47"/>
      <c r="BT12" s="47"/>
      <c r="BU12" s="305" t="s">
        <v>448</v>
      </c>
      <c r="BV12" s="658"/>
      <c r="CA12" s="659">
        <f>PEG!I190</f>
        <v>8204</v>
      </c>
      <c r="CF12" s="659">
        <f>PEG!N190</f>
        <v>8973</v>
      </c>
      <c r="CG12">
        <f>PEG!O190</f>
        <v>8887</v>
      </c>
      <c r="CH12">
        <f>PEG!P190</f>
        <v>8250</v>
      </c>
      <c r="CI12">
        <f>PEG!Q190</f>
        <v>8755</v>
      </c>
      <c r="CJ12">
        <f>PEG!R190</f>
        <v>8094</v>
      </c>
      <c r="CK12" s="659">
        <f>PEG!S190</f>
        <v>8094</v>
      </c>
      <c r="CL12">
        <f>PEG!T190</f>
        <v>7978</v>
      </c>
      <c r="CM12">
        <f>PEG!U190</f>
        <v>8308</v>
      </c>
      <c r="CN12">
        <f>PEG!V190</f>
        <v>8309</v>
      </c>
      <c r="CO12">
        <f>PEG!W190</f>
        <v>7939</v>
      </c>
      <c r="CP12" s="659">
        <f>PEG!X190</f>
        <v>7939</v>
      </c>
      <c r="CU12" s="659">
        <f>PEG!AC190</f>
        <v>8643</v>
      </c>
      <c r="CZ12" s="659">
        <f>PEG!AH190</f>
        <v>9144</v>
      </c>
      <c r="DE12" s="659">
        <f>PEG!AM190</f>
        <v>9568</v>
      </c>
      <c r="DJ12" s="659">
        <f>PEG!AR190</f>
        <v>11395</v>
      </c>
      <c r="DO12" s="659">
        <f>PEG!AW190</f>
        <v>13068</v>
      </c>
      <c r="DT12" s="659">
        <f>PEG!BB190</f>
        <v>14918</v>
      </c>
      <c r="DY12" s="659">
        <f>PEG!BG190</f>
        <v>16174</v>
      </c>
      <c r="ED12" s="659">
        <f>PEG!BL190</f>
        <v>17409</v>
      </c>
      <c r="EI12" s="659">
        <f>PEG!BQ190</f>
        <v>18075</v>
      </c>
    </row>
    <row r="13" spans="1:139" ht="12.75" customHeight="1">
      <c r="A13" s="653"/>
      <c r="B13" s="643"/>
      <c r="C13" s="319" t="s">
        <v>556</v>
      </c>
      <c r="D13" s="660"/>
      <c r="E13" s="661"/>
      <c r="F13" s="661"/>
      <c r="G13" s="661"/>
      <c r="H13" s="661"/>
      <c r="I13" s="662">
        <f>PEG!I49</f>
        <v>3.2675775260868836</v>
      </c>
      <c r="J13" s="662"/>
      <c r="K13" s="662"/>
      <c r="L13" s="662"/>
      <c r="M13" s="662"/>
      <c r="N13" s="662">
        <f>PEG!N49</f>
        <v>3.1634273092131862</v>
      </c>
      <c r="O13" s="662"/>
      <c r="P13" s="662"/>
      <c r="Q13" s="662"/>
      <c r="R13" s="662"/>
      <c r="S13" s="662">
        <f>PEG!S49</f>
        <v>2.7811638283015965</v>
      </c>
      <c r="T13" s="662"/>
      <c r="U13" s="662"/>
      <c r="V13" s="662"/>
      <c r="W13" s="662"/>
      <c r="X13" s="662">
        <f>PEG!X49</f>
        <v>2.4374563683477755</v>
      </c>
      <c r="Y13" s="662"/>
      <c r="Z13" s="662"/>
      <c r="AA13" s="662"/>
      <c r="AB13" s="662"/>
      <c r="AC13" s="662">
        <f>PEG!AC49</f>
        <v>2.5791832914634747</v>
      </c>
      <c r="AD13" s="662"/>
      <c r="AE13" s="662"/>
      <c r="AF13" s="662"/>
      <c r="AG13" s="662"/>
      <c r="AH13" s="662">
        <f>PEG!AH49</f>
        <v>2.7559055118110236</v>
      </c>
      <c r="AI13" s="662"/>
      <c r="AJ13" s="662"/>
      <c r="AK13" s="662"/>
      <c r="AL13" s="662"/>
      <c r="AM13" s="662">
        <f>PEG!AM49</f>
        <v>2.9055118110236222</v>
      </c>
      <c r="AN13" s="662"/>
      <c r="AO13" s="662"/>
      <c r="AP13" s="662"/>
      <c r="AQ13" s="662"/>
      <c r="AR13" s="662">
        <f>PEG!AR49</f>
        <v>2.9035433070866143</v>
      </c>
      <c r="AS13" s="662"/>
      <c r="AT13" s="662"/>
      <c r="AU13" s="662"/>
      <c r="AV13" s="662"/>
      <c r="AW13" s="662">
        <f>PEG!AW49</f>
        <v>2.9349112426035502</v>
      </c>
      <c r="AX13" s="662"/>
      <c r="AY13" s="662"/>
      <c r="AZ13" s="662"/>
      <c r="BA13" s="662"/>
      <c r="BB13" s="662">
        <f>PEG!BB49</f>
        <v>3.1573230538772359</v>
      </c>
      <c r="BC13" s="662"/>
      <c r="BD13" s="662"/>
      <c r="BE13" s="662"/>
      <c r="BF13" s="662"/>
      <c r="BG13" s="662">
        <f>PEG!BG49</f>
        <v>3.2049864514361546</v>
      </c>
      <c r="BH13" s="662"/>
      <c r="BI13" s="662"/>
      <c r="BJ13" s="662"/>
      <c r="BK13" s="662"/>
      <c r="BL13" s="662">
        <f>PEG!BL49</f>
        <v>3.3259194220710198</v>
      </c>
      <c r="BM13" s="662"/>
      <c r="BN13" s="662"/>
      <c r="BO13" s="662"/>
      <c r="BP13" s="662"/>
      <c r="BQ13" s="662">
        <f>PEG!BQ49</f>
        <v>3.7136804500609508</v>
      </c>
      <c r="BR13" s="1732"/>
      <c r="BS13" s="47"/>
      <c r="BT13" s="47"/>
      <c r="BU13" s="64" t="s">
        <v>432</v>
      </c>
      <c r="BV13" s="47"/>
      <c r="CA13" s="642">
        <f>+SUM(CA11:CA12)</f>
        <v>8734</v>
      </c>
      <c r="CF13" s="642">
        <f>+SUM(CF11:CF12)</f>
        <v>9037</v>
      </c>
      <c r="CK13" s="642">
        <f>+SUM(CK11:CK12)</f>
        <v>8094</v>
      </c>
      <c r="CP13" s="642">
        <f>+SUM(CP11:CP12)</f>
        <v>8202</v>
      </c>
      <c r="CU13" s="642">
        <f>+SUM(CU11:CU12)</f>
        <v>8703</v>
      </c>
      <c r="CZ13" s="642">
        <f>+SUM(CZ11:CZ12)</f>
        <v>9144</v>
      </c>
      <c r="DE13" s="642">
        <f>+SUM(DE11:DE12)</f>
        <v>9932</v>
      </c>
      <c r="DJ13" s="642">
        <f>+SUM(DJ11:DJ12)</f>
        <v>11783</v>
      </c>
      <c r="DO13" s="642">
        <f>+SUM(DO11:DO12)</f>
        <v>13610</v>
      </c>
      <c r="DT13" s="642">
        <f>+SUM(DT11:DT12)</f>
        <v>14918</v>
      </c>
      <c r="DY13" s="642">
        <f>+SUM(DY11:DY12)</f>
        <v>16174</v>
      </c>
      <c r="ED13" s="642">
        <f>+SUM(ED11:ED12)</f>
        <v>17409</v>
      </c>
      <c r="EI13" s="642">
        <f>+SUM(EI11:EI12)</f>
        <v>18075</v>
      </c>
    </row>
    <row r="14" spans="1:139" ht="12.75" customHeight="1">
      <c r="A14" s="653"/>
      <c r="B14" s="47"/>
      <c r="C14" s="665" t="s">
        <v>957</v>
      </c>
      <c r="D14" s="666"/>
      <c r="E14" s="666"/>
      <c r="F14" s="666"/>
      <c r="G14" s="666"/>
      <c r="H14" s="666"/>
      <c r="I14" s="666"/>
      <c r="J14" s="666"/>
      <c r="K14" s="666"/>
      <c r="L14" s="666"/>
      <c r="M14" s="666"/>
      <c r="N14" s="667"/>
      <c r="O14" s="666"/>
      <c r="P14" s="666"/>
      <c r="Q14" s="666"/>
      <c r="R14" s="666"/>
      <c r="S14" s="1037"/>
      <c r="T14" s="666"/>
      <c r="U14" s="666"/>
      <c r="V14" s="666"/>
      <c r="W14" s="666"/>
      <c r="X14" s="667"/>
      <c r="Y14" s="666"/>
      <c r="Z14" s="666"/>
      <c r="AA14" s="666"/>
      <c r="AB14" s="666"/>
      <c r="AC14" s="667">
        <f>(BG13/AH13)^(1/5)-1</f>
        <v>3.0652770226540449E-2</v>
      </c>
      <c r="AD14" s="666"/>
      <c r="AE14" s="666"/>
      <c r="AF14" s="666"/>
      <c r="AG14" s="666"/>
      <c r="AH14" s="667"/>
      <c r="AI14" s="666"/>
      <c r="AJ14" s="666"/>
      <c r="AK14" s="666"/>
      <c r="AL14" s="666"/>
      <c r="AM14" s="667"/>
      <c r="AN14" s="666"/>
      <c r="AO14" s="666"/>
      <c r="AP14" s="666"/>
      <c r="AQ14" s="666"/>
      <c r="AR14" s="667"/>
      <c r="AS14" s="666"/>
      <c r="AT14" s="666"/>
      <c r="AU14" s="666"/>
      <c r="AV14" s="666"/>
      <c r="AW14" s="667"/>
      <c r="AX14" s="666"/>
      <c r="AY14" s="666"/>
      <c r="AZ14" s="666"/>
      <c r="BA14" s="666"/>
      <c r="BB14" s="667"/>
      <c r="BC14" s="666"/>
      <c r="BD14" s="666"/>
      <c r="BE14" s="666"/>
      <c r="BF14" s="666"/>
      <c r="BG14" s="667"/>
      <c r="BH14" s="666"/>
      <c r="BI14" s="666"/>
      <c r="BJ14" s="666"/>
      <c r="BK14" s="666"/>
      <c r="BL14" s="667"/>
      <c r="BM14" s="666"/>
      <c r="BN14" s="666"/>
      <c r="BO14" s="666"/>
      <c r="BP14" s="666"/>
      <c r="BQ14" s="667"/>
      <c r="BR14" s="1732"/>
      <c r="BS14" s="47"/>
      <c r="BT14" s="47"/>
      <c r="BU14" s="47"/>
      <c r="BV14" s="47"/>
      <c r="CA14" s="47"/>
      <c r="CF14" s="47"/>
      <c r="CK14" s="47"/>
      <c r="CP14" s="47"/>
      <c r="CU14" s="47"/>
      <c r="CZ14" s="47"/>
      <c r="DE14" s="47"/>
      <c r="DJ14" s="47"/>
      <c r="DO14" s="47"/>
      <c r="DT14" s="47"/>
      <c r="DY14" s="47"/>
      <c r="ED14" s="47"/>
      <c r="EI14" s="47"/>
    </row>
    <row r="15" spans="1:139" ht="12.75" customHeight="1">
      <c r="A15" s="653"/>
      <c r="B15" s="643"/>
      <c r="AM15" s="1036"/>
      <c r="AR15" s="1036"/>
      <c r="AW15" s="1036"/>
      <c r="BB15" s="1036"/>
      <c r="BG15" s="1036"/>
      <c r="BL15" s="1036"/>
      <c r="BQ15" s="1036"/>
      <c r="BR15" s="47"/>
      <c r="BS15" s="47"/>
      <c r="BT15" s="47"/>
      <c r="BU15" s="305" t="s">
        <v>263</v>
      </c>
      <c r="BV15" s="305"/>
      <c r="CA15" s="659">
        <f>PEG!I194</f>
        <v>80</v>
      </c>
      <c r="CF15" s="659">
        <f>PEG!N194</f>
        <v>0</v>
      </c>
      <c r="CG15">
        <f>PEG!O194</f>
        <v>0</v>
      </c>
      <c r="CH15">
        <f>PEG!P194</f>
        <v>0</v>
      </c>
      <c r="CI15">
        <f>PEG!Q194</f>
        <v>0</v>
      </c>
      <c r="CJ15">
        <f>PEG!R194</f>
        <v>0</v>
      </c>
      <c r="CK15" s="659">
        <f>PEG!S194</f>
        <v>0</v>
      </c>
      <c r="CL15">
        <f>PEG!T194</f>
        <v>0</v>
      </c>
      <c r="CM15">
        <f>PEG!U194</f>
        <v>0</v>
      </c>
      <c r="CN15">
        <f>PEG!V194</f>
        <v>0</v>
      </c>
      <c r="CO15">
        <f>PEG!W194</f>
        <v>0</v>
      </c>
      <c r="CP15" s="659">
        <f>PEG!X194</f>
        <v>0</v>
      </c>
      <c r="CU15" s="659">
        <f>PEG!AC194</f>
        <v>0</v>
      </c>
      <c r="CZ15" s="659">
        <f>PEG!AH194</f>
        <v>0</v>
      </c>
      <c r="DE15" s="659">
        <f>PEG!AM194</f>
        <v>0</v>
      </c>
      <c r="DJ15" s="659">
        <f>PEG!AR194</f>
        <v>0</v>
      </c>
      <c r="DO15" s="659">
        <f>PEG!AW194</f>
        <v>0</v>
      </c>
      <c r="DT15" s="659">
        <f>PEG!BB194</f>
        <v>0</v>
      </c>
      <c r="DY15" s="659">
        <f>PEG!BG194</f>
        <v>0</v>
      </c>
      <c r="ED15" s="659">
        <f>PEG!BL194</f>
        <v>0</v>
      </c>
      <c r="EI15" s="659">
        <f>PEG!BQ194</f>
        <v>0</v>
      </c>
    </row>
    <row r="16" spans="1:139">
      <c r="A16" s="653"/>
      <c r="B16" s="643"/>
      <c r="C16" s="64" t="s">
        <v>398</v>
      </c>
      <c r="D16" s="652"/>
      <c r="E16" s="307"/>
      <c r="F16" s="307"/>
      <c r="G16" s="307"/>
      <c r="H16" s="307"/>
      <c r="I16" s="652"/>
      <c r="J16" s="307"/>
      <c r="K16" s="307"/>
      <c r="L16" s="307"/>
      <c r="M16" s="307"/>
      <c r="N16" s="652"/>
      <c r="O16" s="307"/>
      <c r="P16" s="307"/>
      <c r="Q16" s="307"/>
      <c r="R16" s="307"/>
      <c r="S16" s="652"/>
      <c r="T16" s="307"/>
      <c r="U16" s="307"/>
      <c r="V16" s="307"/>
      <c r="W16" s="307"/>
      <c r="X16" s="652"/>
      <c r="Y16" s="307"/>
      <c r="Z16" s="307"/>
      <c r="AA16" s="307"/>
      <c r="AB16" s="307"/>
      <c r="AC16" s="652"/>
      <c r="AD16" s="307"/>
      <c r="AE16" s="307"/>
      <c r="AF16" s="307"/>
      <c r="AG16" s="307"/>
      <c r="AH16" s="652"/>
      <c r="AI16" s="307"/>
      <c r="AJ16" s="307"/>
      <c r="AK16" s="307"/>
      <c r="AL16" s="307"/>
      <c r="AM16" s="652"/>
      <c r="AN16" s="307"/>
      <c r="AO16" s="307"/>
      <c r="AP16" s="307"/>
      <c r="AQ16" s="307"/>
      <c r="AR16" s="652"/>
      <c r="AS16" s="307"/>
      <c r="AT16" s="307"/>
      <c r="AU16" s="307"/>
      <c r="AV16" s="307"/>
      <c r="AW16" s="652"/>
      <c r="AX16" s="307"/>
      <c r="AY16" s="307"/>
      <c r="AZ16" s="307"/>
      <c r="BA16" s="307"/>
      <c r="BB16" s="652"/>
      <c r="BC16" s="307"/>
      <c r="BD16" s="307"/>
      <c r="BE16" s="307"/>
      <c r="BF16" s="307"/>
      <c r="BG16" s="652"/>
      <c r="BH16" s="307"/>
      <c r="BI16" s="307"/>
      <c r="BJ16" s="307"/>
      <c r="BK16" s="307"/>
      <c r="BL16" s="652"/>
      <c r="BM16" s="307"/>
      <c r="BN16" s="307"/>
      <c r="BO16" s="307"/>
      <c r="BP16" s="307"/>
      <c r="BQ16" s="652"/>
      <c r="BR16" s="47"/>
      <c r="BS16" s="47"/>
      <c r="BT16" s="47"/>
      <c r="BU16" s="64" t="s">
        <v>264</v>
      </c>
      <c r="BV16" s="668"/>
      <c r="BW16" s="64"/>
      <c r="BX16" s="64"/>
      <c r="BY16" s="64"/>
      <c r="BZ16" s="64"/>
      <c r="CA16" s="642">
        <f>PEG!I197</f>
        <v>8788</v>
      </c>
      <c r="CB16" s="64"/>
      <c r="CC16" s="64"/>
      <c r="CD16" s="64"/>
      <c r="CE16" s="64"/>
      <c r="CF16" s="642">
        <f>PEG!N197</f>
        <v>9633</v>
      </c>
      <c r="CG16" s="64">
        <f>PEG!O197</f>
        <v>9957</v>
      </c>
      <c r="CH16" s="64">
        <f>PEG!P197</f>
        <v>10109</v>
      </c>
      <c r="CI16" s="64">
        <f>PEG!Q197</f>
        <v>10159</v>
      </c>
      <c r="CJ16" s="64">
        <f>PEG!R197</f>
        <v>10270</v>
      </c>
      <c r="CK16" s="642">
        <f>PEG!S197</f>
        <v>10270</v>
      </c>
      <c r="CL16" s="64">
        <f>PEG!T197</f>
        <v>10624</v>
      </c>
      <c r="CM16" s="64">
        <f>PEG!U197</f>
        <v>10644</v>
      </c>
      <c r="CN16" s="64">
        <f>PEG!V197</f>
        <v>10806</v>
      </c>
      <c r="CO16" s="64">
        <f>PEG!W197</f>
        <v>10780</v>
      </c>
      <c r="CP16" s="642">
        <f>PEG!X197</f>
        <v>10780</v>
      </c>
      <c r="CQ16" s="64"/>
      <c r="CR16" s="64"/>
      <c r="CS16" s="64"/>
      <c r="CT16" s="64"/>
      <c r="CU16" s="642">
        <f>PEG!AC197</f>
        <v>11608</v>
      </c>
      <c r="CV16" s="64"/>
      <c r="CW16" s="64"/>
      <c r="CX16" s="64"/>
      <c r="CY16" s="64"/>
      <c r="CZ16" s="642">
        <f>PEG!AH197</f>
        <v>12185</v>
      </c>
      <c r="DA16" s="64"/>
      <c r="DB16" s="64"/>
      <c r="DC16" s="64"/>
      <c r="DD16" s="64"/>
      <c r="DE16" s="642">
        <f>PEG!AM197</f>
        <v>13066</v>
      </c>
      <c r="DF16" s="64"/>
      <c r="DG16" s="64"/>
      <c r="DH16" s="64"/>
      <c r="DI16" s="64"/>
      <c r="DJ16" s="642">
        <f>PEG!AR197</f>
        <v>13130</v>
      </c>
      <c r="DK16" s="64"/>
      <c r="DL16" s="64"/>
      <c r="DM16" s="64"/>
      <c r="DN16" s="64"/>
      <c r="DO16" s="642">
        <f>PEG!AW197</f>
        <v>13847</v>
      </c>
      <c r="DP16" s="64"/>
      <c r="DQ16" s="64"/>
      <c r="DR16" s="64"/>
      <c r="DS16" s="64"/>
      <c r="DT16" s="642">
        <f>PEG!BB197</f>
        <v>14543.233111369636</v>
      </c>
      <c r="DU16" s="64"/>
      <c r="DV16" s="64"/>
      <c r="DW16" s="64"/>
      <c r="DX16" s="64"/>
      <c r="DY16" s="642">
        <f>PEG!BG197</f>
        <v>15222.833313699201</v>
      </c>
      <c r="DZ16" s="64"/>
      <c r="EA16" s="64"/>
      <c r="EB16" s="64"/>
      <c r="EC16" s="64"/>
      <c r="ED16" s="642">
        <f>PEG!BL197</f>
        <v>15921.183483936278</v>
      </c>
      <c r="EE16" s="64"/>
      <c r="EF16" s="64"/>
      <c r="EG16" s="64"/>
      <c r="EH16" s="64"/>
      <c r="EI16" s="642">
        <f>PEG!BQ197</f>
        <v>16771.911496064364</v>
      </c>
    </row>
    <row r="17" spans="1:139">
      <c r="A17" s="653"/>
      <c r="B17" s="643"/>
      <c r="C17" s="305" t="s">
        <v>509</v>
      </c>
      <c r="D17" s="47"/>
      <c r="E17" s="669"/>
      <c r="F17" s="669"/>
      <c r="G17" s="669"/>
      <c r="H17" s="669"/>
      <c r="I17" s="670">
        <f>(I11)/I13</f>
        <v>0.19553409776704889</v>
      </c>
      <c r="J17" s="669"/>
      <c r="K17" s="669"/>
      <c r="L17" s="669"/>
      <c r="M17" s="669"/>
      <c r="N17" s="670">
        <f>(N11)/N13</f>
        <v>0.26807980049875313</v>
      </c>
      <c r="O17" s="669"/>
      <c r="P17" s="669"/>
      <c r="Q17" s="669"/>
      <c r="R17" s="669"/>
      <c r="S17" s="670">
        <f>(S11)/S13</f>
        <v>0.36950354609929076</v>
      </c>
      <c r="T17" s="669"/>
      <c r="U17" s="669"/>
      <c r="V17" s="669"/>
      <c r="W17" s="669"/>
      <c r="X17" s="670">
        <f>(X11)/X13</f>
        <v>0.42718446601941745</v>
      </c>
      <c r="Y17" s="669"/>
      <c r="Z17" s="669"/>
      <c r="AA17" s="669"/>
      <c r="AB17" s="669"/>
      <c r="AC17" s="670">
        <f>(AC11)/AC13</f>
        <v>0.46753246753246752</v>
      </c>
      <c r="AD17" s="669"/>
      <c r="AE17" s="669"/>
      <c r="AF17" s="669"/>
      <c r="AG17" s="669"/>
      <c r="AH17" s="670">
        <f>(AH11)/AH13</f>
        <v>0.51785714285714279</v>
      </c>
      <c r="AI17" s="669"/>
      <c r="AJ17" s="669"/>
      <c r="AK17" s="669"/>
      <c r="AL17" s="669"/>
      <c r="AM17" s="670">
        <f>(AM11)/AM13</f>
        <v>0.53319783197831971</v>
      </c>
      <c r="AN17" s="669"/>
      <c r="AO17" s="669"/>
      <c r="AP17" s="669"/>
      <c r="AQ17" s="669"/>
      <c r="AR17" s="670">
        <f>(AR11)/AR13</f>
        <v>0.6027118644067796</v>
      </c>
      <c r="AS17" s="669"/>
      <c r="AT17" s="669"/>
      <c r="AU17" s="669"/>
      <c r="AV17" s="669"/>
      <c r="AW17" s="670">
        <f>(AW11)/AW13</f>
        <v>0.64717741935483875</v>
      </c>
      <c r="AX17" s="669"/>
      <c r="AY17" s="669"/>
      <c r="AZ17" s="669"/>
      <c r="BA17" s="669"/>
      <c r="BB17" s="670">
        <f>(BB11)/BB13</f>
        <v>0.64611804726767363</v>
      </c>
      <c r="BC17" s="669"/>
      <c r="BD17" s="669"/>
      <c r="BE17" s="669"/>
      <c r="BF17" s="669"/>
      <c r="BG17" s="670">
        <f>(BG11)/BG13</f>
        <v>0.68192865986989171</v>
      </c>
      <c r="BH17" s="669"/>
      <c r="BI17" s="669"/>
      <c r="BJ17" s="669"/>
      <c r="BK17" s="669"/>
      <c r="BL17" s="670">
        <f>(BL11)/BL13</f>
        <v>0.699095108152055</v>
      </c>
      <c r="BM17" s="669"/>
      <c r="BN17" s="669"/>
      <c r="BO17" s="669"/>
      <c r="BP17" s="669"/>
      <c r="BQ17" s="670">
        <f>(BQ11)/BQ13</f>
        <v>0.66296797132625573</v>
      </c>
      <c r="BR17" s="47"/>
      <c r="BS17" s="47"/>
      <c r="BT17" s="47"/>
      <c r="BU17" s="47"/>
      <c r="BV17" s="47"/>
      <c r="CA17" s="47"/>
      <c r="CF17" s="47"/>
      <c r="CK17" s="47"/>
      <c r="CP17" s="47"/>
      <c r="CU17" s="47"/>
      <c r="CZ17" s="47"/>
      <c r="DE17" s="47"/>
      <c r="DJ17" s="47"/>
      <c r="DO17" s="47"/>
      <c r="DT17" s="47"/>
      <c r="DY17" s="47"/>
      <c r="ED17" s="47"/>
      <c r="EI17" s="47"/>
    </row>
    <row r="18" spans="1:139">
      <c r="A18" s="653"/>
      <c r="B18" s="643"/>
      <c r="C18" s="47" t="s">
        <v>399</v>
      </c>
      <c r="D18" s="47"/>
      <c r="E18" s="669"/>
      <c r="F18" s="669"/>
      <c r="G18" s="669"/>
      <c r="H18" s="669"/>
      <c r="I18" s="670">
        <f>(I10+I12)/I13</f>
        <v>0.80446590223295122</v>
      </c>
      <c r="J18" s="670"/>
      <c r="K18" s="670"/>
      <c r="L18" s="670"/>
      <c r="M18" s="670"/>
      <c r="N18" s="670">
        <f>(N10+N12)/N13</f>
        <v>0.73192019950124654</v>
      </c>
      <c r="O18" s="670"/>
      <c r="P18" s="670"/>
      <c r="Q18" s="670"/>
      <c r="R18" s="670"/>
      <c r="S18" s="670">
        <f>(S10+S12)/S13</f>
        <v>0.63049645390070919</v>
      </c>
      <c r="T18" s="670"/>
      <c r="U18" s="670"/>
      <c r="V18" s="670"/>
      <c r="W18" s="670"/>
      <c r="X18" s="670">
        <f>(X10+X12)/X13</f>
        <v>0.57281553398058227</v>
      </c>
      <c r="Y18" s="670"/>
      <c r="Z18" s="670"/>
      <c r="AA18" s="670"/>
      <c r="AB18" s="670"/>
      <c r="AC18" s="670">
        <f>(AC10+AC12)/AC13</f>
        <v>0.53246753246753242</v>
      </c>
      <c r="AD18" s="670"/>
      <c r="AE18" s="670"/>
      <c r="AF18" s="670"/>
      <c r="AG18" s="670"/>
      <c r="AH18" s="670">
        <f>(AH10+AH12)/AH13</f>
        <v>0.4821428571428571</v>
      </c>
      <c r="AI18" s="670"/>
      <c r="AJ18" s="670"/>
      <c r="AK18" s="670"/>
      <c r="AL18" s="670"/>
      <c r="AM18" s="670">
        <f>(AM10+AM12)/AM13</f>
        <v>0.46680216802168017</v>
      </c>
      <c r="AN18" s="670"/>
      <c r="AO18" s="670"/>
      <c r="AP18" s="670"/>
      <c r="AQ18" s="670"/>
      <c r="AR18" s="670">
        <f>(AR10+AR12)/AR13</f>
        <v>0.39728813559322029</v>
      </c>
      <c r="AS18" s="670"/>
      <c r="AT18" s="670"/>
      <c r="AU18" s="670"/>
      <c r="AV18" s="670"/>
      <c r="AW18" s="670">
        <f>(AW10+AW12)/AW13</f>
        <v>0.35282258064516114</v>
      </c>
      <c r="AX18" s="670"/>
      <c r="AY18" s="670"/>
      <c r="AZ18" s="670"/>
      <c r="BA18" s="670"/>
      <c r="BB18" s="670">
        <f>(BB10+BB12)/BB13</f>
        <v>0.35388195273232659</v>
      </c>
      <c r="BC18" s="670"/>
      <c r="BD18" s="670"/>
      <c r="BE18" s="670"/>
      <c r="BF18" s="670"/>
      <c r="BG18" s="670">
        <f>(BG10+BG12)/BG13</f>
        <v>0.31807134013010996</v>
      </c>
      <c r="BH18" s="670"/>
      <c r="BI18" s="670"/>
      <c r="BJ18" s="670"/>
      <c r="BK18" s="670"/>
      <c r="BL18" s="670">
        <f>(BL10+BL12)/BL13</f>
        <v>0.30090489184794439</v>
      </c>
      <c r="BM18" s="670"/>
      <c r="BN18" s="670"/>
      <c r="BO18" s="670"/>
      <c r="BP18" s="670"/>
      <c r="BQ18" s="670">
        <f>(BQ10+BQ12)/BQ13</f>
        <v>0.33703202867374521</v>
      </c>
      <c r="BR18" s="47"/>
      <c r="BS18" s="47"/>
      <c r="BT18" s="47"/>
      <c r="BU18" s="64" t="s">
        <v>564</v>
      </c>
      <c r="BV18" s="658"/>
      <c r="BW18" s="305"/>
      <c r="CA18" s="642">
        <f>SUM(CA13,CA15,CA16)</f>
        <v>17602</v>
      </c>
      <c r="CB18" s="305"/>
      <c r="CF18" s="642">
        <f>SUM(CF13,CF15,CF16)</f>
        <v>18670</v>
      </c>
      <c r="CK18" s="642">
        <f>SUM(CK13,CK15,CK16)</f>
        <v>18364</v>
      </c>
      <c r="CP18" s="642">
        <f>SUM(CP13,CP15,CP16)</f>
        <v>18982</v>
      </c>
      <c r="CQ18" s="305"/>
      <c r="CU18" s="642">
        <f>SUM(CU13,CU15,CU16)</f>
        <v>20311</v>
      </c>
      <c r="CV18" s="305"/>
      <c r="CZ18" s="642">
        <f>SUM(CZ13,CZ15,CZ16)</f>
        <v>21329</v>
      </c>
      <c r="DA18" s="305"/>
      <c r="DE18" s="642">
        <f>SUM(DE13,DE15,DE16)</f>
        <v>22998</v>
      </c>
      <c r="DF18" s="305"/>
      <c r="DJ18" s="642">
        <f>SUM(DJ13,DJ15,DJ16)</f>
        <v>24913</v>
      </c>
      <c r="DK18" s="305"/>
      <c r="DO18" s="642">
        <f>SUM(DO13,DO15,DO16)</f>
        <v>27457</v>
      </c>
      <c r="DP18" s="305"/>
      <c r="DT18" s="642">
        <f>SUM(DT13,DT15,DT16)</f>
        <v>29461.233111369635</v>
      </c>
      <c r="DU18" s="305"/>
      <c r="DY18" s="642">
        <f>SUM(DY13,DY15,DY16)</f>
        <v>31396.833313699201</v>
      </c>
      <c r="DZ18" s="305"/>
      <c r="ED18" s="642">
        <f>SUM(ED13,ED15,ED16)</f>
        <v>33330.183483936278</v>
      </c>
      <c r="EE18" s="305"/>
      <c r="EI18" s="642">
        <f>SUM(EI13,EI15,EI16)</f>
        <v>34846.911496064364</v>
      </c>
    </row>
    <row r="19" spans="1:139">
      <c r="A19" s="671"/>
      <c r="B19" s="643"/>
      <c r="C19" s="672" t="s">
        <v>98</v>
      </c>
      <c r="D19" s="47"/>
      <c r="E19" s="669"/>
      <c r="F19" s="669"/>
      <c r="G19" s="669"/>
      <c r="H19" s="669"/>
      <c r="I19" s="670">
        <v>0</v>
      </c>
      <c r="J19" s="669"/>
      <c r="K19" s="669"/>
      <c r="L19" s="669"/>
      <c r="M19" s="669"/>
      <c r="N19" s="670">
        <v>0</v>
      </c>
      <c r="O19" s="669"/>
      <c r="P19" s="669"/>
      <c r="Q19" s="669"/>
      <c r="R19" s="669"/>
      <c r="S19" s="670">
        <v>0</v>
      </c>
      <c r="T19" s="669"/>
      <c r="U19" s="669"/>
      <c r="V19" s="669"/>
      <c r="W19" s="669"/>
      <c r="X19" s="670">
        <v>0</v>
      </c>
      <c r="Y19" s="669"/>
      <c r="Z19" s="669"/>
      <c r="AA19" s="669"/>
      <c r="AB19" s="669"/>
      <c r="AC19" s="670">
        <v>0</v>
      </c>
      <c r="AD19" s="669"/>
      <c r="AE19" s="669"/>
      <c r="AF19" s="669"/>
      <c r="AG19" s="669"/>
      <c r="AH19" s="670">
        <v>0</v>
      </c>
      <c r="AI19" s="669"/>
      <c r="AJ19" s="669"/>
      <c r="AK19" s="669"/>
      <c r="AL19" s="669"/>
      <c r="AM19" s="670">
        <v>0</v>
      </c>
      <c r="AN19" s="669"/>
      <c r="AO19" s="669"/>
      <c r="AP19" s="669"/>
      <c r="AQ19" s="669"/>
      <c r="AR19" s="670">
        <v>0</v>
      </c>
      <c r="AS19" s="669"/>
      <c r="AT19" s="669"/>
      <c r="AU19" s="669"/>
      <c r="AV19" s="669"/>
      <c r="AW19" s="670">
        <v>0</v>
      </c>
      <c r="AX19" s="669"/>
      <c r="AY19" s="669"/>
      <c r="AZ19" s="669"/>
      <c r="BA19" s="669"/>
      <c r="BB19" s="670">
        <v>0</v>
      </c>
      <c r="BC19" s="669"/>
      <c r="BD19" s="669"/>
      <c r="BE19" s="669"/>
      <c r="BF19" s="669"/>
      <c r="BG19" s="670">
        <v>0</v>
      </c>
      <c r="BH19" s="669"/>
      <c r="BI19" s="669"/>
      <c r="BJ19" s="669"/>
      <c r="BK19" s="669"/>
      <c r="BL19" s="670">
        <v>0</v>
      </c>
      <c r="BM19" s="669"/>
      <c r="BN19" s="669"/>
      <c r="BO19" s="669"/>
      <c r="BP19" s="669"/>
      <c r="BQ19" s="670">
        <v>0</v>
      </c>
      <c r="BR19" s="47"/>
      <c r="BS19" s="47"/>
      <c r="BT19" s="47"/>
      <c r="BU19" s="305"/>
      <c r="BV19" s="305"/>
      <c r="CA19" s="659"/>
      <c r="CF19" s="659"/>
      <c r="CK19" s="659"/>
      <c r="CP19" s="659"/>
      <c r="CU19" s="659"/>
      <c r="CZ19" s="659"/>
      <c r="DE19" s="659"/>
      <c r="DJ19" s="659"/>
      <c r="DO19" s="659"/>
      <c r="DT19" s="659"/>
      <c r="DY19" s="659"/>
      <c r="ED19" s="659"/>
      <c r="EI19" s="659"/>
    </row>
    <row r="20" spans="1:139">
      <c r="A20" s="671"/>
      <c r="B20" s="643"/>
      <c r="C20" s="47"/>
      <c r="D20" s="47"/>
      <c r="I20" s="47"/>
      <c r="N20" s="47"/>
      <c r="S20" s="47"/>
      <c r="X20" s="47"/>
      <c r="AC20" s="47"/>
      <c r="AH20" s="47"/>
      <c r="AM20" s="47"/>
      <c r="AR20" s="47"/>
      <c r="AW20" s="47"/>
      <c r="BB20" s="47"/>
      <c r="BG20" s="47"/>
      <c r="BL20" s="47"/>
      <c r="BQ20" s="47"/>
      <c r="BR20" s="47"/>
      <c r="BS20" s="47"/>
      <c r="BT20" s="47"/>
      <c r="BU20" s="64" t="s">
        <v>436</v>
      </c>
      <c r="BV20" s="305"/>
      <c r="CA20" s="659"/>
      <c r="CF20" s="659"/>
      <c r="CK20" s="659"/>
      <c r="CP20" s="659"/>
      <c r="CU20" s="659"/>
      <c r="CZ20" s="659"/>
      <c r="DE20" s="659"/>
      <c r="DJ20" s="659"/>
      <c r="DO20" s="659"/>
      <c r="DT20" s="659"/>
      <c r="DY20" s="659"/>
      <c r="ED20" s="659"/>
      <c r="EI20" s="659"/>
    </row>
    <row r="21" spans="1:139">
      <c r="A21" s="671"/>
      <c r="B21" s="643"/>
      <c r="C21" s="64" t="s">
        <v>99</v>
      </c>
      <c r="D21" s="654"/>
      <c r="E21" s="307"/>
      <c r="F21" s="307"/>
      <c r="G21" s="307"/>
      <c r="H21" s="307"/>
      <c r="I21" s="652"/>
      <c r="J21" s="307"/>
      <c r="K21" s="307"/>
      <c r="L21" s="307"/>
      <c r="M21" s="307"/>
      <c r="N21" s="652"/>
      <c r="O21" s="307"/>
      <c r="P21" s="307"/>
      <c r="Q21" s="307"/>
      <c r="R21" s="307"/>
      <c r="S21" s="652"/>
      <c r="T21" s="307"/>
      <c r="U21" s="307"/>
      <c r="V21" s="307"/>
      <c r="W21" s="307"/>
      <c r="X21" s="652"/>
      <c r="Y21" s="307"/>
      <c r="Z21" s="307"/>
      <c r="AA21" s="307"/>
      <c r="AB21" s="307"/>
      <c r="AC21" s="652"/>
      <c r="AD21" s="307"/>
      <c r="AE21" s="307"/>
      <c r="AF21" s="307"/>
      <c r="AG21" s="307"/>
      <c r="AH21" s="652"/>
      <c r="AI21" s="307"/>
      <c r="AJ21" s="307"/>
      <c r="AK21" s="307"/>
      <c r="AL21" s="307"/>
      <c r="AM21" s="652"/>
      <c r="AN21" s="307"/>
      <c r="AO21" s="307"/>
      <c r="AP21" s="307"/>
      <c r="AQ21" s="307"/>
      <c r="AR21" s="652"/>
      <c r="AS21" s="307"/>
      <c r="AT21" s="307"/>
      <c r="AU21" s="307"/>
      <c r="AV21" s="307"/>
      <c r="AW21" s="652"/>
      <c r="AX21" s="307"/>
      <c r="AY21" s="307"/>
      <c r="AZ21" s="307"/>
      <c r="BA21" s="307"/>
      <c r="BB21" s="652"/>
      <c r="BC21" s="307"/>
      <c r="BD21" s="307"/>
      <c r="BE21" s="307"/>
      <c r="BF21" s="307"/>
      <c r="BG21" s="652"/>
      <c r="BH21" s="307"/>
      <c r="BI21" s="307"/>
      <c r="BJ21" s="307"/>
      <c r="BK21" s="307"/>
      <c r="BL21" s="652"/>
      <c r="BM21" s="307"/>
      <c r="BN21" s="307"/>
      <c r="BO21" s="307"/>
      <c r="BP21" s="307"/>
      <c r="BQ21" s="652"/>
      <c r="BR21" s="47"/>
      <c r="BS21" s="47"/>
      <c r="BT21" s="47"/>
      <c r="BU21" s="305" t="s">
        <v>523</v>
      </c>
      <c r="BV21" s="305"/>
      <c r="CA21" s="673">
        <f>PEG!I218</f>
        <v>0.29082985979537701</v>
      </c>
      <c r="CF21" s="673">
        <f>PEG!N218</f>
        <v>0.27710843373493976</v>
      </c>
      <c r="CG21">
        <f>PEG!O218</f>
        <v>0.4080042406573019</v>
      </c>
      <c r="CH21">
        <f>PEG!P218</f>
        <v>0.37857104572010508</v>
      </c>
      <c r="CI21">
        <f>PEG!Q218</f>
        <v>0.39547425187691659</v>
      </c>
      <c r="CJ21">
        <f>PEG!R218</f>
        <v>0.40628403397952517</v>
      </c>
      <c r="CK21" s="673">
        <f>PEG!S218</f>
        <v>0.26056436404274641</v>
      </c>
      <c r="CL21">
        <f>PEG!T218</f>
        <v>0.38961945145188126</v>
      </c>
      <c r="CM21">
        <f>PEG!U218</f>
        <v>0.38675664276676508</v>
      </c>
      <c r="CN21">
        <f>PEG!V218</f>
        <v>0.38367773999476851</v>
      </c>
      <c r="CO21">
        <f>PEG!W218</f>
        <v>0.35228110841850174</v>
      </c>
      <c r="CP21" s="673">
        <f>PEG!X218</f>
        <v>0.22468248101606075</v>
      </c>
      <c r="CU21" s="673">
        <f>PEG!AC218</f>
        <v>0.24631097465459445</v>
      </c>
      <c r="CZ21" s="673">
        <f>PEG!AH218</f>
        <v>0.24649400250641523</v>
      </c>
      <c r="DE21" s="673">
        <f>PEG!AM218</f>
        <v>0.24495341614906832</v>
      </c>
      <c r="DJ21" s="673">
        <f>PEG!AR218</f>
        <v>0.28638645742975055</v>
      </c>
      <c r="DO21" s="673">
        <f>PEG!AW218</f>
        <v>0.29217509200077474</v>
      </c>
      <c r="DT21" s="673">
        <f>PEG!BB218</f>
        <v>0.30165119905807813</v>
      </c>
      <c r="DY21" s="673">
        <f>PEG!BG218</f>
        <v>0.3326707615469166</v>
      </c>
      <c r="ED21" s="673">
        <f>PEG!BL218</f>
        <v>0.31928047825063749</v>
      </c>
      <c r="EI21" s="673">
        <f>PEG!BQ218</f>
        <v>0.350162962893521</v>
      </c>
    </row>
    <row r="22" spans="1:139">
      <c r="A22" s="671"/>
      <c r="B22" s="643"/>
      <c r="C22" s="553" t="s">
        <v>477</v>
      </c>
      <c r="D22" s="641"/>
      <c r="E22" s="674"/>
      <c r="F22" s="674"/>
      <c r="G22" s="674"/>
      <c r="H22" s="674"/>
      <c r="I22" s="675">
        <f>'PSE&amp;G'!I28</f>
        <v>1470</v>
      </c>
      <c r="J22" s="675"/>
      <c r="K22" s="675"/>
      <c r="L22" s="675"/>
      <c r="M22" s="675"/>
      <c r="N22" s="675">
        <f>'PSE&amp;G'!N28</f>
        <v>1658</v>
      </c>
      <c r="O22" s="675"/>
      <c r="P22" s="675"/>
      <c r="Q22" s="675"/>
      <c r="R22" s="675"/>
      <c r="S22" s="675">
        <f>'PSE&amp;G'!S28</f>
        <v>1890</v>
      </c>
      <c r="T22" s="675"/>
      <c r="U22" s="675"/>
      <c r="V22" s="675"/>
      <c r="W22" s="675"/>
      <c r="X22" s="675">
        <f>'PSE&amp;G'!X28</f>
        <v>1908</v>
      </c>
      <c r="Y22" s="675"/>
      <c r="Z22" s="675"/>
      <c r="AA22" s="675"/>
      <c r="AB22" s="675"/>
      <c r="AC22" s="675">
        <f>'PSE&amp;G'!AC28</f>
        <v>2158</v>
      </c>
      <c r="AD22" s="675"/>
      <c r="AE22" s="675"/>
      <c r="AF22" s="675"/>
      <c r="AG22" s="675"/>
      <c r="AH22" s="675">
        <f>'PSE&amp;G'!AH28</f>
        <v>2357</v>
      </c>
      <c r="AI22" s="675"/>
      <c r="AJ22" s="675"/>
      <c r="AK22" s="675"/>
      <c r="AL22" s="675"/>
      <c r="AM22" s="675">
        <f>'PSE&amp;G'!AM28</f>
        <v>2429</v>
      </c>
      <c r="AN22" s="675"/>
      <c r="AO22" s="675"/>
      <c r="AP22" s="675"/>
      <c r="AQ22" s="675"/>
      <c r="AR22" s="675">
        <f>'PSE&amp;G'!AR28</f>
        <v>2258</v>
      </c>
      <c r="AS22" s="675"/>
      <c r="AT22" s="675"/>
      <c r="AU22" s="675"/>
      <c r="AV22" s="675"/>
      <c r="AW22" s="675">
        <f>'PSE&amp;G'!AW28</f>
        <v>2524</v>
      </c>
      <c r="AX22" s="675"/>
      <c r="AY22" s="675"/>
      <c r="AZ22" s="675"/>
      <c r="BA22" s="675"/>
      <c r="BB22" s="675">
        <f>'PSE&amp;G'!BB28</f>
        <v>2321.5345850483145</v>
      </c>
      <c r="BC22" s="675"/>
      <c r="BD22" s="675"/>
      <c r="BE22" s="675"/>
      <c r="BF22" s="675"/>
      <c r="BG22" s="675">
        <f>'PSE&amp;G'!BG28</f>
        <v>2518.6357560178094</v>
      </c>
      <c r="BH22" s="675"/>
      <c r="BI22" s="675"/>
      <c r="BJ22" s="675"/>
      <c r="BK22" s="675"/>
      <c r="BL22" s="675">
        <f>'PSE&amp;G'!BL28</f>
        <v>2725.2167876800058</v>
      </c>
      <c r="BM22" s="675"/>
      <c r="BN22" s="675"/>
      <c r="BO22" s="675"/>
      <c r="BP22" s="675"/>
      <c r="BQ22" s="675">
        <f>'PSE&amp;G'!BQ28</f>
        <v>2913.5088696555063</v>
      </c>
      <c r="BR22" s="47"/>
      <c r="BS22" s="47"/>
      <c r="BT22" s="47"/>
      <c r="BU22" s="305" t="s">
        <v>437</v>
      </c>
      <c r="BV22" s="305"/>
      <c r="BX22" s="305"/>
      <c r="BY22" s="305"/>
      <c r="BZ22" s="305"/>
      <c r="CA22" s="673">
        <f>PEG!I219</f>
        <v>0.33095869647593784</v>
      </c>
      <c r="CC22" s="305"/>
      <c r="CD22" s="305"/>
      <c r="CE22" s="305"/>
      <c r="CF22" s="673">
        <f>PEG!N219</f>
        <v>0.31929477440554005</v>
      </c>
      <c r="CG22" s="305">
        <f>PEG!O219</f>
        <v>0.47219719056453752</v>
      </c>
      <c r="CH22" s="305">
        <f>PEG!P219</f>
        <v>0.45816583587929466</v>
      </c>
      <c r="CI22" s="305">
        <f>PEG!Q219</f>
        <v>0.46288463571957278</v>
      </c>
      <c r="CJ22" s="305">
        <f>PEG!R219</f>
        <v>0.44075364844260512</v>
      </c>
      <c r="CK22" s="673">
        <f>PEG!S219</f>
        <v>0.28267095061814623</v>
      </c>
      <c r="CL22" s="305">
        <f>PEG!T219</f>
        <v>0.42976759164832806</v>
      </c>
      <c r="CM22" s="305">
        <f>PEG!U219</f>
        <v>0.43884436946436101</v>
      </c>
      <c r="CN22" s="305">
        <f>PEG!V219</f>
        <v>0.43468480251111691</v>
      </c>
      <c r="CO22" s="305">
        <f>PEG!W219</f>
        <v>0.43209356232219998</v>
      </c>
      <c r="CP22" s="673">
        <f>PEG!X219</f>
        <v>0.27558631812378198</v>
      </c>
      <c r="CR22" s="305"/>
      <c r="CS22" s="305"/>
      <c r="CT22" s="305"/>
      <c r="CU22" s="673">
        <f>PEG!AC219</f>
        <v>0.27265891788589869</v>
      </c>
      <c r="CW22" s="305"/>
      <c r="CX22" s="305"/>
      <c r="CY22" s="305"/>
      <c r="CZ22" s="673">
        <f>PEG!AH219</f>
        <v>0.27284120069224804</v>
      </c>
      <c r="DB22" s="305"/>
      <c r="DC22" s="305"/>
      <c r="DD22" s="305"/>
      <c r="DE22" s="673">
        <f>PEG!AM219</f>
        <v>0.27539929015084297</v>
      </c>
      <c r="DG22" s="305"/>
      <c r="DH22" s="305"/>
      <c r="DI22" s="305"/>
      <c r="DJ22" s="673">
        <f>PEG!AR219</f>
        <v>0.30972846515784769</v>
      </c>
      <c r="DL22" s="305"/>
      <c r="DM22" s="305"/>
      <c r="DN22" s="305"/>
      <c r="DO22" s="673">
        <f>PEG!AW219</f>
        <v>0.32950803796242495</v>
      </c>
      <c r="DQ22" s="305"/>
      <c r="DR22" s="305"/>
      <c r="DS22" s="305"/>
      <c r="DT22" s="673">
        <f>PEG!BB219</f>
        <v>0.33901104320840819</v>
      </c>
      <c r="DV22" s="305"/>
      <c r="DW22" s="305"/>
      <c r="DX22" s="305"/>
      <c r="DY22" s="673">
        <f>PEG!BG219</f>
        <v>0.34693512781351665</v>
      </c>
      <c r="EA22" s="305"/>
      <c r="EB22" s="305"/>
      <c r="EC22" s="305"/>
      <c r="ED22" s="673">
        <f>PEG!BL219</f>
        <v>0.35347242263054679</v>
      </c>
      <c r="EF22" s="305"/>
      <c r="EG22" s="305"/>
      <c r="EH22" s="305"/>
      <c r="EI22" s="673">
        <f>PEG!BQ219</f>
        <v>0.350162962893521</v>
      </c>
    </row>
    <row r="23" spans="1:139">
      <c r="B23" s="643"/>
      <c r="C23" s="553" t="s">
        <v>478</v>
      </c>
      <c r="D23" s="641"/>
      <c r="E23" s="674"/>
      <c r="F23" s="674"/>
      <c r="G23" s="674"/>
      <c r="H23" s="674"/>
      <c r="I23" s="675">
        <f>Power!I21</f>
        <v>2303</v>
      </c>
      <c r="J23" s="305"/>
      <c r="K23" s="305"/>
      <c r="L23" s="305"/>
      <c r="M23" s="305"/>
      <c r="N23" s="675">
        <f>Power!N21</f>
        <v>2246</v>
      </c>
      <c r="O23" s="305"/>
      <c r="P23" s="305"/>
      <c r="Q23" s="305"/>
      <c r="R23" s="305"/>
      <c r="S23" s="675">
        <f>Power!S21</f>
        <v>2086</v>
      </c>
      <c r="T23" s="305"/>
      <c r="U23" s="305"/>
      <c r="V23" s="305"/>
      <c r="W23" s="305"/>
      <c r="X23" s="675">
        <f>Power!X21</f>
        <v>1451</v>
      </c>
      <c r="Y23" s="305"/>
      <c r="Z23" s="305"/>
      <c r="AA23" s="305"/>
      <c r="AB23" s="305"/>
      <c r="AC23" s="675">
        <f>Power!AC21</f>
        <v>1452</v>
      </c>
      <c r="AD23" s="305"/>
      <c r="AE23" s="305"/>
      <c r="AF23" s="305"/>
      <c r="AG23" s="305"/>
      <c r="AH23" s="675">
        <f>Power!AH21</f>
        <v>1665</v>
      </c>
      <c r="AI23" s="305"/>
      <c r="AJ23" s="305"/>
      <c r="AK23" s="305"/>
      <c r="AL23" s="305"/>
      <c r="AM23" s="675">
        <f>Power!AM21</f>
        <v>1779</v>
      </c>
      <c r="AN23" s="305"/>
      <c r="AO23" s="305"/>
      <c r="AP23" s="305"/>
      <c r="AQ23" s="305"/>
      <c r="AR23" s="675">
        <f>Power!AR21</f>
        <v>922</v>
      </c>
      <c r="AS23" s="305"/>
      <c r="AT23" s="305"/>
      <c r="AU23" s="305"/>
      <c r="AV23" s="305"/>
      <c r="AW23" s="675">
        <f>Power!AW21</f>
        <v>1068</v>
      </c>
      <c r="AX23" s="305"/>
      <c r="AY23" s="305"/>
      <c r="AZ23" s="305"/>
      <c r="BA23" s="305"/>
      <c r="BB23" s="675">
        <f>Power!BB21</f>
        <v>1129.7065257761597</v>
      </c>
      <c r="BC23" s="305"/>
      <c r="BD23" s="305"/>
      <c r="BE23" s="305"/>
      <c r="BF23" s="305"/>
      <c r="BG23" s="675">
        <f>Power!BG21</f>
        <v>1088.0548343264229</v>
      </c>
      <c r="BH23" s="305"/>
      <c r="BI23" s="305"/>
      <c r="BJ23" s="305"/>
      <c r="BK23" s="305"/>
      <c r="BL23" s="675">
        <f>Power!BL21</f>
        <v>1090.3941407901602</v>
      </c>
      <c r="BM23" s="305"/>
      <c r="BN23" s="305"/>
      <c r="BO23" s="305"/>
      <c r="BP23" s="305"/>
      <c r="BQ23" s="675">
        <f>Power!BQ21</f>
        <v>1254.568837598177</v>
      </c>
      <c r="BR23" s="47"/>
      <c r="BS23" s="47"/>
      <c r="BT23" s="47"/>
      <c r="BU23" s="305" t="s">
        <v>658</v>
      </c>
      <c r="BV23" s="676"/>
      <c r="CA23" s="677">
        <f>PEG!I220</f>
        <v>2.095476130967258</v>
      </c>
      <c r="CF23" s="677">
        <f>PEG!N220</f>
        <v>2.1659658669304971</v>
      </c>
      <c r="CG23">
        <f>PEG!O220</f>
        <v>0</v>
      </c>
      <c r="CH23">
        <f>PEG!P220</f>
        <v>0</v>
      </c>
      <c r="CI23">
        <f>PEG!Q220</f>
        <v>0</v>
      </c>
      <c r="CJ23">
        <f>PEG!R220</f>
        <v>0</v>
      </c>
      <c r="CK23" s="677">
        <f>PEG!S220</f>
        <v>1.893089960886571</v>
      </c>
      <c r="CL23">
        <f>PEG!T220</f>
        <v>0</v>
      </c>
      <c r="CM23">
        <f>PEG!U220</f>
        <v>0</v>
      </c>
      <c r="CN23">
        <f>PEG!V220</f>
        <v>0</v>
      </c>
      <c r="CO23">
        <f>PEG!W220</f>
        <v>0</v>
      </c>
      <c r="CP23" s="677">
        <f>PEG!X220</f>
        <v>2.2428325688073394</v>
      </c>
      <c r="CU23" s="677">
        <f>PEG!AC220</f>
        <v>2.2585969738651994</v>
      </c>
      <c r="CZ23" s="677">
        <f>PEG!AH220</f>
        <v>2.1468565815324165</v>
      </c>
      <c r="DE23" s="677">
        <f>PEG!AM220</f>
        <v>2.2248658735712619</v>
      </c>
      <c r="DJ23" s="677">
        <f>PEG!AR220</f>
        <v>3.5960747071858181</v>
      </c>
      <c r="DO23" s="677">
        <f>PEG!AW220</f>
        <v>3.6480109739368998</v>
      </c>
      <c r="DT23" s="677">
        <f>PEG!BB220</f>
        <v>4.1894516437255644</v>
      </c>
      <c r="DY23" s="677">
        <f>PEG!BG220</f>
        <v>4.3282861748830159</v>
      </c>
      <c r="ED23" s="677">
        <f>PEG!BL220</f>
        <v>4.4178265164277448</v>
      </c>
      <c r="EI23" s="677">
        <f>PEG!BQ220</f>
        <v>4.186725418077069</v>
      </c>
    </row>
    <row r="24" spans="1:139">
      <c r="B24" s="47"/>
      <c r="C24" s="47" t="s">
        <v>479</v>
      </c>
      <c r="D24" s="47"/>
      <c r="I24" s="679">
        <f>Parent!I21</f>
        <v>228</v>
      </c>
      <c r="J24" s="679"/>
      <c r="K24" s="679"/>
      <c r="L24" s="679"/>
      <c r="M24" s="679"/>
      <c r="N24" s="679">
        <f>Parent!N21</f>
        <v>138.99999999999955</v>
      </c>
      <c r="O24" s="679"/>
      <c r="P24" s="679"/>
      <c r="Q24" s="679"/>
      <c r="R24" s="679"/>
      <c r="S24" s="679">
        <f>Parent!S21</f>
        <v>-141</v>
      </c>
      <c r="T24" s="679"/>
      <c r="U24" s="679"/>
      <c r="V24" s="679"/>
      <c r="W24" s="679"/>
      <c r="X24" s="679">
        <f>Parent!X21</f>
        <v>128.99999999999977</v>
      </c>
      <c r="Y24" s="679"/>
      <c r="Z24" s="679"/>
      <c r="AA24" s="679"/>
      <c r="AB24" s="679"/>
      <c r="AC24" s="679">
        <f>Parent!AC21</f>
        <v>25</v>
      </c>
      <c r="AD24" s="679"/>
      <c r="AE24" s="679"/>
      <c r="AF24" s="679"/>
      <c r="AG24" s="679"/>
      <c r="AH24" s="679">
        <f>Parent!AH21</f>
        <v>50</v>
      </c>
      <c r="AI24" s="679"/>
      <c r="AJ24" s="679"/>
      <c r="AK24" s="679"/>
      <c r="AL24" s="679"/>
      <c r="AM24" s="679">
        <f>Parent!AM21</f>
        <v>79</v>
      </c>
      <c r="AN24" s="679"/>
      <c r="AO24" s="679"/>
      <c r="AP24" s="679"/>
      <c r="AQ24" s="679"/>
      <c r="AR24" s="679">
        <f>Parent!AR21</f>
        <v>-21</v>
      </c>
      <c r="AS24" s="679"/>
      <c r="AT24" s="679"/>
      <c r="AU24" s="679"/>
      <c r="AV24" s="679"/>
      <c r="AW24" s="679">
        <f>Parent!AW21</f>
        <v>52.999999999999773</v>
      </c>
      <c r="AX24" s="679"/>
      <c r="AY24" s="679"/>
      <c r="AZ24" s="679"/>
      <c r="BA24" s="679"/>
      <c r="BB24" s="679">
        <f>Parent!BB21</f>
        <v>78.796984000000009</v>
      </c>
      <c r="BC24" s="679"/>
      <c r="BD24" s="679"/>
      <c r="BE24" s="679"/>
      <c r="BF24" s="679"/>
      <c r="BG24" s="679">
        <f>Parent!BG21</f>
        <v>86.61130415260547</v>
      </c>
      <c r="BH24" s="679"/>
      <c r="BI24" s="679"/>
      <c r="BJ24" s="679"/>
      <c r="BK24" s="679"/>
      <c r="BL24" s="679">
        <f>Parent!BL21</f>
        <v>88.663530235657561</v>
      </c>
      <c r="BM24" s="679"/>
      <c r="BN24" s="679"/>
      <c r="BO24" s="679"/>
      <c r="BP24" s="679"/>
      <c r="BQ24" s="679">
        <f>Parent!BQ21</f>
        <v>106.75680084037073</v>
      </c>
      <c r="BR24" s="47"/>
      <c r="BS24" s="47"/>
      <c r="BT24" s="47"/>
      <c r="BU24" s="305" t="s">
        <v>439</v>
      </c>
      <c r="BV24" s="676"/>
      <c r="CA24" s="673">
        <f>PEG!I221</f>
        <v>0.28566521639569498</v>
      </c>
      <c r="CF24" s="673">
        <f>PEG!N221</f>
        <v>0.28527166094943013</v>
      </c>
      <c r="CG24">
        <f>PEG!O221</f>
        <v>0</v>
      </c>
      <c r="CH24">
        <f>PEG!P221</f>
        <v>0</v>
      </c>
      <c r="CI24">
        <f>PEG!Q221</f>
        <v>0</v>
      </c>
      <c r="CJ24">
        <f>PEG!R221</f>
        <v>0</v>
      </c>
      <c r="CK24" s="673">
        <f>PEG!S221</f>
        <v>0.29552755127254754</v>
      </c>
      <c r="CL24">
        <f>PEG!T221</f>
        <v>0</v>
      </c>
      <c r="CM24">
        <f>PEG!U221</f>
        <v>0</v>
      </c>
      <c r="CN24">
        <f>PEG!V221</f>
        <v>0</v>
      </c>
      <c r="CO24">
        <f>PEG!W221</f>
        <v>0</v>
      </c>
      <c r="CP24" s="673">
        <f>PEG!X221</f>
        <v>0.2792001950743721</v>
      </c>
      <c r="CU24" s="673">
        <f>PEG!AC221</f>
        <v>0.28587038952085486</v>
      </c>
      <c r="CZ24" s="673">
        <f>PEG!AH221</f>
        <v>0.30928797711504807</v>
      </c>
      <c r="DE24" s="673">
        <f>PEG!AM221</f>
        <v>0.29247226450724928</v>
      </c>
      <c r="DJ24" s="673">
        <f>PEG!AR221</f>
        <v>0.26957028550535889</v>
      </c>
      <c r="DO24" s="673">
        <f>PEG!AW221</f>
        <v>0.2716552404390154</v>
      </c>
      <c r="DT24" s="673">
        <f>PEG!BB221</f>
        <v>0.18684742381613909</v>
      </c>
      <c r="DY24" s="673">
        <f>PEG!BG221</f>
        <v>0.17671567516143644</v>
      </c>
      <c r="ED24" s="673">
        <f>PEG!BL221</f>
        <v>0.17066410138873594</v>
      </c>
      <c r="EI24" s="673">
        <f>PEG!BQ221</f>
        <v>0.1779535757843487</v>
      </c>
    </row>
    <row r="25" spans="1:139">
      <c r="A25" s="678"/>
      <c r="B25" s="47"/>
      <c r="C25" s="323" t="s">
        <v>559</v>
      </c>
      <c r="D25" s="681"/>
      <c r="E25" s="682">
        <f>SUM(E22:E23)</f>
        <v>0</v>
      </c>
      <c r="F25" s="682">
        <f>SUM(F22:F23)</f>
        <v>0</v>
      </c>
      <c r="G25" s="682">
        <f>SUM(G22:G23)</f>
        <v>0</v>
      </c>
      <c r="H25" s="682">
        <f>SUM(H22:H23)</f>
        <v>0</v>
      </c>
      <c r="I25" s="682">
        <f>SUM(I22:I24)</f>
        <v>4001</v>
      </c>
      <c r="J25" s="682"/>
      <c r="K25" s="682"/>
      <c r="L25" s="682"/>
      <c r="M25" s="682"/>
      <c r="N25" s="682">
        <f>SUM(N22:N24)</f>
        <v>4042.9999999999995</v>
      </c>
      <c r="O25" s="682"/>
      <c r="P25" s="682"/>
      <c r="Q25" s="682"/>
      <c r="R25" s="682"/>
      <c r="S25" s="682">
        <f>SUM(S22:S24)</f>
        <v>3835</v>
      </c>
      <c r="T25" s="682"/>
      <c r="U25" s="682"/>
      <c r="V25" s="682"/>
      <c r="W25" s="682"/>
      <c r="X25" s="682">
        <f>SUM(X22:X24)</f>
        <v>3488</v>
      </c>
      <c r="Y25" s="682"/>
      <c r="Z25" s="682"/>
      <c r="AA25" s="682"/>
      <c r="AB25" s="682"/>
      <c r="AC25" s="682">
        <f>SUM(AC22:AC24)</f>
        <v>3635</v>
      </c>
      <c r="AD25" s="682"/>
      <c r="AE25" s="682"/>
      <c r="AF25" s="682"/>
      <c r="AG25" s="682"/>
      <c r="AH25" s="682">
        <f>SUM(AH22:AH24)</f>
        <v>4072</v>
      </c>
      <c r="AI25" s="682"/>
      <c r="AJ25" s="682"/>
      <c r="AK25" s="682"/>
      <c r="AL25" s="682"/>
      <c r="AM25" s="682">
        <f>SUM(AM22:AM24)</f>
        <v>4287</v>
      </c>
      <c r="AN25" s="682"/>
      <c r="AO25" s="682"/>
      <c r="AP25" s="682"/>
      <c r="AQ25" s="682"/>
      <c r="AR25" s="682">
        <f>SUM(AR22:AR24)</f>
        <v>3159</v>
      </c>
      <c r="AS25" s="682"/>
      <c r="AT25" s="682"/>
      <c r="AU25" s="682"/>
      <c r="AV25" s="682"/>
      <c r="AW25" s="682">
        <f>SUM(AW22:AW24)</f>
        <v>3645</v>
      </c>
      <c r="AX25" s="682"/>
      <c r="AY25" s="682"/>
      <c r="AZ25" s="682"/>
      <c r="BA25" s="682"/>
      <c r="BB25" s="682">
        <f>SUM(BB22:BB24)</f>
        <v>3530.0380948244742</v>
      </c>
      <c r="BC25" s="682"/>
      <c r="BD25" s="682"/>
      <c r="BE25" s="682"/>
      <c r="BF25" s="682"/>
      <c r="BG25" s="682">
        <f>SUM(BG22:BG24)</f>
        <v>3693.3018944968376</v>
      </c>
      <c r="BH25" s="682"/>
      <c r="BI25" s="682"/>
      <c r="BJ25" s="682"/>
      <c r="BK25" s="682"/>
      <c r="BL25" s="682">
        <f>SUM(BL22:BL24)</f>
        <v>3904.2744587058237</v>
      </c>
      <c r="BM25" s="682"/>
      <c r="BN25" s="682"/>
      <c r="BO25" s="682"/>
      <c r="BP25" s="682"/>
      <c r="BQ25" s="682">
        <f>SUM(BQ22:BQ24)</f>
        <v>4274.8345080940535</v>
      </c>
      <c r="BR25" s="1732"/>
      <c r="BS25" s="47"/>
      <c r="BT25" s="47"/>
      <c r="BU25" s="305"/>
      <c r="BV25" s="676"/>
      <c r="CA25" s="680"/>
      <c r="CF25" s="659"/>
      <c r="CK25" s="659"/>
      <c r="CP25" s="659"/>
      <c r="CU25" s="659"/>
      <c r="CZ25" s="659"/>
      <c r="DE25" s="659"/>
      <c r="DJ25" s="659"/>
      <c r="DO25" s="659"/>
      <c r="DT25" s="659"/>
      <c r="DY25" s="659"/>
      <c r="ED25" s="659"/>
      <c r="EI25" s="659"/>
    </row>
    <row r="26" spans="1:139">
      <c r="B26" s="305"/>
      <c r="BR26" s="47"/>
      <c r="BS26" s="47"/>
      <c r="BT26" s="47"/>
      <c r="BU26" s="64" t="s">
        <v>277</v>
      </c>
      <c r="BV26" s="47"/>
      <c r="CA26" s="673"/>
      <c r="CF26" s="659"/>
      <c r="CK26" s="659"/>
      <c r="CP26" s="659"/>
      <c r="CU26" s="659"/>
      <c r="CZ26" s="659"/>
      <c r="DE26" s="659"/>
      <c r="DJ26" s="659"/>
      <c r="DO26" s="659"/>
      <c r="DT26" s="659"/>
      <c r="DY26" s="659"/>
      <c r="ED26" s="659"/>
      <c r="EI26" s="659"/>
    </row>
    <row r="27" spans="1:139">
      <c r="B27" s="672"/>
      <c r="C27" s="47"/>
      <c r="D27" s="47"/>
      <c r="I27" s="47"/>
      <c r="N27" s="47"/>
      <c r="S27" s="47"/>
      <c r="X27" s="47"/>
      <c r="AC27" s="47"/>
      <c r="AH27" s="47"/>
      <c r="AM27" s="47"/>
      <c r="AR27" s="47"/>
      <c r="AW27" s="47"/>
      <c r="BB27" s="47"/>
      <c r="BG27" s="47"/>
      <c r="BL27" s="47"/>
      <c r="BQ27" s="47"/>
      <c r="BR27" s="47"/>
      <c r="BS27" s="47"/>
      <c r="BT27" s="47"/>
      <c r="BU27" s="305" t="s">
        <v>348</v>
      </c>
      <c r="BV27" s="47"/>
      <c r="BX27" s="305"/>
      <c r="BY27" s="305"/>
      <c r="BZ27" s="305"/>
      <c r="CA27" s="677">
        <f>PEG!I224</f>
        <v>5.7343453510436433</v>
      </c>
      <c r="CC27" s="305"/>
      <c r="CD27" s="305"/>
      <c r="CE27" s="305"/>
      <c r="CF27" s="677">
        <f>PEG!N224</f>
        <v>6.4618644067796609</v>
      </c>
      <c r="CG27" s="305">
        <f>PEG!O224</f>
        <v>0</v>
      </c>
      <c r="CH27" s="305">
        <f>PEG!P224</f>
        <v>0</v>
      </c>
      <c r="CI27" s="305">
        <f>PEG!Q224</f>
        <v>0</v>
      </c>
      <c r="CJ27" s="305">
        <f>PEG!R224</f>
        <v>0</v>
      </c>
      <c r="CK27" s="677">
        <f>PEG!S224</f>
        <v>6.0357894736842104</v>
      </c>
      <c r="CL27" s="305">
        <f>PEG!T224</f>
        <v>0</v>
      </c>
      <c r="CM27" s="305">
        <f>PEG!U224</f>
        <v>0</v>
      </c>
      <c r="CN27" s="305">
        <f>PEG!V224</f>
        <v>0</v>
      </c>
      <c r="CO27" s="305">
        <f>PEG!W224</f>
        <v>0</v>
      </c>
      <c r="CP27" s="677">
        <f>PEG!X224</f>
        <v>6.4137115839243499</v>
      </c>
      <c r="CR27" s="305"/>
      <c r="CS27" s="305"/>
      <c r="CT27" s="305"/>
      <c r="CU27" s="677">
        <f>PEG!AC224</f>
        <v>7.1888805970149248</v>
      </c>
      <c r="CW27" s="305"/>
      <c r="CX27" s="305"/>
      <c r="CY27" s="305"/>
      <c r="CZ27" s="677">
        <f>PEG!AH224</f>
        <v>8.2702551741388177</v>
      </c>
      <c r="DB27" s="305"/>
      <c r="DC27" s="305"/>
      <c r="DD27" s="305"/>
      <c r="DE27" s="677">
        <f>PEG!AM224</f>
        <v>8.3914364658676845</v>
      </c>
      <c r="DG27" s="305"/>
      <c r="DH27" s="305"/>
      <c r="DI27" s="305"/>
      <c r="DJ27" s="677">
        <f>PEG!AR224</f>
        <v>9.2502511015834905</v>
      </c>
      <c r="DL27" s="305"/>
      <c r="DM27" s="305"/>
      <c r="DN27" s="305"/>
      <c r="DO27" s="677">
        <f>PEG!AW224</f>
        <v>10.455825632672633</v>
      </c>
      <c r="DQ27" s="305"/>
      <c r="DR27" s="305"/>
      <c r="DS27" s="305"/>
      <c r="DT27" s="677">
        <f>PEG!BB224</f>
        <v>6.700005358843895</v>
      </c>
      <c r="DV27" s="305"/>
      <c r="DW27" s="305"/>
      <c r="DX27" s="305"/>
      <c r="DY27" s="677">
        <f>PEG!BG224</f>
        <v>6.0215459216423817</v>
      </c>
      <c r="EA27" s="305"/>
      <c r="EB27" s="305"/>
      <c r="EC27" s="305"/>
      <c r="ED27" s="677">
        <f>PEG!BL224</f>
        <v>5.5630375538836594</v>
      </c>
      <c r="EF27" s="305"/>
      <c r="EG27" s="305"/>
      <c r="EH27" s="305"/>
      <c r="EI27" s="677">
        <f>PEG!BQ224</f>
        <v>5.4695546519985978</v>
      </c>
    </row>
    <row r="28" spans="1:139">
      <c r="B28" s="683"/>
      <c r="C28" s="64" t="s">
        <v>100</v>
      </c>
      <c r="D28" s="652"/>
      <c r="E28" s="307"/>
      <c r="F28" s="307"/>
      <c r="G28" s="307"/>
      <c r="H28" s="307"/>
      <c r="I28" s="652"/>
      <c r="J28" s="307"/>
      <c r="K28" s="307"/>
      <c r="L28" s="307"/>
      <c r="M28" s="307"/>
      <c r="N28" s="652"/>
      <c r="O28" s="307"/>
      <c r="P28" s="307"/>
      <c r="Q28" s="307"/>
      <c r="R28" s="307"/>
      <c r="S28" s="652"/>
      <c r="T28" s="307"/>
      <c r="U28" s="307"/>
      <c r="V28" s="307"/>
      <c r="W28" s="307"/>
      <c r="X28" s="652"/>
      <c r="Y28" s="307"/>
      <c r="Z28" s="307"/>
      <c r="AA28" s="307"/>
      <c r="AB28" s="307"/>
      <c r="AC28" s="652"/>
      <c r="AD28" s="307"/>
      <c r="AE28" s="307"/>
      <c r="AF28" s="307"/>
      <c r="AG28" s="307"/>
      <c r="AH28" s="652"/>
      <c r="AI28" s="307"/>
      <c r="AJ28" s="307"/>
      <c r="AK28" s="307"/>
      <c r="AL28" s="307"/>
      <c r="AM28" s="652"/>
      <c r="AN28" s="307"/>
      <c r="AO28" s="307"/>
      <c r="AP28" s="307"/>
      <c r="AQ28" s="307"/>
      <c r="AR28" s="652"/>
      <c r="AS28" s="307"/>
      <c r="AT28" s="307"/>
      <c r="AU28" s="307"/>
      <c r="AV28" s="307"/>
      <c r="AW28" s="652"/>
      <c r="AX28" s="307"/>
      <c r="AY28" s="307"/>
      <c r="AZ28" s="307"/>
      <c r="BA28" s="307"/>
      <c r="BB28" s="652"/>
      <c r="BC28" s="307"/>
      <c r="BD28" s="307"/>
      <c r="BE28" s="307"/>
      <c r="BF28" s="307"/>
      <c r="BG28" s="652"/>
      <c r="BH28" s="307"/>
      <c r="BI28" s="307"/>
      <c r="BJ28" s="307"/>
      <c r="BK28" s="307"/>
      <c r="BL28" s="652"/>
      <c r="BM28" s="307"/>
      <c r="BN28" s="307"/>
      <c r="BO28" s="307"/>
      <c r="BP28" s="307"/>
      <c r="BQ28" s="652"/>
      <c r="BR28" s="47"/>
      <c r="BS28" s="47"/>
      <c r="BT28" s="47"/>
      <c r="BU28" s="305" t="s">
        <v>349</v>
      </c>
      <c r="BV28" s="305"/>
      <c r="CA28" s="677">
        <f>PEG!I225</f>
        <v>5.0018975332068312</v>
      </c>
      <c r="CF28" s="677">
        <f>PEG!N225</f>
        <v>5.5423728813559325</v>
      </c>
      <c r="CG28">
        <f>PEG!O225</f>
        <v>0</v>
      </c>
      <c r="CH28">
        <f>PEG!P225</f>
        <v>0</v>
      </c>
      <c r="CI28">
        <f>PEG!Q225</f>
        <v>0</v>
      </c>
      <c r="CJ28">
        <f>PEG!R225</f>
        <v>0</v>
      </c>
      <c r="CK28" s="677">
        <f>PEG!S225</f>
        <v>5.0189473684210526</v>
      </c>
      <c r="CL28">
        <f>PEG!T225</f>
        <v>0</v>
      </c>
      <c r="CM28">
        <f>PEG!U225</f>
        <v>0</v>
      </c>
      <c r="CN28">
        <f>PEG!V225</f>
        <v>0</v>
      </c>
      <c r="CO28">
        <f>PEG!W225</f>
        <v>0</v>
      </c>
      <c r="CP28" s="677">
        <f>PEG!X225</f>
        <v>4.7541371158392431</v>
      </c>
      <c r="CU28" s="677">
        <f>PEG!AC225</f>
        <v>5.1119402985074629</v>
      </c>
      <c r="CZ28" s="677">
        <f>PEG!AH225</f>
        <v>6.3136246786632393</v>
      </c>
      <c r="DE28" s="677">
        <f>PEG!AM225</f>
        <v>6.8193384223918576</v>
      </c>
      <c r="DJ28" s="677">
        <f>PEG!AR225</f>
        <v>3.3714285714285714</v>
      </c>
      <c r="DO28" s="677">
        <f>PEG!AW225</f>
        <v>3.2429667519181584</v>
      </c>
      <c r="DT28" s="677">
        <f>PEG!BB225</f>
        <v>4.2596072214958509</v>
      </c>
      <c r="DY28" s="677">
        <f>PEG!BG225</f>
        <v>3.7148741927060103</v>
      </c>
      <c r="ED28" s="677">
        <f>PEG!BL225</f>
        <v>3.3699445098229672</v>
      </c>
      <c r="EI28" s="677">
        <f>PEG!BQ225</f>
        <v>3.4045267078065642</v>
      </c>
    </row>
    <row r="29" spans="1:139">
      <c r="B29" s="683"/>
      <c r="C29" s="305" t="s">
        <v>509</v>
      </c>
      <c r="D29" s="47"/>
      <c r="E29" s="669"/>
      <c r="F29" s="669"/>
      <c r="G29" s="669"/>
      <c r="H29" s="669"/>
      <c r="I29" s="670">
        <f>SUM(I22)/I25</f>
        <v>0.36740814796300925</v>
      </c>
      <c r="J29" s="669"/>
      <c r="K29" s="669"/>
      <c r="L29" s="669"/>
      <c r="M29" s="669"/>
      <c r="N29" s="670">
        <f>SUM(N22)/N25</f>
        <v>0.410091516200841</v>
      </c>
      <c r="O29" s="669"/>
      <c r="P29" s="669"/>
      <c r="Q29" s="669"/>
      <c r="R29" s="669"/>
      <c r="S29" s="670">
        <f>SUM(S22)/S25</f>
        <v>0.49282920469361147</v>
      </c>
      <c r="T29" s="669"/>
      <c r="U29" s="669"/>
      <c r="V29" s="669"/>
      <c r="W29" s="669"/>
      <c r="X29" s="670">
        <f>SUM(X22)/X25</f>
        <v>0.54701834862385323</v>
      </c>
      <c r="Y29" s="669"/>
      <c r="Z29" s="669"/>
      <c r="AA29" s="669"/>
      <c r="AB29" s="669"/>
      <c r="AC29" s="670">
        <f>SUM(AC22)/AC25</f>
        <v>0.59367262723521319</v>
      </c>
      <c r="AD29" s="669"/>
      <c r="AE29" s="669"/>
      <c r="AF29" s="669"/>
      <c r="AG29" s="669"/>
      <c r="AH29" s="670">
        <f>SUM(AH22)/AH25</f>
        <v>0.5788310412573674</v>
      </c>
      <c r="AI29" s="669"/>
      <c r="AJ29" s="669"/>
      <c r="AK29" s="669"/>
      <c r="AL29" s="669"/>
      <c r="AM29" s="670">
        <f>SUM(AM22)/AM25</f>
        <v>0.56659668766036853</v>
      </c>
      <c r="AN29" s="669"/>
      <c r="AO29" s="669"/>
      <c r="AP29" s="669"/>
      <c r="AQ29" s="669"/>
      <c r="AR29" s="670">
        <f>SUM(AR22)/AR25</f>
        <v>0.71478315922760371</v>
      </c>
      <c r="AS29" s="669"/>
      <c r="AT29" s="669"/>
      <c r="AU29" s="669"/>
      <c r="AV29" s="669"/>
      <c r="AW29" s="670">
        <f>SUM(AW22)/AW25</f>
        <v>0.69245541838134428</v>
      </c>
      <c r="AX29" s="669"/>
      <c r="AY29" s="669"/>
      <c r="AZ29" s="669"/>
      <c r="BA29" s="669"/>
      <c r="BB29" s="670">
        <f>SUM(BB22)/BB25</f>
        <v>0.65765142547668431</v>
      </c>
      <c r="BC29" s="669"/>
      <c r="BD29" s="669"/>
      <c r="BE29" s="669"/>
      <c r="BF29" s="669"/>
      <c r="BG29" s="670">
        <f>SUM(BG22)/BG25</f>
        <v>0.68194689412492215</v>
      </c>
      <c r="BH29" s="669"/>
      <c r="BI29" s="669"/>
      <c r="BJ29" s="669"/>
      <c r="BK29" s="669"/>
      <c r="BL29" s="670">
        <f>SUM(BL22)/BL25</f>
        <v>0.69800850747141174</v>
      </c>
      <c r="BM29" s="669"/>
      <c r="BN29" s="669"/>
      <c r="BO29" s="669"/>
      <c r="BP29" s="669"/>
      <c r="BQ29" s="670">
        <f>SUM(BQ22)/BQ25</f>
        <v>0.68154892642955245</v>
      </c>
      <c r="BR29" s="47"/>
      <c r="BS29" s="47"/>
      <c r="BT29" s="47"/>
      <c r="BU29" s="47"/>
      <c r="BV29" s="47"/>
      <c r="CA29" s="47"/>
      <c r="CF29" s="47"/>
      <c r="CK29" s="47"/>
      <c r="CP29" s="47"/>
      <c r="CU29" s="47"/>
      <c r="CZ29" s="47"/>
      <c r="DE29" s="47"/>
      <c r="DJ29" s="47"/>
      <c r="DO29" s="47"/>
      <c r="DT29" s="47"/>
      <c r="DY29" s="47"/>
      <c r="ED29" s="47"/>
      <c r="EI29" s="47"/>
    </row>
    <row r="30" spans="1:139">
      <c r="B30" s="672"/>
      <c r="C30" s="47" t="s">
        <v>399</v>
      </c>
      <c r="D30" s="47"/>
      <c r="E30" s="669"/>
      <c r="F30" s="669"/>
      <c r="G30" s="669"/>
      <c r="H30" s="669"/>
      <c r="I30" s="670">
        <f>(I23+I24)/I25</f>
        <v>0.63259185203699075</v>
      </c>
      <c r="J30" s="669"/>
      <c r="K30" s="669"/>
      <c r="L30" s="669"/>
      <c r="M30" s="669"/>
      <c r="N30" s="670">
        <f>(N23+N24)/N25</f>
        <v>0.58990848379915894</v>
      </c>
      <c r="O30" s="669"/>
      <c r="P30" s="669"/>
      <c r="Q30" s="669"/>
      <c r="R30" s="669"/>
      <c r="S30" s="670">
        <f>(S23+S24)/S25</f>
        <v>0.50717079530638853</v>
      </c>
      <c r="T30" s="669"/>
      <c r="U30" s="669"/>
      <c r="V30" s="669"/>
      <c r="W30" s="669"/>
      <c r="X30" s="670">
        <f>(X23+X24)/X25</f>
        <v>0.45298165137614671</v>
      </c>
      <c r="Y30" s="669"/>
      <c r="Z30" s="669"/>
      <c r="AA30" s="669"/>
      <c r="AB30" s="669"/>
      <c r="AC30" s="670">
        <f>(AC23+AC24)/AC25</f>
        <v>0.40632737276478681</v>
      </c>
      <c r="AD30" s="669"/>
      <c r="AE30" s="669"/>
      <c r="AF30" s="669"/>
      <c r="AG30" s="669"/>
      <c r="AH30" s="670">
        <f>(AH23+AH24)/AH25</f>
        <v>0.4211689587426326</v>
      </c>
      <c r="AI30" s="669"/>
      <c r="AJ30" s="669"/>
      <c r="AK30" s="669"/>
      <c r="AL30" s="669"/>
      <c r="AM30" s="670">
        <f>(AM23+AM24)/AM25</f>
        <v>0.43340331233963142</v>
      </c>
      <c r="AN30" s="669"/>
      <c r="AO30" s="669"/>
      <c r="AP30" s="669"/>
      <c r="AQ30" s="669"/>
      <c r="AR30" s="670">
        <f>(AR23+AR24)/AR25</f>
        <v>0.28521684077239634</v>
      </c>
      <c r="AS30" s="669"/>
      <c r="AT30" s="669"/>
      <c r="AU30" s="669"/>
      <c r="AV30" s="669"/>
      <c r="AW30" s="670">
        <f>(AW23+AW24)/AW25</f>
        <v>0.30754458161865561</v>
      </c>
      <c r="AX30" s="669"/>
      <c r="AY30" s="669"/>
      <c r="AZ30" s="669"/>
      <c r="BA30" s="669"/>
      <c r="BB30" s="670">
        <f>(BB23+BB24)/BB25</f>
        <v>0.34234857452331563</v>
      </c>
      <c r="BC30" s="669"/>
      <c r="BD30" s="669"/>
      <c r="BE30" s="669"/>
      <c r="BF30" s="669"/>
      <c r="BG30" s="670">
        <f>(BG23+BG24)/BG25</f>
        <v>0.3180531058750779</v>
      </c>
      <c r="BH30" s="669"/>
      <c r="BI30" s="669"/>
      <c r="BJ30" s="669"/>
      <c r="BK30" s="669"/>
      <c r="BL30" s="670">
        <f>(BL23+BL24)/BL25</f>
        <v>0.30199149252858831</v>
      </c>
      <c r="BM30" s="669"/>
      <c r="BN30" s="669"/>
      <c r="BO30" s="669"/>
      <c r="BP30" s="669"/>
      <c r="BQ30" s="670">
        <f>(BQ23+BQ24)/BQ25</f>
        <v>0.31845107357044761</v>
      </c>
      <c r="BR30" s="47"/>
      <c r="BS30" s="47"/>
      <c r="BT30" s="47"/>
      <c r="BU30" s="47"/>
      <c r="BV30" s="47"/>
      <c r="CA30" s="47"/>
      <c r="CF30" s="47"/>
      <c r="CK30" s="47"/>
      <c r="CP30" s="47"/>
      <c r="CU30" s="47"/>
      <c r="CZ30" s="47"/>
      <c r="DE30" s="47"/>
      <c r="DJ30" s="47"/>
      <c r="DO30" s="47"/>
      <c r="DT30" s="47"/>
      <c r="DY30" s="47"/>
      <c r="ED30" s="47"/>
      <c r="EI30" s="47"/>
    </row>
    <row r="31" spans="1:139">
      <c r="B31" s="47"/>
      <c r="C31" s="672" t="s">
        <v>98</v>
      </c>
      <c r="D31" s="47"/>
      <c r="E31" s="669"/>
      <c r="F31" s="669"/>
      <c r="G31" s="669"/>
      <c r="H31" s="669"/>
      <c r="I31" s="670">
        <v>0</v>
      </c>
      <c r="J31" s="669"/>
      <c r="K31" s="669"/>
      <c r="L31" s="669"/>
      <c r="M31" s="669"/>
      <c r="N31" s="670">
        <v>0</v>
      </c>
      <c r="O31" s="669"/>
      <c r="P31" s="669"/>
      <c r="Q31" s="669"/>
      <c r="R31" s="669"/>
      <c r="S31" s="670">
        <v>0</v>
      </c>
      <c r="T31" s="669"/>
      <c r="U31" s="669"/>
      <c r="V31" s="669"/>
      <c r="W31" s="669"/>
      <c r="X31" s="670">
        <v>0</v>
      </c>
      <c r="Y31" s="669"/>
      <c r="Z31" s="669"/>
      <c r="AA31" s="669"/>
      <c r="AB31" s="669"/>
      <c r="AC31" s="670">
        <v>0</v>
      </c>
      <c r="AD31" s="669"/>
      <c r="AE31" s="669"/>
      <c r="AF31" s="669"/>
      <c r="AG31" s="669"/>
      <c r="AH31" s="670">
        <v>0</v>
      </c>
      <c r="AI31" s="669"/>
      <c r="AJ31" s="669"/>
      <c r="AK31" s="669"/>
      <c r="AL31" s="669"/>
      <c r="AM31" s="670">
        <v>0</v>
      </c>
      <c r="AN31" s="669"/>
      <c r="AO31" s="669"/>
      <c r="AP31" s="669"/>
      <c r="AQ31" s="669"/>
      <c r="AR31" s="670">
        <v>0</v>
      </c>
      <c r="AS31" s="669"/>
      <c r="AT31" s="669"/>
      <c r="AU31" s="669"/>
      <c r="AV31" s="669"/>
      <c r="AW31" s="670">
        <v>0</v>
      </c>
      <c r="AX31" s="669"/>
      <c r="AY31" s="669"/>
      <c r="AZ31" s="669"/>
      <c r="BA31" s="669"/>
      <c r="BB31" s="670">
        <v>0</v>
      </c>
      <c r="BC31" s="669"/>
      <c r="BD31" s="669"/>
      <c r="BE31" s="669"/>
      <c r="BF31" s="669"/>
      <c r="BG31" s="670">
        <v>0</v>
      </c>
      <c r="BH31" s="669"/>
      <c r="BI31" s="669"/>
      <c r="BJ31" s="669"/>
      <c r="BK31" s="669"/>
      <c r="BL31" s="670">
        <v>0</v>
      </c>
      <c r="BM31" s="669"/>
      <c r="BN31" s="669"/>
      <c r="BO31" s="669"/>
      <c r="BP31" s="669"/>
      <c r="BQ31" s="670">
        <v>0</v>
      </c>
      <c r="BR31" s="47"/>
      <c r="BS31" s="47"/>
      <c r="BT31" s="47"/>
      <c r="BU31" s="47"/>
      <c r="BV31" s="47"/>
      <c r="CA31" s="47"/>
      <c r="CF31" s="47"/>
      <c r="CK31" s="47"/>
      <c r="CP31" s="47"/>
      <c r="CU31" s="47"/>
      <c r="CZ31" s="47"/>
      <c r="DE31" s="47"/>
      <c r="DJ31" s="47"/>
      <c r="DO31" s="47"/>
      <c r="DT31" s="47"/>
      <c r="DY31" s="47"/>
      <c r="ED31" s="47"/>
      <c r="EI31" s="47"/>
    </row>
    <row r="32" spans="1:139">
      <c r="BR32" s="47"/>
      <c r="BS32" s="47"/>
      <c r="BT32" s="47"/>
      <c r="BU32" s="47"/>
      <c r="BV32" s="47"/>
      <c r="CA32" s="47"/>
      <c r="CF32" s="47"/>
      <c r="CK32" s="47"/>
      <c r="CP32" s="47"/>
      <c r="CU32" s="47"/>
      <c r="CZ32" s="47"/>
      <c r="DE32" s="47"/>
      <c r="DJ32" s="47"/>
      <c r="DO32" s="47"/>
      <c r="DT32" s="47"/>
      <c r="DY32" s="47"/>
      <c r="ED32" s="47"/>
      <c r="EI32" s="47"/>
    </row>
    <row r="33" spans="2:139">
      <c r="B33" s="47"/>
      <c r="C33" s="47"/>
      <c r="D33" s="47"/>
      <c r="I33" s="47"/>
      <c r="N33" s="47"/>
      <c r="S33" s="47"/>
      <c r="X33" s="47"/>
      <c r="AC33" s="47"/>
      <c r="AH33" s="47"/>
      <c r="AM33" s="47"/>
      <c r="AR33" s="47"/>
      <c r="AW33" s="47"/>
      <c r="BB33" s="47"/>
      <c r="BG33" s="47"/>
      <c r="BL33" s="47"/>
      <c r="BQ33" s="47"/>
      <c r="BR33" s="47"/>
      <c r="BS33" s="47"/>
      <c r="BT33" s="47"/>
      <c r="BU33" s="47"/>
      <c r="BV33" s="47"/>
      <c r="CA33" s="47"/>
      <c r="CF33" s="47"/>
      <c r="CK33" s="47"/>
      <c r="CP33" s="47"/>
      <c r="CU33" s="47"/>
      <c r="CZ33" s="47"/>
      <c r="DE33" s="47"/>
      <c r="DJ33" s="47"/>
      <c r="DO33" s="47"/>
      <c r="DT33" s="47"/>
      <c r="DY33" s="47"/>
      <c r="ED33" s="47"/>
      <c r="EI33" s="47"/>
    </row>
    <row r="34" spans="2:139">
      <c r="B34" s="47"/>
      <c r="C34" s="47"/>
      <c r="D34" s="47"/>
      <c r="I34" s="47"/>
      <c r="N34" s="47"/>
      <c r="S34" s="47"/>
      <c r="X34" s="47"/>
      <c r="AC34" s="47"/>
      <c r="AH34" s="47"/>
      <c r="AM34" s="47"/>
      <c r="AR34" s="47"/>
      <c r="AW34" s="47"/>
      <c r="BB34" s="47"/>
      <c r="BG34" s="47"/>
      <c r="BL34" s="47"/>
      <c r="BQ34" s="47"/>
      <c r="BR34" s="47"/>
      <c r="BS34" s="47"/>
      <c r="BT34" s="47"/>
      <c r="BU34" s="47"/>
      <c r="BV34" s="47"/>
      <c r="CA34" s="47"/>
      <c r="CF34" s="47"/>
      <c r="CK34" s="47"/>
      <c r="CP34" s="47"/>
      <c r="CU34" s="47"/>
      <c r="CZ34" s="47"/>
      <c r="DE34" s="47"/>
      <c r="DJ34" s="47"/>
      <c r="DO34" s="47"/>
      <c r="DT34" s="47"/>
      <c r="DY34" s="47"/>
      <c r="ED34" s="47"/>
      <c r="EI34" s="47"/>
    </row>
    <row r="35" spans="2:139">
      <c r="B35" s="304" t="s">
        <v>101</v>
      </c>
      <c r="C35" s="304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  <c r="AZ35" s="106"/>
      <c r="BA35" s="106"/>
      <c r="BB35" s="106"/>
      <c r="BC35" s="106"/>
      <c r="BD35" s="106"/>
      <c r="BE35" s="106"/>
      <c r="BF35" s="106"/>
      <c r="BG35" s="106"/>
      <c r="BH35" s="106"/>
      <c r="BI35" s="106"/>
      <c r="BJ35" s="106"/>
      <c r="BK35" s="106"/>
      <c r="BL35" s="106"/>
      <c r="BM35" s="106"/>
      <c r="BN35" s="106"/>
      <c r="BO35" s="106"/>
      <c r="BP35" s="106"/>
      <c r="BQ35" s="106"/>
      <c r="BR35" s="47"/>
      <c r="BS35" s="47"/>
      <c r="BT35" s="304" t="s">
        <v>102</v>
      </c>
      <c r="BU35" s="304"/>
      <c r="BV35" s="106"/>
      <c r="BW35" s="106"/>
      <c r="BX35" s="106"/>
      <c r="BY35" s="106"/>
      <c r="BZ35" s="106"/>
      <c r="CA35" s="106"/>
      <c r="CB35" s="106"/>
      <c r="CC35" s="106"/>
      <c r="CD35" s="106"/>
      <c r="CE35" s="106"/>
      <c r="CF35" s="106"/>
      <c r="CG35" s="106"/>
      <c r="CH35" s="106"/>
      <c r="CI35" s="106"/>
      <c r="CJ35" s="106"/>
      <c r="CK35" s="106"/>
      <c r="CL35" s="106"/>
      <c r="CM35" s="106"/>
      <c r="CN35" s="106"/>
      <c r="CO35" s="106"/>
      <c r="CP35" s="106"/>
      <c r="CQ35" s="106"/>
      <c r="CR35" s="106"/>
      <c r="CS35" s="106"/>
      <c r="CT35" s="106"/>
      <c r="CU35" s="106"/>
      <c r="CV35" s="106"/>
      <c r="CW35" s="106"/>
      <c r="CX35" s="106"/>
      <c r="CY35" s="106"/>
      <c r="CZ35" s="106"/>
      <c r="DA35" s="106"/>
      <c r="DB35" s="106"/>
      <c r="DC35" s="106"/>
      <c r="DD35" s="106"/>
      <c r="DE35" s="106"/>
      <c r="DF35" s="106"/>
      <c r="DG35" s="106"/>
      <c r="DH35" s="106"/>
      <c r="DI35" s="106"/>
      <c r="DJ35" s="106"/>
      <c r="DK35" s="106"/>
      <c r="DL35" s="106"/>
      <c r="DM35" s="106"/>
      <c r="DN35" s="106"/>
      <c r="DO35" s="106"/>
      <c r="DP35" s="106"/>
      <c r="DQ35" s="106"/>
      <c r="DR35" s="106"/>
      <c r="DS35" s="106"/>
      <c r="DT35" s="106"/>
      <c r="DU35" s="106"/>
      <c r="DV35" s="106"/>
      <c r="DW35" s="106"/>
      <c r="DX35" s="106"/>
      <c r="DY35" s="106"/>
      <c r="DZ35" s="106"/>
      <c r="EA35" s="106"/>
      <c r="EB35" s="106"/>
      <c r="EC35" s="106"/>
      <c r="ED35" s="106"/>
      <c r="EE35" s="106"/>
      <c r="EF35" s="106"/>
      <c r="EG35" s="106"/>
      <c r="EH35" s="106"/>
      <c r="EI35" s="106"/>
    </row>
    <row r="36" spans="2:139">
      <c r="B36" s="643"/>
      <c r="C36" s="305"/>
      <c r="D36" s="47"/>
      <c r="E36" s="684"/>
      <c r="F36" s="684"/>
      <c r="G36" s="684"/>
      <c r="H36" s="684"/>
      <c r="I36" s="685"/>
      <c r="J36" s="684"/>
      <c r="K36" s="684"/>
      <c r="L36" s="684"/>
      <c r="M36" s="684"/>
      <c r="N36" s="685"/>
      <c r="O36" s="684"/>
      <c r="P36" s="684"/>
      <c r="Q36" s="684"/>
      <c r="R36" s="684"/>
      <c r="S36" s="685"/>
      <c r="T36" s="684"/>
      <c r="U36" s="684"/>
      <c r="V36" s="684"/>
      <c r="W36" s="684"/>
      <c r="X36" s="685"/>
      <c r="Y36" s="684"/>
      <c r="Z36" s="684"/>
      <c r="AA36" s="684"/>
      <c r="AB36" s="684"/>
      <c r="AC36" s="685"/>
      <c r="AD36" s="684"/>
      <c r="AE36" s="684"/>
      <c r="AF36" s="684"/>
      <c r="AG36" s="684"/>
      <c r="AH36" s="685"/>
      <c r="AI36" s="684"/>
      <c r="AJ36" s="684"/>
      <c r="AK36" s="684"/>
      <c r="AL36" s="684"/>
      <c r="AM36" s="685"/>
      <c r="AN36" s="684"/>
      <c r="AO36" s="684"/>
      <c r="AP36" s="684"/>
      <c r="AQ36" s="684"/>
      <c r="AR36" s="685"/>
      <c r="AS36" s="684"/>
      <c r="AT36" s="684"/>
      <c r="AU36" s="684"/>
      <c r="AV36" s="684"/>
      <c r="AW36" s="685"/>
      <c r="AX36" s="684"/>
      <c r="AY36" s="684"/>
      <c r="AZ36" s="684"/>
      <c r="BA36" s="684"/>
      <c r="BB36" s="685"/>
      <c r="BC36" s="684"/>
      <c r="BD36" s="684"/>
      <c r="BE36" s="684"/>
      <c r="BF36" s="684"/>
      <c r="BG36" s="685"/>
      <c r="BH36" s="684"/>
      <c r="BI36" s="684"/>
      <c r="BJ36" s="684"/>
      <c r="BK36" s="684"/>
      <c r="BL36" s="685"/>
      <c r="BM36" s="684"/>
      <c r="BN36" s="684"/>
      <c r="BO36" s="684"/>
      <c r="BP36" s="684"/>
      <c r="BQ36" s="685"/>
      <c r="BR36" s="47"/>
      <c r="BS36" s="47"/>
      <c r="BT36" s="643"/>
      <c r="BU36" s="686"/>
      <c r="BV36" s="47"/>
      <c r="BW36" s="29"/>
      <c r="BX36" s="29"/>
      <c r="BY36" s="29"/>
      <c r="BZ36" s="29"/>
      <c r="CA36" s="659"/>
      <c r="CB36" s="29"/>
      <c r="CC36" s="29"/>
      <c r="CD36" s="29"/>
      <c r="CE36" s="29"/>
      <c r="CF36" s="659"/>
      <c r="CG36" s="29"/>
      <c r="CH36" s="29"/>
      <c r="CI36" s="29"/>
      <c r="CJ36" s="29"/>
      <c r="CK36" s="659"/>
      <c r="CL36" s="29"/>
      <c r="CM36" s="29"/>
      <c r="CN36" s="29"/>
      <c r="CO36" s="29"/>
      <c r="CP36" s="659"/>
      <c r="CQ36" s="29"/>
      <c r="CR36" s="29"/>
      <c r="CS36" s="29"/>
      <c r="CT36" s="29"/>
      <c r="CU36" s="659"/>
      <c r="CV36" s="29"/>
      <c r="CW36" s="29"/>
      <c r="CX36" s="29"/>
      <c r="CY36" s="29"/>
      <c r="CZ36" s="659"/>
      <c r="DA36" s="29"/>
      <c r="DB36" s="29"/>
      <c r="DC36" s="29"/>
      <c r="DD36" s="29"/>
      <c r="DE36" s="659"/>
      <c r="DF36" s="29"/>
      <c r="DG36" s="29"/>
      <c r="DH36" s="29"/>
      <c r="DI36" s="29"/>
      <c r="DJ36" s="659"/>
      <c r="DK36" s="29"/>
      <c r="DL36" s="29"/>
      <c r="DM36" s="29"/>
      <c r="DN36" s="29"/>
      <c r="DO36" s="659"/>
      <c r="DP36" s="29"/>
      <c r="DQ36" s="29"/>
      <c r="DR36" s="29"/>
      <c r="DS36" s="29"/>
      <c r="DT36" s="659"/>
      <c r="DU36" s="29"/>
      <c r="DV36" s="29"/>
      <c r="DW36" s="29"/>
      <c r="DX36" s="29"/>
      <c r="DY36" s="659"/>
      <c r="DZ36" s="29"/>
      <c r="EA36" s="29"/>
      <c r="EB36" s="29"/>
      <c r="EC36" s="29"/>
      <c r="ED36" s="659"/>
      <c r="EE36" s="29"/>
      <c r="EF36" s="29"/>
      <c r="EG36" s="29"/>
      <c r="EH36" s="29"/>
      <c r="EI36" s="659"/>
    </row>
    <row r="37" spans="2:139">
      <c r="B37" s="643"/>
      <c r="C37" s="687" t="s">
        <v>103</v>
      </c>
      <c r="D37" s="47"/>
      <c r="E37" s="688">
        <v>0</v>
      </c>
      <c r="F37" s="688">
        <v>0</v>
      </c>
      <c r="G37" s="688">
        <v>0</v>
      </c>
      <c r="H37" s="688">
        <v>0</v>
      </c>
      <c r="I37" s="688">
        <f>PEG!I54</f>
        <v>1.33</v>
      </c>
      <c r="J37" s="688"/>
      <c r="K37" s="688"/>
      <c r="L37" s="688"/>
      <c r="M37" s="688"/>
      <c r="N37" s="688">
        <f>PEG!N54</f>
        <v>1.37</v>
      </c>
      <c r="O37" s="688"/>
      <c r="P37" s="688"/>
      <c r="Q37" s="688"/>
      <c r="R37" s="688"/>
      <c r="S37" s="688">
        <f>PEG!S54</f>
        <v>1.37</v>
      </c>
      <c r="T37" s="688"/>
      <c r="U37" s="688"/>
      <c r="V37" s="688"/>
      <c r="W37" s="688"/>
      <c r="X37" s="688">
        <f>PEG!X54</f>
        <v>1.42</v>
      </c>
      <c r="Y37" s="688"/>
      <c r="Z37" s="688"/>
      <c r="AA37" s="688"/>
      <c r="AB37" s="688"/>
      <c r="AC37" s="688">
        <f>PEG!AC54</f>
        <v>1.44</v>
      </c>
      <c r="AD37" s="688"/>
      <c r="AE37" s="688"/>
      <c r="AF37" s="688"/>
      <c r="AG37" s="688"/>
      <c r="AH37" s="688">
        <f>PEG!AH54</f>
        <v>1.48</v>
      </c>
      <c r="AI37" s="688"/>
      <c r="AJ37" s="688"/>
      <c r="AK37" s="688"/>
      <c r="AL37" s="688"/>
      <c r="AM37" s="688">
        <f>PEG!AM54</f>
        <v>1.56</v>
      </c>
      <c r="AN37" s="688"/>
      <c r="AO37" s="688"/>
      <c r="AP37" s="688"/>
      <c r="AQ37" s="688"/>
      <c r="AR37" s="688">
        <f>PEG!AR54</f>
        <v>1.64</v>
      </c>
      <c r="AS37" s="688"/>
      <c r="AT37" s="688"/>
      <c r="AU37" s="688"/>
      <c r="AV37" s="688"/>
      <c r="AW37" s="688">
        <f>PEG!AW54</f>
        <v>1.72</v>
      </c>
      <c r="AX37" s="688"/>
      <c r="AY37" s="688"/>
      <c r="AZ37" s="688"/>
      <c r="BA37" s="688"/>
      <c r="BB37" s="688">
        <f>PEG!BB54</f>
        <v>1.7973999999999999</v>
      </c>
      <c r="BC37" s="688"/>
      <c r="BD37" s="688"/>
      <c r="BE37" s="688"/>
      <c r="BF37" s="688"/>
      <c r="BG37" s="688">
        <f>PEG!BG54</f>
        <v>1.8782829999999997</v>
      </c>
      <c r="BH37" s="688"/>
      <c r="BI37" s="688"/>
      <c r="BJ37" s="688"/>
      <c r="BK37" s="688"/>
      <c r="BL37" s="688">
        <f>PEG!BL54</f>
        <v>1.9628057349999997</v>
      </c>
      <c r="BM37" s="688"/>
      <c r="BN37" s="688"/>
      <c r="BO37" s="688"/>
      <c r="BP37" s="688"/>
      <c r="BQ37" s="688">
        <f>PEG!BQ54</f>
        <v>2.0511319930749994</v>
      </c>
      <c r="BR37" s="47"/>
      <c r="BS37" s="47"/>
      <c r="BT37" s="643"/>
      <c r="BU37" s="64" t="s">
        <v>104</v>
      </c>
      <c r="BV37" s="47"/>
      <c r="CA37" s="47"/>
      <c r="CF37" s="47"/>
      <c r="CK37" s="47"/>
      <c r="CP37" s="47"/>
      <c r="CU37" s="47"/>
      <c r="CZ37" s="47"/>
      <c r="DE37" s="47"/>
      <c r="DJ37" s="47"/>
      <c r="DO37" s="47"/>
      <c r="DT37" s="47"/>
      <c r="DY37" s="47"/>
      <c r="ED37" s="47"/>
      <c r="EI37" s="47"/>
    </row>
    <row r="38" spans="2:139">
      <c r="B38" s="643"/>
      <c r="C38" s="686" t="s">
        <v>557</v>
      </c>
      <c r="D38" s="47"/>
      <c r="E38" s="689"/>
      <c r="F38" s="689"/>
      <c r="G38" s="689"/>
      <c r="H38" s="689"/>
      <c r="I38" s="690">
        <f>I37/$N$60</f>
        <v>2.690129449838188E-2</v>
      </c>
      <c r="J38" s="689"/>
      <c r="K38" s="689"/>
      <c r="L38" s="689"/>
      <c r="M38" s="689"/>
      <c r="N38" s="690">
        <f>N37/$N$60</f>
        <v>2.771035598705502E-2</v>
      </c>
      <c r="O38" s="689"/>
      <c r="P38" s="689"/>
      <c r="Q38" s="689"/>
      <c r="R38" s="689"/>
      <c r="S38" s="690">
        <f>+S37/S60</f>
        <v>2.771035598705502E-2</v>
      </c>
      <c r="T38" s="689"/>
      <c r="U38" s="689"/>
      <c r="V38" s="689"/>
      <c r="W38" s="689"/>
      <c r="X38" s="690">
        <f>+X37/X60</f>
        <v>2.8721682847896439E-2</v>
      </c>
      <c r="Y38" s="689"/>
      <c r="Z38" s="689"/>
      <c r="AA38" s="689"/>
      <c r="AB38" s="689"/>
      <c r="AC38" s="690">
        <f>+AC37/AC60</f>
        <v>2.9126213592233011E-2</v>
      </c>
      <c r="AD38" s="689"/>
      <c r="AE38" s="689"/>
      <c r="AF38" s="689"/>
      <c r="AG38" s="689"/>
      <c r="AH38" s="690">
        <f>+AH37/AH60</f>
        <v>2.9935275080906151E-2</v>
      </c>
      <c r="AI38" s="689"/>
      <c r="AJ38" s="689"/>
      <c r="AK38" s="689"/>
      <c r="AL38" s="689"/>
      <c r="AM38" s="690">
        <f>+AM37/AM60</f>
        <v>3.1553398058252427E-2</v>
      </c>
      <c r="AN38" s="689"/>
      <c r="AO38" s="689"/>
      <c r="AP38" s="689"/>
      <c r="AQ38" s="689"/>
      <c r="AR38" s="690">
        <f>+AR37/AR60</f>
        <v>3.3171521035598707E-2</v>
      </c>
      <c r="AS38" s="689"/>
      <c r="AT38" s="689"/>
      <c r="AU38" s="689"/>
      <c r="AV38" s="689"/>
      <c r="AW38" s="690">
        <f>+AW37/AW60</f>
        <v>3.4789644012944987E-2</v>
      </c>
      <c r="AX38" s="689"/>
      <c r="AY38" s="689"/>
      <c r="AZ38" s="689"/>
      <c r="BA38" s="689"/>
      <c r="BB38" s="690">
        <f>+BB37/BB60</f>
        <v>3.6355177993527506E-2</v>
      </c>
      <c r="BC38" s="689"/>
      <c r="BD38" s="689"/>
      <c r="BE38" s="689"/>
      <c r="BF38" s="689"/>
      <c r="BG38" s="690">
        <f>+BG37/BG60</f>
        <v>3.799116100323624E-2</v>
      </c>
      <c r="BH38" s="689"/>
      <c r="BI38" s="689"/>
      <c r="BJ38" s="689"/>
      <c r="BK38" s="689"/>
      <c r="BL38" s="690">
        <f>+BL37/BL60</f>
        <v>3.9700763248381871E-2</v>
      </c>
      <c r="BM38" s="689"/>
      <c r="BN38" s="689"/>
      <c r="BO38" s="689"/>
      <c r="BP38" s="689"/>
      <c r="BQ38" s="690">
        <f>+BQ37/BQ60</f>
        <v>4.1487297594559054E-2</v>
      </c>
      <c r="BR38" s="47"/>
      <c r="BS38" s="47"/>
      <c r="BT38" s="643"/>
      <c r="BU38" s="305" t="s">
        <v>509</v>
      </c>
      <c r="BV38" s="47"/>
      <c r="BW38" s="674"/>
      <c r="BX38" s="674"/>
      <c r="BY38" s="674"/>
      <c r="BZ38" s="674"/>
      <c r="CA38" s="679">
        <f>'PSE&amp;G'!I194</f>
        <v>957</v>
      </c>
      <c r="CB38" s="679"/>
      <c r="CC38" s="679"/>
      <c r="CD38" s="679"/>
      <c r="CE38" s="679"/>
      <c r="CF38" s="679">
        <f>'PSE&amp;G'!N194</f>
        <v>1011</v>
      </c>
      <c r="CG38" s="679">
        <f>'PSE&amp;G'!O194</f>
        <v>157</v>
      </c>
      <c r="CH38" s="679">
        <f>'PSE&amp;G'!P194</f>
        <v>122</v>
      </c>
      <c r="CI38" s="679">
        <f>'PSE&amp;G'!Q194</f>
        <v>593</v>
      </c>
      <c r="CJ38" s="679">
        <f>'PSE&amp;G'!R194</f>
        <v>904</v>
      </c>
      <c r="CK38" s="679">
        <f>'PSE&amp;G'!S194</f>
        <v>1776</v>
      </c>
      <c r="CL38" s="679">
        <f>'PSE&amp;G'!T194</f>
        <v>366</v>
      </c>
      <c r="CM38" s="679">
        <f>'PSE&amp;G'!U194</f>
        <v>93</v>
      </c>
      <c r="CN38" s="679">
        <f>'PSE&amp;G'!V194</f>
        <v>582</v>
      </c>
      <c r="CO38" s="679">
        <f>'PSE&amp;G'!W194</f>
        <v>215</v>
      </c>
      <c r="CP38" s="679">
        <f>'PSE&amp;G'!X194</f>
        <v>1256</v>
      </c>
      <c r="CQ38" s="679"/>
      <c r="CR38" s="679"/>
      <c r="CS38" s="679"/>
      <c r="CT38" s="679"/>
      <c r="CU38" s="679">
        <f>'PSE&amp;G'!AC194</f>
        <v>1645</v>
      </c>
      <c r="CV38" s="679"/>
      <c r="CW38" s="679"/>
      <c r="CX38" s="679"/>
      <c r="CY38" s="679"/>
      <c r="CZ38" s="679">
        <f>'PSE&amp;G'!AH194</f>
        <v>1833</v>
      </c>
      <c r="DA38" s="679"/>
      <c r="DB38" s="679"/>
      <c r="DC38" s="679"/>
      <c r="DD38" s="679"/>
      <c r="DE38" s="679">
        <f>'PSE&amp;G'!AM194</f>
        <v>2125</v>
      </c>
      <c r="DF38" s="679"/>
      <c r="DG38" s="679"/>
      <c r="DH38" s="679"/>
      <c r="DI38" s="679"/>
      <c r="DJ38" s="679">
        <f>'PSE&amp;G'!AR194</f>
        <v>1894</v>
      </c>
      <c r="DK38" s="679"/>
      <c r="DL38" s="679"/>
      <c r="DM38" s="679"/>
      <c r="DN38" s="679"/>
      <c r="DO38" s="679">
        <f>'PSE&amp;G'!AW194</f>
        <v>1839</v>
      </c>
      <c r="DP38" s="679"/>
      <c r="DQ38" s="679"/>
      <c r="DR38" s="679"/>
      <c r="DS38" s="679"/>
      <c r="DT38" s="679">
        <f>'PSE&amp;G'!BB194</f>
        <v>1853.1053073321896</v>
      </c>
      <c r="DU38" s="679"/>
      <c r="DV38" s="679"/>
      <c r="DW38" s="679"/>
      <c r="DX38" s="679"/>
      <c r="DY38" s="679">
        <f>'PSE&amp;G'!BG194</f>
        <v>1926.7120951369914</v>
      </c>
      <c r="DZ38" s="679"/>
      <c r="EA38" s="679"/>
      <c r="EB38" s="679"/>
      <c r="EC38" s="679"/>
      <c r="ED38" s="679">
        <f>'PSE&amp;G'!BL194</f>
        <v>1906.5326597204185</v>
      </c>
      <c r="EE38" s="679"/>
      <c r="EF38" s="679"/>
      <c r="EG38" s="679"/>
      <c r="EH38" s="679"/>
      <c r="EI38" s="679">
        <f>'PSE&amp;G'!BQ194</f>
        <v>2027.170248536283</v>
      </c>
    </row>
    <row r="39" spans="2:139">
      <c r="B39" s="643"/>
      <c r="C39" s="305" t="s">
        <v>83</v>
      </c>
      <c r="D39" s="47"/>
      <c r="E39" s="669"/>
      <c r="F39" s="669"/>
      <c r="G39" s="669"/>
      <c r="H39" s="669"/>
      <c r="I39" s="670">
        <f>I37/(I11)</f>
        <v>2.0816285648148147</v>
      </c>
      <c r="J39" s="669"/>
      <c r="K39" s="669"/>
      <c r="L39" s="669"/>
      <c r="M39" s="669"/>
      <c r="N39" s="670">
        <f>N37/(N11)</f>
        <v>1.6154689534883722</v>
      </c>
      <c r="O39" s="669"/>
      <c r="P39" s="669"/>
      <c r="Q39" s="669"/>
      <c r="R39" s="669"/>
      <c r="S39" s="670">
        <f>S37/(S11)</f>
        <v>1.3331388483685223</v>
      </c>
      <c r="T39" s="669"/>
      <c r="U39" s="669"/>
      <c r="V39" s="669"/>
      <c r="W39" s="669"/>
      <c r="X39" s="670">
        <f>X37/(X11)</f>
        <v>1.3637540151515151</v>
      </c>
      <c r="Y39" s="669"/>
      <c r="Z39" s="669"/>
      <c r="AA39" s="669"/>
      <c r="AB39" s="669"/>
      <c r="AC39" s="670">
        <f>AC37/(AC11)</f>
        <v>1.1941764705882352</v>
      </c>
      <c r="AD39" s="669"/>
      <c r="AE39" s="669"/>
      <c r="AF39" s="669"/>
      <c r="AG39" s="669"/>
      <c r="AH39" s="670">
        <f>AH37/(AH11)</f>
        <v>1.0370206896551726</v>
      </c>
      <c r="AI39" s="669"/>
      <c r="AJ39" s="669"/>
      <c r="AK39" s="669"/>
      <c r="AL39" s="669"/>
      <c r="AM39" s="670">
        <f>AM37/(AM11)</f>
        <v>1.0069631512071158</v>
      </c>
      <c r="AN39" s="669"/>
      <c r="AO39" s="669"/>
      <c r="AP39" s="669"/>
      <c r="AQ39" s="669"/>
      <c r="AR39" s="670">
        <f>AR37/(AR11)</f>
        <v>0.93714285714285706</v>
      </c>
      <c r="AS39" s="669"/>
      <c r="AT39" s="669"/>
      <c r="AU39" s="669"/>
      <c r="AV39" s="669"/>
      <c r="AW39" s="670">
        <f>AW37/(AW11)</f>
        <v>0.90554517133956391</v>
      </c>
      <c r="AX39" s="669"/>
      <c r="AY39" s="669"/>
      <c r="AZ39" s="669"/>
      <c r="BA39" s="669"/>
      <c r="BB39" s="670">
        <f>BB37/(BB11)</f>
        <v>0.88107696024855531</v>
      </c>
      <c r="BC39" s="669"/>
      <c r="BD39" s="669"/>
      <c r="BE39" s="669"/>
      <c r="BF39" s="669"/>
      <c r="BG39" s="670">
        <f>BG37/(BG11)</f>
        <v>0.85940106321931276</v>
      </c>
      <c r="BH39" s="669"/>
      <c r="BI39" s="669"/>
      <c r="BJ39" s="669"/>
      <c r="BK39" s="669"/>
      <c r="BL39" s="670">
        <f>BL37/(BL11)</f>
        <v>0.84416886795457602</v>
      </c>
      <c r="BM39" s="669"/>
      <c r="BN39" s="669"/>
      <c r="BO39" s="669"/>
      <c r="BP39" s="669"/>
      <c r="BQ39" s="670">
        <f>BQ37/(BQ11)</f>
        <v>0.83309883968479304</v>
      </c>
      <c r="BR39" s="47"/>
      <c r="BS39" s="47"/>
      <c r="BT39" s="643"/>
      <c r="BU39" s="47" t="s">
        <v>399</v>
      </c>
      <c r="BV39" s="47"/>
      <c r="BW39" s="674"/>
      <c r="BX39" s="674"/>
      <c r="BY39" s="674"/>
      <c r="BZ39" s="674"/>
      <c r="CA39" s="679">
        <f>Power!I508+Parent!I53</f>
        <v>898</v>
      </c>
      <c r="CB39" s="674"/>
      <c r="CC39" s="674"/>
      <c r="CD39" s="674"/>
      <c r="CE39" s="674"/>
      <c r="CF39" s="679">
        <f>Power!N508+Parent!N53</f>
        <v>1153</v>
      </c>
      <c r="CG39" s="674">
        <f>Power!O508+Parent!O53</f>
        <v>885</v>
      </c>
      <c r="CH39" s="674">
        <f>Power!P508+Parent!P53</f>
        <v>231</v>
      </c>
      <c r="CI39" s="674">
        <f>Power!Q508+Parent!Q53</f>
        <v>421</v>
      </c>
      <c r="CJ39" s="674">
        <f>Power!R508+Parent!R53</f>
        <v>244</v>
      </c>
      <c r="CK39" s="679">
        <f>Power!S508+Parent!S53</f>
        <v>1781</v>
      </c>
      <c r="CL39" s="674">
        <f>Power!T508+Parent!T53</f>
        <v>722</v>
      </c>
      <c r="CM39" s="674">
        <f>Power!U508+Parent!U53</f>
        <v>197</v>
      </c>
      <c r="CN39" s="674">
        <f>Power!V508+Parent!V53</f>
        <v>351</v>
      </c>
      <c r="CO39" s="674">
        <f>Power!W508+Parent!W53</f>
        <v>261</v>
      </c>
      <c r="CP39" s="679">
        <f>Power!X508+Parent!X53</f>
        <v>1531</v>
      </c>
      <c r="CQ39" s="674"/>
      <c r="CR39" s="674"/>
      <c r="CS39" s="674"/>
      <c r="CT39" s="674"/>
      <c r="CU39" s="679">
        <f>Power!AC508+Parent!AC53</f>
        <v>1513</v>
      </c>
      <c r="CV39" s="674"/>
      <c r="CW39" s="674"/>
      <c r="CX39" s="674"/>
      <c r="CY39" s="674"/>
      <c r="CZ39" s="679">
        <f>Power!AH508+Parent!AH53</f>
        <v>1327</v>
      </c>
      <c r="DA39" s="674"/>
      <c r="DB39" s="674"/>
      <c r="DC39" s="674"/>
      <c r="DD39" s="674"/>
      <c r="DE39" s="679">
        <f>Power!AM508+Parent!AM53</f>
        <v>1794</v>
      </c>
      <c r="DF39" s="674"/>
      <c r="DG39" s="674"/>
      <c r="DH39" s="674"/>
      <c r="DI39" s="674"/>
      <c r="DJ39" s="679">
        <f>Power!AR508+Parent!AR53</f>
        <v>1417</v>
      </c>
      <c r="DK39" s="674"/>
      <c r="DL39" s="674"/>
      <c r="DM39" s="674"/>
      <c r="DN39" s="674"/>
      <c r="DO39" s="679">
        <f>Power!AW508+Parent!AW53</f>
        <v>1422</v>
      </c>
      <c r="DP39" s="674"/>
      <c r="DQ39" s="674"/>
      <c r="DR39" s="674"/>
      <c r="DS39" s="674"/>
      <c r="DT39" s="679">
        <f>Power!BB508+Parent!BB53</f>
        <v>1120.8244605582229</v>
      </c>
      <c r="DU39" s="674"/>
      <c r="DV39" s="674"/>
      <c r="DW39" s="674"/>
      <c r="DX39" s="674"/>
      <c r="DY39" s="679">
        <f>Power!BG508+Parent!BG53</f>
        <v>960.07718901935982</v>
      </c>
      <c r="DZ39" s="674"/>
      <c r="EA39" s="674"/>
      <c r="EB39" s="674"/>
      <c r="EC39" s="674"/>
      <c r="ED39" s="679">
        <f>Power!BL508+Parent!BL53</f>
        <v>841.94453499231201</v>
      </c>
      <c r="EE39" s="674"/>
      <c r="EF39" s="674"/>
      <c r="EG39" s="674"/>
      <c r="EH39" s="674"/>
      <c r="EI39" s="679">
        <f>Power!BQ508+Parent!BQ53</f>
        <v>964.50034593841031</v>
      </c>
    </row>
    <row r="40" spans="2:139">
      <c r="B40" s="643"/>
      <c r="C40" s="305" t="s">
        <v>558</v>
      </c>
      <c r="D40" s="47"/>
      <c r="E40" s="684"/>
      <c r="F40" s="684"/>
      <c r="G40" s="684"/>
      <c r="H40" s="684"/>
      <c r="I40" s="685"/>
      <c r="J40" s="684"/>
      <c r="K40" s="684"/>
      <c r="L40" s="684"/>
      <c r="M40" s="684"/>
      <c r="N40" s="690">
        <f>N37/I37-1</f>
        <v>3.007518796992481E-2</v>
      </c>
      <c r="O40" s="684"/>
      <c r="P40" s="684"/>
      <c r="Q40" s="684"/>
      <c r="R40" s="684"/>
      <c r="S40" s="690">
        <f>S37/N37-1</f>
        <v>0</v>
      </c>
      <c r="T40" s="684"/>
      <c r="U40" s="684"/>
      <c r="V40" s="684"/>
      <c r="W40" s="684"/>
      <c r="X40" s="690">
        <f>X37/S37-1</f>
        <v>3.6496350364963348E-2</v>
      </c>
      <c r="Y40" s="684"/>
      <c r="Z40" s="684"/>
      <c r="AA40" s="684"/>
      <c r="AB40" s="684"/>
      <c r="AC40" s="690">
        <f>AC37/X37-1</f>
        <v>1.4084507042253502E-2</v>
      </c>
      <c r="AD40" s="684"/>
      <c r="AE40" s="684"/>
      <c r="AF40" s="684"/>
      <c r="AG40" s="684"/>
      <c r="AH40" s="690">
        <f>AH37/AC37-1</f>
        <v>2.7777777777777901E-2</v>
      </c>
      <c r="AI40" s="684"/>
      <c r="AJ40" s="684"/>
      <c r="AK40" s="684"/>
      <c r="AL40" s="684"/>
      <c r="AM40" s="690">
        <f>AM37/AH37-1</f>
        <v>5.4054054054054168E-2</v>
      </c>
      <c r="AN40" s="684"/>
      <c r="AO40" s="684"/>
      <c r="AP40" s="684"/>
      <c r="AQ40" s="684"/>
      <c r="AR40" s="690">
        <f>AR37/AM37-1</f>
        <v>5.12820512820511E-2</v>
      </c>
      <c r="AS40" s="684"/>
      <c r="AT40" s="684"/>
      <c r="AU40" s="684"/>
      <c r="AV40" s="684"/>
      <c r="AW40" s="690">
        <f>AW37/AR37-1</f>
        <v>4.8780487804878092E-2</v>
      </c>
      <c r="AX40" s="684"/>
      <c r="AY40" s="684"/>
      <c r="AZ40" s="684"/>
      <c r="BA40" s="684"/>
      <c r="BB40" s="690">
        <f>BB37/AW37-1</f>
        <v>4.4999999999999929E-2</v>
      </c>
      <c r="BC40" s="684"/>
      <c r="BD40" s="684"/>
      <c r="BE40" s="684"/>
      <c r="BF40" s="684"/>
      <c r="BG40" s="690">
        <f>BG37/BB37-1</f>
        <v>4.4999999999999929E-2</v>
      </c>
      <c r="BH40" s="684"/>
      <c r="BI40" s="684"/>
      <c r="BJ40" s="684"/>
      <c r="BK40" s="684"/>
      <c r="BL40" s="690">
        <f>BL37/BG37-1</f>
        <v>4.4999999999999929E-2</v>
      </c>
      <c r="BM40" s="684"/>
      <c r="BN40" s="684"/>
      <c r="BO40" s="684"/>
      <c r="BP40" s="684"/>
      <c r="BQ40" s="690">
        <f>BQ37/BL37-1</f>
        <v>4.4999999999999929E-2</v>
      </c>
      <c r="BR40" s="47"/>
      <c r="BS40" s="47"/>
      <c r="BT40" s="643"/>
      <c r="BU40" s="672" t="s">
        <v>98</v>
      </c>
      <c r="BV40" s="47"/>
      <c r="BW40" s="674"/>
      <c r="BX40" s="674"/>
      <c r="BY40" s="674"/>
      <c r="BZ40" s="674"/>
      <c r="CA40" s="679">
        <f>CA41-CA38-CA39</f>
        <v>0</v>
      </c>
      <c r="CB40" s="674"/>
      <c r="CC40" s="674"/>
      <c r="CD40" s="674"/>
      <c r="CE40" s="674"/>
      <c r="CF40" s="679">
        <f t="shared" ref="CF40:DE40" si="0">CF41-CF38-CF39</f>
        <v>0</v>
      </c>
      <c r="CG40" s="674">
        <f t="shared" si="0"/>
        <v>0</v>
      </c>
      <c r="CH40" s="674">
        <f t="shared" si="0"/>
        <v>0</v>
      </c>
      <c r="CI40" s="674">
        <f t="shared" si="0"/>
        <v>0</v>
      </c>
      <c r="CJ40" s="674">
        <f t="shared" si="0"/>
        <v>0</v>
      </c>
      <c r="CK40" s="679">
        <f t="shared" si="0"/>
        <v>0</v>
      </c>
      <c r="CL40" s="674">
        <f t="shared" si="0"/>
        <v>0</v>
      </c>
      <c r="CM40" s="674">
        <f t="shared" si="0"/>
        <v>0</v>
      </c>
      <c r="CN40" s="674">
        <f t="shared" si="0"/>
        <v>0</v>
      </c>
      <c r="CO40" s="674">
        <f t="shared" si="0"/>
        <v>0</v>
      </c>
      <c r="CP40" s="679">
        <f t="shared" si="0"/>
        <v>0</v>
      </c>
      <c r="CQ40" s="674"/>
      <c r="CR40" s="674"/>
      <c r="CS40" s="674"/>
      <c r="CT40" s="674"/>
      <c r="CU40" s="679">
        <f t="shared" si="0"/>
        <v>0</v>
      </c>
      <c r="CV40" s="674"/>
      <c r="CW40" s="674"/>
      <c r="CX40" s="674"/>
      <c r="CY40" s="674"/>
      <c r="CZ40" s="679">
        <f>CZ41-CZ38-CZ39</f>
        <v>0</v>
      </c>
      <c r="DA40" s="674"/>
      <c r="DB40" s="674"/>
      <c r="DC40" s="674"/>
      <c r="DD40" s="674"/>
      <c r="DE40" s="679">
        <f t="shared" si="0"/>
        <v>0</v>
      </c>
      <c r="DF40" s="674"/>
      <c r="DG40" s="674"/>
      <c r="DH40" s="674"/>
      <c r="DI40" s="674"/>
      <c r="DJ40" s="679">
        <f>DJ41-DJ38-DJ39</f>
        <v>0</v>
      </c>
      <c r="DK40" s="674"/>
      <c r="DL40" s="674"/>
      <c r="DM40" s="674"/>
      <c r="DN40" s="674"/>
      <c r="DO40" s="679">
        <f>DO41-DO38-DO39</f>
        <v>0</v>
      </c>
      <c r="DP40" s="674"/>
      <c r="DQ40" s="674"/>
      <c r="DR40" s="674"/>
      <c r="DS40" s="674"/>
      <c r="DT40" s="679">
        <f>DT41-DT38-DT39</f>
        <v>-3.9999999999997726</v>
      </c>
      <c r="DU40" s="674"/>
      <c r="DV40" s="674"/>
      <c r="DW40" s="674"/>
      <c r="DX40" s="674"/>
      <c r="DY40" s="679">
        <f>DY41-DY38-DY39</f>
        <v>-9.0949470177292824E-13</v>
      </c>
      <c r="DZ40" s="674"/>
      <c r="EA40" s="674"/>
      <c r="EB40" s="674"/>
      <c r="EC40" s="674"/>
      <c r="ED40" s="679">
        <f>ED41-ED38-ED39</f>
        <v>0</v>
      </c>
      <c r="EE40" s="674"/>
      <c r="EF40" s="674"/>
      <c r="EG40" s="674"/>
      <c r="EH40" s="674"/>
      <c r="EI40" s="679">
        <f>EI41-EI38-EI39</f>
        <v>0</v>
      </c>
    </row>
    <row r="41" spans="2:139">
      <c r="B41" s="47"/>
      <c r="C41" s="47"/>
      <c r="D41" s="47"/>
      <c r="I41" s="47"/>
      <c r="N41" s="47"/>
      <c r="S41" s="47"/>
      <c r="X41" s="47"/>
      <c r="AC41" s="47"/>
      <c r="AH41" s="47"/>
      <c r="AM41" s="47"/>
      <c r="AR41" s="47"/>
      <c r="AW41" s="47"/>
      <c r="BB41" s="47"/>
      <c r="BG41" s="47"/>
      <c r="BL41" s="47"/>
      <c r="BQ41" s="47"/>
      <c r="BR41" s="47"/>
      <c r="BS41" s="47"/>
      <c r="BT41" s="643"/>
      <c r="BU41" s="64" t="s">
        <v>105</v>
      </c>
      <c r="BV41" s="47"/>
      <c r="BW41" s="692"/>
      <c r="BX41" s="692"/>
      <c r="BY41" s="692"/>
      <c r="BZ41" s="692"/>
      <c r="CA41" s="693">
        <f>PEG!I115</f>
        <v>1855</v>
      </c>
      <c r="CB41" s="692"/>
      <c r="CC41" s="692"/>
      <c r="CD41" s="692"/>
      <c r="CE41" s="692"/>
      <c r="CF41" s="693">
        <f>PEG!N115</f>
        <v>2164</v>
      </c>
      <c r="CG41" s="692">
        <f>PEG!O115</f>
        <v>1042</v>
      </c>
      <c r="CH41" s="692">
        <f>PEG!P115</f>
        <v>353</v>
      </c>
      <c r="CI41" s="692">
        <f>PEG!Q115</f>
        <v>1014</v>
      </c>
      <c r="CJ41" s="692">
        <f>PEG!R115</f>
        <v>1148</v>
      </c>
      <c r="CK41" s="693">
        <f>PEG!S115</f>
        <v>3557</v>
      </c>
      <c r="CL41" s="692">
        <f>PEG!T115</f>
        <v>1088</v>
      </c>
      <c r="CM41" s="692">
        <f>PEG!U115</f>
        <v>290</v>
      </c>
      <c r="CN41" s="692">
        <f>PEG!V115</f>
        <v>933</v>
      </c>
      <c r="CO41" s="692">
        <f>PEG!W115</f>
        <v>476</v>
      </c>
      <c r="CP41" s="693">
        <f>PEG!X115</f>
        <v>2787</v>
      </c>
      <c r="CQ41" s="692"/>
      <c r="CR41" s="692"/>
      <c r="CS41" s="692"/>
      <c r="CT41" s="692"/>
      <c r="CU41" s="693">
        <f>PEG!AC115</f>
        <v>3158</v>
      </c>
      <c r="CV41" s="692"/>
      <c r="CW41" s="692"/>
      <c r="CX41" s="692"/>
      <c r="CY41" s="692"/>
      <c r="CZ41" s="693">
        <f>PEG!AH115</f>
        <v>3160</v>
      </c>
      <c r="DA41" s="692"/>
      <c r="DB41" s="692"/>
      <c r="DC41" s="692"/>
      <c r="DD41" s="692"/>
      <c r="DE41" s="693">
        <f>PEG!AM115</f>
        <v>3919</v>
      </c>
      <c r="DF41" s="692"/>
      <c r="DG41" s="692"/>
      <c r="DH41" s="692"/>
      <c r="DI41" s="692"/>
      <c r="DJ41" s="693">
        <f>PEG!AR115</f>
        <v>3311</v>
      </c>
      <c r="DK41" s="692"/>
      <c r="DL41" s="692"/>
      <c r="DM41" s="692"/>
      <c r="DN41" s="692"/>
      <c r="DO41" s="693">
        <f>PEG!AW115</f>
        <v>3261</v>
      </c>
      <c r="DP41" s="692"/>
      <c r="DQ41" s="692"/>
      <c r="DR41" s="692"/>
      <c r="DS41" s="692"/>
      <c r="DT41" s="693">
        <f>PEG!BB115</f>
        <v>2969.9297678904127</v>
      </c>
      <c r="DU41" s="692"/>
      <c r="DV41" s="692"/>
      <c r="DW41" s="692"/>
      <c r="DX41" s="692"/>
      <c r="DY41" s="693">
        <f>PEG!BG115</f>
        <v>2886.7892841563503</v>
      </c>
      <c r="DZ41" s="692"/>
      <c r="EA41" s="692"/>
      <c r="EB41" s="692"/>
      <c r="EC41" s="692"/>
      <c r="ED41" s="693">
        <f>PEG!BL115</f>
        <v>2748.477194712731</v>
      </c>
      <c r="EE41" s="692"/>
      <c r="EF41" s="692"/>
      <c r="EG41" s="692"/>
      <c r="EH41" s="692"/>
      <c r="EI41" s="693">
        <f>PEG!BQ115</f>
        <v>2991.6705944746932</v>
      </c>
    </row>
    <row r="42" spans="2:139">
      <c r="B42" s="643"/>
      <c r="C42" s="553" t="s">
        <v>380</v>
      </c>
      <c r="D42" s="47"/>
      <c r="E42" s="684"/>
      <c r="F42" s="684"/>
      <c r="G42" s="684"/>
      <c r="H42" s="684"/>
      <c r="I42" s="679">
        <f>PEG!I44</f>
        <v>505.98962999999998</v>
      </c>
      <c r="J42" s="684"/>
      <c r="K42" s="684"/>
      <c r="L42" s="684"/>
      <c r="M42" s="684"/>
      <c r="N42" s="679">
        <f>PEG!N44</f>
        <v>505.97422299999994</v>
      </c>
      <c r="O42" s="684"/>
      <c r="P42" s="684"/>
      <c r="Q42" s="684"/>
      <c r="R42" s="684"/>
      <c r="S42" s="679">
        <f>PEG!S44</f>
        <v>505.94528599999995</v>
      </c>
      <c r="T42" s="684"/>
      <c r="U42" s="684"/>
      <c r="V42" s="684"/>
      <c r="W42" s="684"/>
      <c r="X42" s="679">
        <f>PEG!X44</f>
        <v>505.89247199999994</v>
      </c>
      <c r="Y42" s="684"/>
      <c r="Z42" s="684"/>
      <c r="AA42" s="684"/>
      <c r="AB42" s="684"/>
      <c r="AC42" s="679">
        <f>PEG!AC44</f>
        <v>505.85726199999999</v>
      </c>
      <c r="AD42" s="684"/>
      <c r="AE42" s="684"/>
      <c r="AF42" s="684"/>
      <c r="AG42" s="684"/>
      <c r="AH42" s="679">
        <f>PEG!AH44</f>
        <v>505.83659199999994</v>
      </c>
      <c r="AI42" s="684"/>
      <c r="AJ42" s="684"/>
      <c r="AK42" s="684"/>
      <c r="AL42" s="684"/>
      <c r="AM42" s="679">
        <f>PEG!AM44</f>
        <v>506</v>
      </c>
      <c r="AN42" s="684"/>
      <c r="AO42" s="684"/>
      <c r="AP42" s="684"/>
      <c r="AQ42" s="684"/>
      <c r="AR42" s="679">
        <f>PEG!AR44</f>
        <v>505</v>
      </c>
      <c r="AS42" s="684"/>
      <c r="AT42" s="684"/>
      <c r="AU42" s="684"/>
      <c r="AV42" s="684"/>
      <c r="AW42" s="679">
        <f>PEG!AW44</f>
        <v>505</v>
      </c>
      <c r="AX42" s="684"/>
      <c r="AY42" s="684"/>
      <c r="AZ42" s="684"/>
      <c r="BA42" s="684"/>
      <c r="BB42" s="679">
        <f>PEG!BB44</f>
        <v>505</v>
      </c>
      <c r="BC42" s="684"/>
      <c r="BD42" s="684"/>
      <c r="BE42" s="684"/>
      <c r="BF42" s="684"/>
      <c r="BG42" s="679">
        <f>PEG!BG44</f>
        <v>505</v>
      </c>
      <c r="BH42" s="684"/>
      <c r="BI42" s="684"/>
      <c r="BJ42" s="684"/>
      <c r="BK42" s="684"/>
      <c r="BL42" s="679">
        <f>PEG!BL44</f>
        <v>505</v>
      </c>
      <c r="BM42" s="684"/>
      <c r="BN42" s="684"/>
      <c r="BO42" s="684"/>
      <c r="BP42" s="684"/>
      <c r="BQ42" s="679">
        <f>PEG!BQ44</f>
        <v>505</v>
      </c>
      <c r="BR42" s="47"/>
      <c r="BS42" s="47"/>
      <c r="BT42" s="643"/>
      <c r="BU42" s="305"/>
      <c r="BV42" s="47"/>
      <c r="BW42" s="29"/>
      <c r="BX42" s="29"/>
      <c r="BY42" s="29"/>
      <c r="BZ42" s="29"/>
      <c r="CA42" s="659"/>
      <c r="CB42" s="29"/>
      <c r="CC42" s="29"/>
      <c r="CD42" s="29"/>
      <c r="CE42" s="29"/>
      <c r="CF42" s="659"/>
      <c r="CG42" s="29"/>
      <c r="CH42" s="29"/>
      <c r="CI42" s="29"/>
      <c r="CJ42" s="29"/>
      <c r="CK42" s="659"/>
      <c r="CL42" s="29"/>
      <c r="CM42" s="29"/>
      <c r="CN42" s="29"/>
      <c r="CO42" s="29"/>
      <c r="CP42" s="659"/>
      <c r="CQ42" s="29"/>
      <c r="CR42" s="29"/>
      <c r="CS42" s="29"/>
      <c r="CT42" s="29"/>
      <c r="CU42" s="659"/>
      <c r="CV42" s="29"/>
      <c r="CW42" s="29"/>
      <c r="CX42" s="29"/>
      <c r="CY42" s="29"/>
      <c r="CZ42" s="659"/>
      <c r="DA42" s="29"/>
      <c r="DB42" s="29"/>
      <c r="DC42" s="29"/>
      <c r="DD42" s="29"/>
      <c r="DE42" s="659"/>
      <c r="DF42" s="29"/>
      <c r="DG42" s="29"/>
      <c r="DH42" s="29"/>
      <c r="DI42" s="29"/>
      <c r="DJ42" s="659"/>
      <c r="DK42" s="29"/>
      <c r="DL42" s="29"/>
      <c r="DM42" s="29"/>
      <c r="DN42" s="29"/>
      <c r="DO42" s="659"/>
      <c r="DP42" s="29"/>
      <c r="DQ42" s="29"/>
      <c r="DR42" s="29"/>
      <c r="DS42" s="29"/>
      <c r="DT42" s="659"/>
      <c r="DU42" s="29"/>
      <c r="DV42" s="29"/>
      <c r="DW42" s="29"/>
      <c r="DX42" s="29"/>
      <c r="DY42" s="659"/>
      <c r="DZ42" s="29"/>
      <c r="EA42" s="29"/>
      <c r="EB42" s="29"/>
      <c r="EC42" s="29"/>
      <c r="ED42" s="659"/>
      <c r="EE42" s="29"/>
      <c r="EF42" s="29"/>
      <c r="EG42" s="29"/>
      <c r="EH42" s="29"/>
      <c r="EI42" s="659"/>
    </row>
    <row r="43" spans="2:139">
      <c r="B43" s="47"/>
      <c r="C43" s="694" t="s">
        <v>106</v>
      </c>
      <c r="D43" s="47"/>
      <c r="I43" s="679">
        <f>PEG!I45</f>
        <v>507.1035</v>
      </c>
      <c r="N43" s="679">
        <f>PEG!N45</f>
        <v>507.04500000000002</v>
      </c>
      <c r="S43" s="679">
        <f>PEG!S45</f>
        <v>505.94900000000001</v>
      </c>
      <c r="X43" s="679">
        <f>PEG!X45</f>
        <v>505.93299999999999</v>
      </c>
      <c r="AC43" s="679">
        <f>PEG!AC45</f>
        <v>505.88900000000001</v>
      </c>
      <c r="AH43" s="679">
        <f>PEG!AH45</f>
        <v>506</v>
      </c>
      <c r="AM43" s="679">
        <f>PEG!AM45</f>
        <v>505</v>
      </c>
      <c r="AR43" s="679">
        <f>PEG!AR45</f>
        <v>505</v>
      </c>
      <c r="AW43" s="679">
        <f>PEG!AW45</f>
        <v>505</v>
      </c>
      <c r="BB43" s="679">
        <f>PEG!BB45</f>
        <v>505</v>
      </c>
      <c r="BG43" s="679">
        <f>PEG!BG45</f>
        <v>505</v>
      </c>
      <c r="BL43" s="679">
        <f>PEG!BL45</f>
        <v>505</v>
      </c>
      <c r="BQ43" s="679">
        <f>PEG!BQ45</f>
        <v>505</v>
      </c>
      <c r="BR43" s="47"/>
      <c r="BS43" s="47"/>
      <c r="BT43" s="643"/>
      <c r="BU43" s="64" t="s">
        <v>107</v>
      </c>
      <c r="BV43" s="47"/>
      <c r="CA43" s="47"/>
      <c r="CF43" s="47"/>
      <c r="CK43" s="47"/>
      <c r="CP43" s="47"/>
      <c r="CU43" s="47"/>
      <c r="CZ43" s="47"/>
      <c r="DE43" s="47"/>
      <c r="DJ43" s="47"/>
      <c r="DO43" s="47"/>
      <c r="DT43" s="47"/>
      <c r="DY43" s="47"/>
      <c r="ED43" s="47"/>
      <c r="EI43" s="47"/>
    </row>
    <row r="44" spans="2:139">
      <c r="B44" s="47"/>
      <c r="C44" s="553" t="s">
        <v>108</v>
      </c>
      <c r="D44" s="47"/>
      <c r="I44" s="679">
        <f>PEG!I46</f>
        <v>507.1035</v>
      </c>
      <c r="N44" s="679">
        <f>PEG!N46</f>
        <v>507.04500000000002</v>
      </c>
      <c r="S44" s="679">
        <f>PEG!S46</f>
        <v>506.98200000000003</v>
      </c>
      <c r="X44" s="679">
        <f>PEG!X46</f>
        <v>507.08600000000001</v>
      </c>
      <c r="AC44" s="679">
        <f>PEG!AC46</f>
        <v>507.52499999999998</v>
      </c>
      <c r="AH44" s="679">
        <f>PEG!AH46</f>
        <v>508</v>
      </c>
      <c r="AM44" s="679">
        <f>PEG!AM46</f>
        <v>508</v>
      </c>
      <c r="AR44" s="679">
        <f>PEG!AR46</f>
        <v>508</v>
      </c>
      <c r="AW44" s="679">
        <f>PEG!AW46</f>
        <v>507</v>
      </c>
      <c r="BB44" s="679">
        <f>PEG!BB46</f>
        <v>508</v>
      </c>
      <c r="BG44" s="679">
        <f>PEG!BG46</f>
        <v>508</v>
      </c>
      <c r="BL44" s="679">
        <f>PEG!BL46</f>
        <v>508</v>
      </c>
      <c r="BQ44" s="679">
        <f>PEG!BQ46</f>
        <v>508</v>
      </c>
      <c r="BR44" s="47"/>
      <c r="BS44" s="47"/>
      <c r="BT44" s="643"/>
      <c r="BU44" s="305" t="s">
        <v>509</v>
      </c>
      <c r="BV44" s="47"/>
      <c r="BW44" s="29"/>
      <c r="BX44" s="29"/>
      <c r="BY44" s="29"/>
      <c r="BZ44" s="29"/>
      <c r="CA44" s="679">
        <f>PEG!I75</f>
        <v>855</v>
      </c>
      <c r="CB44" s="29"/>
      <c r="CC44" s="29"/>
      <c r="CD44" s="29"/>
      <c r="CE44" s="29"/>
      <c r="CF44" s="679">
        <f>PEG!N75</f>
        <v>1257</v>
      </c>
      <c r="CG44" s="29">
        <f>PEG!O75</f>
        <v>339</v>
      </c>
      <c r="CH44" s="29">
        <f>PEG!P75</f>
        <v>335</v>
      </c>
      <c r="CI44" s="29">
        <f>PEG!Q75</f>
        <v>265</v>
      </c>
      <c r="CJ44" s="29">
        <f>PEG!R75</f>
        <v>363</v>
      </c>
      <c r="CK44" s="679">
        <f>PEG!S75</f>
        <v>1302</v>
      </c>
      <c r="CL44" s="29">
        <f>PEG!T75</f>
        <v>435</v>
      </c>
      <c r="CM44" s="29">
        <f>PEG!U75</f>
        <v>435</v>
      </c>
      <c r="CN44" s="29">
        <f>PEG!V75</f>
        <v>499</v>
      </c>
      <c r="CO44" s="29">
        <f>PEG!W75</f>
        <v>401</v>
      </c>
      <c r="CP44" s="679">
        <f>PEG!X75</f>
        <v>1770</v>
      </c>
      <c r="CQ44" s="29"/>
      <c r="CR44" s="29"/>
      <c r="CS44" s="29"/>
      <c r="CT44" s="29"/>
      <c r="CU44" s="679">
        <f>PEG!AC75</f>
        <v>2175</v>
      </c>
      <c r="CV44" s="29"/>
      <c r="CW44" s="29"/>
      <c r="CX44" s="29"/>
      <c r="CY44" s="29"/>
      <c r="CZ44" s="679">
        <f>PEG!AH75</f>
        <v>2164</v>
      </c>
      <c r="DA44" s="29"/>
      <c r="DB44" s="29"/>
      <c r="DC44" s="29"/>
      <c r="DD44" s="29"/>
      <c r="DE44" s="679">
        <f>PEG!AM75</f>
        <v>2692</v>
      </c>
      <c r="DF44" s="29"/>
      <c r="DG44" s="29"/>
      <c r="DH44" s="29"/>
      <c r="DI44" s="29"/>
      <c r="DJ44" s="679">
        <f>PEG!AR75</f>
        <v>2816</v>
      </c>
      <c r="DK44" s="29"/>
      <c r="DL44" s="29"/>
      <c r="DM44" s="29"/>
      <c r="DN44" s="29"/>
      <c r="DO44" s="679">
        <f>PEG!AW75</f>
        <v>2919</v>
      </c>
      <c r="DP44" s="29"/>
      <c r="DQ44" s="29"/>
      <c r="DR44" s="29"/>
      <c r="DS44" s="29"/>
      <c r="DT44" s="679">
        <f>PEG!BB75</f>
        <v>2870</v>
      </c>
      <c r="DU44" s="29"/>
      <c r="DV44" s="29"/>
      <c r="DW44" s="29"/>
      <c r="DX44" s="29"/>
      <c r="DY44" s="679">
        <f>PEG!BG75</f>
        <v>2845</v>
      </c>
      <c r="DZ44" s="29"/>
      <c r="EA44" s="29"/>
      <c r="EB44" s="29"/>
      <c r="EC44" s="29"/>
      <c r="ED44" s="679">
        <f>PEG!BL75</f>
        <v>2805</v>
      </c>
      <c r="EE44" s="29"/>
      <c r="EF44" s="29"/>
      <c r="EG44" s="29"/>
      <c r="EH44" s="29"/>
      <c r="EI44" s="679">
        <f>PEG!BQ75</f>
        <v>2365</v>
      </c>
    </row>
    <row r="45" spans="2:139">
      <c r="B45" s="47"/>
      <c r="C45" s="47"/>
      <c r="D45" s="47"/>
      <c r="I45" s="47"/>
      <c r="N45" s="47"/>
      <c r="S45" s="47"/>
      <c r="X45" s="47"/>
      <c r="AC45" s="47"/>
      <c r="AH45" s="47"/>
      <c r="AM45" s="47"/>
      <c r="AR45" s="47"/>
      <c r="AW45" s="47"/>
      <c r="BB45" s="47"/>
      <c r="BG45" s="47"/>
      <c r="BL45" s="47"/>
      <c r="BQ45" s="47"/>
      <c r="BR45" s="47"/>
      <c r="BS45" s="47"/>
      <c r="BT45" s="643"/>
      <c r="BU45" s="47" t="s">
        <v>399</v>
      </c>
      <c r="BV45" s="47"/>
      <c r="BW45" s="674"/>
      <c r="BX45" s="674"/>
      <c r="BY45" s="674"/>
      <c r="BZ45" s="674"/>
      <c r="CA45" s="679">
        <f>PEG!I74+PEG!I76</f>
        <v>1090</v>
      </c>
      <c r="CB45" s="674"/>
      <c r="CC45" s="674"/>
      <c r="CD45" s="674"/>
      <c r="CE45" s="674"/>
      <c r="CF45" s="679">
        <f>PEG!N74+PEG!N76</f>
        <v>922</v>
      </c>
      <c r="CG45" s="674">
        <f>PEG!O74+PEG!O76</f>
        <v>165</v>
      </c>
      <c r="CH45" s="674">
        <f>PEG!P74+PEG!P76</f>
        <v>159</v>
      </c>
      <c r="CI45" s="674">
        <f>PEG!Q74+PEG!Q76</f>
        <v>200</v>
      </c>
      <c r="CJ45" s="674">
        <f>PEG!R74+PEG!R76</f>
        <v>236</v>
      </c>
      <c r="CK45" s="679">
        <f>PEG!S74+PEG!S76</f>
        <v>760</v>
      </c>
      <c r="CL45" s="674">
        <f>PEG!T74+PEG!T76</f>
        <v>245</v>
      </c>
      <c r="CM45" s="674">
        <f>PEG!U74+PEG!U76</f>
        <v>123</v>
      </c>
      <c r="CN45" s="674">
        <f>PEG!V74+PEG!V76</f>
        <v>174</v>
      </c>
      <c r="CO45" s="674">
        <f>PEG!W74+PEG!W76</f>
        <v>187</v>
      </c>
      <c r="CP45" s="679">
        <f>PEG!X74+PEG!X76</f>
        <v>729</v>
      </c>
      <c r="CQ45" s="674"/>
      <c r="CR45" s="674"/>
      <c r="CS45" s="674"/>
      <c r="CT45" s="674"/>
      <c r="CU45" s="679">
        <f>PEG!AC74+PEG!AC76</f>
        <v>657</v>
      </c>
      <c r="CV45" s="674"/>
      <c r="CW45" s="674"/>
      <c r="CX45" s="674"/>
      <c r="CY45" s="674"/>
      <c r="CZ45" s="679">
        <f>PEG!AH74+PEG!AH76</f>
        <v>603</v>
      </c>
      <c r="DA45" s="674"/>
      <c r="DB45" s="674"/>
      <c r="DC45" s="674"/>
      <c r="DD45" s="674"/>
      <c r="DE45" s="679">
        <f>PEG!AM74+PEG!AM76</f>
        <v>1143</v>
      </c>
      <c r="DF45" s="674"/>
      <c r="DG45" s="674"/>
      <c r="DH45" s="674"/>
      <c r="DI45" s="674"/>
      <c r="DJ45" s="679">
        <f>PEG!AR74+PEG!AR76</f>
        <v>1366</v>
      </c>
      <c r="DK45" s="674"/>
      <c r="DL45" s="674"/>
      <c r="DM45" s="674"/>
      <c r="DN45" s="674"/>
      <c r="DO45" s="679">
        <f>PEG!AW74+PEG!AW76</f>
        <v>1226</v>
      </c>
      <c r="DP45" s="674"/>
      <c r="DQ45" s="674"/>
      <c r="DR45" s="674"/>
      <c r="DS45" s="674"/>
      <c r="DT45" s="679">
        <f>PEG!BB74+PEG!BB76</f>
        <v>685</v>
      </c>
      <c r="DU45" s="674"/>
      <c r="DV45" s="674"/>
      <c r="DW45" s="674"/>
      <c r="DX45" s="674"/>
      <c r="DY45" s="679">
        <f>PEG!BG74+PEG!BG76</f>
        <v>290</v>
      </c>
      <c r="DZ45" s="674"/>
      <c r="EA45" s="674"/>
      <c r="EB45" s="674"/>
      <c r="EC45" s="674"/>
      <c r="ED45" s="679">
        <f>PEG!BL74+PEG!BL76</f>
        <v>215</v>
      </c>
      <c r="EE45" s="674"/>
      <c r="EF45" s="674"/>
      <c r="EG45" s="674"/>
      <c r="EH45" s="674"/>
      <c r="EI45" s="679">
        <f>PEG!BQ74+PEG!BQ76</f>
        <v>240</v>
      </c>
    </row>
    <row r="46" spans="2:139">
      <c r="B46" s="47"/>
      <c r="C46" s="47"/>
      <c r="D46" s="47"/>
      <c r="I46" s="47"/>
      <c r="N46" s="47"/>
      <c r="S46" s="47"/>
      <c r="X46" s="47"/>
      <c r="AC46" s="47"/>
      <c r="AH46" s="47"/>
      <c r="AM46" s="47"/>
      <c r="AR46" s="47"/>
      <c r="AW46" s="47"/>
      <c r="BB46" s="47"/>
      <c r="BG46" s="47"/>
      <c r="BL46" s="47"/>
      <c r="BQ46" s="47"/>
      <c r="BR46" s="47"/>
      <c r="BS46" s="47"/>
      <c r="BT46" s="643"/>
      <c r="BU46" s="672" t="s">
        <v>98</v>
      </c>
      <c r="BV46" s="47"/>
      <c r="BW46" s="674"/>
      <c r="BX46" s="674"/>
      <c r="BY46" s="674"/>
      <c r="BZ46" s="674"/>
      <c r="CA46" s="679">
        <f>CA47-CA44-CA45</f>
        <v>-151</v>
      </c>
      <c r="CB46" s="674"/>
      <c r="CC46" s="674"/>
      <c r="CD46" s="674"/>
      <c r="CE46" s="674"/>
      <c r="CF46" s="679">
        <f t="shared" ref="CF46:DE46" si="1">CF47-CF44-CF45</f>
        <v>-19</v>
      </c>
      <c r="CG46" s="674">
        <f t="shared" si="1"/>
        <v>-7</v>
      </c>
      <c r="CH46" s="674">
        <f t="shared" si="1"/>
        <v>11</v>
      </c>
      <c r="CI46" s="674">
        <f t="shared" si="1"/>
        <v>12</v>
      </c>
      <c r="CJ46" s="674">
        <f t="shared" si="1"/>
        <v>5</v>
      </c>
      <c r="CK46" s="679">
        <f t="shared" si="1"/>
        <v>21</v>
      </c>
      <c r="CL46" s="674">
        <f t="shared" si="1"/>
        <v>7</v>
      </c>
      <c r="CM46" s="674">
        <f t="shared" si="1"/>
        <v>35</v>
      </c>
      <c r="CN46" s="674">
        <f t="shared" si="1"/>
        <v>16</v>
      </c>
      <c r="CO46" s="674">
        <f t="shared" si="1"/>
        <v>17</v>
      </c>
      <c r="CP46" s="679">
        <f t="shared" si="1"/>
        <v>75</v>
      </c>
      <c r="CQ46" s="674"/>
      <c r="CR46" s="674"/>
      <c r="CS46" s="674"/>
      <c r="CT46" s="674"/>
      <c r="CU46" s="679">
        <f t="shared" si="1"/>
        <v>-21</v>
      </c>
      <c r="CV46" s="674"/>
      <c r="CW46" s="674"/>
      <c r="CX46" s="674"/>
      <c r="CY46" s="674"/>
      <c r="CZ46" s="679">
        <f t="shared" si="1"/>
        <v>53</v>
      </c>
      <c r="DA46" s="674"/>
      <c r="DB46" s="674"/>
      <c r="DC46" s="674"/>
      <c r="DD46" s="674"/>
      <c r="DE46" s="679">
        <f t="shared" si="1"/>
        <v>28</v>
      </c>
      <c r="DF46" s="674"/>
      <c r="DG46" s="674"/>
      <c r="DH46" s="674"/>
      <c r="DI46" s="674"/>
      <c r="DJ46" s="679">
        <f>DJ47-DJ44-DJ45</f>
        <v>17</v>
      </c>
      <c r="DK46" s="674"/>
      <c r="DL46" s="674"/>
      <c r="DM46" s="674"/>
      <c r="DN46" s="674"/>
      <c r="DO46" s="679">
        <f>DO47-DO44-DO45</f>
        <v>45</v>
      </c>
      <c r="DP46" s="674"/>
      <c r="DQ46" s="674"/>
      <c r="DR46" s="674"/>
      <c r="DS46" s="674"/>
      <c r="DT46" s="679">
        <f>DT47-DT44-DT45</f>
        <v>-0.83333333333348492</v>
      </c>
      <c r="DU46" s="674"/>
      <c r="DV46" s="674"/>
      <c r="DW46" s="674"/>
      <c r="DX46" s="674"/>
      <c r="DY46" s="679">
        <f>DY47-DY44-DY45</f>
        <v>0</v>
      </c>
      <c r="DZ46" s="674"/>
      <c r="EA46" s="674"/>
      <c r="EB46" s="674"/>
      <c r="EC46" s="674"/>
      <c r="ED46" s="679">
        <f>ED47-ED44-ED45</f>
        <v>0</v>
      </c>
      <c r="EE46" s="674"/>
      <c r="EF46" s="674"/>
      <c r="EG46" s="674"/>
      <c r="EH46" s="674"/>
      <c r="EI46" s="679">
        <f>EI47-EI44-EI45</f>
        <v>0</v>
      </c>
    </row>
    <row r="47" spans="2:139">
      <c r="B47" s="47"/>
      <c r="C47" s="47"/>
      <c r="D47" s="47"/>
      <c r="I47" s="47"/>
      <c r="N47" s="47"/>
      <c r="S47" s="47"/>
      <c r="X47" s="47"/>
      <c r="AC47" s="47"/>
      <c r="AH47" s="47"/>
      <c r="AM47" s="47"/>
      <c r="AR47" s="47"/>
      <c r="AW47" s="47"/>
      <c r="BB47" s="47"/>
      <c r="BG47" s="47"/>
      <c r="BL47" s="47"/>
      <c r="BQ47" s="47"/>
      <c r="BR47" s="47"/>
      <c r="BS47" s="47"/>
      <c r="BT47" s="643"/>
      <c r="BU47" s="64" t="s">
        <v>109</v>
      </c>
      <c r="BV47" s="47"/>
      <c r="BW47" s="692"/>
      <c r="BX47" s="692"/>
      <c r="BY47" s="692"/>
      <c r="BZ47" s="692"/>
      <c r="CA47" s="693">
        <f>-PEG!I117</f>
        <v>1794</v>
      </c>
      <c r="CB47" s="692"/>
      <c r="CC47" s="692"/>
      <c r="CD47" s="692"/>
      <c r="CE47" s="692"/>
      <c r="CF47" s="693">
        <f>-PEG!N117</f>
        <v>2160</v>
      </c>
      <c r="CG47" s="692">
        <f>-PEG!O117</f>
        <v>497</v>
      </c>
      <c r="CH47" s="692">
        <f>-PEG!P117</f>
        <v>505</v>
      </c>
      <c r="CI47" s="692">
        <f>-PEG!Q117</f>
        <v>477</v>
      </c>
      <c r="CJ47" s="692">
        <f>-PEG!R117</f>
        <v>604</v>
      </c>
      <c r="CK47" s="693">
        <f>-PEG!S117</f>
        <v>2083</v>
      </c>
      <c r="CL47" s="692">
        <f>-PEG!T117</f>
        <v>687</v>
      </c>
      <c r="CM47" s="692">
        <f>-PEG!U117</f>
        <v>593</v>
      </c>
      <c r="CN47" s="692">
        <f>-PEG!V117</f>
        <v>689</v>
      </c>
      <c r="CO47" s="692">
        <f>-PEG!W117</f>
        <v>605</v>
      </c>
      <c r="CP47" s="693">
        <f>-PEG!X117</f>
        <v>2574</v>
      </c>
      <c r="CQ47" s="692"/>
      <c r="CR47" s="692"/>
      <c r="CS47" s="692"/>
      <c r="CT47" s="692"/>
      <c r="CU47" s="693">
        <f>-PEG!AC117</f>
        <v>2811</v>
      </c>
      <c r="CV47" s="692"/>
      <c r="CW47" s="692"/>
      <c r="CX47" s="692"/>
      <c r="CY47" s="692"/>
      <c r="CZ47" s="693">
        <f>-PEG!AH117</f>
        <v>2820</v>
      </c>
      <c r="DA47" s="692"/>
      <c r="DB47" s="692"/>
      <c r="DC47" s="692"/>
      <c r="DD47" s="692"/>
      <c r="DE47" s="693">
        <f>-PEG!AM117</f>
        <v>3863</v>
      </c>
      <c r="DF47" s="692"/>
      <c r="DG47" s="692"/>
      <c r="DH47" s="692"/>
      <c r="DI47" s="692"/>
      <c r="DJ47" s="693">
        <f>-PEG!AR117</f>
        <v>4199</v>
      </c>
      <c r="DK47" s="692"/>
      <c r="DL47" s="692"/>
      <c r="DM47" s="692"/>
      <c r="DN47" s="692"/>
      <c r="DO47" s="693">
        <f>-PEG!AW117</f>
        <v>4190</v>
      </c>
      <c r="DP47" s="692"/>
      <c r="DQ47" s="692"/>
      <c r="DR47" s="692"/>
      <c r="DS47" s="692"/>
      <c r="DT47" s="693">
        <f>-PEG!BB117</f>
        <v>3554.1666666666665</v>
      </c>
      <c r="DU47" s="692"/>
      <c r="DV47" s="692"/>
      <c r="DW47" s="692"/>
      <c r="DX47" s="692"/>
      <c r="DY47" s="693">
        <f>-PEG!BG117</f>
        <v>3135</v>
      </c>
      <c r="DZ47" s="692"/>
      <c r="EA47" s="692"/>
      <c r="EB47" s="692"/>
      <c r="EC47" s="692"/>
      <c r="ED47" s="693">
        <f>-PEG!BL117</f>
        <v>3020</v>
      </c>
      <c r="EE47" s="692"/>
      <c r="EF47" s="692"/>
      <c r="EG47" s="692"/>
      <c r="EH47" s="692"/>
      <c r="EI47" s="693">
        <f>-PEG!BQ117</f>
        <v>2605</v>
      </c>
    </row>
    <row r="48" spans="2:139">
      <c r="B48" s="47"/>
      <c r="C48" s="47"/>
      <c r="D48" s="47"/>
      <c r="I48" s="47"/>
      <c r="N48" s="47"/>
      <c r="S48" s="47"/>
      <c r="X48" s="47"/>
      <c r="AC48" s="47"/>
      <c r="AH48" s="47"/>
      <c r="AM48" s="47"/>
      <c r="AR48" s="47"/>
      <c r="AW48" s="47"/>
      <c r="BB48" s="47"/>
      <c r="BG48" s="47"/>
      <c r="BL48" s="47"/>
      <c r="BQ48" s="47"/>
      <c r="BR48" s="47"/>
      <c r="BS48" s="47"/>
      <c r="BT48" s="643"/>
      <c r="BU48" s="305"/>
      <c r="BV48" s="47"/>
      <c r="BW48" s="29"/>
      <c r="BX48" s="29"/>
      <c r="BY48" s="29"/>
      <c r="BZ48" s="29"/>
      <c r="CA48" s="659"/>
      <c r="CB48" s="29"/>
      <c r="CC48" s="29"/>
      <c r="CD48" s="29"/>
      <c r="CE48" s="29"/>
      <c r="CF48" s="659"/>
      <c r="CG48" s="29"/>
      <c r="CH48" s="29"/>
      <c r="CI48" s="29"/>
      <c r="CJ48" s="29"/>
      <c r="CK48" s="659"/>
      <c r="CL48" s="29"/>
      <c r="CM48" s="29"/>
      <c r="CN48" s="29"/>
      <c r="CO48" s="29"/>
      <c r="CP48" s="659"/>
      <c r="CQ48" s="29"/>
      <c r="CR48" s="29"/>
      <c r="CS48" s="29"/>
      <c r="CT48" s="29"/>
      <c r="CU48" s="659"/>
      <c r="CV48" s="29"/>
      <c r="CW48" s="29"/>
      <c r="CX48" s="29"/>
      <c r="CY48" s="29"/>
      <c r="CZ48" s="659"/>
      <c r="DA48" s="29"/>
      <c r="DB48" s="29"/>
      <c r="DC48" s="29"/>
      <c r="DD48" s="29"/>
      <c r="DE48" s="659"/>
      <c r="DF48" s="29"/>
      <c r="DG48" s="29"/>
      <c r="DH48" s="29"/>
      <c r="DI48" s="29"/>
      <c r="DJ48" s="659"/>
      <c r="DK48" s="29"/>
      <c r="DL48" s="29"/>
      <c r="DM48" s="29"/>
      <c r="DN48" s="29"/>
      <c r="DO48" s="659"/>
      <c r="DP48" s="29"/>
      <c r="DQ48" s="29"/>
      <c r="DR48" s="29"/>
      <c r="DS48" s="29"/>
      <c r="DT48" s="659"/>
      <c r="DU48" s="29"/>
      <c r="DV48" s="29"/>
      <c r="DW48" s="29"/>
      <c r="DX48" s="29"/>
      <c r="DY48" s="659"/>
      <c r="DZ48" s="29"/>
      <c r="EA48" s="29"/>
      <c r="EB48" s="29"/>
      <c r="EC48" s="29"/>
      <c r="ED48" s="659"/>
      <c r="EE48" s="29"/>
      <c r="EF48" s="29"/>
      <c r="EG48" s="29"/>
      <c r="EH48" s="29"/>
      <c r="EI48" s="659"/>
    </row>
    <row r="49" spans="2:139">
      <c r="B49" s="304" t="s">
        <v>110</v>
      </c>
      <c r="C49" s="304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6"/>
      <c r="T49" s="106"/>
      <c r="U49" s="106"/>
      <c r="V49" s="106"/>
      <c r="W49" s="106"/>
      <c r="X49" s="106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06"/>
      <c r="AM49" s="106"/>
      <c r="AN49" s="106"/>
      <c r="AO49" s="106"/>
      <c r="AP49" s="106"/>
      <c r="AQ49" s="106"/>
      <c r="AR49" s="106"/>
      <c r="AS49" s="106"/>
      <c r="AT49" s="106"/>
      <c r="AU49" s="106"/>
      <c r="AV49" s="106"/>
      <c r="AW49" s="106"/>
      <c r="AX49" s="106"/>
      <c r="AY49" s="106"/>
      <c r="AZ49" s="106"/>
      <c r="BA49" s="106"/>
      <c r="BB49" s="106"/>
      <c r="BC49" s="106"/>
      <c r="BD49" s="106"/>
      <c r="BE49" s="106"/>
      <c r="BF49" s="106"/>
      <c r="BG49" s="106"/>
      <c r="BH49" s="106"/>
      <c r="BI49" s="106"/>
      <c r="BJ49" s="106"/>
      <c r="BK49" s="106"/>
      <c r="BL49" s="106"/>
      <c r="BM49" s="106"/>
      <c r="BN49" s="106"/>
      <c r="BO49" s="106"/>
      <c r="BP49" s="106"/>
      <c r="BQ49" s="106"/>
      <c r="BR49" s="47"/>
      <c r="BS49" s="47"/>
      <c r="BT49" s="643"/>
      <c r="BU49" s="64" t="s">
        <v>402</v>
      </c>
      <c r="BV49" s="47"/>
      <c r="CA49" s="47"/>
      <c r="CF49" s="47"/>
      <c r="CK49" s="47"/>
      <c r="CP49" s="47"/>
      <c r="CU49" s="47"/>
      <c r="CZ49" s="47"/>
      <c r="DE49" s="47"/>
      <c r="DJ49" s="47"/>
      <c r="DO49" s="47"/>
      <c r="DT49" s="47"/>
      <c r="DY49" s="47"/>
      <c r="ED49" s="47"/>
      <c r="EI49" s="47"/>
    </row>
    <row r="50" spans="2:139">
      <c r="B50" s="47"/>
      <c r="C50" s="305"/>
      <c r="D50" s="305"/>
      <c r="F50" s="684"/>
      <c r="G50" s="684"/>
      <c r="H50" s="684"/>
      <c r="I50" s="305"/>
      <c r="K50" s="684"/>
      <c r="L50" s="684"/>
      <c r="M50" s="684"/>
      <c r="N50" s="685"/>
      <c r="P50" s="684"/>
      <c r="Q50" s="684"/>
      <c r="R50" s="684"/>
      <c r="S50" s="685"/>
      <c r="U50" s="684"/>
      <c r="V50" s="684"/>
      <c r="W50" s="684"/>
      <c r="X50" s="685"/>
      <c r="Z50" s="684"/>
      <c r="AA50" s="684"/>
      <c r="AB50" s="684"/>
      <c r="AC50" s="685"/>
      <c r="AE50" s="684"/>
      <c r="AF50" s="684"/>
      <c r="AG50" s="684"/>
      <c r="AH50" s="685"/>
      <c r="AJ50" s="684"/>
      <c r="AK50" s="684"/>
      <c r="AL50" s="684"/>
      <c r="AM50" s="47"/>
      <c r="AO50" s="684"/>
      <c r="AP50" s="684"/>
      <c r="AQ50" s="684"/>
      <c r="AR50" s="47"/>
      <c r="AT50" s="684"/>
      <c r="AU50" s="684"/>
      <c r="AV50" s="684"/>
      <c r="AW50" s="47"/>
      <c r="AY50" s="684"/>
      <c r="AZ50" s="684"/>
      <c r="BA50" s="684"/>
      <c r="BB50" s="47"/>
      <c r="BD50" s="684"/>
      <c r="BE50" s="684"/>
      <c r="BF50" s="684"/>
      <c r="BG50" s="47"/>
      <c r="BI50" s="684"/>
      <c r="BJ50" s="684"/>
      <c r="BK50" s="684"/>
      <c r="BL50" s="47"/>
      <c r="BN50" s="684"/>
      <c r="BO50" s="684"/>
      <c r="BP50" s="684"/>
      <c r="BQ50" s="47"/>
      <c r="BR50" s="47"/>
      <c r="BS50" s="47"/>
      <c r="BT50" s="643"/>
      <c r="BU50" s="305" t="s">
        <v>509</v>
      </c>
      <c r="BV50" s="47"/>
      <c r="BW50" s="674"/>
      <c r="BX50" s="674"/>
      <c r="BY50" s="674"/>
      <c r="BZ50" s="674"/>
      <c r="CA50" s="679">
        <f>+CA38-CA44</f>
        <v>102</v>
      </c>
      <c r="CB50" s="674"/>
      <c r="CC50" s="674"/>
      <c r="CD50" s="674"/>
      <c r="CE50" s="674"/>
      <c r="CF50" s="679">
        <f>+CF38-CF44</f>
        <v>-246</v>
      </c>
      <c r="CG50" s="674"/>
      <c r="CH50" s="674"/>
      <c r="CI50" s="674"/>
      <c r="CJ50" s="674"/>
      <c r="CK50" s="679">
        <f>+CK38-CK44</f>
        <v>474</v>
      </c>
      <c r="CL50" s="674"/>
      <c r="CM50" s="674"/>
      <c r="CN50" s="674"/>
      <c r="CO50" s="674"/>
      <c r="CP50" s="679">
        <f>+CP38-CP44</f>
        <v>-514</v>
      </c>
      <c r="CQ50" s="674"/>
      <c r="CR50" s="674"/>
      <c r="CS50" s="674"/>
      <c r="CT50" s="674"/>
      <c r="CU50" s="679">
        <f>+CU38-CU44</f>
        <v>-530</v>
      </c>
      <c r="CV50" s="674"/>
      <c r="CW50" s="674"/>
      <c r="CX50" s="674"/>
      <c r="CY50" s="674"/>
      <c r="CZ50" s="679">
        <f>+CZ38-CZ44</f>
        <v>-331</v>
      </c>
      <c r="DA50" s="674"/>
      <c r="DB50" s="674"/>
      <c r="DC50" s="674"/>
      <c r="DD50" s="674"/>
      <c r="DE50" s="679">
        <f>+DE38-DE44</f>
        <v>-567</v>
      </c>
      <c r="DF50" s="674"/>
      <c r="DG50" s="674"/>
      <c r="DH50" s="674"/>
      <c r="DI50" s="674"/>
      <c r="DJ50" s="679">
        <f>+DJ38-DJ44</f>
        <v>-922</v>
      </c>
      <c r="DK50" s="674"/>
      <c r="DL50" s="674"/>
      <c r="DM50" s="674"/>
      <c r="DN50" s="674"/>
      <c r="DO50" s="679">
        <f>+DO38-DO44</f>
        <v>-1080</v>
      </c>
      <c r="DP50" s="674"/>
      <c r="DQ50" s="674"/>
      <c r="DR50" s="674"/>
      <c r="DS50" s="674"/>
      <c r="DT50" s="679">
        <f>+DT38-DT44</f>
        <v>-1016.8946926678104</v>
      </c>
      <c r="DU50" s="674"/>
      <c r="DV50" s="674"/>
      <c r="DW50" s="674"/>
      <c r="DX50" s="674"/>
      <c r="DY50" s="679">
        <f>+DY38-DY44</f>
        <v>-918.28790486300863</v>
      </c>
      <c r="DZ50" s="674"/>
      <c r="EA50" s="674"/>
      <c r="EB50" s="674"/>
      <c r="EC50" s="674"/>
      <c r="ED50" s="679">
        <f>+ED38-ED44</f>
        <v>-898.46734027958155</v>
      </c>
      <c r="EE50" s="674"/>
      <c r="EF50" s="674"/>
      <c r="EG50" s="674"/>
      <c r="EH50" s="674"/>
      <c r="EI50" s="679">
        <f>+EI38-EI44</f>
        <v>-337.829751463717</v>
      </c>
    </row>
    <row r="51" spans="2:139">
      <c r="B51" s="47"/>
      <c r="C51" s="305" t="s">
        <v>565</v>
      </c>
      <c r="D51" s="695"/>
      <c r="E51" s="695"/>
      <c r="F51" s="677" t="e">
        <v>#DIV/0!</v>
      </c>
      <c r="G51" s="677">
        <v>21.172956989247311</v>
      </c>
      <c r="H51" s="677">
        <v>18.988450479233229</v>
      </c>
      <c r="I51" s="695"/>
      <c r="J51" s="695"/>
      <c r="K51" s="677"/>
      <c r="L51" s="677"/>
      <c r="M51" s="677"/>
      <c r="N51" s="677">
        <f>N60/N13</f>
        <v>15.628618952618453</v>
      </c>
      <c r="O51" s="695"/>
      <c r="P51" s="677"/>
      <c r="Q51" s="677"/>
      <c r="R51" s="677"/>
      <c r="S51" s="677">
        <f>S60/S13</f>
        <v>17.776730553191488</v>
      </c>
      <c r="T51" s="695"/>
      <c r="U51" s="677"/>
      <c r="V51" s="677"/>
      <c r="W51" s="677"/>
      <c r="X51" s="677">
        <f>X60/X13</f>
        <v>20.283439999999999</v>
      </c>
      <c r="Y51" s="695"/>
      <c r="Z51" s="677"/>
      <c r="AA51" s="677"/>
      <c r="AB51" s="677"/>
      <c r="AC51" s="677">
        <f>AC60/AC13</f>
        <v>19.168858670741024</v>
      </c>
      <c r="AD51" s="695"/>
      <c r="AE51" s="677"/>
      <c r="AF51" s="677"/>
      <c r="AG51" s="677"/>
      <c r="AH51" s="677">
        <f>AH60/AH13</f>
        <v>17.939657142857143</v>
      </c>
      <c r="AI51" s="695"/>
      <c r="AJ51" s="677"/>
      <c r="AK51" s="677"/>
      <c r="AL51" s="677"/>
      <c r="AM51" s="677">
        <f>AM60/AM13</f>
        <v>17.015934959349593</v>
      </c>
      <c r="AN51" s="695"/>
      <c r="AO51" s="677"/>
      <c r="AP51" s="677"/>
      <c r="AQ51" s="677"/>
      <c r="AR51" s="677">
        <f>AR60/AR13</f>
        <v>17.027471186440675</v>
      </c>
      <c r="AS51" s="695"/>
      <c r="AT51" s="677"/>
      <c r="AU51" s="677"/>
      <c r="AV51" s="677"/>
      <c r="AW51" s="677">
        <f>AW60/AW13</f>
        <v>16.84548387096774</v>
      </c>
      <c r="AX51" s="695"/>
      <c r="AY51" s="677"/>
      <c r="AZ51" s="677"/>
      <c r="BA51" s="677"/>
      <c r="BB51" s="677">
        <f>BB60/BB13</f>
        <v>15.658834764876847</v>
      </c>
      <c r="BC51" s="695"/>
      <c r="BD51" s="677"/>
      <c r="BE51" s="677"/>
      <c r="BF51" s="677"/>
      <c r="BG51" s="677">
        <f>BG60/BG13</f>
        <v>15.425962246375779</v>
      </c>
      <c r="BH51" s="695"/>
      <c r="BI51" s="677"/>
      <c r="BJ51" s="677"/>
      <c r="BK51" s="677"/>
      <c r="BL51" s="677">
        <f>BL60/BL13</f>
        <v>14.865062476232259</v>
      </c>
      <c r="BM51" s="695"/>
      <c r="BN51" s="677"/>
      <c r="BO51" s="677"/>
      <c r="BP51" s="677"/>
      <c r="BQ51" s="677">
        <f>BQ60/BQ13</f>
        <v>13.312938650709315</v>
      </c>
      <c r="BR51" s="47"/>
      <c r="BS51" s="47"/>
      <c r="BT51" s="643"/>
      <c r="BU51" s="47" t="s">
        <v>399</v>
      </c>
      <c r="BV51" s="47"/>
      <c r="BW51" s="674"/>
      <c r="BX51" s="674"/>
      <c r="BY51" s="674"/>
      <c r="BZ51" s="674"/>
      <c r="CA51" s="679">
        <f>+CA39-CA45</f>
        <v>-192</v>
      </c>
      <c r="CB51" s="674"/>
      <c r="CC51" s="674"/>
      <c r="CD51" s="674"/>
      <c r="CE51" s="674"/>
      <c r="CF51" s="679">
        <f>+CF39-CF45</f>
        <v>231</v>
      </c>
      <c r="CG51" s="674"/>
      <c r="CH51" s="674"/>
      <c r="CI51" s="674"/>
      <c r="CJ51" s="674"/>
      <c r="CK51" s="679">
        <f>+CK39-CK45</f>
        <v>1021</v>
      </c>
      <c r="CL51" s="674"/>
      <c r="CM51" s="674"/>
      <c r="CN51" s="674"/>
      <c r="CO51" s="674"/>
      <c r="CP51" s="679">
        <f>+CP39-CP45</f>
        <v>802</v>
      </c>
      <c r="CQ51" s="674"/>
      <c r="CR51" s="674"/>
      <c r="CS51" s="674"/>
      <c r="CT51" s="674"/>
      <c r="CU51" s="679">
        <f>+CU39-CU45</f>
        <v>856</v>
      </c>
      <c r="CV51" s="674"/>
      <c r="CW51" s="674"/>
      <c r="CX51" s="674"/>
      <c r="CY51" s="674"/>
      <c r="CZ51" s="679">
        <f>+CZ39-CZ45</f>
        <v>724</v>
      </c>
      <c r="DA51" s="674"/>
      <c r="DB51" s="674"/>
      <c r="DC51" s="674"/>
      <c r="DD51" s="674"/>
      <c r="DE51" s="679">
        <f>+DE39-DE45</f>
        <v>651</v>
      </c>
      <c r="DF51" s="674"/>
      <c r="DG51" s="674"/>
      <c r="DH51" s="674"/>
      <c r="DI51" s="674"/>
      <c r="DJ51" s="679">
        <f>+DJ39-DJ45</f>
        <v>51</v>
      </c>
      <c r="DK51" s="674"/>
      <c r="DL51" s="674"/>
      <c r="DM51" s="674"/>
      <c r="DN51" s="674"/>
      <c r="DO51" s="679">
        <f>+DO39-DO45</f>
        <v>196</v>
      </c>
      <c r="DP51" s="674"/>
      <c r="DQ51" s="674"/>
      <c r="DR51" s="674"/>
      <c r="DS51" s="674"/>
      <c r="DT51" s="679">
        <f>+DT39-DT45</f>
        <v>435.82446055822288</v>
      </c>
      <c r="DU51" s="674"/>
      <c r="DV51" s="674"/>
      <c r="DW51" s="674"/>
      <c r="DX51" s="674"/>
      <c r="DY51" s="679">
        <f>+DY39-DY45</f>
        <v>670.07718901935982</v>
      </c>
      <c r="DZ51" s="674"/>
      <c r="EA51" s="674"/>
      <c r="EB51" s="674"/>
      <c r="EC51" s="674"/>
      <c r="ED51" s="679">
        <f>+ED39-ED45</f>
        <v>626.94453499231201</v>
      </c>
      <c r="EE51" s="674"/>
      <c r="EF51" s="674"/>
      <c r="EG51" s="674"/>
      <c r="EH51" s="674"/>
      <c r="EI51" s="679">
        <f>+EI39-EI45</f>
        <v>724.50034593841031</v>
      </c>
    </row>
    <row r="52" spans="2:139">
      <c r="B52" s="47"/>
      <c r="C52" s="305" t="s">
        <v>566</v>
      </c>
      <c r="D52" s="695"/>
      <c r="E52" s="695"/>
      <c r="F52" s="677" t="e">
        <v>#DIV/0!</v>
      </c>
      <c r="G52" s="677">
        <v>3.0357466366683501</v>
      </c>
      <c r="H52" s="677">
        <v>3.2090272930660704</v>
      </c>
      <c r="I52" s="695"/>
      <c r="J52" s="695"/>
      <c r="K52" s="677"/>
      <c r="L52" s="677"/>
      <c r="M52" s="677"/>
      <c r="N52" s="677">
        <f>N64/N25</f>
        <v>8.3704963245115014</v>
      </c>
      <c r="O52" s="695"/>
      <c r="P52" s="677"/>
      <c r="Q52" s="677"/>
      <c r="R52" s="677"/>
      <c r="S52" s="677">
        <f>S64/S25</f>
        <v>8.4341373246414584</v>
      </c>
      <c r="T52" s="695"/>
      <c r="U52" s="677"/>
      <c r="V52" s="677"/>
      <c r="W52" s="677"/>
      <c r="X52" s="677">
        <f>X64/X25</f>
        <v>9.4346091284403659</v>
      </c>
      <c r="Y52" s="695"/>
      <c r="Z52" s="677"/>
      <c r="AA52" s="677"/>
      <c r="AB52" s="677"/>
      <c r="AC52" s="677">
        <f>AC64/AC25</f>
        <v>9.1595369023383757</v>
      </c>
      <c r="AD52" s="695"/>
      <c r="AE52" s="677"/>
      <c r="AF52" s="677"/>
      <c r="AG52" s="677"/>
      <c r="AH52" s="677">
        <f>AH64/AH25</f>
        <v>8.3071995677799588</v>
      </c>
      <c r="AI52" s="695"/>
      <c r="AJ52" s="677"/>
      <c r="AK52" s="677"/>
      <c r="AL52" s="677"/>
      <c r="AM52" s="677">
        <f>AM64/AM25</f>
        <v>8.0762576720317227</v>
      </c>
      <c r="AN52" s="695"/>
      <c r="AO52" s="677"/>
      <c r="AP52" s="677"/>
      <c r="AQ52" s="677"/>
      <c r="AR52" s="677">
        <f>AR64/AR25</f>
        <v>11.53685237100348</v>
      </c>
      <c r="AS52" s="695"/>
      <c r="AT52" s="677"/>
      <c r="AU52" s="677"/>
      <c r="AV52" s="677"/>
      <c r="AW52" s="677">
        <f>AW64/AW25</f>
        <v>10.530018282578874</v>
      </c>
      <c r="AX52" s="695"/>
      <c r="AY52" s="677"/>
      <c r="AZ52" s="677"/>
      <c r="BA52" s="677"/>
      <c r="BB52" s="677">
        <f>BB64/BB25</f>
        <v>11.295583636119064</v>
      </c>
      <c r="BC52" s="695"/>
      <c r="BD52" s="677"/>
      <c r="BE52" s="677"/>
      <c r="BF52" s="677"/>
      <c r="BG52" s="677">
        <f>BG64/BG25</f>
        <v>11.120288929214439</v>
      </c>
      <c r="BH52" s="695"/>
      <c r="BI52" s="677"/>
      <c r="BJ52" s="677"/>
      <c r="BK52" s="677"/>
      <c r="BL52" s="677">
        <f>BL64/BL25</f>
        <v>10.842814540531734</v>
      </c>
      <c r="BM52" s="695"/>
      <c r="BN52" s="677"/>
      <c r="BO52" s="677"/>
      <c r="BP52" s="677"/>
      <c r="BQ52" s="677">
        <f>BQ64/BQ25</f>
        <v>10.054769337088141</v>
      </c>
      <c r="BR52" s="47"/>
      <c r="BS52" s="47"/>
      <c r="BT52" s="643"/>
      <c r="BU52" s="672" t="s">
        <v>98</v>
      </c>
      <c r="BV52" s="47"/>
      <c r="BW52" s="674"/>
      <c r="BX52" s="674"/>
      <c r="BY52" s="674"/>
      <c r="BZ52" s="674"/>
      <c r="CA52" s="679">
        <f>+CA40-CA46</f>
        <v>151</v>
      </c>
      <c r="CB52" s="674"/>
      <c r="CC52" s="674"/>
      <c r="CD52" s="674"/>
      <c r="CE52" s="674"/>
      <c r="CF52" s="679">
        <f>+CF40-CF46</f>
        <v>19</v>
      </c>
      <c r="CG52" s="674"/>
      <c r="CH52" s="674"/>
      <c r="CI52" s="674"/>
      <c r="CJ52" s="674"/>
      <c r="CK52" s="679">
        <f>+CK40-CK46</f>
        <v>-21</v>
      </c>
      <c r="CL52" s="674"/>
      <c r="CM52" s="674"/>
      <c r="CN52" s="674"/>
      <c r="CO52" s="674"/>
      <c r="CP52" s="679">
        <f>+CP40-CP46</f>
        <v>-75</v>
      </c>
      <c r="CQ52" s="674"/>
      <c r="CR52" s="674"/>
      <c r="CS52" s="674"/>
      <c r="CT52" s="674"/>
      <c r="CU52" s="679">
        <f>+CU40-CU46</f>
        <v>21</v>
      </c>
      <c r="CV52" s="674"/>
      <c r="CW52" s="674"/>
      <c r="CX52" s="674"/>
      <c r="CY52" s="674"/>
      <c r="CZ52" s="679">
        <f>+CZ40-CZ46</f>
        <v>-53</v>
      </c>
      <c r="DA52" s="674"/>
      <c r="DB52" s="674"/>
      <c r="DC52" s="674"/>
      <c r="DD52" s="674"/>
      <c r="DE52" s="679">
        <f>+DE40-DE46</f>
        <v>-28</v>
      </c>
      <c r="DF52" s="674"/>
      <c r="DG52" s="674"/>
      <c r="DH52" s="674"/>
      <c r="DI52" s="674"/>
      <c r="DJ52" s="679">
        <f>+DJ40-DJ46</f>
        <v>-17</v>
      </c>
      <c r="DK52" s="674"/>
      <c r="DL52" s="674"/>
      <c r="DM52" s="674"/>
      <c r="DN52" s="674"/>
      <c r="DO52" s="679">
        <f>+DO40-DO46</f>
        <v>-45</v>
      </c>
      <c r="DP52" s="674"/>
      <c r="DQ52" s="674"/>
      <c r="DR52" s="674"/>
      <c r="DS52" s="674"/>
      <c r="DT52" s="679">
        <f>+DT40-DT46</f>
        <v>-3.1666666666662877</v>
      </c>
      <c r="DU52" s="674"/>
      <c r="DV52" s="674"/>
      <c r="DW52" s="674"/>
      <c r="DX52" s="674"/>
      <c r="DY52" s="679">
        <f>+DY40-DY46</f>
        <v>-9.0949470177292824E-13</v>
      </c>
      <c r="DZ52" s="674"/>
      <c r="EA52" s="674"/>
      <c r="EB52" s="674"/>
      <c r="EC52" s="674"/>
      <c r="ED52" s="679">
        <f>+ED40-ED46</f>
        <v>0</v>
      </c>
      <c r="EE52" s="674"/>
      <c r="EF52" s="674"/>
      <c r="EG52" s="674"/>
      <c r="EH52" s="674"/>
      <c r="EI52" s="679">
        <f>+EI40-EI46</f>
        <v>0</v>
      </c>
    </row>
    <row r="53" spans="2:139">
      <c r="B53" s="47"/>
      <c r="C53" s="305" t="s">
        <v>557</v>
      </c>
      <c r="D53" s="695"/>
      <c r="E53" s="695"/>
      <c r="F53" s="696">
        <v>0</v>
      </c>
      <c r="G53" s="696">
        <v>1.7229449211181844E-2</v>
      </c>
      <c r="H53" s="696">
        <v>1.7506227511763076E-2</v>
      </c>
      <c r="I53" s="695"/>
      <c r="J53" s="695"/>
      <c r="K53" s="696"/>
      <c r="L53" s="696"/>
      <c r="M53" s="696"/>
      <c r="N53" s="696">
        <f>+N38</f>
        <v>2.771035598705502E-2</v>
      </c>
      <c r="O53" s="695"/>
      <c r="P53" s="696"/>
      <c r="Q53" s="696"/>
      <c r="R53" s="696"/>
      <c r="S53" s="696">
        <f>+S38</f>
        <v>2.771035598705502E-2</v>
      </c>
      <c r="T53" s="695"/>
      <c r="U53" s="696"/>
      <c r="V53" s="696"/>
      <c r="W53" s="696"/>
      <c r="X53" s="696">
        <f>+X38</f>
        <v>2.8721682847896439E-2</v>
      </c>
      <c r="Y53" s="695"/>
      <c r="Z53" s="696"/>
      <c r="AA53" s="696"/>
      <c r="AB53" s="696"/>
      <c r="AC53" s="696">
        <f>+AC38</f>
        <v>2.9126213592233011E-2</v>
      </c>
      <c r="AD53" s="695"/>
      <c r="AE53" s="696"/>
      <c r="AF53" s="696"/>
      <c r="AG53" s="696"/>
      <c r="AH53" s="696">
        <f>+AH38</f>
        <v>2.9935275080906151E-2</v>
      </c>
      <c r="AI53" s="695"/>
      <c r="AJ53" s="696"/>
      <c r="AK53" s="696"/>
      <c r="AL53" s="696"/>
      <c r="AM53" s="696">
        <f>+AM38</f>
        <v>3.1553398058252427E-2</v>
      </c>
      <c r="AN53" s="695"/>
      <c r="AO53" s="696"/>
      <c r="AP53" s="696"/>
      <c r="AQ53" s="696"/>
      <c r="AR53" s="696">
        <f>+AR38</f>
        <v>3.3171521035598707E-2</v>
      </c>
      <c r="AS53" s="695"/>
      <c r="AT53" s="696"/>
      <c r="AU53" s="696"/>
      <c r="AV53" s="696"/>
      <c r="AW53" s="696">
        <f>+AW38</f>
        <v>3.4789644012944987E-2</v>
      </c>
      <c r="AX53" s="695"/>
      <c r="AY53" s="696"/>
      <c r="AZ53" s="696"/>
      <c r="BA53" s="696"/>
      <c r="BB53" s="696">
        <f>+BB38</f>
        <v>3.6355177993527506E-2</v>
      </c>
      <c r="BC53" s="695"/>
      <c r="BD53" s="696"/>
      <c r="BE53" s="696"/>
      <c r="BF53" s="696"/>
      <c r="BG53" s="696">
        <f>+BG38</f>
        <v>3.799116100323624E-2</v>
      </c>
      <c r="BH53" s="695"/>
      <c r="BI53" s="696"/>
      <c r="BJ53" s="696"/>
      <c r="BK53" s="696"/>
      <c r="BL53" s="696">
        <f>+BL38</f>
        <v>3.9700763248381871E-2</v>
      </c>
      <c r="BM53" s="695"/>
      <c r="BN53" s="696"/>
      <c r="BO53" s="696"/>
      <c r="BP53" s="696"/>
      <c r="BQ53" s="696">
        <f>+BQ38</f>
        <v>4.1487297594559054E-2</v>
      </c>
      <c r="BR53" s="47"/>
      <c r="BS53" s="47"/>
      <c r="BT53" s="643"/>
      <c r="BU53" s="324" t="s">
        <v>403</v>
      </c>
      <c r="BV53" s="697"/>
      <c r="BW53" s="682"/>
      <c r="BX53" s="682"/>
      <c r="BY53" s="682"/>
      <c r="BZ53" s="682"/>
      <c r="CA53" s="682">
        <f t="shared" ref="CA53:DE53" si="2">SUM(CA50:CA52)</f>
        <v>61</v>
      </c>
      <c r="CB53" s="682"/>
      <c r="CC53" s="682"/>
      <c r="CD53" s="682"/>
      <c r="CE53" s="682"/>
      <c r="CF53" s="682">
        <f t="shared" si="2"/>
        <v>4</v>
      </c>
      <c r="CG53" s="682">
        <f t="shared" si="2"/>
        <v>0</v>
      </c>
      <c r="CH53" s="682">
        <f t="shared" si="2"/>
        <v>0</v>
      </c>
      <c r="CI53" s="682">
        <f t="shared" si="2"/>
        <v>0</v>
      </c>
      <c r="CJ53" s="682">
        <f t="shared" si="2"/>
        <v>0</v>
      </c>
      <c r="CK53" s="682">
        <f t="shared" si="2"/>
        <v>1474</v>
      </c>
      <c r="CL53" s="682">
        <f t="shared" si="2"/>
        <v>0</v>
      </c>
      <c r="CM53" s="682">
        <f t="shared" si="2"/>
        <v>0</v>
      </c>
      <c r="CN53" s="682">
        <f t="shared" si="2"/>
        <v>0</v>
      </c>
      <c r="CO53" s="682">
        <f t="shared" si="2"/>
        <v>0</v>
      </c>
      <c r="CP53" s="682">
        <f t="shared" si="2"/>
        <v>213</v>
      </c>
      <c r="CQ53" s="682"/>
      <c r="CR53" s="682"/>
      <c r="CS53" s="682"/>
      <c r="CT53" s="682"/>
      <c r="CU53" s="682">
        <f t="shared" si="2"/>
        <v>347</v>
      </c>
      <c r="CV53" s="682"/>
      <c r="CW53" s="682"/>
      <c r="CX53" s="682"/>
      <c r="CY53" s="682"/>
      <c r="CZ53" s="682">
        <f t="shared" si="2"/>
        <v>340</v>
      </c>
      <c r="DA53" s="682"/>
      <c r="DB53" s="682"/>
      <c r="DC53" s="682"/>
      <c r="DD53" s="682"/>
      <c r="DE53" s="682">
        <f t="shared" si="2"/>
        <v>56</v>
      </c>
      <c r="DF53" s="682"/>
      <c r="DG53" s="682"/>
      <c r="DH53" s="682"/>
      <c r="DI53" s="682"/>
      <c r="DJ53" s="682">
        <f>SUM(DJ50:DJ52)</f>
        <v>-888</v>
      </c>
      <c r="DK53" s="682"/>
      <c r="DL53" s="682"/>
      <c r="DM53" s="682"/>
      <c r="DN53" s="682"/>
      <c r="DO53" s="682">
        <f>SUM(DO50:DO52)</f>
        <v>-929</v>
      </c>
      <c r="DP53" s="682"/>
      <c r="DQ53" s="682"/>
      <c r="DR53" s="682"/>
      <c r="DS53" s="682"/>
      <c r="DT53" s="682">
        <f>SUM(DT50:DT52)</f>
        <v>-584.23689877625384</v>
      </c>
      <c r="DU53" s="682"/>
      <c r="DV53" s="682"/>
      <c r="DW53" s="682"/>
      <c r="DX53" s="682"/>
      <c r="DY53" s="682">
        <f>SUM(DY50:DY52)</f>
        <v>-248.21071584364972</v>
      </c>
      <c r="DZ53" s="682"/>
      <c r="EA53" s="682"/>
      <c r="EB53" s="682"/>
      <c r="EC53" s="682"/>
      <c r="ED53" s="682">
        <f>SUM(ED50:ED52)</f>
        <v>-271.52280528726953</v>
      </c>
      <c r="EE53" s="682"/>
      <c r="EF53" s="682"/>
      <c r="EG53" s="682"/>
      <c r="EH53" s="682"/>
      <c r="EI53" s="682">
        <f>SUM(EI50:EI52)</f>
        <v>386.6705944746933</v>
      </c>
    </row>
    <row r="54" spans="2:139">
      <c r="B54" s="47"/>
      <c r="C54" s="305" t="s">
        <v>404</v>
      </c>
      <c r="D54" s="305"/>
      <c r="F54" s="684"/>
      <c r="G54" s="684"/>
      <c r="H54" s="684"/>
      <c r="I54" s="305"/>
      <c r="K54" s="684"/>
      <c r="L54" s="684"/>
      <c r="M54" s="684"/>
      <c r="N54" s="698">
        <f>CF16/N61</f>
        <v>18.985732615135372</v>
      </c>
      <c r="P54" s="684"/>
      <c r="Q54" s="684"/>
      <c r="R54" s="684"/>
      <c r="S54" s="698">
        <f>CK16/S61</f>
        <v>20.241199414246889</v>
      </c>
      <c r="U54" s="684"/>
      <c r="V54" s="684"/>
      <c r="W54" s="684"/>
      <c r="X54" s="698">
        <f>CP16/X61</f>
        <v>21.246361215733344</v>
      </c>
      <c r="Z54" s="684"/>
      <c r="AA54" s="684"/>
      <c r="AB54" s="684"/>
      <c r="AC54" s="698">
        <f>CU16/AC61</f>
        <v>22.878270964029007</v>
      </c>
      <c r="AE54" s="684"/>
      <c r="AF54" s="684"/>
      <c r="AG54" s="684"/>
      <c r="AH54" s="698">
        <f>CZ16/AH61</f>
        <v>24.015483433553879</v>
      </c>
      <c r="AJ54" s="684"/>
      <c r="AK54" s="684"/>
      <c r="AL54" s="684"/>
      <c r="AM54" s="698">
        <f>DE16/AM61</f>
        <v>25.751851172984406</v>
      </c>
      <c r="AO54" s="684"/>
      <c r="AP54" s="684"/>
      <c r="AQ54" s="684"/>
      <c r="AR54" s="698">
        <f>DJ16/AR61</f>
        <v>25.87798912454349</v>
      </c>
      <c r="AT54" s="684"/>
      <c r="AU54" s="684"/>
      <c r="AV54" s="684"/>
      <c r="AW54" s="698">
        <f>DO16/AW61</f>
        <v>27.291128363103862</v>
      </c>
      <c r="AY54" s="684"/>
      <c r="AZ54" s="684"/>
      <c r="BA54" s="684"/>
      <c r="BB54" s="698">
        <f>DT16/BB61</f>
        <v>28.663338026787834</v>
      </c>
      <c r="BD54" s="684"/>
      <c r="BE54" s="684"/>
      <c r="BF54" s="684"/>
      <c r="BG54" s="698">
        <f>DY16/BG61</f>
        <v>30.002765798678315</v>
      </c>
      <c r="BI54" s="684"/>
      <c r="BJ54" s="684"/>
      <c r="BK54" s="684"/>
      <c r="BL54" s="698">
        <f>ED16/BL61</f>
        <v>31.379147985313363</v>
      </c>
      <c r="BN54" s="684"/>
      <c r="BO54" s="684"/>
      <c r="BP54" s="684"/>
      <c r="BQ54" s="698">
        <f>EI16/BQ61</f>
        <v>33.055852497559755</v>
      </c>
      <c r="BR54" s="47"/>
      <c r="BS54" s="47"/>
      <c r="BT54" s="643"/>
      <c r="BU54" s="305" t="s">
        <v>405</v>
      </c>
      <c r="BV54" s="47"/>
      <c r="BW54" s="674"/>
      <c r="BX54" s="674"/>
      <c r="BY54" s="674"/>
      <c r="BZ54" s="674"/>
      <c r="CA54" s="679">
        <f>PEG!I118+PEG!I119</f>
        <v>1002</v>
      </c>
      <c r="CB54" s="674"/>
      <c r="CC54" s="674"/>
      <c r="CD54" s="674"/>
      <c r="CE54" s="674"/>
      <c r="CF54" s="679">
        <f>PEG!N118+PEG!N119</f>
        <v>491</v>
      </c>
      <c r="CG54" s="674">
        <f>PEG!O118+PEG!O119</f>
        <v>342</v>
      </c>
      <c r="CH54" s="674">
        <f>PEG!P118+PEG!P119</f>
        <v>-13</v>
      </c>
      <c r="CI54" s="674">
        <f>PEG!Q118+PEG!Q119</f>
        <v>323</v>
      </c>
      <c r="CJ54" s="674">
        <f>PEG!R118+PEG!R119</f>
        <v>162</v>
      </c>
      <c r="CK54" s="679">
        <f>PEG!S118+PEG!S119</f>
        <v>814</v>
      </c>
      <c r="CL54" s="674">
        <f>PEG!T118+PEG!T119</f>
        <v>-19</v>
      </c>
      <c r="CM54" s="674">
        <f>PEG!U118+PEG!U119</f>
        <v>-40</v>
      </c>
      <c r="CN54" s="674">
        <f>PEG!V118+PEG!V119</f>
        <v>-23</v>
      </c>
      <c r="CO54" s="674">
        <f>PEG!W118+PEG!W119</f>
        <v>31</v>
      </c>
      <c r="CP54" s="679">
        <f>PEG!X118+PEG!X119</f>
        <v>-51</v>
      </c>
      <c r="CQ54" s="674"/>
      <c r="CR54" s="674"/>
      <c r="CS54" s="674"/>
      <c r="CT54" s="674"/>
      <c r="CU54" s="679">
        <f>PEG!AC118+PEG!AC119</f>
        <v>10</v>
      </c>
      <c r="CV54" s="674"/>
      <c r="CW54" s="674"/>
      <c r="CX54" s="674"/>
      <c r="CY54" s="674"/>
      <c r="CZ54" s="679">
        <f>PEG!AH118+PEG!AH119</f>
        <v>-72</v>
      </c>
      <c r="DA54" s="674"/>
      <c r="DB54" s="674"/>
      <c r="DC54" s="674"/>
      <c r="DD54" s="674"/>
      <c r="DE54" s="679">
        <f>PEG!AM118+PEG!AM119</f>
        <v>-79</v>
      </c>
      <c r="DF54" s="674"/>
      <c r="DG54" s="674"/>
      <c r="DH54" s="674"/>
      <c r="DI54" s="674"/>
      <c r="DJ54" s="679">
        <f>PEG!AR118+PEG!AR119</f>
        <v>-49</v>
      </c>
      <c r="DK54" s="674"/>
      <c r="DL54" s="674"/>
      <c r="DM54" s="674"/>
      <c r="DN54" s="674"/>
      <c r="DO54" s="679">
        <f>PEG!AW118+PEG!AW119</f>
        <v>-66</v>
      </c>
      <c r="DP54" s="674"/>
      <c r="DQ54" s="674"/>
      <c r="DR54" s="674"/>
      <c r="DS54" s="674"/>
      <c r="DT54" s="679">
        <f>PEG!BB118+PEG!BB119</f>
        <v>0</v>
      </c>
      <c r="DU54" s="674"/>
      <c r="DV54" s="674"/>
      <c r="DW54" s="674"/>
      <c r="DX54" s="674"/>
      <c r="DY54" s="679">
        <f>PEG!BG118+PEG!BG119</f>
        <v>0</v>
      </c>
      <c r="DZ54" s="674"/>
      <c r="EA54" s="674"/>
      <c r="EB54" s="674"/>
      <c r="EC54" s="674"/>
      <c r="ED54" s="679">
        <f>PEG!BL118+PEG!BL119</f>
        <v>0</v>
      </c>
      <c r="EE54" s="674"/>
      <c r="EF54" s="674"/>
      <c r="EG54" s="674"/>
      <c r="EH54" s="674"/>
      <c r="EI54" s="679">
        <f>PEG!BQ118+PEG!BQ119</f>
        <v>0</v>
      </c>
    </row>
    <row r="55" spans="2:139">
      <c r="B55" s="47"/>
      <c r="C55" s="47"/>
      <c r="D55" s="47"/>
      <c r="I55" s="47"/>
      <c r="N55" s="47"/>
      <c r="S55" s="47"/>
      <c r="X55" s="47"/>
      <c r="AC55" s="47"/>
      <c r="AH55" s="47"/>
      <c r="AM55" s="47"/>
      <c r="AR55" s="47"/>
      <c r="AW55" s="47"/>
      <c r="BB55" s="47"/>
      <c r="BG55" s="47"/>
      <c r="BL55" s="47"/>
      <c r="BQ55" s="47"/>
      <c r="BR55" s="47"/>
      <c r="BS55" s="47"/>
      <c r="BT55" s="643"/>
      <c r="BU55" s="305" t="s">
        <v>303</v>
      </c>
      <c r="BV55" s="47"/>
      <c r="BW55" s="674"/>
      <c r="BX55" s="674"/>
      <c r="BY55" s="674"/>
      <c r="BZ55" s="674"/>
      <c r="CA55" s="679">
        <f>-PEG!I127</f>
        <v>673</v>
      </c>
      <c r="CB55" s="691"/>
      <c r="CC55" s="691"/>
      <c r="CD55" s="691"/>
      <c r="CE55" s="691"/>
      <c r="CF55" s="679">
        <f>-PEG!N127</f>
        <v>693</v>
      </c>
      <c r="CG55" s="691">
        <f>-PEG!O127</f>
        <v>173</v>
      </c>
      <c r="CH55" s="691">
        <f>-PEG!P127</f>
        <v>174</v>
      </c>
      <c r="CI55" s="691">
        <f>-PEG!Q127</f>
        <v>173</v>
      </c>
      <c r="CJ55" s="691">
        <f>-PEG!R127</f>
        <v>173</v>
      </c>
      <c r="CK55" s="679">
        <f>-PEG!S127</f>
        <v>693</v>
      </c>
      <c r="CL55" s="691">
        <f>-PEG!T127</f>
        <v>179</v>
      </c>
      <c r="CM55" s="691">
        <f>-PEG!U127</f>
        <v>180</v>
      </c>
      <c r="CN55" s="691">
        <f>-PEG!V127</f>
        <v>179</v>
      </c>
      <c r="CO55" s="691">
        <f>-PEG!W127</f>
        <v>180</v>
      </c>
      <c r="CP55" s="679">
        <f>-PEG!X127</f>
        <v>718</v>
      </c>
      <c r="CQ55" s="691"/>
      <c r="CR55" s="691"/>
      <c r="CS55" s="691"/>
      <c r="CT55" s="691"/>
      <c r="CU55" s="679">
        <f>-PEG!AC127</f>
        <v>728</v>
      </c>
      <c r="CV55" s="691"/>
      <c r="CW55" s="691"/>
      <c r="CX55" s="691"/>
      <c r="CY55" s="691"/>
      <c r="CZ55" s="679">
        <f>-PEG!AH127</f>
        <v>748</v>
      </c>
      <c r="DA55" s="691"/>
      <c r="DB55" s="691"/>
      <c r="DC55" s="691"/>
      <c r="DD55" s="691"/>
      <c r="DE55" s="679">
        <f>-PEG!AM127</f>
        <v>789</v>
      </c>
      <c r="DF55" s="691"/>
      <c r="DG55" s="691"/>
      <c r="DH55" s="691"/>
      <c r="DI55" s="691"/>
      <c r="DJ55" s="679">
        <f>-PEG!AR127</f>
        <v>830</v>
      </c>
      <c r="DK55" s="691"/>
      <c r="DL55" s="691"/>
      <c r="DM55" s="691"/>
      <c r="DN55" s="691"/>
      <c r="DO55" s="679">
        <f>-PEG!AW127</f>
        <v>870</v>
      </c>
      <c r="DP55" s="691"/>
      <c r="DQ55" s="691"/>
      <c r="DR55" s="691"/>
      <c r="DS55" s="691"/>
      <c r="DT55" s="679">
        <f>-PEG!BB127</f>
        <v>907.6869999999999</v>
      </c>
      <c r="DU55" s="691"/>
      <c r="DV55" s="691"/>
      <c r="DW55" s="691"/>
      <c r="DX55" s="691"/>
      <c r="DY55" s="679">
        <f>-PEG!BG127</f>
        <v>948.53291499999989</v>
      </c>
      <c r="DZ55" s="691"/>
      <c r="EA55" s="691"/>
      <c r="EB55" s="691"/>
      <c r="EC55" s="691"/>
      <c r="ED55" s="679">
        <f>-PEG!BL127</f>
        <v>991.21689617499987</v>
      </c>
      <c r="EE55" s="691"/>
      <c r="EF55" s="691"/>
      <c r="EG55" s="691"/>
      <c r="EH55" s="691"/>
      <c r="EI55" s="679">
        <f>-PEG!BQ127</f>
        <v>1035.8216565028747</v>
      </c>
    </row>
    <row r="56" spans="2:139">
      <c r="B56" s="47"/>
      <c r="C56" s="305" t="s">
        <v>567</v>
      </c>
      <c r="D56" s="305"/>
      <c r="F56" s="684"/>
      <c r="G56" s="689">
        <f>I25/AVERAGE(AS16:CA16)</f>
        <v>0.45527992717341831</v>
      </c>
      <c r="H56" s="689">
        <f>N25/AVERAGE(CA16:CF16)</f>
        <v>0.43895553987297103</v>
      </c>
      <c r="I56" s="305"/>
      <c r="K56" s="684"/>
      <c r="L56" s="689"/>
      <c r="M56" s="689"/>
      <c r="N56" s="690">
        <f>(N13*N44)/AVERAGE(CA16,CF16)</f>
        <v>0.17414906899733998</v>
      </c>
      <c r="P56" s="684"/>
      <c r="Q56" s="689"/>
      <c r="R56" s="689"/>
      <c r="S56" s="690">
        <f>(S13*S44)/AVERAGE(CF16,CK16)</f>
        <v>0.14168718283675827</v>
      </c>
      <c r="U56" s="684"/>
      <c r="V56" s="689"/>
      <c r="W56" s="689"/>
      <c r="X56" s="690">
        <f>(X13*X44)/AVERAGE(CK16,CP16)</f>
        <v>0.11743467933491686</v>
      </c>
      <c r="Z56" s="684"/>
      <c r="AA56" s="689"/>
      <c r="AB56" s="689"/>
      <c r="AC56" s="690">
        <f>(AC13*AC44)/AVERAGE(CP16,CU16)</f>
        <v>0.11693764516705378</v>
      </c>
      <c r="AE56" s="684"/>
      <c r="AF56" s="689"/>
      <c r="AG56" s="689"/>
      <c r="AH56" s="690">
        <f>(AH13*AH44)/AVERAGE(CU16,CZ16)</f>
        <v>0.11768167107972934</v>
      </c>
      <c r="AJ56" s="684"/>
      <c r="AK56" s="689"/>
      <c r="AL56" s="689"/>
      <c r="AM56" s="690">
        <f>(AM13*AM44)/AVERAGE(CZ16,DE16)</f>
        <v>0.11690626113817275</v>
      </c>
      <c r="AO56" s="684"/>
      <c r="AP56" s="689"/>
      <c r="AQ56" s="689"/>
      <c r="AR56" s="690">
        <f>(AR13*AR44)/AVERAGE(DE16,DO16)</f>
        <v>0.10961245494742318</v>
      </c>
      <c r="AT56" s="684"/>
      <c r="AU56" s="689"/>
      <c r="AV56" s="689"/>
      <c r="AW56" s="690">
        <f>(AW13*AW44)/AVERAGE(DJ16,DT16)</f>
        <v>0.10754074119287858</v>
      </c>
      <c r="AY56" s="684"/>
      <c r="AZ56" s="689"/>
      <c r="BA56" s="689"/>
      <c r="BB56" s="690">
        <f>(BB13*BB44)/AVERAGE(DO16,EM16)</f>
        <v>0.11583159611248904</v>
      </c>
      <c r="BD56" s="684"/>
      <c r="BE56" s="689"/>
      <c r="BF56" s="689"/>
      <c r="BG56" s="690">
        <f>(BG13*BG44)/AVERAGE(DT16,ED16)</f>
        <v>0.10688752973398062</v>
      </c>
      <c r="BI56" s="684"/>
      <c r="BJ56" s="689"/>
      <c r="BK56" s="689"/>
      <c r="BL56" s="690">
        <f>(BL13*BL44)/AVERAGE(DY16,EW16)</f>
        <v>0.11098900129791328</v>
      </c>
      <c r="BN56" s="684"/>
      <c r="BO56" s="689"/>
      <c r="BP56" s="689"/>
      <c r="BQ56" s="690">
        <f>(BQ13*BQ44)/AVERAGE(ED16,FB16)</f>
        <v>0.11849305489974425</v>
      </c>
      <c r="BR56" s="47"/>
      <c r="BS56" s="47"/>
      <c r="BT56" s="643"/>
      <c r="BU56" s="323" t="s">
        <v>406</v>
      </c>
      <c r="BV56" s="697"/>
      <c r="BW56" s="682">
        <f t="shared" ref="BW56:DE56" si="3">+BW53+BW54-BW55</f>
        <v>0</v>
      </c>
      <c r="BX56" s="682">
        <f t="shared" si="3"/>
        <v>0</v>
      </c>
      <c r="BY56" s="682">
        <f t="shared" si="3"/>
        <v>0</v>
      </c>
      <c r="BZ56" s="682">
        <f t="shared" si="3"/>
        <v>0</v>
      </c>
      <c r="CA56" s="682">
        <f>+CA53+CA54-CA55</f>
        <v>390</v>
      </c>
      <c r="CB56" s="682"/>
      <c r="CC56" s="682"/>
      <c r="CD56" s="682"/>
      <c r="CE56" s="682"/>
      <c r="CF56" s="682">
        <f t="shared" si="3"/>
        <v>-198</v>
      </c>
      <c r="CG56" s="682">
        <f t="shared" si="3"/>
        <v>169</v>
      </c>
      <c r="CH56" s="682">
        <f t="shared" si="3"/>
        <v>-187</v>
      </c>
      <c r="CI56" s="682">
        <f t="shared" si="3"/>
        <v>150</v>
      </c>
      <c r="CJ56" s="682">
        <f t="shared" si="3"/>
        <v>-11</v>
      </c>
      <c r="CK56" s="682">
        <f t="shared" si="3"/>
        <v>1595</v>
      </c>
      <c r="CL56" s="682">
        <f t="shared" si="3"/>
        <v>-198</v>
      </c>
      <c r="CM56" s="682">
        <f t="shared" si="3"/>
        <v>-220</v>
      </c>
      <c r="CN56" s="682">
        <f t="shared" si="3"/>
        <v>-202</v>
      </c>
      <c r="CO56" s="682">
        <f t="shared" si="3"/>
        <v>-149</v>
      </c>
      <c r="CP56" s="682">
        <f t="shared" si="3"/>
        <v>-556</v>
      </c>
      <c r="CQ56" s="682"/>
      <c r="CR56" s="682"/>
      <c r="CS56" s="682"/>
      <c r="CT56" s="682"/>
      <c r="CU56" s="682">
        <f t="shared" si="3"/>
        <v>-371</v>
      </c>
      <c r="CV56" s="682"/>
      <c r="CW56" s="682"/>
      <c r="CX56" s="682"/>
      <c r="CY56" s="682"/>
      <c r="CZ56" s="682">
        <f t="shared" si="3"/>
        <v>-480</v>
      </c>
      <c r="DA56" s="682"/>
      <c r="DB56" s="682"/>
      <c r="DC56" s="682"/>
      <c r="DD56" s="682"/>
      <c r="DE56" s="682">
        <f t="shared" si="3"/>
        <v>-812</v>
      </c>
      <c r="DF56" s="682"/>
      <c r="DG56" s="682"/>
      <c r="DH56" s="682"/>
      <c r="DI56" s="682"/>
      <c r="DJ56" s="682">
        <f>+DJ53+DJ54-DJ55</f>
        <v>-1767</v>
      </c>
      <c r="DK56" s="682"/>
      <c r="DL56" s="682"/>
      <c r="DM56" s="682"/>
      <c r="DN56" s="682"/>
      <c r="DO56" s="682">
        <f>+DO53+DO54-DO55</f>
        <v>-1865</v>
      </c>
      <c r="DP56" s="682"/>
      <c r="DQ56" s="682"/>
      <c r="DR56" s="682"/>
      <c r="DS56" s="682"/>
      <c r="DT56" s="682">
        <f>+DT53+DT54-DT55</f>
        <v>-1491.9238987762537</v>
      </c>
      <c r="DU56" s="682"/>
      <c r="DV56" s="682"/>
      <c r="DW56" s="682"/>
      <c r="DX56" s="682"/>
      <c r="DY56" s="682">
        <f>+DY53+DY54-DY55</f>
        <v>-1196.7436308436495</v>
      </c>
      <c r="DZ56" s="682"/>
      <c r="EA56" s="682"/>
      <c r="EB56" s="682"/>
      <c r="EC56" s="682"/>
      <c r="ED56" s="682">
        <f>+ED53+ED54-ED55</f>
        <v>-1262.7397014622693</v>
      </c>
      <c r="EE56" s="682"/>
      <c r="EF56" s="682"/>
      <c r="EG56" s="682"/>
      <c r="EH56" s="682"/>
      <c r="EI56" s="682">
        <f>+EI53+EI54-EI55</f>
        <v>-649.1510620281814</v>
      </c>
    </row>
    <row r="57" spans="2:139">
      <c r="B57" s="47"/>
      <c r="C57" s="71" t="s">
        <v>407</v>
      </c>
      <c r="D57" s="47"/>
      <c r="H57" s="689"/>
      <c r="I57" s="47"/>
      <c r="N57" s="708">
        <f>(PEG!N27*(1-PEG!N94))/(AVERAGE((PEG!N156-PEG!N187-PEG!N160-PEG!N161),(PEG!I156-PEG!I187-PEG!I160-PEG!I161)))</f>
        <v>6.8881349405212677E-2</v>
      </c>
      <c r="S57" s="708">
        <f>(PEG!S27*(1-PEG!S94))/(AVERAGE((PEG!S156-PEG!S187-PEG!S160-PEG!S161),(PEG!N156-PEG!N187-PEG!N160-PEG!N161)))</f>
        <v>6.2448414763385564E-2</v>
      </c>
      <c r="X57" s="708">
        <f>(PEG!X27*(1-PEG!X94))/(AVERAGE((PEG!X156-PEG!X187-PEG!X160-PEG!X161),(PEG!S156-PEG!S187-PEG!S160-PEG!S161)))</f>
        <v>5.5363964658938954E-2</v>
      </c>
      <c r="AC57" s="708">
        <f>(PEG!AC27*(1-PEG!AC94))/(AVERAGE((PEG!AC156-PEG!AC187-PEG!AC160-PEG!AC161),(PEG!X156-PEG!X187-PEG!X160-PEG!X161)))</f>
        <v>5.047142022990142E-2</v>
      </c>
      <c r="AH57" s="708">
        <f>(PEG!AH27*(1-PEG!AH94))/(AVERAGE((PEG!AH156-PEG!AH187-PEG!AH160-PEG!AH161),(PEG!AC156-PEG!AC187-PEG!AC160-PEG!AC161)))</f>
        <v>5.6593096903060768E-2</v>
      </c>
      <c r="AM57" s="708">
        <f>(PEG!AM27*(1-PEG!AM94))/(AVERAGE((PEG!AM156-PEG!AM187-PEG!AM160-PEG!AM161),(PEG!AH156-PEG!AH187-PEG!AH160-PEG!AH161)))</f>
        <v>5.7469002004900877E-2</v>
      </c>
      <c r="AR57" s="708">
        <f>(PEG!AR27*(1-PEG!AR94))/(AVERAGE((PEG!AR156-PEG!AR187-PEG!AR160-PEG!AR161),(PEG!AM156-PEG!AM187-PEG!AM160-PEG!AM161)))</f>
        <v>3.1981236053528997E-2</v>
      </c>
      <c r="AW57" s="708">
        <f>(PEG!AW27*(1-PEG!AW94))/(AVERAGE((PEG!AW156-PEG!AW187-PEG!AW160-PEG!AW161),(PEG!AR156-PEG!AR187-PEG!AR160-PEG!AR161)))</f>
        <v>5.3464822788411595E-2</v>
      </c>
      <c r="BB57" s="708">
        <f>(PEG!BB27*(1-PEG!BB94))/(AVERAGE((PEG!BB156-PEG!BB187-PEG!BB160-PEG!BB161),(PEG!AW156-PEG!AW187-PEG!AW160-PEG!AW161)))</f>
        <v>4.821565702544553E-2</v>
      </c>
      <c r="BG57" s="708">
        <f>(PEG!BG27*(1-PEG!BG94))/(AVERAGE((PEG!BG156-PEG!BG187-PEG!BG160-PEG!BG161),(PEG!BB156-PEG!BB187-PEG!BB160-PEG!BB161)))</f>
        <v>4.7573794753440875E-2</v>
      </c>
      <c r="BL57" s="708">
        <f>(PEG!BL27*(1-PEG!BL94))/(AVERAGE((PEG!BL156-PEG!BL187-PEG!BL160-PEG!BL161),(PEG!BG156-PEG!BG187-PEG!BG160-PEG!BG161)))</f>
        <v>4.8174505354628951E-2</v>
      </c>
      <c r="BQ57" s="708">
        <f>(PEG!BQ27*(1-PEG!BQ94))/(AVERAGE((PEG!BQ156-PEG!BQ187-PEG!BQ160-PEG!BQ161),(PEG!BL156-PEG!BL187-PEG!BL160-PEG!BL161)))</f>
        <v>5.1698871929028722E-2</v>
      </c>
      <c r="BR57" s="47"/>
      <c r="BS57" s="47"/>
      <c r="BT57" s="47"/>
      <c r="BU57" s="47"/>
      <c r="BV57" s="47"/>
      <c r="CA57" s="47"/>
      <c r="CF57" s="47"/>
      <c r="CK57" s="47"/>
      <c r="CP57" s="47"/>
      <c r="CU57" s="47"/>
      <c r="CZ57" s="47"/>
      <c r="DE57" s="47"/>
      <c r="DJ57" s="47"/>
      <c r="DO57" s="47"/>
      <c r="DT57" s="47"/>
      <c r="DY57" s="47"/>
      <c r="ED57" s="47"/>
      <c r="EI57" s="47"/>
    </row>
    <row r="58" spans="2:139">
      <c r="B58" s="47"/>
      <c r="C58" s="321" t="s">
        <v>408</v>
      </c>
      <c r="D58" s="710"/>
      <c r="F58" s="699"/>
      <c r="G58" s="689"/>
      <c r="I58" s="305"/>
      <c r="K58" s="699"/>
      <c r="L58" s="689"/>
      <c r="M58" s="689"/>
      <c r="N58" s="690">
        <f>(N13*N44)/AVERAGE(PEG!I156,PEG!N156)</f>
        <v>5.4756174577978052E-2</v>
      </c>
      <c r="P58" s="699"/>
      <c r="Q58" s="689"/>
      <c r="R58" s="689"/>
      <c r="S58" s="690">
        <f>(S13*S44)/AVERAGE(PEG!N156,PEG!S156)</f>
        <v>4.7212456052235056E-2</v>
      </c>
      <c r="U58" s="699"/>
      <c r="V58" s="689"/>
      <c r="W58" s="689"/>
      <c r="X58" s="690">
        <f>(X13*X44)/AVERAGE(PEG!S156,PEG!X156)</f>
        <v>4.0165079777727229E-2</v>
      </c>
      <c r="Z58" s="699"/>
      <c r="AA58" s="689"/>
      <c r="AB58" s="689"/>
      <c r="AC58" s="690">
        <f>(AC13*AC44)/AVERAGE(PEG!X156,PEG!AC156)</f>
        <v>4.0748984388376111E-2</v>
      </c>
      <c r="AE58" s="699"/>
      <c r="AF58" s="689"/>
      <c r="AG58" s="689"/>
      <c r="AH58" s="690">
        <f>(AH13*AH44)/AVERAGE(PEG!AC156,PEG!AH156)</f>
        <v>4.126446098297841E-2</v>
      </c>
      <c r="AJ58" s="699"/>
      <c r="AK58" s="689"/>
      <c r="AL58" s="689"/>
      <c r="AM58" s="690">
        <f>(AM13*AM44)/AVERAGE(PEG!AH156,PEG!AM156)</f>
        <v>4.0511610034583083E-2</v>
      </c>
      <c r="AO58" s="699"/>
      <c r="AP58" s="689"/>
      <c r="AQ58" s="689"/>
      <c r="AR58" s="690">
        <f>(AR13*AR44)/AVERAGE(PEG!AM156,PEG!AR156)</f>
        <v>3.8013014625346307E-2</v>
      </c>
      <c r="AT58" s="699"/>
      <c r="AU58" s="689"/>
      <c r="AV58" s="689"/>
      <c r="AW58" s="690">
        <f>(AW13*AW44)/AVERAGE(PEG!AR156,PEG!AW156)</f>
        <v>3.5948107167878628E-2</v>
      </c>
      <c r="AY58" s="699"/>
      <c r="AZ58" s="689"/>
      <c r="BA58" s="689"/>
      <c r="BB58" s="690">
        <f>(BB13*BB44)/AVERAGE(PEG!AW156,PEG!BB156)</f>
        <v>3.6517368404506943E-2</v>
      </c>
      <c r="BD58" s="699"/>
      <c r="BE58" s="689"/>
      <c r="BF58" s="689"/>
      <c r="BG58" s="690">
        <f>(BG13*BG44)/AVERAGE(PEG!BB156,PEG!BG156)</f>
        <v>3.5225320959474303E-2</v>
      </c>
      <c r="BI58" s="699"/>
      <c r="BJ58" s="689"/>
      <c r="BK58" s="689"/>
      <c r="BL58" s="690">
        <f>(BL13*BL44)/AVERAGE(PEG!BG156,PEG!BL156)</f>
        <v>3.4995531695460512E-2</v>
      </c>
      <c r="BN58" s="699"/>
      <c r="BO58" s="689"/>
      <c r="BP58" s="689"/>
      <c r="BQ58" s="690">
        <f>(BQ13*BQ44)/AVERAGE(PEG!BL156,PEG!BQ156)</f>
        <v>3.7727562058395323E-2</v>
      </c>
      <c r="BR58" s="47"/>
      <c r="BS58" s="47"/>
      <c r="BT58" s="47"/>
      <c r="BU58" s="64" t="s">
        <v>409</v>
      </c>
      <c r="BV58" s="47"/>
      <c r="CA58" s="47"/>
      <c r="CF58" s="47"/>
      <c r="CK58" s="47"/>
      <c r="CP58" s="47"/>
      <c r="CU58" s="47"/>
      <c r="CZ58" s="47"/>
      <c r="DE58" s="47"/>
      <c r="DJ58" s="47"/>
      <c r="DO58" s="47"/>
      <c r="DT58" s="47"/>
      <c r="DY58" s="47"/>
      <c r="ED58" s="47"/>
      <c r="EI58" s="47"/>
    </row>
    <row r="59" spans="2:139">
      <c r="B59" s="47"/>
      <c r="C59" s="658"/>
      <c r="D59" s="47"/>
      <c r="I59" s="47"/>
      <c r="N59" s="47"/>
      <c r="S59" s="47"/>
      <c r="X59" s="47"/>
      <c r="AC59" s="47"/>
      <c r="AH59" s="47"/>
      <c r="AM59" s="47"/>
      <c r="AR59" s="47"/>
      <c r="AW59" s="47"/>
      <c r="BB59" s="47"/>
      <c r="BG59" s="47"/>
      <c r="BL59" s="47"/>
      <c r="BQ59" s="47"/>
      <c r="BR59" s="47"/>
      <c r="BS59" s="47"/>
      <c r="BT59" s="47"/>
      <c r="BU59" s="47" t="s">
        <v>410</v>
      </c>
      <c r="BV59" s="47"/>
      <c r="CA59" s="679">
        <f>PEG!I126</f>
        <v>0</v>
      </c>
      <c r="CB59" s="691"/>
      <c r="CC59" s="691"/>
      <c r="CD59" s="691"/>
      <c r="CE59" s="691"/>
      <c r="CF59" s="679">
        <f>PEG!N126</f>
        <v>0</v>
      </c>
      <c r="CG59" s="691">
        <f>PEG!O126</f>
        <v>0</v>
      </c>
      <c r="CH59" s="691">
        <f>PEG!P126</f>
        <v>0</v>
      </c>
      <c r="CI59" s="691">
        <f>PEG!Q126</f>
        <v>0</v>
      </c>
      <c r="CJ59" s="691">
        <f>PEG!R126</f>
        <v>0</v>
      </c>
      <c r="CK59" s="679">
        <f>PEG!S126</f>
        <v>0</v>
      </c>
      <c r="CL59" s="691">
        <f>PEG!T126</f>
        <v>0</v>
      </c>
      <c r="CM59" s="691">
        <f>PEG!U126</f>
        <v>0</v>
      </c>
      <c r="CN59" s="691">
        <f>PEG!V126</f>
        <v>0</v>
      </c>
      <c r="CO59" s="691">
        <f>PEG!W126</f>
        <v>0</v>
      </c>
      <c r="CP59" s="679">
        <f>PEG!X126</f>
        <v>0</v>
      </c>
      <c r="CQ59" s="691"/>
      <c r="CR59" s="691"/>
      <c r="CS59" s="691"/>
      <c r="CT59" s="691"/>
      <c r="CU59" s="679">
        <f>PEG!AC126</f>
        <v>0</v>
      </c>
      <c r="CV59" s="691"/>
      <c r="CW59" s="691"/>
      <c r="CX59" s="691"/>
      <c r="CY59" s="691"/>
      <c r="CZ59" s="679">
        <f>PEG!AH126</f>
        <v>0</v>
      </c>
      <c r="DA59" s="691"/>
      <c r="DB59" s="691"/>
      <c r="DC59" s="691"/>
      <c r="DD59" s="691"/>
      <c r="DE59" s="679">
        <f>PEG!AM126</f>
        <v>0</v>
      </c>
      <c r="DF59" s="691"/>
      <c r="DG59" s="691"/>
      <c r="DH59" s="691"/>
      <c r="DI59" s="691"/>
      <c r="DJ59" s="679">
        <f>PEG!AR126</f>
        <v>0</v>
      </c>
      <c r="DK59" s="691"/>
      <c r="DL59" s="691"/>
      <c r="DM59" s="691"/>
      <c r="DN59" s="691"/>
      <c r="DO59" s="679">
        <f>PEG!AW126</f>
        <v>0</v>
      </c>
      <c r="DP59" s="691"/>
      <c r="DQ59" s="691"/>
      <c r="DR59" s="691"/>
      <c r="DS59" s="691"/>
      <c r="DT59" s="679">
        <f>PEG!BB126</f>
        <v>0</v>
      </c>
      <c r="DU59" s="691"/>
      <c r="DV59" s="691"/>
      <c r="DW59" s="691"/>
      <c r="DX59" s="691"/>
      <c r="DY59" s="679">
        <f>PEG!BG126</f>
        <v>0</v>
      </c>
      <c r="DZ59" s="691"/>
      <c r="EA59" s="691"/>
      <c r="EB59" s="691"/>
      <c r="EC59" s="691"/>
      <c r="ED59" s="679">
        <f>PEG!BL126</f>
        <v>0</v>
      </c>
      <c r="EE59" s="691"/>
      <c r="EF59" s="691"/>
      <c r="EG59" s="691"/>
      <c r="EH59" s="691"/>
      <c r="EI59" s="679">
        <f>PEG!BQ126</f>
        <v>0</v>
      </c>
    </row>
    <row r="60" spans="2:139">
      <c r="B60" s="47"/>
      <c r="C60" s="686" t="s">
        <v>411</v>
      </c>
      <c r="D60" s="305"/>
      <c r="G60" s="684"/>
      <c r="H60" s="684"/>
      <c r="I60" s="47"/>
      <c r="L60" s="684"/>
      <c r="M60" s="684"/>
      <c r="N60" s="700">
        <f>+S60</f>
        <v>49.44</v>
      </c>
      <c r="Q60" s="684"/>
      <c r="R60" s="684"/>
      <c r="S60" s="700">
        <f>+X60</f>
        <v>49.44</v>
      </c>
      <c r="V60" s="684"/>
      <c r="W60" s="684"/>
      <c r="X60" s="700">
        <f>+AC60</f>
        <v>49.44</v>
      </c>
      <c r="AA60" s="684"/>
      <c r="AB60" s="684"/>
      <c r="AC60" s="700">
        <f>+AH60</f>
        <v>49.44</v>
      </c>
      <c r="AF60" s="684"/>
      <c r="AG60" s="684"/>
      <c r="AH60" s="700">
        <f>+AM60</f>
        <v>49.44</v>
      </c>
      <c r="AK60" s="684"/>
      <c r="AL60" s="684"/>
      <c r="AM60" s="700">
        <f>+AR60</f>
        <v>49.44</v>
      </c>
      <c r="AP60" s="684"/>
      <c r="AQ60" s="684"/>
      <c r="AR60" s="700">
        <f>+AW60</f>
        <v>49.44</v>
      </c>
      <c r="AU60" s="684"/>
      <c r="AV60" s="684"/>
      <c r="AW60" s="698">
        <f>+Valuation!$AR$18</f>
        <v>49.44</v>
      </c>
      <c r="AZ60" s="684"/>
      <c r="BA60" s="684"/>
      <c r="BB60" s="698">
        <f>+Valuation!$AR$18</f>
        <v>49.44</v>
      </c>
      <c r="BE60" s="684"/>
      <c r="BF60" s="684"/>
      <c r="BG60" s="698">
        <f>+Valuation!$AR$18</f>
        <v>49.44</v>
      </c>
      <c r="BJ60" s="684"/>
      <c r="BK60" s="684"/>
      <c r="BL60" s="698">
        <f>+Valuation!$AR$18</f>
        <v>49.44</v>
      </c>
      <c r="BO60" s="684"/>
      <c r="BP60" s="684"/>
      <c r="BQ60" s="698">
        <f>+Valuation!$AR$18</f>
        <v>49.44</v>
      </c>
      <c r="BR60" s="47"/>
      <c r="BS60" s="47"/>
      <c r="BT60" s="47"/>
      <c r="BU60" s="47" t="s">
        <v>412</v>
      </c>
      <c r="BV60" s="47"/>
      <c r="CA60" s="679">
        <f>PEG!I122</f>
        <v>459</v>
      </c>
      <c r="CF60" s="679">
        <f>PEG!N122</f>
        <v>1728</v>
      </c>
      <c r="CG60">
        <f>PEG!O122</f>
        <v>0</v>
      </c>
      <c r="CH60">
        <f>PEG!P122</f>
        <v>0</v>
      </c>
      <c r="CI60">
        <f>PEG!Q122</f>
        <v>750</v>
      </c>
      <c r="CJ60">
        <f>PEG!R122</f>
        <v>44</v>
      </c>
      <c r="CK60" s="679">
        <f>PEG!S122</f>
        <v>794</v>
      </c>
      <c r="CL60">
        <f>PEG!T122</f>
        <v>0</v>
      </c>
      <c r="CM60">
        <f>PEG!U122</f>
        <v>500</v>
      </c>
      <c r="CN60">
        <f>PEG!V122</f>
        <v>350</v>
      </c>
      <c r="CO60">
        <f>PEG!W122</f>
        <v>50</v>
      </c>
      <c r="CP60" s="679">
        <f>PEG!X122</f>
        <v>900</v>
      </c>
      <c r="CU60" s="679">
        <f>PEG!AC122</f>
        <v>2000</v>
      </c>
      <c r="CZ60" s="679">
        <f>PEG!AH122</f>
        <v>1250</v>
      </c>
      <c r="DE60" s="679">
        <f>PEG!AM122</f>
        <v>1350</v>
      </c>
      <c r="DJ60" s="679">
        <f>PEG!AR122</f>
        <v>2675</v>
      </c>
      <c r="DO60" s="679">
        <f>PEG!AW122</f>
        <v>2175</v>
      </c>
      <c r="DT60" s="679">
        <f>PEG!BB122</f>
        <v>2850</v>
      </c>
      <c r="DY60" s="679">
        <f>PEG!BG122</f>
        <v>2900</v>
      </c>
      <c r="ED60" s="679">
        <f>PEG!BL122</f>
        <v>1900</v>
      </c>
      <c r="EI60" s="679">
        <f>PEG!BQ122</f>
        <v>2350</v>
      </c>
    </row>
    <row r="61" spans="2:139">
      <c r="B61" s="47"/>
      <c r="C61" s="305" t="s">
        <v>560</v>
      </c>
      <c r="D61" s="701"/>
      <c r="E61" s="674"/>
      <c r="F61" s="674"/>
      <c r="G61" s="674"/>
      <c r="H61" s="674"/>
      <c r="I61" s="702"/>
      <c r="J61" s="674"/>
      <c r="K61" s="674"/>
      <c r="L61" s="674"/>
      <c r="M61" s="674"/>
      <c r="N61" s="679">
        <f>+S61</f>
        <v>507.38099999999997</v>
      </c>
      <c r="O61" s="674"/>
      <c r="P61" s="674"/>
      <c r="Q61" s="674"/>
      <c r="R61" s="674"/>
      <c r="S61" s="679">
        <f>+X61</f>
        <v>507.38099999999997</v>
      </c>
      <c r="T61" s="674"/>
      <c r="U61" s="674"/>
      <c r="V61" s="674"/>
      <c r="W61" s="674"/>
      <c r="X61" s="679">
        <f>+AC61</f>
        <v>507.38099999999997</v>
      </c>
      <c r="Y61" s="674"/>
      <c r="Z61" s="674"/>
      <c r="AA61" s="674"/>
      <c r="AB61" s="674"/>
      <c r="AC61" s="679">
        <f>+AH61</f>
        <v>507.38099999999997</v>
      </c>
      <c r="AD61" s="674"/>
      <c r="AE61" s="674"/>
      <c r="AF61" s="674"/>
      <c r="AG61" s="674"/>
      <c r="AH61" s="679">
        <f>+AM61</f>
        <v>507.38099999999997</v>
      </c>
      <c r="AI61" s="674"/>
      <c r="AJ61" s="674"/>
      <c r="AK61" s="674"/>
      <c r="AL61" s="674"/>
      <c r="AM61" s="679">
        <f>+AR61</f>
        <v>507.38099999999997</v>
      </c>
      <c r="AN61" s="674"/>
      <c r="AO61" s="674"/>
      <c r="AP61" s="674"/>
      <c r="AQ61" s="674"/>
      <c r="AR61" s="679">
        <f>+AW61</f>
        <v>507.38099999999997</v>
      </c>
      <c r="AS61" s="674"/>
      <c r="AT61" s="674"/>
      <c r="AU61" s="674"/>
      <c r="AV61" s="674"/>
      <c r="AW61" s="1035">
        <f>PEG!$Z$46</f>
        <v>507.38099999999997</v>
      </c>
      <c r="AX61" s="674"/>
      <c r="AY61" s="674"/>
      <c r="AZ61" s="674"/>
      <c r="BA61" s="674"/>
      <c r="BB61" s="1035">
        <f>PEG!$Z$46</f>
        <v>507.38099999999997</v>
      </c>
      <c r="BC61" s="674"/>
      <c r="BD61" s="674"/>
      <c r="BE61" s="674"/>
      <c r="BF61" s="674"/>
      <c r="BG61" s="1035">
        <f>PEG!$Z$46</f>
        <v>507.38099999999997</v>
      </c>
      <c r="BH61" s="674"/>
      <c r="BI61" s="674"/>
      <c r="BJ61" s="674"/>
      <c r="BK61" s="674"/>
      <c r="BL61" s="1035">
        <f>PEG!$Z$46</f>
        <v>507.38099999999997</v>
      </c>
      <c r="BM61" s="674"/>
      <c r="BN61" s="674"/>
      <c r="BO61" s="674"/>
      <c r="BP61" s="674"/>
      <c r="BQ61" s="1035">
        <f>PEG!$Z$46</f>
        <v>507.38099999999997</v>
      </c>
      <c r="BR61" s="47"/>
      <c r="BS61" s="47"/>
      <c r="BT61" s="47"/>
      <c r="BU61" s="47" t="s">
        <v>413</v>
      </c>
      <c r="BV61" s="47"/>
      <c r="CA61" s="679">
        <f>PEG!I123</f>
        <v>-1329</v>
      </c>
      <c r="CF61" s="679">
        <f>PEG!N123</f>
        <v>-1022</v>
      </c>
      <c r="CG61">
        <f>PEG!O123</f>
        <v>-47</v>
      </c>
      <c r="CH61">
        <f>PEG!P123</f>
        <v>-656</v>
      </c>
      <c r="CI61">
        <f>PEG!Q123</f>
        <v>-51</v>
      </c>
      <c r="CJ61">
        <f>PEG!R123</f>
        <v>-984</v>
      </c>
      <c r="CK61" s="679">
        <f>PEG!S123</f>
        <v>-1738</v>
      </c>
      <c r="CL61">
        <f>PEG!T123</f>
        <v>-115</v>
      </c>
      <c r="CM61">
        <f>PEG!U123</f>
        <v>-125</v>
      </c>
      <c r="CN61">
        <f>PEG!V123</f>
        <v>-354</v>
      </c>
      <c r="CO61">
        <f>PEG!W123</f>
        <v>-410</v>
      </c>
      <c r="CP61" s="679">
        <f>PEG!X123</f>
        <v>-1004</v>
      </c>
      <c r="CU61" s="679">
        <f>PEG!AC123</f>
        <v>-1251</v>
      </c>
      <c r="CZ61" s="679">
        <f>PEG!AH123</f>
        <v>-737</v>
      </c>
      <c r="DE61" s="679">
        <f>PEG!AM123</f>
        <v>-859</v>
      </c>
      <c r="DJ61" s="679">
        <f>PEG!AR123</f>
        <v>-824</v>
      </c>
      <c r="DO61" s="679">
        <f>PEG!AW123</f>
        <v>-500</v>
      </c>
      <c r="DT61" s="679">
        <f>PEG!BB123</f>
        <v>-1000</v>
      </c>
      <c r="DY61" s="679">
        <f>PEG!BG123</f>
        <v>-1644</v>
      </c>
      <c r="ED61" s="679">
        <f>PEG!BL123</f>
        <v>-665</v>
      </c>
      <c r="EI61" s="679">
        <f>PEG!BQ123</f>
        <v>-1684</v>
      </c>
    </row>
    <row r="62" spans="2:139">
      <c r="B62" s="47"/>
      <c r="C62" s="687" t="s">
        <v>561</v>
      </c>
      <c r="D62" s="701"/>
      <c r="E62" s="691"/>
      <c r="F62" s="703"/>
      <c r="G62" s="691"/>
      <c r="H62" s="703"/>
      <c r="I62" s="675"/>
      <c r="J62" s="691"/>
      <c r="K62" s="703"/>
      <c r="L62" s="691"/>
      <c r="M62" s="703"/>
      <c r="N62" s="693">
        <f>+N60*N61</f>
        <v>25084.916639999996</v>
      </c>
      <c r="O62" s="691"/>
      <c r="P62" s="703"/>
      <c r="Q62" s="691"/>
      <c r="R62" s="703"/>
      <c r="S62" s="693">
        <f>+S60*S61</f>
        <v>25084.916639999996</v>
      </c>
      <c r="T62" s="691"/>
      <c r="U62" s="703"/>
      <c r="V62" s="691"/>
      <c r="W62" s="703"/>
      <c r="X62" s="693">
        <f>+X60*X61</f>
        <v>25084.916639999996</v>
      </c>
      <c r="Y62" s="691"/>
      <c r="Z62" s="703"/>
      <c r="AA62" s="691"/>
      <c r="AB62" s="703"/>
      <c r="AC62" s="693">
        <f>+AC60*AC61</f>
        <v>25084.916639999996</v>
      </c>
      <c r="AD62" s="691"/>
      <c r="AE62" s="703"/>
      <c r="AF62" s="691"/>
      <c r="AG62" s="703"/>
      <c r="AH62" s="693">
        <f>+AH60*AH61</f>
        <v>25084.916639999996</v>
      </c>
      <c r="AI62" s="691"/>
      <c r="AJ62" s="703"/>
      <c r="AK62" s="691"/>
      <c r="AL62" s="703"/>
      <c r="AM62" s="693">
        <f>+AM60*AM61</f>
        <v>25084.916639999996</v>
      </c>
      <c r="AN62" s="691"/>
      <c r="AO62" s="703"/>
      <c r="AP62" s="691"/>
      <c r="AQ62" s="703"/>
      <c r="AR62" s="693">
        <f>+AR60*AR61</f>
        <v>25084.916639999996</v>
      </c>
      <c r="AS62" s="691"/>
      <c r="AT62" s="703"/>
      <c r="AU62" s="691"/>
      <c r="AV62" s="703"/>
      <c r="AW62" s="693">
        <f>+AW60*AW61</f>
        <v>25084.916639999996</v>
      </c>
      <c r="AX62" s="691"/>
      <c r="AY62" s="703"/>
      <c r="AZ62" s="691"/>
      <c r="BA62" s="703"/>
      <c r="BB62" s="693">
        <f>+BB60*BB61</f>
        <v>25084.916639999996</v>
      </c>
      <c r="BC62" s="691"/>
      <c r="BD62" s="703"/>
      <c r="BE62" s="691"/>
      <c r="BF62" s="703"/>
      <c r="BG62" s="693">
        <f>+BG60*BG61</f>
        <v>25084.916639999996</v>
      </c>
      <c r="BH62" s="691"/>
      <c r="BI62" s="703"/>
      <c r="BJ62" s="691"/>
      <c r="BK62" s="703"/>
      <c r="BL62" s="693">
        <f>+BL60*BL61</f>
        <v>25084.916639999996</v>
      </c>
      <c r="BM62" s="691"/>
      <c r="BN62" s="703"/>
      <c r="BO62" s="691"/>
      <c r="BP62" s="703"/>
      <c r="BQ62" s="693">
        <f>+BQ60*BQ61</f>
        <v>25084.916639999996</v>
      </c>
      <c r="BR62" s="47"/>
      <c r="BS62" s="47"/>
      <c r="BT62" s="47"/>
      <c r="BU62" s="47" t="s">
        <v>414</v>
      </c>
      <c r="BV62" s="47"/>
      <c r="CA62" s="679">
        <f>PEG!I124+PEG!I134</f>
        <v>511</v>
      </c>
      <c r="CF62" s="679">
        <f>PEG!N124+PEG!N134</f>
        <v>-466</v>
      </c>
      <c r="CG62">
        <f>PEG!O124</f>
        <v>-43</v>
      </c>
      <c r="CH62">
        <f>PEG!P124</f>
        <v>277</v>
      </c>
      <c r="CI62">
        <f>PEG!Q124</f>
        <v>-298</v>
      </c>
      <c r="CJ62">
        <f>PEG!R124</f>
        <v>0</v>
      </c>
      <c r="CK62" s="679">
        <f>PEG!S124+PEG!S134</f>
        <v>-64</v>
      </c>
      <c r="CL62">
        <f>PEG!T124</f>
        <v>29</v>
      </c>
      <c r="CM62">
        <f>PEG!U124</f>
        <v>-13</v>
      </c>
      <c r="CN62">
        <f>PEG!V124</f>
        <v>-16</v>
      </c>
      <c r="CO62">
        <f>PEG!W124</f>
        <v>263</v>
      </c>
      <c r="CP62" s="679">
        <f>PEG!X124+PEG!X134</f>
        <v>263</v>
      </c>
      <c r="CU62" s="679">
        <f>PEG!AC124+PEG!AC134</f>
        <v>-203</v>
      </c>
      <c r="CZ62" s="679">
        <f>PEG!AH124+PEG!AH134</f>
        <v>-60</v>
      </c>
      <c r="DE62" s="679">
        <f>PEG!AM124+PEG!AM134</f>
        <v>364</v>
      </c>
      <c r="DJ62" s="679">
        <f>PEG!AR124+PEG!AR134</f>
        <v>24</v>
      </c>
      <c r="DO62" s="679">
        <f>PEG!AW124+PEG!AW134</f>
        <v>154</v>
      </c>
      <c r="DT62" s="679">
        <f>PEG!BB124+PEG!BB134</f>
        <v>-542</v>
      </c>
      <c r="DY62" s="679">
        <f>PEG!BG124+PEG!BG134</f>
        <v>0</v>
      </c>
      <c r="ED62" s="679">
        <f>PEG!BL124+PEG!BL134</f>
        <v>0</v>
      </c>
      <c r="EI62" s="679">
        <f>PEG!BQ124+PEG!BQ134</f>
        <v>0</v>
      </c>
    </row>
    <row r="63" spans="2:139">
      <c r="B63" s="47"/>
      <c r="C63" s="305" t="s">
        <v>415</v>
      </c>
      <c r="D63" s="675"/>
      <c r="E63" s="674"/>
      <c r="F63" s="674"/>
      <c r="G63" s="674"/>
      <c r="H63" s="674"/>
      <c r="I63" s="702"/>
      <c r="J63" s="674"/>
      <c r="K63" s="674"/>
      <c r="L63" s="674"/>
      <c r="M63" s="674"/>
      <c r="N63" s="679">
        <f>+CF13-CF9</f>
        <v>8757</v>
      </c>
      <c r="O63" s="674"/>
      <c r="P63" s="674"/>
      <c r="Q63" s="674"/>
      <c r="R63" s="674"/>
      <c r="S63" s="679">
        <f>+CK13-CK9</f>
        <v>7260</v>
      </c>
      <c r="T63" s="674"/>
      <c r="U63" s="674"/>
      <c r="V63" s="674"/>
      <c r="W63" s="674"/>
      <c r="X63" s="679">
        <f>+CP13-CP9</f>
        <v>7823</v>
      </c>
      <c r="Y63" s="674"/>
      <c r="Z63" s="674"/>
      <c r="AA63" s="674"/>
      <c r="AB63" s="674"/>
      <c r="AC63" s="679">
        <f>+CU13-CU9</f>
        <v>8210</v>
      </c>
      <c r="AD63" s="674"/>
      <c r="AE63" s="674"/>
      <c r="AF63" s="674"/>
      <c r="AG63" s="674"/>
      <c r="AH63" s="679">
        <f>+CZ13-CZ9</f>
        <v>8742</v>
      </c>
      <c r="AI63" s="674"/>
      <c r="AJ63" s="674"/>
      <c r="AK63" s="674"/>
      <c r="AL63" s="674"/>
      <c r="AM63" s="679">
        <f>+DE13-DE9</f>
        <v>9538</v>
      </c>
      <c r="AN63" s="674"/>
      <c r="AO63" s="674"/>
      <c r="AP63" s="674"/>
      <c r="AQ63" s="674"/>
      <c r="AR63" s="679">
        <f>+DJ13-DJ9</f>
        <v>11360</v>
      </c>
      <c r="AS63" s="674"/>
      <c r="AT63" s="674"/>
      <c r="AU63" s="674"/>
      <c r="AV63" s="674"/>
      <c r="AW63" s="679">
        <f>+DO13-DO9</f>
        <v>13297</v>
      </c>
      <c r="AX63" s="674"/>
      <c r="AY63" s="674"/>
      <c r="AZ63" s="674"/>
      <c r="BA63" s="674"/>
      <c r="BB63" s="679">
        <f>+DT13-DT9</f>
        <v>14788.923898776255</v>
      </c>
      <c r="BC63" s="674"/>
      <c r="BD63" s="674"/>
      <c r="BE63" s="674"/>
      <c r="BF63" s="674"/>
      <c r="BG63" s="679">
        <f>+DY13-DY9</f>
        <v>15985.667529619903</v>
      </c>
      <c r="BH63" s="674"/>
      <c r="BI63" s="674"/>
      <c r="BJ63" s="674"/>
      <c r="BK63" s="674"/>
      <c r="BL63" s="679">
        <f>+ED13-ED9</f>
        <v>17248.407231082172</v>
      </c>
      <c r="BM63" s="674"/>
      <c r="BN63" s="674"/>
      <c r="BO63" s="674"/>
      <c r="BP63" s="674"/>
      <c r="BQ63" s="679">
        <f>+EI13-EI9</f>
        <v>17897.558293110353</v>
      </c>
      <c r="BR63" s="47"/>
      <c r="BS63" s="47"/>
      <c r="BT63" s="47"/>
      <c r="BU63" s="47" t="s">
        <v>71</v>
      </c>
      <c r="BV63" s="305"/>
      <c r="BW63" s="674"/>
      <c r="BX63" s="674"/>
      <c r="BY63" s="674"/>
      <c r="BZ63" s="674"/>
      <c r="CA63" s="675">
        <f>PEG!I125+PEG!I128</f>
        <v>-2</v>
      </c>
      <c r="CB63" s="675"/>
      <c r="CC63" s="675"/>
      <c r="CD63" s="675"/>
      <c r="CE63" s="675"/>
      <c r="CF63" s="675">
        <f>PEG!N125+PEG!N128</f>
        <v>-112</v>
      </c>
      <c r="CG63" s="675">
        <f>PEG!O125+PEG!O128</f>
        <v>-4</v>
      </c>
      <c r="CH63" s="675">
        <f>PEG!P125+PEG!P128</f>
        <v>-23</v>
      </c>
      <c r="CI63" s="675">
        <f>PEG!Q125+PEG!Q128</f>
        <v>-5</v>
      </c>
      <c r="CJ63" s="675">
        <f>PEG!R125+PEG!R128</f>
        <v>-1</v>
      </c>
      <c r="CK63" s="675">
        <f>PEG!S125+PEG!S128</f>
        <v>-33</v>
      </c>
      <c r="CL63" s="675">
        <f>PEG!T125+PEG!T128</f>
        <v>-20</v>
      </c>
      <c r="CM63" s="675">
        <f>PEG!U125+PEG!U128</f>
        <v>-5</v>
      </c>
      <c r="CN63" s="675">
        <f>PEG!V125+PEG!V128</f>
        <v>-7</v>
      </c>
      <c r="CO63" s="675">
        <f>PEG!W125+PEG!W128</f>
        <v>-26</v>
      </c>
      <c r="CP63" s="675">
        <f>PEG!X125+PEG!X128</f>
        <v>-58</v>
      </c>
      <c r="CQ63" s="675"/>
      <c r="CR63" s="675"/>
      <c r="CS63" s="675"/>
      <c r="CT63" s="675"/>
      <c r="CU63" s="675">
        <f>PEG!AC125+PEG!AC128</f>
        <v>-61</v>
      </c>
      <c r="CV63" s="675"/>
      <c r="CW63" s="675"/>
      <c r="CX63" s="675"/>
      <c r="CY63" s="675"/>
      <c r="CZ63" s="675">
        <f>PEG!AH125+PEG!AH128</f>
        <v>-64</v>
      </c>
      <c r="DA63" s="675"/>
      <c r="DB63" s="675"/>
      <c r="DC63" s="675"/>
      <c r="DD63" s="675"/>
      <c r="DE63" s="675">
        <f>PEG!AM125+PEG!AM128</f>
        <v>-51</v>
      </c>
      <c r="DF63" s="675"/>
      <c r="DG63" s="675"/>
      <c r="DH63" s="675"/>
      <c r="DI63" s="675"/>
      <c r="DJ63" s="675">
        <f>PEG!AR125+PEG!AR128</f>
        <v>-79</v>
      </c>
      <c r="DK63" s="675"/>
      <c r="DL63" s="675"/>
      <c r="DM63" s="675"/>
      <c r="DN63" s="675"/>
      <c r="DO63" s="675">
        <f>PEG!AW125+PEG!AW128</f>
        <v>-74</v>
      </c>
      <c r="DP63" s="675"/>
      <c r="DQ63" s="675"/>
      <c r="DR63" s="675"/>
      <c r="DS63" s="675"/>
      <c r="DT63" s="675">
        <f>PEG!BB125+PEG!BB128</f>
        <v>0</v>
      </c>
      <c r="DU63" s="675"/>
      <c r="DV63" s="675"/>
      <c r="DW63" s="675"/>
      <c r="DX63" s="675"/>
      <c r="DY63" s="675">
        <f>PEG!BG125+PEG!BG128</f>
        <v>0</v>
      </c>
      <c r="DZ63" s="675"/>
      <c r="EA63" s="675"/>
      <c r="EB63" s="675"/>
      <c r="EC63" s="675"/>
      <c r="ED63" s="675">
        <f>PEG!BL125+PEG!BL128</f>
        <v>0</v>
      </c>
      <c r="EE63" s="675"/>
      <c r="EF63" s="675"/>
      <c r="EG63" s="675"/>
      <c r="EH63" s="675"/>
      <c r="EI63" s="675">
        <f>PEG!BQ125+PEG!BQ128</f>
        <v>0</v>
      </c>
    </row>
    <row r="64" spans="2:139">
      <c r="B64" s="47"/>
      <c r="C64" s="64" t="s">
        <v>562</v>
      </c>
      <c r="D64" s="704"/>
      <c r="E64" s="704"/>
      <c r="F64" s="704"/>
      <c r="G64" s="691"/>
      <c r="H64" s="704"/>
      <c r="I64" s="704"/>
      <c r="J64" s="704"/>
      <c r="K64" s="704"/>
      <c r="L64" s="691"/>
      <c r="M64" s="703"/>
      <c r="N64" s="693">
        <f>+N62+N63</f>
        <v>33841.916639999996</v>
      </c>
      <c r="O64" s="704"/>
      <c r="P64" s="704"/>
      <c r="Q64" s="691"/>
      <c r="R64" s="703"/>
      <c r="S64" s="693">
        <f>+S62+S63</f>
        <v>32344.916639999996</v>
      </c>
      <c r="T64" s="704"/>
      <c r="U64" s="704"/>
      <c r="V64" s="691"/>
      <c r="W64" s="703"/>
      <c r="X64" s="693">
        <f>+X62+X63</f>
        <v>32907.916639999996</v>
      </c>
      <c r="Y64" s="704"/>
      <c r="Z64" s="704"/>
      <c r="AA64" s="691"/>
      <c r="AB64" s="703"/>
      <c r="AC64" s="693">
        <f>+AC62+AC63</f>
        <v>33294.916639999996</v>
      </c>
      <c r="AD64" s="704"/>
      <c r="AE64" s="704"/>
      <c r="AF64" s="691"/>
      <c r="AG64" s="703"/>
      <c r="AH64" s="693">
        <f>+AH62+AH63</f>
        <v>33826.916639999996</v>
      </c>
      <c r="AI64" s="704"/>
      <c r="AJ64" s="704"/>
      <c r="AK64" s="691"/>
      <c r="AL64" s="703"/>
      <c r="AM64" s="693">
        <f>+AM62+AM63</f>
        <v>34622.916639999996</v>
      </c>
      <c r="AN64" s="704"/>
      <c r="AO64" s="704"/>
      <c r="AP64" s="691"/>
      <c r="AQ64" s="703"/>
      <c r="AR64" s="693">
        <f>+AR62+AR63</f>
        <v>36444.916639999996</v>
      </c>
      <c r="AS64" s="704"/>
      <c r="AT64" s="704"/>
      <c r="AU64" s="691"/>
      <c r="AV64" s="703"/>
      <c r="AW64" s="693">
        <f>+AW62+AW63</f>
        <v>38381.916639999996</v>
      </c>
      <c r="AX64" s="704"/>
      <c r="AY64" s="704"/>
      <c r="AZ64" s="691"/>
      <c r="BA64" s="703"/>
      <c r="BB64" s="693">
        <f>+BB62+BB63</f>
        <v>39873.840538776247</v>
      </c>
      <c r="BC64" s="704"/>
      <c r="BD64" s="704"/>
      <c r="BE64" s="691"/>
      <c r="BF64" s="703"/>
      <c r="BG64" s="693">
        <f>+BG62+BG63</f>
        <v>41070.584169619899</v>
      </c>
      <c r="BH64" s="704"/>
      <c r="BI64" s="704"/>
      <c r="BJ64" s="691"/>
      <c r="BK64" s="703"/>
      <c r="BL64" s="693">
        <f>+BL62+BL63</f>
        <v>42333.323871082168</v>
      </c>
      <c r="BM64" s="704"/>
      <c r="BN64" s="704"/>
      <c r="BO64" s="691"/>
      <c r="BP64" s="703"/>
      <c r="BQ64" s="693">
        <f>+BQ62+BQ63</f>
        <v>42982.474933110352</v>
      </c>
      <c r="BR64" s="47"/>
      <c r="BS64" s="47"/>
      <c r="BT64" s="47"/>
      <c r="BU64" s="64" t="s">
        <v>416</v>
      </c>
      <c r="BV64" s="305"/>
      <c r="BX64" s="705"/>
      <c r="BY64" s="705"/>
      <c r="BZ64" s="705"/>
      <c r="CA64" s="706">
        <f>SUM(CA56,CA59:CA63)</f>
        <v>29</v>
      </c>
      <c r="CC64" s="705"/>
      <c r="CD64" s="705"/>
      <c r="CE64" s="705"/>
      <c r="CF64" s="706">
        <f>SUM(CF56,CF59:CF63)</f>
        <v>-70</v>
      </c>
      <c r="CG64" s="705"/>
      <c r="CH64" s="705"/>
      <c r="CI64" s="705"/>
      <c r="CK64" s="706">
        <f>SUM(CK56,CK59:CK63)</f>
        <v>554</v>
      </c>
      <c r="CL64" s="705"/>
      <c r="CM64" s="705"/>
      <c r="CN64" s="705"/>
      <c r="CP64" s="706">
        <f>SUM(CP56,CP59:CP63)</f>
        <v>-455</v>
      </c>
      <c r="CR64" s="705"/>
      <c r="CS64" s="705"/>
      <c r="CT64" s="705"/>
      <c r="CU64" s="706">
        <f>SUM(CU56,CU59:CU63)</f>
        <v>114</v>
      </c>
      <c r="CW64" s="705"/>
      <c r="CX64" s="705"/>
      <c r="CY64" s="705"/>
      <c r="CZ64" s="706">
        <f>SUM(CZ56,CZ59:CZ63)</f>
        <v>-91</v>
      </c>
      <c r="DB64" s="705"/>
      <c r="DC64" s="705"/>
      <c r="DD64" s="705"/>
      <c r="DE64" s="706">
        <f>SUM(DE56,DE59:DE63)</f>
        <v>-8</v>
      </c>
      <c r="DG64" s="705"/>
      <c r="DH64" s="705"/>
      <c r="DI64" s="705"/>
      <c r="DJ64" s="706">
        <f>SUM(DJ56,DJ59:DJ63)</f>
        <v>29</v>
      </c>
      <c r="DL64" s="705"/>
      <c r="DM64" s="705"/>
      <c r="DN64" s="705"/>
      <c r="DO64" s="706">
        <f>SUM(DO56,DO59:DO63)</f>
        <v>-110</v>
      </c>
      <c r="DQ64" s="705"/>
      <c r="DR64" s="705"/>
      <c r="DS64" s="705"/>
      <c r="DT64" s="706">
        <f>SUM(DT56,DT59:DT63)</f>
        <v>-183.92389877625374</v>
      </c>
      <c r="DV64" s="705"/>
      <c r="DW64" s="705"/>
      <c r="DX64" s="705"/>
      <c r="DY64" s="706">
        <f>SUM(DY56,DY59:DY63)</f>
        <v>59.256369156350502</v>
      </c>
      <c r="EA64" s="705"/>
      <c r="EB64" s="705"/>
      <c r="EC64" s="705"/>
      <c r="ED64" s="706">
        <f>SUM(ED56,ED59:ED63)</f>
        <v>-27.739701462269295</v>
      </c>
      <c r="EF64" s="705"/>
      <c r="EG64" s="705"/>
      <c r="EH64" s="705"/>
      <c r="EI64" s="706">
        <f>SUM(EI56,EI59:EI63)</f>
        <v>16.848937971818486</v>
      </c>
    </row>
    <row r="66" spans="14:139">
      <c r="CA66" s="1219"/>
      <c r="CB66" s="1219"/>
      <c r="CC66" s="1219"/>
      <c r="CD66" s="1219"/>
      <c r="CE66" s="1219"/>
      <c r="CF66" s="1219"/>
      <c r="CG66" s="1219"/>
      <c r="CH66" s="1219"/>
      <c r="CI66" s="1219"/>
      <c r="CJ66" s="1219"/>
      <c r="CK66" s="1219"/>
      <c r="CL66" s="1219"/>
      <c r="CM66" s="1219"/>
      <c r="CN66" s="1219"/>
      <c r="CO66" s="1219"/>
      <c r="CP66" s="1219"/>
      <c r="CQ66" s="1219"/>
      <c r="CR66" s="1219"/>
      <c r="CS66" s="1219"/>
      <c r="CT66" s="1219"/>
      <c r="CU66" s="1219"/>
      <c r="CV66" s="1219"/>
      <c r="CW66" s="1219"/>
      <c r="CX66" s="1219"/>
      <c r="CY66" s="1219"/>
      <c r="CZ66" s="1219"/>
      <c r="DA66" s="1219"/>
      <c r="DB66" s="1219"/>
      <c r="DC66" s="1219"/>
      <c r="DD66" s="1219"/>
      <c r="DE66" s="1219"/>
      <c r="DF66" s="1219"/>
      <c r="DG66" s="1219"/>
      <c r="DH66" s="1219"/>
      <c r="DI66" s="1219"/>
      <c r="DJ66" s="1219"/>
      <c r="DK66" s="1219"/>
      <c r="DL66" s="1219"/>
      <c r="DM66" s="1219"/>
      <c r="DN66" s="1219"/>
      <c r="DO66" s="1219"/>
      <c r="DP66" s="1219"/>
      <c r="DQ66" s="1219"/>
      <c r="DR66" s="1219"/>
      <c r="DS66" s="1219"/>
      <c r="DT66" s="1219"/>
      <c r="DU66" s="1219"/>
      <c r="DV66" s="1219"/>
      <c r="DW66" s="1219"/>
      <c r="DX66" s="1219"/>
      <c r="DY66" s="1219"/>
      <c r="DZ66" s="1219"/>
      <c r="EA66" s="1219"/>
      <c r="EB66" s="1219"/>
      <c r="EC66" s="1219"/>
      <c r="ED66" s="1219"/>
      <c r="EE66" s="1219"/>
      <c r="EF66" s="1219"/>
      <c r="EG66" s="1219"/>
      <c r="EH66" s="1219"/>
      <c r="EI66" s="1219"/>
    </row>
    <row r="67" spans="14:139">
      <c r="CA67" s="1219"/>
      <c r="CB67" s="1219"/>
      <c r="CC67" s="1219"/>
      <c r="CD67" s="1219"/>
      <c r="CE67" s="1219"/>
      <c r="CF67" s="1219"/>
      <c r="CG67" s="1219"/>
      <c r="CH67" s="1219"/>
      <c r="CI67" s="1219"/>
      <c r="CJ67" s="1219"/>
      <c r="CK67" s="1219"/>
      <c r="CL67" s="1219"/>
      <c r="CM67" s="1219"/>
      <c r="CN67" s="1219"/>
      <c r="CO67" s="1219"/>
      <c r="CP67" s="1219"/>
      <c r="CQ67" s="1219"/>
      <c r="CR67" s="1219"/>
      <c r="CS67" s="1219"/>
      <c r="CT67" s="1219"/>
      <c r="CU67" s="1219"/>
      <c r="CV67" s="1219"/>
      <c r="CW67" s="1219"/>
      <c r="CX67" s="1219"/>
      <c r="CY67" s="1219"/>
      <c r="CZ67" s="1219"/>
      <c r="DA67" s="1219"/>
      <c r="DB67" s="1219"/>
      <c r="DC67" s="1219"/>
      <c r="DD67" s="1219"/>
      <c r="DE67" s="1219"/>
      <c r="DF67" s="1219"/>
      <c r="DG67" s="1219"/>
      <c r="DH67" s="1219"/>
      <c r="DI67" s="1219"/>
      <c r="DJ67" s="1219"/>
      <c r="DK67" s="1219"/>
      <c r="DL67" s="1219"/>
      <c r="DM67" s="1219"/>
      <c r="DN67" s="1219"/>
      <c r="DO67" s="1219"/>
      <c r="DP67" s="1219"/>
      <c r="DQ67" s="1219"/>
      <c r="DR67" s="1219"/>
      <c r="DS67" s="1219"/>
      <c r="DT67" s="1219"/>
      <c r="DU67" s="1219"/>
      <c r="DV67" s="1219"/>
      <c r="DW67" s="1219"/>
      <c r="DX67" s="1219"/>
      <c r="DY67" s="1219"/>
      <c r="DZ67" s="1219"/>
      <c r="EA67" s="1219"/>
      <c r="EB67" s="1219"/>
      <c r="EC67" s="1219"/>
      <c r="ED67" s="1219"/>
      <c r="EE67" s="1219"/>
      <c r="EF67" s="1219"/>
      <c r="EG67" s="1219"/>
      <c r="EH67" s="1219"/>
      <c r="EI67" s="1219"/>
    </row>
    <row r="69" spans="14:139">
      <c r="N69" s="709"/>
    </row>
    <row r="71" spans="14:139">
      <c r="AC71" s="73"/>
    </row>
    <row r="72" spans="14:139">
      <c r="AC72" s="73"/>
    </row>
    <row r="73" spans="14:139">
      <c r="AC73" s="73"/>
    </row>
    <row r="74" spans="14:139">
      <c r="AC74" s="73"/>
    </row>
  </sheetData>
  <phoneticPr fontId="2" type="noConversion"/>
  <pageMargins left="0" right="0" top="0" bottom="0" header="0" footer="0"/>
  <pageSetup paperSize="5" scale="79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autoPageBreaks="0"/>
  </sheetPr>
  <dimension ref="A1:CR349"/>
  <sheetViews>
    <sheetView zoomScale="85" zoomScaleNormal="80" zoomScaleSheetLayoutView="55" workbookViewId="0">
      <pane xSplit="4" ySplit="5" topLeftCell="E6" activePane="bottomRight" state="frozen"/>
      <selection activeCell="H41" sqref="H41"/>
      <selection pane="topRight" activeCell="H41" sqref="H41"/>
      <selection pane="bottomLeft" activeCell="H41" sqref="H41"/>
      <selection pane="bottomRight" activeCell="I6" sqref="I6"/>
    </sheetView>
  </sheetViews>
  <sheetFormatPr defaultRowHeight="12.75" outlineLevelCol="1"/>
  <cols>
    <col min="1" max="1" width="2.7109375" customWidth="1"/>
    <col min="2" max="2" width="2.5703125" customWidth="1"/>
    <col min="3" max="3" width="47.5703125" customWidth="1"/>
    <col min="4" max="4" width="2.7109375" customWidth="1"/>
    <col min="5" max="8" width="9" hidden="1" customWidth="1" outlineLevel="1"/>
    <col min="9" max="9" width="9" customWidth="1" collapsed="1"/>
    <col min="10" max="13" width="9" hidden="1" customWidth="1" outlineLevel="1"/>
    <col min="14" max="14" width="9" customWidth="1" collapsed="1"/>
    <col min="15" max="18" width="9" hidden="1" customWidth="1" outlineLevel="1"/>
    <col min="19" max="19" width="9" customWidth="1" collapsed="1"/>
    <col min="20" max="23" width="9" hidden="1" customWidth="1" outlineLevel="1"/>
    <col min="24" max="24" width="9" customWidth="1" collapsed="1"/>
    <col min="25" max="28" width="9" hidden="1" customWidth="1" outlineLevel="1"/>
    <col min="29" max="29" width="9" customWidth="1" collapsed="1"/>
    <col min="30" max="33" width="9" hidden="1" customWidth="1" outlineLevel="1"/>
    <col min="34" max="34" width="9" customWidth="1" collapsed="1"/>
    <col min="35" max="38" width="9" hidden="1" customWidth="1" outlineLevel="1"/>
    <col min="39" max="39" width="9" customWidth="1" collapsed="1"/>
    <col min="40" max="43" width="9" hidden="1" customWidth="1" outlineLevel="1"/>
    <col min="44" max="44" width="9" customWidth="1" collapsed="1"/>
    <col min="45" max="48" width="9" hidden="1" customWidth="1" outlineLevel="1"/>
    <col min="49" max="49" width="9" customWidth="1" collapsed="1"/>
    <col min="50" max="53" width="9" hidden="1" customWidth="1" outlineLevel="1"/>
    <col min="54" max="54" width="9" customWidth="1" collapsed="1"/>
    <col min="55" max="58" width="9" hidden="1" customWidth="1" outlineLevel="1"/>
    <col min="59" max="59" width="9" customWidth="1" collapsed="1"/>
    <col min="60" max="63" width="9" hidden="1" customWidth="1" outlineLevel="1"/>
    <col min="64" max="64" width="9" customWidth="1" collapsed="1"/>
    <col min="65" max="68" width="9" hidden="1" customWidth="1" outlineLevel="1"/>
    <col min="69" max="69" width="9" customWidth="1" collapsed="1"/>
    <col min="70" max="70" width="9.7109375" customWidth="1"/>
    <col min="90" max="90" width="22" hidden="1" customWidth="1" outlineLevel="1"/>
    <col min="91" max="95" width="9.140625" hidden="1" customWidth="1" outlineLevel="1"/>
    <col min="96" max="96" width="9.140625" collapsed="1"/>
  </cols>
  <sheetData>
    <row r="1" spans="1:95" ht="15.75" customHeight="1">
      <c r="A1" s="9"/>
      <c r="B1" s="9"/>
      <c r="C1" s="9"/>
      <c r="D1" s="11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46"/>
      <c r="AC1" s="12"/>
      <c r="AD1" s="12"/>
      <c r="AE1" s="12"/>
      <c r="AF1" s="12"/>
      <c r="AG1" s="12"/>
      <c r="AH1" s="12"/>
      <c r="AI1" s="12"/>
      <c r="AJ1" s="12"/>
      <c r="AK1" s="12"/>
      <c r="AL1" s="46"/>
      <c r="AM1" s="12"/>
      <c r="AN1" s="12"/>
      <c r="AO1" s="12"/>
      <c r="AP1" s="12"/>
      <c r="AQ1" s="46"/>
      <c r="AR1" s="12"/>
      <c r="AS1" s="12"/>
      <c r="AT1" s="12"/>
      <c r="AU1" s="12"/>
      <c r="AV1" s="46"/>
      <c r="AW1" s="12"/>
      <c r="AX1" s="12"/>
      <c r="AY1" s="12"/>
      <c r="AZ1" s="12"/>
      <c r="BA1" s="46"/>
      <c r="BB1" s="12"/>
      <c r="BC1" s="12"/>
      <c r="BD1" s="12"/>
      <c r="BE1" s="12"/>
      <c r="BF1" s="46"/>
      <c r="BG1" s="12"/>
      <c r="BH1" s="12"/>
      <c r="BI1" s="12"/>
      <c r="BJ1" s="12"/>
      <c r="BK1" s="46"/>
      <c r="BL1" s="12"/>
      <c r="BM1" s="12"/>
      <c r="BN1" s="12"/>
      <c r="BO1" s="12"/>
      <c r="BP1" s="46"/>
      <c r="BQ1" s="12"/>
      <c r="BR1" s="15"/>
      <c r="BS1" s="1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</row>
    <row r="2" spans="1:95" ht="15.75" customHeight="1">
      <c r="A2" s="9"/>
      <c r="B2" s="644" t="str">
        <f>Cover!$B$2</f>
        <v>Public Service Enterprise Group</v>
      </c>
      <c r="C2" s="9"/>
      <c r="D2" s="11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46"/>
      <c r="AC2" s="12"/>
      <c r="AD2" s="12"/>
      <c r="AE2" s="12"/>
      <c r="AF2" s="12"/>
      <c r="AG2" s="46"/>
      <c r="AH2" s="12"/>
      <c r="AI2" s="12"/>
      <c r="AJ2" s="12"/>
      <c r="AK2" s="12"/>
      <c r="AL2" s="46"/>
      <c r="AM2" s="12"/>
      <c r="AN2" s="12"/>
      <c r="AO2" s="12"/>
      <c r="AP2" s="12"/>
      <c r="AQ2" s="46"/>
      <c r="AR2" s="12"/>
      <c r="AS2" s="12"/>
      <c r="AT2" s="12"/>
      <c r="AU2" s="12"/>
      <c r="AV2" s="46"/>
      <c r="AW2" s="12"/>
      <c r="AX2" s="12"/>
      <c r="AY2" s="12"/>
      <c r="AZ2" s="12"/>
      <c r="BA2" s="46"/>
      <c r="BB2" s="12"/>
      <c r="BC2" s="12"/>
      <c r="BD2" s="12"/>
      <c r="BE2" s="12"/>
      <c r="BF2" s="46"/>
      <c r="BG2" s="12"/>
      <c r="BH2" s="12"/>
      <c r="BI2" s="12"/>
      <c r="BJ2" s="12"/>
      <c r="BK2" s="46"/>
      <c r="BL2" s="12"/>
      <c r="BM2" s="12"/>
      <c r="BN2" s="12"/>
      <c r="BO2" s="12"/>
      <c r="BP2" s="46"/>
      <c r="BQ2" s="12"/>
      <c r="BR2" s="15"/>
      <c r="BS2" s="1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</row>
    <row r="3" spans="1:95" ht="15.75" customHeight="1">
      <c r="A3" s="10"/>
      <c r="B3" s="79" t="s">
        <v>538</v>
      </c>
      <c r="C3" s="10"/>
      <c r="D3" s="10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5"/>
      <c r="BS3" s="15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</row>
    <row r="4" spans="1:95" ht="15.75" customHeight="1">
      <c r="A4" s="13"/>
      <c r="B4" s="35" t="s">
        <v>78</v>
      </c>
      <c r="C4" s="13"/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</row>
    <row r="5" spans="1:95">
      <c r="A5" s="625"/>
      <c r="B5" s="738" t="s">
        <v>574</v>
      </c>
      <c r="C5" s="738"/>
      <c r="D5" s="739"/>
      <c r="E5" s="1206" t="s">
        <v>419</v>
      </c>
      <c r="F5" s="1207" t="s">
        <v>420</v>
      </c>
      <c r="G5" s="1207" t="s">
        <v>389</v>
      </c>
      <c r="H5" s="1208" t="s">
        <v>390</v>
      </c>
      <c r="I5" s="1209">
        <v>2009</v>
      </c>
      <c r="J5" s="1206" t="s">
        <v>391</v>
      </c>
      <c r="K5" s="1207" t="s">
        <v>392</v>
      </c>
      <c r="L5" s="1207" t="s">
        <v>393</v>
      </c>
      <c r="M5" s="1208" t="s">
        <v>394</v>
      </c>
      <c r="N5" s="1209" t="s">
        <v>111</v>
      </c>
      <c r="O5" s="1206" t="s">
        <v>336</v>
      </c>
      <c r="P5" s="1207" t="s">
        <v>337</v>
      </c>
      <c r="Q5" s="1207" t="s">
        <v>338</v>
      </c>
      <c r="R5" s="1208" t="s">
        <v>339</v>
      </c>
      <c r="S5" s="1209">
        <v>2011</v>
      </c>
      <c r="T5" s="740" t="s">
        <v>660</v>
      </c>
      <c r="U5" s="741" t="s">
        <v>723</v>
      </c>
      <c r="V5" s="1213" t="s">
        <v>791</v>
      </c>
      <c r="W5" s="742" t="s">
        <v>796</v>
      </c>
      <c r="X5" s="1210" t="s">
        <v>797</v>
      </c>
      <c r="Y5" s="1206" t="s">
        <v>805</v>
      </c>
      <c r="Z5" s="1207" t="s">
        <v>806</v>
      </c>
      <c r="AA5" s="1207" t="s">
        <v>868</v>
      </c>
      <c r="AB5" s="1208" t="s">
        <v>869</v>
      </c>
      <c r="AC5" s="1210" t="s">
        <v>870</v>
      </c>
      <c r="AD5" s="1206" t="s">
        <v>891</v>
      </c>
      <c r="AE5" s="1207" t="s">
        <v>892</v>
      </c>
      <c r="AF5" s="1207" t="s">
        <v>930</v>
      </c>
      <c r="AG5" s="1208" t="s">
        <v>931</v>
      </c>
      <c r="AH5" s="1210" t="s">
        <v>929</v>
      </c>
      <c r="AI5" s="1206" t="s">
        <v>932</v>
      </c>
      <c r="AJ5" s="1207" t="s">
        <v>1000</v>
      </c>
      <c r="AK5" s="1207" t="s">
        <v>1001</v>
      </c>
      <c r="AL5" s="1208" t="s">
        <v>1013</v>
      </c>
      <c r="AM5" s="743" t="s">
        <v>1014</v>
      </c>
      <c r="AN5" s="740" t="s">
        <v>1028</v>
      </c>
      <c r="AO5" s="741" t="s">
        <v>1031</v>
      </c>
      <c r="AP5" s="741" t="s">
        <v>1040</v>
      </c>
      <c r="AQ5" s="742" t="s">
        <v>1073</v>
      </c>
      <c r="AR5" s="743" t="s">
        <v>1072</v>
      </c>
      <c r="AS5" s="740" t="s">
        <v>1078</v>
      </c>
      <c r="AT5" s="741" t="s">
        <v>1079</v>
      </c>
      <c r="AU5" s="741" t="s">
        <v>1096</v>
      </c>
      <c r="AV5" s="742" t="s">
        <v>1111</v>
      </c>
      <c r="AW5" s="743" t="s">
        <v>1110</v>
      </c>
      <c r="AX5" s="740" t="s">
        <v>875</v>
      </c>
      <c r="AY5" s="741" t="s">
        <v>876</v>
      </c>
      <c r="AZ5" s="741" t="s">
        <v>877</v>
      </c>
      <c r="BA5" s="742" t="s">
        <v>878</v>
      </c>
      <c r="BB5" s="743" t="s">
        <v>879</v>
      </c>
      <c r="BC5" s="740" t="s">
        <v>937</v>
      </c>
      <c r="BD5" s="741" t="s">
        <v>938</v>
      </c>
      <c r="BE5" s="741" t="s">
        <v>939</v>
      </c>
      <c r="BF5" s="742" t="s">
        <v>940</v>
      </c>
      <c r="BG5" s="743" t="s">
        <v>941</v>
      </c>
      <c r="BH5" s="740" t="s">
        <v>942</v>
      </c>
      <c r="BI5" s="741" t="s">
        <v>943</v>
      </c>
      <c r="BJ5" s="741" t="s">
        <v>944</v>
      </c>
      <c r="BK5" s="742" t="s">
        <v>945</v>
      </c>
      <c r="BL5" s="743" t="s">
        <v>946</v>
      </c>
      <c r="BM5" s="740" t="s">
        <v>1042</v>
      </c>
      <c r="BN5" s="741" t="s">
        <v>1043</v>
      </c>
      <c r="BO5" s="741" t="s">
        <v>1044</v>
      </c>
      <c r="BP5" s="742" t="s">
        <v>1045</v>
      </c>
      <c r="BQ5" s="743" t="s">
        <v>1046</v>
      </c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</row>
    <row r="6" spans="1:95" s="2" customFormat="1">
      <c r="E6" s="354"/>
      <c r="F6" s="313"/>
      <c r="G6" s="313"/>
      <c r="H6" s="355"/>
      <c r="J6" s="388"/>
      <c r="K6" s="339"/>
      <c r="L6" s="339"/>
      <c r="M6" s="389"/>
      <c r="O6" s="388"/>
      <c r="P6" s="339"/>
      <c r="Q6" s="339"/>
      <c r="R6" s="389"/>
      <c r="T6" s="388"/>
      <c r="U6" s="339"/>
      <c r="V6" s="339"/>
      <c r="W6" s="389"/>
      <c r="Y6" s="388"/>
      <c r="Z6" s="339"/>
      <c r="AA6" s="339"/>
      <c r="AB6" s="389"/>
      <c r="AD6" s="388"/>
      <c r="AE6" s="339"/>
      <c r="AF6" s="339"/>
      <c r="AG6" s="389"/>
      <c r="AI6" s="388"/>
      <c r="AJ6" s="339"/>
      <c r="AK6" s="339"/>
      <c r="AL6" s="389"/>
      <c r="AN6" s="388"/>
      <c r="AO6" s="339"/>
      <c r="AP6" s="339"/>
      <c r="AQ6" s="389"/>
      <c r="AS6" s="388"/>
      <c r="AT6" s="339"/>
      <c r="AU6" s="339"/>
      <c r="AV6" s="389"/>
      <c r="AX6" s="388"/>
      <c r="AY6" s="339"/>
      <c r="AZ6" s="339"/>
      <c r="BA6" s="389"/>
      <c r="BC6" s="388"/>
      <c r="BD6" s="339"/>
      <c r="BE6" s="339"/>
      <c r="BF6" s="389"/>
      <c r="BH6" s="388"/>
      <c r="BI6" s="339"/>
      <c r="BJ6" s="339"/>
      <c r="BK6" s="389"/>
      <c r="BM6" s="388"/>
      <c r="BN6" s="339"/>
      <c r="BO6" s="339"/>
      <c r="BP6" s="389"/>
      <c r="CL6"/>
      <c r="CM6"/>
      <c r="CN6"/>
      <c r="CO6"/>
      <c r="CP6"/>
      <c r="CQ6"/>
    </row>
    <row r="7" spans="1:95" s="2" customFormat="1">
      <c r="A7" s="1523"/>
      <c r="B7" s="105" t="s">
        <v>345</v>
      </c>
      <c r="C7" s="277"/>
      <c r="D7" s="277"/>
      <c r="E7" s="356"/>
      <c r="F7" s="326"/>
      <c r="G7" s="326"/>
      <c r="H7" s="357"/>
      <c r="J7" s="356"/>
      <c r="K7" s="326"/>
      <c r="L7" s="326"/>
      <c r="M7" s="357"/>
      <c r="O7" s="356"/>
      <c r="P7" s="326"/>
      <c r="Q7" s="326"/>
      <c r="R7" s="357"/>
      <c r="T7" s="356"/>
      <c r="U7" s="326"/>
      <c r="V7" s="326"/>
      <c r="W7" s="357"/>
      <c r="Y7" s="356"/>
      <c r="Z7" s="326"/>
      <c r="AA7" s="326"/>
      <c r="AB7" s="357"/>
      <c r="AD7" s="356"/>
      <c r="AE7" s="326"/>
      <c r="AF7" s="326"/>
      <c r="AG7" s="357"/>
      <c r="AI7" s="356"/>
      <c r="AJ7" s="326"/>
      <c r="AK7" s="326"/>
      <c r="AL7" s="357"/>
      <c r="AN7" s="356"/>
      <c r="AO7" s="326"/>
      <c r="AP7" s="326"/>
      <c r="AQ7" s="357"/>
      <c r="AS7" s="356"/>
      <c r="AT7" s="326"/>
      <c r="AU7" s="326"/>
      <c r="AV7" s="357"/>
      <c r="AX7" s="356"/>
      <c r="AY7" s="326"/>
      <c r="AZ7" s="326"/>
      <c r="BA7" s="357"/>
      <c r="BC7" s="356"/>
      <c r="BD7" s="326"/>
      <c r="BE7" s="326"/>
      <c r="BF7" s="357"/>
      <c r="BH7" s="356"/>
      <c r="BI7" s="326"/>
      <c r="BJ7" s="326"/>
      <c r="BK7" s="357"/>
      <c r="BM7" s="356"/>
      <c r="BN7" s="326"/>
      <c r="BO7" s="326"/>
      <c r="BP7" s="357"/>
      <c r="BR7" s="3"/>
      <c r="CL7"/>
      <c r="CM7"/>
      <c r="CN7"/>
      <c r="CO7"/>
      <c r="CP7"/>
      <c r="CQ7"/>
    </row>
    <row r="8" spans="1:95" s="49" customFormat="1">
      <c r="C8" s="49" t="s">
        <v>96</v>
      </c>
      <c r="E8" s="467">
        <v>3921</v>
      </c>
      <c r="F8" s="470">
        <v>2561</v>
      </c>
      <c r="G8" s="470">
        <v>3039</v>
      </c>
      <c r="H8" s="397">
        <f>I8-SUM(E8:G8)</f>
        <v>2885</v>
      </c>
      <c r="I8" s="471">
        <v>12406</v>
      </c>
      <c r="J8" s="467">
        <v>3680</v>
      </c>
      <c r="K8" s="470">
        <v>2455</v>
      </c>
      <c r="L8" s="470">
        <v>3254</v>
      </c>
      <c r="M8" s="397">
        <f>N8-SUM(J8:L8)</f>
        <v>2404</v>
      </c>
      <c r="N8" s="471">
        <v>11793</v>
      </c>
      <c r="O8" s="467">
        <v>3354</v>
      </c>
      <c r="P8" s="470">
        <v>2469</v>
      </c>
      <c r="Q8" s="470">
        <v>2620</v>
      </c>
      <c r="R8" s="397">
        <f>S8-SUM(O8:Q8)</f>
        <v>2636</v>
      </c>
      <c r="S8" s="471">
        <v>11079</v>
      </c>
      <c r="T8" s="467">
        <v>2875</v>
      </c>
      <c r="U8" s="470">
        <v>2098</v>
      </c>
      <c r="V8" s="470">
        <v>2402</v>
      </c>
      <c r="W8" s="397">
        <f>X8-SUM(T8:V8)</f>
        <v>2406</v>
      </c>
      <c r="X8" s="471">
        <v>9781</v>
      </c>
      <c r="Y8" s="467">
        <v>2786</v>
      </c>
      <c r="Z8" s="470">
        <v>2310</v>
      </c>
      <c r="AA8" s="470">
        <v>2554</v>
      </c>
      <c r="AB8" s="397">
        <f>AC8-SUM(Y8:AA8)</f>
        <v>2318</v>
      </c>
      <c r="AC8" s="471">
        <v>9968</v>
      </c>
      <c r="AD8" s="467">
        <v>3223</v>
      </c>
      <c r="AE8" s="470">
        <v>2249</v>
      </c>
      <c r="AF8" s="470">
        <v>2641</v>
      </c>
      <c r="AG8" s="397">
        <f>AH8-SUM(AD8:AF8)</f>
        <v>2773</v>
      </c>
      <c r="AH8" s="471">
        <v>10886</v>
      </c>
      <c r="AI8" s="467">
        <v>3135</v>
      </c>
      <c r="AJ8" s="470">
        <v>2314</v>
      </c>
      <c r="AK8" s="470">
        <v>2688</v>
      </c>
      <c r="AL8" s="397">
        <f>AM8-SUM(AI8:AK8)</f>
        <v>2278</v>
      </c>
      <c r="AM8" s="471">
        <v>10415</v>
      </c>
      <c r="AN8" s="467">
        <v>2616</v>
      </c>
      <c r="AO8" s="470">
        <v>1905</v>
      </c>
      <c r="AP8" s="470">
        <v>2450</v>
      </c>
      <c r="AQ8" s="397">
        <f>AR8-SUM(AN8:AP8)</f>
        <v>2090</v>
      </c>
      <c r="AR8" s="471">
        <v>9061</v>
      </c>
      <c r="AS8" s="467">
        <v>2592</v>
      </c>
      <c r="AT8" s="470">
        <v>2133</v>
      </c>
      <c r="AU8" s="470">
        <v>2263</v>
      </c>
      <c r="AV8" s="397">
        <f>AW8-SUM(AS8:AU8)</f>
        <v>2096</v>
      </c>
      <c r="AW8" s="471">
        <v>9084</v>
      </c>
      <c r="AX8" s="396">
        <f>+Power!AX8+'PSE&amp;G'!AX10+Parent!AX8</f>
        <v>2584.0741855219776</v>
      </c>
      <c r="AY8" s="343">
        <f>+Power!AY8+'PSE&amp;G'!AY10+Parent!AY8</f>
        <v>2015.0633760440564</v>
      </c>
      <c r="AZ8" s="343">
        <f>+Power!AZ8+'PSE&amp;G'!AZ10+Parent!AZ8</f>
        <v>2310.0810398616459</v>
      </c>
      <c r="BA8" s="397">
        <f>+Power!BA8+'PSE&amp;G'!BA10+Parent!BA8</f>
        <v>2280.3925541195963</v>
      </c>
      <c r="BB8" s="297">
        <f>SUM(AX8:BA8)</f>
        <v>9189.6111555472762</v>
      </c>
      <c r="BC8" s="396">
        <f>+Power!BC8+'PSE&amp;G'!BC10+Parent!BC8</f>
        <v>2744.8888542950526</v>
      </c>
      <c r="BD8" s="343">
        <f>+Power!BD8+'PSE&amp;G'!BD10+Parent!BD8</f>
        <v>2146.0650091087564</v>
      </c>
      <c r="BE8" s="343">
        <f>+Power!BE8+'PSE&amp;G'!BE10+Parent!BE8</f>
        <v>2119.7553075759524</v>
      </c>
      <c r="BF8" s="397">
        <f>+Power!BF8+'PSE&amp;G'!BF10+Parent!BF8</f>
        <v>2327.6426441160875</v>
      </c>
      <c r="BG8" s="297">
        <f>SUM(BC8:BF8)</f>
        <v>9338.351815095848</v>
      </c>
      <c r="BH8" s="396">
        <f>+Power!BH8+'PSE&amp;G'!BH10+Parent!BH8</f>
        <v>2840.0720118165714</v>
      </c>
      <c r="BI8" s="343">
        <f>+Power!BI8+'PSE&amp;G'!BI10+Parent!BI8</f>
        <v>2159.9069949980194</v>
      </c>
      <c r="BJ8" s="343">
        <f>+Power!BJ8+'PSE&amp;G'!BJ10+Parent!BJ8</f>
        <v>2193.9078440510311</v>
      </c>
      <c r="BK8" s="397">
        <f>+Power!BK8+'PSE&amp;G'!BK10+Parent!BK8</f>
        <v>2431.7709153530786</v>
      </c>
      <c r="BL8" s="297">
        <f>SUM(BH8:BK8)</f>
        <v>9625.657766218701</v>
      </c>
      <c r="BM8" s="396">
        <f>+Power!BM8+'PSE&amp;G'!BM10+Parent!BM8</f>
        <v>2883.8062269670377</v>
      </c>
      <c r="BN8" s="343">
        <f>+Power!BN8+'PSE&amp;G'!BN10+Parent!BN8</f>
        <v>2303.0262016556621</v>
      </c>
      <c r="BO8" s="343">
        <f>+Power!BO8+'PSE&amp;G'!BO10+Parent!BO8</f>
        <v>2301.9603321418117</v>
      </c>
      <c r="BP8" s="397">
        <f>+Power!BP8+'PSE&amp;G'!BP10+Parent!BP8</f>
        <v>2518.0992894342667</v>
      </c>
      <c r="BQ8" s="297">
        <f>SUM(BM8:BP8)</f>
        <v>10006.892050198778</v>
      </c>
      <c r="BR8" s="25"/>
      <c r="CL8"/>
      <c r="CM8"/>
      <c r="CN8"/>
      <c r="CO8"/>
      <c r="CP8"/>
      <c r="CQ8"/>
    </row>
    <row r="9" spans="1:95" s="2" customFormat="1">
      <c r="A9" s="1523"/>
      <c r="E9" s="509"/>
      <c r="F9" s="480"/>
      <c r="G9" s="480"/>
      <c r="H9" s="481"/>
      <c r="I9" s="463"/>
      <c r="J9" s="509"/>
      <c r="K9" s="480"/>
      <c r="L9" s="480"/>
      <c r="M9" s="481"/>
      <c r="N9" s="463"/>
      <c r="O9" s="509"/>
      <c r="P9" s="480"/>
      <c r="Q9" s="480"/>
      <c r="R9" s="481"/>
      <c r="S9" s="463"/>
      <c r="T9" s="509"/>
      <c r="U9" s="480"/>
      <c r="V9" s="348"/>
      <c r="W9" s="481"/>
      <c r="X9" s="77"/>
      <c r="Y9" s="394"/>
      <c r="Z9" s="342"/>
      <c r="AA9" s="342"/>
      <c r="AB9" s="395"/>
      <c r="AC9" s="77"/>
      <c r="AD9" s="394"/>
      <c r="AE9" s="342"/>
      <c r="AF9" s="342"/>
      <c r="AG9" s="395"/>
      <c r="AH9" s="77"/>
      <c r="AI9" s="394"/>
      <c r="AJ9" s="342"/>
      <c r="AK9" s="342"/>
      <c r="AL9" s="395"/>
      <c r="AM9" s="77"/>
      <c r="AN9" s="394"/>
      <c r="AO9" s="342"/>
      <c r="AP9" s="342"/>
      <c r="AQ9" s="395"/>
      <c r="AR9" s="77"/>
      <c r="AS9" s="394"/>
      <c r="AT9" s="342"/>
      <c r="AU9" s="342"/>
      <c r="AV9" s="395"/>
      <c r="AW9" s="77"/>
      <c r="AX9" s="509"/>
      <c r="AY9" s="480"/>
      <c r="AZ9" s="480"/>
      <c r="BA9" s="481"/>
      <c r="BB9" s="463"/>
      <c r="BC9" s="509"/>
      <c r="BD9" s="480"/>
      <c r="BE9" s="480"/>
      <c r="BF9" s="481"/>
      <c r="BG9" s="463"/>
      <c r="BH9" s="509"/>
      <c r="BI9" s="480"/>
      <c r="BJ9" s="480"/>
      <c r="BK9" s="481"/>
      <c r="BL9" s="463"/>
      <c r="BM9" s="509"/>
      <c r="BN9" s="480"/>
      <c r="BO9" s="480"/>
      <c r="BP9" s="481"/>
      <c r="BQ9" s="463"/>
      <c r="BR9" s="3"/>
      <c r="CL9"/>
      <c r="CM9"/>
      <c r="CN9"/>
      <c r="CO9"/>
      <c r="CP9"/>
      <c r="CQ9"/>
    </row>
    <row r="10" spans="1:95" s="2" customFormat="1">
      <c r="A10" s="1523"/>
      <c r="C10" s="2" t="s">
        <v>116</v>
      </c>
      <c r="E10" s="459">
        <v>537</v>
      </c>
      <c r="F10" s="460">
        <v>440</v>
      </c>
      <c r="G10" s="460">
        <v>642</v>
      </c>
      <c r="H10" s="405">
        <f>I10-SUM(E10:G10)</f>
        <v>581</v>
      </c>
      <c r="I10" s="462">
        <v>2200</v>
      </c>
      <c r="J10" s="459">
        <v>437</v>
      </c>
      <c r="K10" s="460">
        <v>460</v>
      </c>
      <c r="L10" s="460">
        <v>641</v>
      </c>
      <c r="M10" s="405">
        <f>N10-SUM(J10:L10)</f>
        <v>349</v>
      </c>
      <c r="N10" s="590">
        <v>1887</v>
      </c>
      <c r="O10" s="459">
        <v>428</v>
      </c>
      <c r="P10" s="460">
        <v>407</v>
      </c>
      <c r="Q10" s="460">
        <v>570</v>
      </c>
      <c r="R10" s="405">
        <f>S10-SUM(O10:Q10)</f>
        <v>296</v>
      </c>
      <c r="S10" s="590">
        <v>1701</v>
      </c>
      <c r="T10" s="459">
        <f>1179-T11</f>
        <v>357</v>
      </c>
      <c r="U10" s="460">
        <f>761-U11</f>
        <v>314</v>
      </c>
      <c r="V10" s="460">
        <f>879-V11</f>
        <v>423</v>
      </c>
      <c r="W10" s="405">
        <f>X10-SUM(T10:V10)</f>
        <v>242</v>
      </c>
      <c r="X10" s="462">
        <f>3719-X11</f>
        <v>1336</v>
      </c>
      <c r="Y10" s="459">
        <f>1155-Y11</f>
        <v>295</v>
      </c>
      <c r="Z10" s="460">
        <f>755-Z11</f>
        <v>259</v>
      </c>
      <c r="AA10" s="460">
        <f>801-AA11</f>
        <v>371</v>
      </c>
      <c r="AB10" s="395">
        <f>AC10-SUM(Y10:AA10)</f>
        <v>115</v>
      </c>
      <c r="AC10" s="462">
        <f>3536-AC11</f>
        <v>1040</v>
      </c>
      <c r="AD10" s="459">
        <f>1356-AD11</f>
        <v>312</v>
      </c>
      <c r="AE10" s="460">
        <f>789-AE11</f>
        <v>269</v>
      </c>
      <c r="AF10" s="460">
        <f>863-AF11</f>
        <v>391</v>
      </c>
      <c r="AG10" s="395">
        <f>AH10-SUM(AD10:AF10)</f>
        <v>167</v>
      </c>
      <c r="AH10" s="462">
        <f>3886-AH11</f>
        <v>1139</v>
      </c>
      <c r="AI10" s="459">
        <f>1094-AI11</f>
        <v>201</v>
      </c>
      <c r="AJ10" s="460">
        <f>668-AJ11</f>
        <v>259</v>
      </c>
      <c r="AK10" s="460">
        <f>815-AK11</f>
        <v>448</v>
      </c>
      <c r="AL10" s="395">
        <f>AM10-SUM(AI10:AK10)</f>
        <v>203</v>
      </c>
      <c r="AM10" s="462">
        <f>3261-AM11</f>
        <v>1111</v>
      </c>
      <c r="AN10" s="459">
        <f>836-AN11</f>
        <v>198</v>
      </c>
      <c r="AO10" s="460">
        <f>624-AO11</f>
        <v>243</v>
      </c>
      <c r="AP10" s="460">
        <f>866-AP11</f>
        <v>404</v>
      </c>
      <c r="AQ10" s="395">
        <f>AR10-SUM(AN10:AP10)</f>
        <v>170</v>
      </c>
      <c r="AR10" s="462">
        <f>3001-AR11</f>
        <v>1015</v>
      </c>
      <c r="AS10" s="459">
        <f>874-AS11</f>
        <v>167</v>
      </c>
      <c r="AT10" s="460">
        <f>588-AT11</f>
        <v>191</v>
      </c>
      <c r="AU10" s="460">
        <f>638-AU11</f>
        <v>281</v>
      </c>
      <c r="AV10" s="395">
        <f>AW10-SUM(AS10:AU10)</f>
        <v>178</v>
      </c>
      <c r="AW10" s="462">
        <f>2800-AW11</f>
        <v>817</v>
      </c>
      <c r="AX10" s="509">
        <f>+'PSE&amp;G'!AX12+'PSE&amp;G'!AX13+Parent!AX9</f>
        <v>759.40076400926409</v>
      </c>
      <c r="AY10" s="480">
        <f>+'PSE&amp;G'!AY12+'PSE&amp;G'!AY13+Parent!AY9</f>
        <v>470.32092538385791</v>
      </c>
      <c r="AZ10" s="480">
        <f>+'PSE&amp;G'!AZ12+'PSE&amp;G'!AZ13+Parent!AZ9</f>
        <v>541.99389039249149</v>
      </c>
      <c r="BA10" s="481">
        <f>+'PSE&amp;G'!BA12+'PSE&amp;G'!BA13+Parent!BA9</f>
        <v>605.97184199999992</v>
      </c>
      <c r="BB10" s="451">
        <f>SUM(AX10:BA10)</f>
        <v>2377.6874217856134</v>
      </c>
      <c r="BC10" s="509">
        <f>+'PSE&amp;G'!BC12+'PSE&amp;G'!BC13+Parent!BC9</f>
        <v>762.92494690926401</v>
      </c>
      <c r="BD10" s="480">
        <f>+'PSE&amp;G'!BD12+'PSE&amp;G'!BD13+Parent!BD9</f>
        <v>471.0011300838579</v>
      </c>
      <c r="BE10" s="480">
        <f>+'PSE&amp;G'!BE12+'PSE&amp;G'!BE13+Parent!BE9</f>
        <v>471.0011300838579</v>
      </c>
      <c r="BF10" s="481">
        <f>+'PSE&amp;G'!BF12+'PSE&amp;G'!BF13+Parent!BF9</f>
        <v>606.91424269999993</v>
      </c>
      <c r="BG10" s="451">
        <f>SUM(BC10:BF10)</f>
        <v>2311.84144977698</v>
      </c>
      <c r="BH10" s="509">
        <f>+'PSE&amp;G'!BH12+'PSE&amp;G'!BH13+Parent!BH9</f>
        <v>766.48437163826407</v>
      </c>
      <c r="BI10" s="480">
        <f>+'PSE&amp;G'!BI12+'PSE&amp;G'!BI13+Parent!BI9</f>
        <v>471.6881368308579</v>
      </c>
      <c r="BJ10" s="480">
        <f>+'PSE&amp;G'!BJ12+'PSE&amp;G'!BJ13+Parent!BJ9</f>
        <v>471.6881368308579</v>
      </c>
      <c r="BK10" s="481">
        <f>+'PSE&amp;G'!BK12+'PSE&amp;G'!BK13+Parent!BK9</f>
        <v>607.86606740699995</v>
      </c>
      <c r="BL10" s="451">
        <f>SUM(BH10:BK10)</f>
        <v>2317.7267127069799</v>
      </c>
      <c r="BM10" s="509">
        <f>+'PSE&amp;G'!BM12+'PSE&amp;G'!BM13+Parent!BM9</f>
        <v>770.07939061455409</v>
      </c>
      <c r="BN10" s="480">
        <f>+'PSE&amp;G'!BN12+'PSE&amp;G'!BN13+Parent!BN9</f>
        <v>472.3820136453279</v>
      </c>
      <c r="BO10" s="480">
        <f>+'PSE&amp;G'!BO12+'PSE&amp;G'!BO13+Parent!BO9</f>
        <v>472.3820136453279</v>
      </c>
      <c r="BP10" s="481">
        <f>+'PSE&amp;G'!BP12+'PSE&amp;G'!BP13+Parent!BP9</f>
        <v>608.82741036106995</v>
      </c>
      <c r="BQ10" s="451">
        <f>SUM(BM10:BP10)</f>
        <v>2323.6708282662794</v>
      </c>
      <c r="BR10" s="3"/>
      <c r="CL10"/>
      <c r="CM10"/>
      <c r="CN10"/>
      <c r="CO10"/>
      <c r="CP10"/>
      <c r="CQ10"/>
    </row>
    <row r="11" spans="1:95" s="2" customFormat="1">
      <c r="A11" s="1523"/>
      <c r="C11" s="2" t="s">
        <v>70</v>
      </c>
      <c r="E11" s="459">
        <v>1531</v>
      </c>
      <c r="F11" s="460">
        <v>627</v>
      </c>
      <c r="G11" s="460">
        <v>599</v>
      </c>
      <c r="H11" s="405">
        <f>I11-SUM(E11:G11)</f>
        <v>754</v>
      </c>
      <c r="I11" s="462">
        <v>3511</v>
      </c>
      <c r="J11" s="459">
        <v>1331</v>
      </c>
      <c r="K11" s="460">
        <v>687</v>
      </c>
      <c r="L11" s="460">
        <v>714</v>
      </c>
      <c r="M11" s="405">
        <f>N11-SUM(J11:L11)</f>
        <v>642</v>
      </c>
      <c r="N11" s="590">
        <v>3374</v>
      </c>
      <c r="O11" s="459">
        <v>1135</v>
      </c>
      <c r="P11" s="460">
        <v>603</v>
      </c>
      <c r="Q11" s="460">
        <v>597</v>
      </c>
      <c r="R11" s="405">
        <f>S11-SUM(O11:Q11)</f>
        <v>711</v>
      </c>
      <c r="S11" s="590">
        <v>3046</v>
      </c>
      <c r="T11" s="459">
        <v>822</v>
      </c>
      <c r="U11" s="460">
        <v>447</v>
      </c>
      <c r="V11" s="460">
        <v>456</v>
      </c>
      <c r="W11" s="405">
        <f>X11-SUM(T11:V11)</f>
        <v>658</v>
      </c>
      <c r="X11" s="462">
        <v>2383</v>
      </c>
      <c r="Y11" s="459">
        <v>860</v>
      </c>
      <c r="Z11" s="460">
        <v>496</v>
      </c>
      <c r="AA11" s="460">
        <v>430</v>
      </c>
      <c r="AB11" s="395">
        <f>AC11-SUM(Y11:AA11)</f>
        <v>710</v>
      </c>
      <c r="AC11" s="462">
        <v>2496</v>
      </c>
      <c r="AD11" s="459">
        <v>1044</v>
      </c>
      <c r="AE11" s="460">
        <v>520</v>
      </c>
      <c r="AF11" s="460">
        <v>472</v>
      </c>
      <c r="AG11" s="395">
        <f>AH11-SUM(AD11:AF11)</f>
        <v>711</v>
      </c>
      <c r="AH11" s="462">
        <v>2747</v>
      </c>
      <c r="AI11" s="459">
        <v>893</v>
      </c>
      <c r="AJ11" s="460">
        <v>409</v>
      </c>
      <c r="AK11" s="460">
        <v>367</v>
      </c>
      <c r="AL11" s="395">
        <f>AM11-SUM(AI11:AK11)</f>
        <v>481</v>
      </c>
      <c r="AM11" s="462">
        <v>2150</v>
      </c>
      <c r="AN11" s="459">
        <v>638</v>
      </c>
      <c r="AO11" s="460">
        <v>381</v>
      </c>
      <c r="AP11" s="460">
        <v>462</v>
      </c>
      <c r="AQ11" s="395">
        <f>AR11-SUM(AN11:AP11)</f>
        <v>505</v>
      </c>
      <c r="AR11" s="462">
        <v>1986</v>
      </c>
      <c r="AS11" s="459">
        <v>707</v>
      </c>
      <c r="AT11" s="460">
        <v>397</v>
      </c>
      <c r="AU11" s="460">
        <v>357</v>
      </c>
      <c r="AV11" s="395">
        <f>AW11-SUM(AS11:AU11)</f>
        <v>522</v>
      </c>
      <c r="AW11" s="462">
        <v>1983</v>
      </c>
      <c r="AX11" s="509">
        <f>Power!AX9</f>
        <v>235.83296048878674</v>
      </c>
      <c r="AY11" s="480">
        <f>Power!AY9</f>
        <v>199.8890297354875</v>
      </c>
      <c r="AZ11" s="480">
        <f>Power!AZ9</f>
        <v>221.18916184137501</v>
      </c>
      <c r="BA11" s="481">
        <f>Power!BA9</f>
        <v>228.07520846112499</v>
      </c>
      <c r="BB11" s="451">
        <f>SUM(AX11:BA11)</f>
        <v>884.98636052677421</v>
      </c>
      <c r="BC11" s="509">
        <f>Power!BC9</f>
        <v>273.21993629150074</v>
      </c>
      <c r="BD11" s="480">
        <f>Power!BD9</f>
        <v>181.08975568887917</v>
      </c>
      <c r="BE11" s="480">
        <f>Power!BE9</f>
        <v>185.97598808067181</v>
      </c>
      <c r="BF11" s="481">
        <f>Power!BF9</f>
        <v>264.45264986279625</v>
      </c>
      <c r="BG11" s="451">
        <f>SUM(BC11:BF11)</f>
        <v>904.73832992384791</v>
      </c>
      <c r="BH11" s="509">
        <f>Power!BH9</f>
        <v>298.75565200079365</v>
      </c>
      <c r="BI11" s="480">
        <f>Power!BI9</f>
        <v>189.03601094147459</v>
      </c>
      <c r="BJ11" s="480">
        <f>Power!BJ9</f>
        <v>186.68153266047517</v>
      </c>
      <c r="BK11" s="481">
        <f>Power!BK9</f>
        <v>265.05886255316761</v>
      </c>
      <c r="BL11" s="451">
        <f>SUM(BH11:BK11)</f>
        <v>939.53205815591093</v>
      </c>
      <c r="BM11" s="509">
        <f>Power!BM9</f>
        <v>272.86555576270001</v>
      </c>
      <c r="BN11" s="480">
        <f>Power!BN9</f>
        <v>211.67190264913253</v>
      </c>
      <c r="BO11" s="480">
        <f>Power!BO9</f>
        <v>207.89315763914558</v>
      </c>
      <c r="BP11" s="481">
        <f>Power!BP9</f>
        <v>226.93844644956113</v>
      </c>
      <c r="BQ11" s="451">
        <f>SUM(BM11:BP11)</f>
        <v>919.36906250053926</v>
      </c>
      <c r="BR11" s="4"/>
      <c r="CL11"/>
      <c r="CM11"/>
      <c r="CN11"/>
      <c r="CO11"/>
      <c r="CP11"/>
      <c r="CQ11"/>
    </row>
    <row r="12" spans="1:95" s="49" customFormat="1">
      <c r="C12" s="49" t="s">
        <v>72</v>
      </c>
      <c r="E12" s="390">
        <f>SUM(E10:E11)</f>
        <v>2068</v>
      </c>
      <c r="F12" s="340">
        <f>SUM(F10:F11)</f>
        <v>1067</v>
      </c>
      <c r="G12" s="340">
        <f>SUM(G10:G11)</f>
        <v>1241</v>
      </c>
      <c r="H12" s="391">
        <f>SUM(H10:H11)</f>
        <v>1335</v>
      </c>
      <c r="I12" s="464">
        <f>I8-SUM(I10:I11)</f>
        <v>6695</v>
      </c>
      <c r="J12" s="390">
        <f>SUM(J10:J11)</f>
        <v>1768</v>
      </c>
      <c r="K12" s="340">
        <f>SUM(K10:K11)</f>
        <v>1147</v>
      </c>
      <c r="L12" s="340">
        <f>SUM(L10:L11)</f>
        <v>1355</v>
      </c>
      <c r="M12" s="391">
        <f>SUM(M10:M11)</f>
        <v>991</v>
      </c>
      <c r="N12" s="464">
        <f>N8-SUM(N10:N11)</f>
        <v>6532</v>
      </c>
      <c r="O12" s="390">
        <f>SUM(O10:O11)</f>
        <v>1563</v>
      </c>
      <c r="P12" s="340">
        <f>SUM(P10:P11)</f>
        <v>1010</v>
      </c>
      <c r="Q12" s="340">
        <f>SUM(Q10:Q11)</f>
        <v>1167</v>
      </c>
      <c r="R12" s="391">
        <f>SUM(R10:R11)</f>
        <v>1007</v>
      </c>
      <c r="S12" s="464">
        <f>S8-SUM(S10:S11)</f>
        <v>6332</v>
      </c>
      <c r="T12" s="390">
        <f>SUM(T10:T11)</f>
        <v>1179</v>
      </c>
      <c r="U12" s="340">
        <f>U8-SUM(U10:U11)</f>
        <v>1337</v>
      </c>
      <c r="V12" s="340">
        <f>V8-SUM(V10:V11)</f>
        <v>1523</v>
      </c>
      <c r="W12" s="391">
        <f>SUM(W10:W11)</f>
        <v>900</v>
      </c>
      <c r="X12" s="297">
        <f>X8-SUM(X10:X11)</f>
        <v>6062</v>
      </c>
      <c r="Y12" s="396">
        <f>SUM(Y10:Y11)</f>
        <v>1155</v>
      </c>
      <c r="Z12" s="343">
        <f>Z8-SUM(Z10:Z11)</f>
        <v>1555</v>
      </c>
      <c r="AA12" s="343">
        <f>AA8-SUM(AA10:AA11)</f>
        <v>1753</v>
      </c>
      <c r="AB12" s="397">
        <f>SUM(AB10:AB11)</f>
        <v>825</v>
      </c>
      <c r="AC12" s="297">
        <f>AC8-SUM(AC10:AC11)</f>
        <v>6432</v>
      </c>
      <c r="AD12" s="396">
        <f>SUM(AD10:AD11)</f>
        <v>1356</v>
      </c>
      <c r="AE12" s="343">
        <f>AE8-SUM(AE10:AE11)</f>
        <v>1460</v>
      </c>
      <c r="AF12" s="343">
        <f>AF8-SUM(AF10:AF11)</f>
        <v>1778</v>
      </c>
      <c r="AG12" s="397">
        <f>SUM(AG10:AG11)</f>
        <v>878</v>
      </c>
      <c r="AH12" s="297">
        <f>AH8-SUM(AH10:AH11)</f>
        <v>7000</v>
      </c>
      <c r="AI12" s="396">
        <f>SUM(AI10:AI11)</f>
        <v>1094</v>
      </c>
      <c r="AJ12" s="343">
        <f>AJ8-SUM(AJ10:AJ11)</f>
        <v>1646</v>
      </c>
      <c r="AK12" s="343">
        <f>AK8-SUM(AK10:AK11)</f>
        <v>1873</v>
      </c>
      <c r="AL12" s="397">
        <f>SUM(AL10:AL11)</f>
        <v>684</v>
      </c>
      <c r="AM12" s="297">
        <f t="shared" ref="AM12:BQ12" si="0">AM8-SUM(AM10:AM11)</f>
        <v>7154</v>
      </c>
      <c r="AN12" s="396">
        <f t="shared" si="0"/>
        <v>1780</v>
      </c>
      <c r="AO12" s="343">
        <f t="shared" si="0"/>
        <v>1281</v>
      </c>
      <c r="AP12" s="343">
        <f t="shared" si="0"/>
        <v>1584</v>
      </c>
      <c r="AQ12" s="397">
        <f t="shared" si="0"/>
        <v>1415</v>
      </c>
      <c r="AR12" s="297">
        <f t="shared" si="0"/>
        <v>6060</v>
      </c>
      <c r="AS12" s="396">
        <f t="shared" si="0"/>
        <v>1718</v>
      </c>
      <c r="AT12" s="343">
        <f t="shared" si="0"/>
        <v>1545</v>
      </c>
      <c r="AU12" s="343">
        <f>AU8-SUM(AU10:AU11)</f>
        <v>1625</v>
      </c>
      <c r="AV12" s="397">
        <f>AV8-SUM(AV10:AV11)</f>
        <v>1396</v>
      </c>
      <c r="AW12" s="297">
        <f>AW8-SUM(AW10:AW11)</f>
        <v>6284</v>
      </c>
      <c r="AX12" s="390">
        <f t="shared" si="0"/>
        <v>1588.8404610239268</v>
      </c>
      <c r="AY12" s="340">
        <f t="shared" si="0"/>
        <v>1344.8534209247109</v>
      </c>
      <c r="AZ12" s="340">
        <f>AZ8-SUM(AZ10:AZ11)</f>
        <v>1546.8979876277795</v>
      </c>
      <c r="BA12" s="391">
        <f t="shared" si="0"/>
        <v>1446.3455036584714</v>
      </c>
      <c r="BB12" s="464">
        <f t="shared" si="0"/>
        <v>5926.9373732348886</v>
      </c>
      <c r="BC12" s="390">
        <f t="shared" si="0"/>
        <v>1708.7439710942879</v>
      </c>
      <c r="BD12" s="340">
        <f t="shared" si="0"/>
        <v>1493.9741233360194</v>
      </c>
      <c r="BE12" s="340">
        <f t="shared" si="0"/>
        <v>1462.7781894114228</v>
      </c>
      <c r="BF12" s="391">
        <f t="shared" si="0"/>
        <v>1456.2757515532912</v>
      </c>
      <c r="BG12" s="464">
        <f t="shared" si="0"/>
        <v>6121.7720353950199</v>
      </c>
      <c r="BH12" s="390">
        <f t="shared" si="0"/>
        <v>1774.8319881775137</v>
      </c>
      <c r="BI12" s="340">
        <f t="shared" si="0"/>
        <v>1499.1828472256871</v>
      </c>
      <c r="BJ12" s="340">
        <f t="shared" si="0"/>
        <v>1535.5381745596981</v>
      </c>
      <c r="BK12" s="391">
        <f t="shared" si="0"/>
        <v>1558.8459853929112</v>
      </c>
      <c r="BL12" s="464">
        <f t="shared" si="0"/>
        <v>6368.3989953558103</v>
      </c>
      <c r="BM12" s="390">
        <f t="shared" si="0"/>
        <v>1840.8612805897835</v>
      </c>
      <c r="BN12" s="340">
        <f t="shared" si="0"/>
        <v>1618.9722853612016</v>
      </c>
      <c r="BO12" s="340">
        <f t="shared" si="0"/>
        <v>1621.6851608573384</v>
      </c>
      <c r="BP12" s="391">
        <f t="shared" si="0"/>
        <v>1682.3334326236356</v>
      </c>
      <c r="BQ12" s="464">
        <f t="shared" si="0"/>
        <v>6763.8521594319591</v>
      </c>
      <c r="BR12" s="25"/>
      <c r="CL12"/>
      <c r="CM12"/>
      <c r="CN12"/>
      <c r="CO12"/>
      <c r="CP12"/>
      <c r="CQ12"/>
    </row>
    <row r="13" spans="1:95" s="2" customFormat="1">
      <c r="A13" s="1523"/>
      <c r="E13" s="509"/>
      <c r="F13" s="480"/>
      <c r="G13" s="480"/>
      <c r="H13" s="481"/>
      <c r="I13" s="463"/>
      <c r="J13" s="509"/>
      <c r="K13" s="480"/>
      <c r="L13" s="480"/>
      <c r="M13" s="481"/>
      <c r="N13" s="463"/>
      <c r="O13" s="509"/>
      <c r="P13" s="480"/>
      <c r="Q13" s="480"/>
      <c r="R13" s="481"/>
      <c r="S13" s="463"/>
      <c r="T13" s="509"/>
      <c r="U13" s="1022"/>
      <c r="V13" s="348"/>
      <c r="W13" s="481"/>
      <c r="X13" s="77"/>
      <c r="Y13" s="394"/>
      <c r="Z13" s="352"/>
      <c r="AA13" s="342"/>
      <c r="AB13" s="395"/>
      <c r="AC13" s="77"/>
      <c r="AD13" s="394"/>
      <c r="AE13" s="352"/>
      <c r="AF13" s="342"/>
      <c r="AG13" s="395"/>
      <c r="AH13" s="77"/>
      <c r="AI13" s="394"/>
      <c r="AJ13" s="352"/>
      <c r="AK13" s="342"/>
      <c r="AL13" s="395"/>
      <c r="AM13" s="77"/>
      <c r="AN13" s="394"/>
      <c r="AO13" s="352"/>
      <c r="AP13" s="352"/>
      <c r="AQ13" s="395"/>
      <c r="AR13" s="77"/>
      <c r="AS13" s="394"/>
      <c r="AT13" s="352"/>
      <c r="AU13" s="352"/>
      <c r="AV13" s="395"/>
      <c r="AW13" s="77"/>
      <c r="AX13" s="509"/>
      <c r="AY13" s="480"/>
      <c r="AZ13" s="480"/>
      <c r="BA13" s="481"/>
      <c r="BB13" s="463"/>
      <c r="BC13" s="509"/>
      <c r="BD13" s="480"/>
      <c r="BE13" s="480"/>
      <c r="BF13" s="481"/>
      <c r="BG13" s="463"/>
      <c r="BH13" s="509"/>
      <c r="BI13" s="480"/>
      <c r="BJ13" s="480"/>
      <c r="BK13" s="481"/>
      <c r="BL13" s="463"/>
      <c r="BM13" s="509"/>
      <c r="BN13" s="480"/>
      <c r="BO13" s="480"/>
      <c r="BP13" s="481"/>
      <c r="BQ13" s="463"/>
      <c r="BR13" s="3"/>
      <c r="CL13"/>
      <c r="CM13"/>
      <c r="CN13"/>
      <c r="CO13"/>
      <c r="CP13"/>
      <c r="CQ13"/>
    </row>
    <row r="14" spans="1:95" s="2" customFormat="1">
      <c r="A14" s="1523"/>
      <c r="C14" s="2" t="s">
        <v>73</v>
      </c>
      <c r="E14" s="459">
        <v>675</v>
      </c>
      <c r="F14" s="460">
        <v>628</v>
      </c>
      <c r="G14" s="460">
        <v>622</v>
      </c>
      <c r="H14" s="481">
        <f>I14-SUM(E14:G14)</f>
        <v>678</v>
      </c>
      <c r="I14" s="462">
        <v>2603</v>
      </c>
      <c r="J14" s="459">
        <v>704</v>
      </c>
      <c r="K14" s="460">
        <v>610</v>
      </c>
      <c r="L14" s="460">
        <v>601</v>
      </c>
      <c r="M14" s="481">
        <f>N14-SUM(J14:L14)</f>
        <v>589</v>
      </c>
      <c r="N14" s="590">
        <v>2504</v>
      </c>
      <c r="O14" s="459">
        <v>651</v>
      </c>
      <c r="P14" s="460">
        <v>575</v>
      </c>
      <c r="Q14" s="460">
        <v>603</v>
      </c>
      <c r="R14" s="481">
        <f>S14-SUM(O14:Q14)</f>
        <v>652</v>
      </c>
      <c r="S14" s="590">
        <v>2481</v>
      </c>
      <c r="T14" s="459">
        <v>628</v>
      </c>
      <c r="U14" s="460">
        <v>629</v>
      </c>
      <c r="V14" s="460">
        <v>619</v>
      </c>
      <c r="W14" s="481">
        <f>X14-SUM(T14:V14)</f>
        <v>756</v>
      </c>
      <c r="X14" s="462">
        <v>2632</v>
      </c>
      <c r="Y14" s="459">
        <v>710</v>
      </c>
      <c r="Z14" s="460">
        <v>646</v>
      </c>
      <c r="AA14" s="460">
        <v>713</v>
      </c>
      <c r="AB14" s="395">
        <f>AC14-SUM(Y14:AA14)</f>
        <v>818</v>
      </c>
      <c r="AC14" s="462">
        <v>2887</v>
      </c>
      <c r="AD14" s="459">
        <v>856</v>
      </c>
      <c r="AE14" s="460">
        <v>800</v>
      </c>
      <c r="AF14" s="460">
        <v>714</v>
      </c>
      <c r="AG14" s="395">
        <f>AH14-SUM(AD14:AF14)</f>
        <v>780</v>
      </c>
      <c r="AH14" s="462">
        <v>3150</v>
      </c>
      <c r="AI14" s="459">
        <v>663</v>
      </c>
      <c r="AJ14" s="460">
        <v>761</v>
      </c>
      <c r="AK14" s="460">
        <v>746</v>
      </c>
      <c r="AL14" s="395">
        <f>AM14-SUM(AI14:AK14)</f>
        <v>808</v>
      </c>
      <c r="AM14" s="462">
        <v>2978</v>
      </c>
      <c r="AN14" s="459">
        <v>729</v>
      </c>
      <c r="AO14" s="460">
        <v>710</v>
      </c>
      <c r="AP14" s="460">
        <v>776</v>
      </c>
      <c r="AQ14" s="395">
        <f>AR14-SUM(AN14:AP14)</f>
        <v>793</v>
      </c>
      <c r="AR14" s="462">
        <v>3008</v>
      </c>
      <c r="AS14" s="459">
        <v>712</v>
      </c>
      <c r="AT14" s="460">
        <v>708</v>
      </c>
      <c r="AU14" s="460">
        <v>680</v>
      </c>
      <c r="AV14" s="395">
        <f>AW14-SUM(AS14:AU14)</f>
        <v>769</v>
      </c>
      <c r="AW14" s="462">
        <v>2869</v>
      </c>
      <c r="AX14" s="509">
        <f>+Power!AX12+'PSE&amp;G'!AX18+Parent!AX12</f>
        <v>591.28689999999995</v>
      </c>
      <c r="AY14" s="480">
        <f>+Power!AY12+'PSE&amp;G'!AY18+Parent!AY12</f>
        <v>597.76481999999999</v>
      </c>
      <c r="AZ14" s="480">
        <f>+Power!AZ12+'PSE&amp;G'!AZ18+Parent!AZ12</f>
        <v>587.87849999999992</v>
      </c>
      <c r="BA14" s="481">
        <f>+Power!BA12+'PSE&amp;G'!BA18+Parent!BA12</f>
        <v>723.23849999999993</v>
      </c>
      <c r="BB14" s="451">
        <f>SUM(AX14:BA14)</f>
        <v>2500.1687199999997</v>
      </c>
      <c r="BC14" s="509">
        <f>+Power!BC12+'PSE&amp;G'!BC18+Parent!BC12</f>
        <v>599.05160899999987</v>
      </c>
      <c r="BD14" s="480">
        <f>+Power!BD12+'PSE&amp;G'!BD18+Parent!BD12</f>
        <v>605.51310819999992</v>
      </c>
      <c r="BE14" s="480">
        <f>+Power!BE12+'PSE&amp;G'!BE18+Parent!BE12</f>
        <v>604.18797499999994</v>
      </c>
      <c r="BF14" s="481">
        <f>+Power!BF12+'PSE&amp;G'!BF18+Parent!BF12</f>
        <v>737.53724999999986</v>
      </c>
      <c r="BG14" s="451">
        <f>SUM(BC14:BF14)</f>
        <v>2546.2899421999996</v>
      </c>
      <c r="BH14" s="509">
        <f>+Power!BH12+'PSE&amp;G'!BH18+Parent!BH12</f>
        <v>609.12080830499985</v>
      </c>
      <c r="BI14" s="480">
        <f>+Power!BI12+'PSE&amp;G'!BI18+Parent!BI12</f>
        <v>615.79395548899993</v>
      </c>
      <c r="BJ14" s="480">
        <f>+Power!BJ12+'PSE&amp;G'!BJ18+Parent!BJ12</f>
        <v>610.81966212499981</v>
      </c>
      <c r="BK14" s="481">
        <f>+Power!BK12+'PSE&amp;G'!BK18+Parent!BK12</f>
        <v>745.03142624999975</v>
      </c>
      <c r="BL14" s="451">
        <f>SUM(BH14:BK14)</f>
        <v>2580.7658521689991</v>
      </c>
      <c r="BM14" s="509">
        <f>+Power!BM12+'PSE&amp;G'!BM18+Parent!BM12</f>
        <v>615.99870948277476</v>
      </c>
      <c r="BN14" s="480">
        <f>+Power!BN12+'PSE&amp;G'!BN18+Parent!BN12</f>
        <v>622.53791386269484</v>
      </c>
      <c r="BO14" s="480">
        <f>+Power!BO12+'PSE&amp;G'!BO18+Parent!BO12</f>
        <v>617.53874903187477</v>
      </c>
      <c r="BP14" s="481">
        <f>+Power!BP12+'PSE&amp;G'!BP18+Parent!BP12</f>
        <v>752.62025086874974</v>
      </c>
      <c r="BQ14" s="451">
        <f>SUM(BM14:BP14)</f>
        <v>2608.6956232460943</v>
      </c>
      <c r="BR14" s="1220">
        <f>(BB14/AM14-1)^1/3</f>
        <v>-5.3484584732482708E-2</v>
      </c>
      <c r="BS14" s="77" t="s">
        <v>1027</v>
      </c>
      <c r="BU14" s="960"/>
      <c r="CL14"/>
      <c r="CM14"/>
      <c r="CN14"/>
      <c r="CO14"/>
      <c r="CP14"/>
      <c r="CQ14"/>
    </row>
    <row r="15" spans="1:95" s="2" customFormat="1">
      <c r="A15" s="1523"/>
      <c r="C15" s="2" t="s">
        <v>76</v>
      </c>
      <c r="E15" s="459">
        <v>207</v>
      </c>
      <c r="F15" s="460">
        <v>203</v>
      </c>
      <c r="G15" s="460">
        <v>224</v>
      </c>
      <c r="H15" s="481">
        <f>I15-SUM(E15:G15)</f>
        <v>204</v>
      </c>
      <c r="I15" s="462">
        <v>838</v>
      </c>
      <c r="J15" s="459">
        <v>232</v>
      </c>
      <c r="K15" s="460">
        <v>233</v>
      </c>
      <c r="L15" s="460">
        <v>265</v>
      </c>
      <c r="M15" s="481">
        <f>N15-SUM(J15:L15)</f>
        <v>225</v>
      </c>
      <c r="N15" s="590">
        <v>955</v>
      </c>
      <c r="O15" s="459">
        <v>241</v>
      </c>
      <c r="P15" s="460">
        <v>235</v>
      </c>
      <c r="Q15" s="460">
        <v>263</v>
      </c>
      <c r="R15" s="481">
        <f>S15-SUM(O15:Q15)</f>
        <v>237</v>
      </c>
      <c r="S15" s="590">
        <v>976</v>
      </c>
      <c r="T15" s="459">
        <v>256</v>
      </c>
      <c r="U15" s="460">
        <v>255</v>
      </c>
      <c r="V15" s="460">
        <v>286</v>
      </c>
      <c r="W15" s="481">
        <f>X15-SUM(T15:V15)</f>
        <v>257</v>
      </c>
      <c r="X15" s="462">
        <v>1054</v>
      </c>
      <c r="Y15" s="459">
        <v>290</v>
      </c>
      <c r="Z15" s="460">
        <v>283</v>
      </c>
      <c r="AA15" s="460">
        <v>313</v>
      </c>
      <c r="AB15" s="395">
        <f>AC15-SUM(Y15:AA15)</f>
        <v>292</v>
      </c>
      <c r="AC15" s="462">
        <v>1178</v>
      </c>
      <c r="AD15" s="459">
        <v>306</v>
      </c>
      <c r="AE15" s="460">
        <v>295</v>
      </c>
      <c r="AF15" s="460">
        <v>318</v>
      </c>
      <c r="AG15" s="395">
        <f>AH15-SUM(AD15:AF15)</f>
        <v>308</v>
      </c>
      <c r="AH15" s="462">
        <v>1227</v>
      </c>
      <c r="AI15" s="459">
        <v>330</v>
      </c>
      <c r="AJ15" s="460">
        <v>317</v>
      </c>
      <c r="AK15" s="460">
        <v>313</v>
      </c>
      <c r="AL15" s="395">
        <f>AM15-SUM(AI15:AK15)</f>
        <v>254</v>
      </c>
      <c r="AM15" s="462">
        <v>1214</v>
      </c>
      <c r="AN15" s="459">
        <v>224</v>
      </c>
      <c r="AO15" s="460">
        <v>224</v>
      </c>
      <c r="AP15" s="460">
        <v>231</v>
      </c>
      <c r="AQ15" s="395">
        <f>AR15-SUM(AN15:AP15)</f>
        <v>797</v>
      </c>
      <c r="AR15" s="462">
        <v>1476</v>
      </c>
      <c r="AS15" s="459">
        <v>828</v>
      </c>
      <c r="AT15" s="460">
        <v>641</v>
      </c>
      <c r="AU15" s="460">
        <v>252</v>
      </c>
      <c r="AV15" s="395">
        <f>AW15-SUM(AS15:AU15)</f>
        <v>265</v>
      </c>
      <c r="AW15" s="462">
        <v>1986</v>
      </c>
      <c r="AX15" s="509">
        <f>+Power!AX13+'PSE&amp;G'!AX19+Parent!AX13</f>
        <v>233.42644824453185</v>
      </c>
      <c r="AY15" s="480">
        <f>+Power!AY13+'PSE&amp;G'!AY19+Parent!AY13</f>
        <v>238.38461056693114</v>
      </c>
      <c r="AZ15" s="480">
        <f>+Power!AZ13+'PSE&amp;G'!AZ19+Parent!AZ13</f>
        <v>243.09929885465692</v>
      </c>
      <c r="BA15" s="481">
        <f>+Power!BA13+'PSE&amp;G'!BA19+Parent!BA13</f>
        <v>243.09929885465692</v>
      </c>
      <c r="BB15" s="451">
        <f>SUM(AX15:BA15)</f>
        <v>958.00965652077684</v>
      </c>
      <c r="BC15" s="509">
        <f>+Power!BC13+'PSE&amp;G'!BC19+Parent!BC13</f>
        <v>246.81891140745864</v>
      </c>
      <c r="BD15" s="480">
        <f>+Power!BD13+'PSE&amp;G'!BD19+Parent!BD13</f>
        <v>250.61889146255876</v>
      </c>
      <c r="BE15" s="480">
        <f>+Power!BE13+'PSE&amp;G'!BE19+Parent!BE13</f>
        <v>254.28759167982847</v>
      </c>
      <c r="BF15" s="481">
        <f>+Power!BF13+'PSE&amp;G'!BF19+Parent!BF13</f>
        <v>257.9307722769355</v>
      </c>
      <c r="BG15" s="451">
        <f>SUM(BC15:BF15)</f>
        <v>1009.6561668267814</v>
      </c>
      <c r="BH15" s="509">
        <f>+Power!BH13+'PSE&amp;G'!BH19+Parent!BH13</f>
        <v>259.60878240905032</v>
      </c>
      <c r="BI15" s="480">
        <f>+Power!BI13+'PSE&amp;G'!BI19+Parent!BI13</f>
        <v>263.11987987505512</v>
      </c>
      <c r="BJ15" s="480">
        <f>+Power!BJ13+'PSE&amp;G'!BJ19+Parent!BJ13</f>
        <v>266.44127435763443</v>
      </c>
      <c r="BK15" s="481">
        <f>+Power!BK13+'PSE&amp;G'!BK19+Parent!BK13</f>
        <v>269.740191658914</v>
      </c>
      <c r="BL15" s="451">
        <f>SUM(BH15:BK15)</f>
        <v>1058.9101283006539</v>
      </c>
      <c r="BM15" s="509">
        <f>+Power!BM13+'PSE&amp;G'!BM19+Parent!BM13</f>
        <v>271.20667378967846</v>
      </c>
      <c r="BN15" s="480">
        <f>+Power!BN13+'PSE&amp;G'!BN19+Parent!BN13</f>
        <v>275.51015160685427</v>
      </c>
      <c r="BO15" s="480">
        <f>+Power!BO13+'PSE&amp;G'!BO19+Parent!BO13</f>
        <v>277.97688663452749</v>
      </c>
      <c r="BP15" s="481">
        <f>+Power!BP13+'PSE&amp;G'!BP19+Parent!BP13</f>
        <v>280.42721381266949</v>
      </c>
      <c r="BQ15" s="451">
        <f>SUM(BM15:BP15)</f>
        <v>1105.1209258437298</v>
      </c>
      <c r="BR15" s="3"/>
      <c r="CL15"/>
      <c r="CM15"/>
      <c r="CN15"/>
      <c r="CO15"/>
      <c r="CP15"/>
      <c r="CQ15"/>
    </row>
    <row r="16" spans="1:95" s="2" customFormat="1">
      <c r="A16" s="1523"/>
      <c r="C16" s="2" t="s">
        <v>74</v>
      </c>
      <c r="E16" s="459">
        <v>44</v>
      </c>
      <c r="F16" s="460">
        <v>26</v>
      </c>
      <c r="G16" s="460">
        <v>30</v>
      </c>
      <c r="H16" s="481">
        <f>I16-SUM(E16:G16)</f>
        <v>33</v>
      </c>
      <c r="I16" s="462">
        <v>133</v>
      </c>
      <c r="J16" s="459">
        <v>42</v>
      </c>
      <c r="K16" s="460">
        <v>28</v>
      </c>
      <c r="L16" s="460">
        <v>31</v>
      </c>
      <c r="M16" s="481">
        <f>N16-SUM(J16:L16)</f>
        <v>35</v>
      </c>
      <c r="N16" s="590">
        <v>136</v>
      </c>
      <c r="O16" s="459">
        <v>43</v>
      </c>
      <c r="P16" s="460">
        <v>28</v>
      </c>
      <c r="Q16" s="460">
        <v>31</v>
      </c>
      <c r="R16" s="481">
        <f>S16-SUM(O16:Q16)</f>
        <v>31</v>
      </c>
      <c r="S16" s="590">
        <v>133</v>
      </c>
      <c r="T16" s="459">
        <v>29</v>
      </c>
      <c r="U16" s="460">
        <v>20</v>
      </c>
      <c r="V16" s="460">
        <v>24</v>
      </c>
      <c r="W16" s="481">
        <f>X16-SUM(T16:V16)</f>
        <v>25</v>
      </c>
      <c r="X16" s="462">
        <v>98</v>
      </c>
      <c r="Y16" s="459">
        <v>21</v>
      </c>
      <c r="Z16" s="460">
        <v>14</v>
      </c>
      <c r="AA16" s="460">
        <v>15</v>
      </c>
      <c r="AB16" s="395">
        <f>AC16-SUM(Y16:AA16)</f>
        <v>18</v>
      </c>
      <c r="AC16" s="462">
        <v>68</v>
      </c>
      <c r="AD16" s="459">
        <v>0</v>
      </c>
      <c r="AE16" s="460">
        <v>0</v>
      </c>
      <c r="AF16" s="460">
        <v>0</v>
      </c>
      <c r="AG16" s="395">
        <f>AH16-SUM(AD16:AF16)</f>
        <v>0</v>
      </c>
      <c r="AH16" s="462">
        <v>0</v>
      </c>
      <c r="AI16" s="459">
        <v>0</v>
      </c>
      <c r="AJ16" s="460">
        <v>0</v>
      </c>
      <c r="AK16" s="460">
        <v>0</v>
      </c>
      <c r="AL16" s="395">
        <f>AM16-SUM(AI16:AK16)</f>
        <v>0</v>
      </c>
      <c r="AM16" s="462">
        <v>0</v>
      </c>
      <c r="AN16" s="459">
        <v>0</v>
      </c>
      <c r="AO16" s="460">
        <v>0</v>
      </c>
      <c r="AP16" s="460">
        <v>0</v>
      </c>
      <c r="AQ16" s="395">
        <f>AR16-SUM(AN16:AP16)</f>
        <v>0</v>
      </c>
      <c r="AR16" s="462">
        <v>0</v>
      </c>
      <c r="AS16" s="459">
        <v>0</v>
      </c>
      <c r="AT16" s="460">
        <v>0</v>
      </c>
      <c r="AU16" s="460">
        <v>0</v>
      </c>
      <c r="AV16" s="395">
        <f>AW16-SUM(AS16:AU16)</f>
        <v>0</v>
      </c>
      <c r="AW16" s="462">
        <v>0</v>
      </c>
      <c r="AX16" s="509">
        <f>+'PSE&amp;G'!AX20</f>
        <v>0</v>
      </c>
      <c r="AY16" s="480">
        <f>+'PSE&amp;G'!AY20</f>
        <v>0</v>
      </c>
      <c r="AZ16" s="480">
        <f>+'PSE&amp;G'!AZ20</f>
        <v>0</v>
      </c>
      <c r="BA16" s="481">
        <f>+'PSE&amp;G'!BA20</f>
        <v>0</v>
      </c>
      <c r="BB16" s="451">
        <f>SUM(AX16:BA16)</f>
        <v>0</v>
      </c>
      <c r="BC16" s="509">
        <f>+'PSE&amp;G'!BC20</f>
        <v>0</v>
      </c>
      <c r="BD16" s="480">
        <f>+'PSE&amp;G'!BD20</f>
        <v>0</v>
      </c>
      <c r="BE16" s="480">
        <f>+'PSE&amp;G'!BE20</f>
        <v>0</v>
      </c>
      <c r="BF16" s="481">
        <f>+'PSE&amp;G'!BF20</f>
        <v>0</v>
      </c>
      <c r="BG16" s="451">
        <f>SUM(BC16:BF16)</f>
        <v>0</v>
      </c>
      <c r="BH16" s="509">
        <f>+'PSE&amp;G'!BH20</f>
        <v>0</v>
      </c>
      <c r="BI16" s="480">
        <f>+'PSE&amp;G'!BI20</f>
        <v>0</v>
      </c>
      <c r="BJ16" s="480">
        <f>+'PSE&amp;G'!BJ20</f>
        <v>0</v>
      </c>
      <c r="BK16" s="481">
        <f>+'PSE&amp;G'!BK20</f>
        <v>0</v>
      </c>
      <c r="BL16" s="451">
        <f>SUM(BH16:BK16)</f>
        <v>0</v>
      </c>
      <c r="BM16" s="509">
        <f>+'PSE&amp;G'!BM20</f>
        <v>0</v>
      </c>
      <c r="BN16" s="480">
        <f>+'PSE&amp;G'!BN20</f>
        <v>0</v>
      </c>
      <c r="BO16" s="480">
        <f>+'PSE&amp;G'!BO20</f>
        <v>0</v>
      </c>
      <c r="BP16" s="481">
        <f>+'PSE&amp;G'!BP20</f>
        <v>0</v>
      </c>
      <c r="BQ16" s="451">
        <f>SUM(BM16:BP16)</f>
        <v>0</v>
      </c>
      <c r="BR16" s="3"/>
      <c r="CL16"/>
      <c r="CM16"/>
      <c r="CN16"/>
      <c r="CO16"/>
      <c r="CP16"/>
      <c r="CQ16"/>
    </row>
    <row r="17" spans="1:95" s="2" customFormat="1">
      <c r="A17" s="1523"/>
      <c r="C17" s="49" t="s">
        <v>128</v>
      </c>
      <c r="E17" s="396">
        <f t="shared" ref="E17:AA17" si="1">SUM(E10:E11,E14:E16)</f>
        <v>2994</v>
      </c>
      <c r="F17" s="343">
        <f t="shared" si="1"/>
        <v>1924</v>
      </c>
      <c r="G17" s="343">
        <f t="shared" si="1"/>
        <v>2117</v>
      </c>
      <c r="H17" s="397">
        <f t="shared" si="1"/>
        <v>2250</v>
      </c>
      <c r="I17" s="297">
        <f t="shared" si="1"/>
        <v>9285</v>
      </c>
      <c r="J17" s="396">
        <f t="shared" si="1"/>
        <v>2746</v>
      </c>
      <c r="K17" s="343">
        <f t="shared" si="1"/>
        <v>2018</v>
      </c>
      <c r="L17" s="343">
        <f t="shared" si="1"/>
        <v>2252</v>
      </c>
      <c r="M17" s="397">
        <f t="shared" si="1"/>
        <v>1840</v>
      </c>
      <c r="N17" s="297">
        <f t="shared" si="1"/>
        <v>8856</v>
      </c>
      <c r="O17" s="396">
        <f t="shared" si="1"/>
        <v>2498</v>
      </c>
      <c r="P17" s="343">
        <f t="shared" si="1"/>
        <v>1848</v>
      </c>
      <c r="Q17" s="343">
        <f t="shared" si="1"/>
        <v>2064</v>
      </c>
      <c r="R17" s="397">
        <f t="shared" si="1"/>
        <v>1927</v>
      </c>
      <c r="S17" s="297">
        <f t="shared" si="1"/>
        <v>8337</v>
      </c>
      <c r="T17" s="396">
        <f t="shared" si="1"/>
        <v>2092</v>
      </c>
      <c r="U17" s="343">
        <f t="shared" si="1"/>
        <v>1665</v>
      </c>
      <c r="V17" s="343">
        <f t="shared" si="1"/>
        <v>1808</v>
      </c>
      <c r="W17" s="397">
        <f t="shared" si="1"/>
        <v>1938</v>
      </c>
      <c r="X17" s="297">
        <f t="shared" si="1"/>
        <v>7503</v>
      </c>
      <c r="Y17" s="396">
        <f t="shared" si="1"/>
        <v>2176</v>
      </c>
      <c r="Z17" s="343">
        <f t="shared" si="1"/>
        <v>1698</v>
      </c>
      <c r="AA17" s="343">
        <f t="shared" si="1"/>
        <v>1842</v>
      </c>
      <c r="AB17" s="397">
        <f t="shared" ref="AB17:AI17" si="2">SUM(AB10:AB11,AB14:AB16)</f>
        <v>1953</v>
      </c>
      <c r="AC17" s="297">
        <f t="shared" si="2"/>
        <v>7669</v>
      </c>
      <c r="AD17" s="396">
        <f t="shared" si="2"/>
        <v>2518</v>
      </c>
      <c r="AE17" s="343">
        <f t="shared" si="2"/>
        <v>1884</v>
      </c>
      <c r="AF17" s="343">
        <f t="shared" si="2"/>
        <v>1895</v>
      </c>
      <c r="AG17" s="397">
        <f t="shared" si="2"/>
        <v>1966</v>
      </c>
      <c r="AH17" s="297">
        <f t="shared" si="2"/>
        <v>8263</v>
      </c>
      <c r="AI17" s="396">
        <f t="shared" si="2"/>
        <v>2087</v>
      </c>
      <c r="AJ17" s="343">
        <f t="shared" ref="AJ17:AP17" si="3">SUM(AJ10:AJ11,AJ14:AJ16)</f>
        <v>1746</v>
      </c>
      <c r="AK17" s="343">
        <f t="shared" si="3"/>
        <v>1874</v>
      </c>
      <c r="AL17" s="397">
        <f t="shared" si="3"/>
        <v>1746</v>
      </c>
      <c r="AM17" s="297">
        <f t="shared" si="3"/>
        <v>7453</v>
      </c>
      <c r="AN17" s="396">
        <f t="shared" si="3"/>
        <v>1789</v>
      </c>
      <c r="AO17" s="343">
        <f>SUM(AO10:AO11,AO14:AO16)</f>
        <v>1558</v>
      </c>
      <c r="AP17" s="343">
        <f t="shared" si="3"/>
        <v>1873</v>
      </c>
      <c r="AQ17" s="397">
        <f t="shared" ref="AQ17:AX17" si="4">SUM(AQ10:AQ11,AQ14:AQ16)</f>
        <v>2265</v>
      </c>
      <c r="AR17" s="297">
        <f t="shared" si="4"/>
        <v>7485</v>
      </c>
      <c r="AS17" s="396">
        <f t="shared" si="4"/>
        <v>2414</v>
      </c>
      <c r="AT17" s="343">
        <f t="shared" si="4"/>
        <v>1937</v>
      </c>
      <c r="AU17" s="343">
        <f t="shared" si="4"/>
        <v>1570</v>
      </c>
      <c r="AV17" s="397">
        <f t="shared" si="4"/>
        <v>1734</v>
      </c>
      <c r="AW17" s="297">
        <f t="shared" si="4"/>
        <v>7655</v>
      </c>
      <c r="AX17" s="396">
        <f t="shared" si="4"/>
        <v>1819.9470727425828</v>
      </c>
      <c r="AY17" s="343">
        <f t="shared" ref="AY17:BQ17" si="5">SUM(AY10:AY11,AY14:AY16)</f>
        <v>1506.3593856862765</v>
      </c>
      <c r="AZ17" s="343">
        <f>SUM(AZ10:AZ11,AZ14:AZ16)</f>
        <v>1594.1608510885235</v>
      </c>
      <c r="BA17" s="397">
        <f t="shared" si="5"/>
        <v>1800.3848493157816</v>
      </c>
      <c r="BB17" s="297">
        <f t="shared" si="5"/>
        <v>6720.8521588331641</v>
      </c>
      <c r="BC17" s="396">
        <f t="shared" si="5"/>
        <v>1882.0154036082233</v>
      </c>
      <c r="BD17" s="343">
        <f t="shared" si="5"/>
        <v>1508.2228854352959</v>
      </c>
      <c r="BE17" s="343">
        <f t="shared" si="5"/>
        <v>1515.4526848443579</v>
      </c>
      <c r="BF17" s="397">
        <f t="shared" si="5"/>
        <v>1866.8349148397315</v>
      </c>
      <c r="BG17" s="297">
        <f t="shared" si="5"/>
        <v>6772.5258887276095</v>
      </c>
      <c r="BH17" s="396">
        <f t="shared" si="5"/>
        <v>1933.9696143531078</v>
      </c>
      <c r="BI17" s="343">
        <f t="shared" si="5"/>
        <v>1539.6379831363874</v>
      </c>
      <c r="BJ17" s="343">
        <f t="shared" si="5"/>
        <v>1535.6306059739672</v>
      </c>
      <c r="BK17" s="397">
        <f t="shared" si="5"/>
        <v>1887.6965478690813</v>
      </c>
      <c r="BL17" s="297">
        <f t="shared" si="5"/>
        <v>6896.9347513325438</v>
      </c>
      <c r="BM17" s="396">
        <f t="shared" si="5"/>
        <v>1930.1503296497074</v>
      </c>
      <c r="BN17" s="343">
        <f t="shared" si="5"/>
        <v>1582.1019817640095</v>
      </c>
      <c r="BO17" s="343">
        <f t="shared" si="5"/>
        <v>1575.7908069508758</v>
      </c>
      <c r="BP17" s="397">
        <f t="shared" si="5"/>
        <v>1868.8133214920504</v>
      </c>
      <c r="BQ17" s="297">
        <f t="shared" si="5"/>
        <v>6956.8564398566432</v>
      </c>
      <c r="BR17" s="3"/>
      <c r="CL17"/>
      <c r="CM17"/>
      <c r="CN17"/>
      <c r="CO17"/>
      <c r="CP17"/>
      <c r="CQ17"/>
    </row>
    <row r="18" spans="1:95" s="2" customFormat="1">
      <c r="A18" s="1523"/>
      <c r="E18" s="509"/>
      <c r="F18" s="480"/>
      <c r="G18" s="480"/>
      <c r="H18" s="481"/>
      <c r="I18" s="463"/>
      <c r="J18" s="509"/>
      <c r="K18" s="480"/>
      <c r="L18" s="480"/>
      <c r="M18" s="481"/>
      <c r="N18" s="463"/>
      <c r="O18" s="509"/>
      <c r="P18" s="480"/>
      <c r="Q18" s="480"/>
      <c r="R18" s="481"/>
      <c r="S18" s="463"/>
      <c r="T18" s="509"/>
      <c r="U18" s="480"/>
      <c r="V18" s="348"/>
      <c r="W18" s="481"/>
      <c r="X18" s="77"/>
      <c r="Y18" s="394"/>
      <c r="Z18" s="342"/>
      <c r="AA18" s="342"/>
      <c r="AB18" s="395"/>
      <c r="AC18" s="77"/>
      <c r="AD18" s="394"/>
      <c r="AE18" s="342"/>
      <c r="AF18" s="342"/>
      <c r="AG18" s="395"/>
      <c r="AH18" s="77"/>
      <c r="AI18" s="394"/>
      <c r="AJ18" s="342"/>
      <c r="AK18" s="342"/>
      <c r="AL18" s="395"/>
      <c r="AM18" s="77"/>
      <c r="AN18" s="394"/>
      <c r="AO18" s="342"/>
      <c r="AP18" s="480"/>
      <c r="AQ18" s="395"/>
      <c r="AR18" s="77"/>
      <c r="AS18" s="394"/>
      <c r="AT18" s="342"/>
      <c r="AU18" s="480"/>
      <c r="AV18" s="395"/>
      <c r="AW18" s="77"/>
      <c r="AX18" s="509"/>
      <c r="AY18" s="480"/>
      <c r="AZ18" s="480"/>
      <c r="BA18" s="481"/>
      <c r="BB18" s="463"/>
      <c r="BC18" s="509"/>
      <c r="BD18" s="480"/>
      <c r="BE18" s="480"/>
      <c r="BF18" s="481"/>
      <c r="BG18" s="463"/>
      <c r="BH18" s="509"/>
      <c r="BI18" s="480"/>
      <c r="BJ18" s="480"/>
      <c r="BK18" s="481"/>
      <c r="BL18" s="463"/>
      <c r="BM18" s="509"/>
      <c r="BN18" s="480"/>
      <c r="BO18" s="480"/>
      <c r="BP18" s="481"/>
      <c r="BQ18" s="463"/>
      <c r="BR18" s="3"/>
      <c r="CL18"/>
      <c r="CM18"/>
      <c r="CN18"/>
      <c r="CO18"/>
      <c r="CP18"/>
      <c r="CQ18"/>
    </row>
    <row r="19" spans="1:95" s="2" customFormat="1">
      <c r="A19" s="1523"/>
      <c r="C19" s="2" t="s">
        <v>93</v>
      </c>
      <c r="E19" s="509">
        <f>Power!E16</f>
        <v>608</v>
      </c>
      <c r="F19" s="480">
        <f>Power!F16</f>
        <v>402</v>
      </c>
      <c r="G19" s="480">
        <f>Power!G16</f>
        <v>652</v>
      </c>
      <c r="H19" s="481">
        <f>Power!H16</f>
        <v>419</v>
      </c>
      <c r="I19" s="451">
        <f>Power!I16</f>
        <v>2081</v>
      </c>
      <c r="J19" s="509">
        <f>Power!J16</f>
        <v>651</v>
      </c>
      <c r="K19" s="480">
        <f>Power!K16</f>
        <v>348</v>
      </c>
      <c r="L19" s="480">
        <f>Power!L16</f>
        <v>638</v>
      </c>
      <c r="M19" s="481">
        <f>Power!M16</f>
        <v>326</v>
      </c>
      <c r="N19" s="77">
        <f>Power!N16</f>
        <v>1963</v>
      </c>
      <c r="O19" s="509">
        <f>Power!O16</f>
        <v>501</v>
      </c>
      <c r="P19" s="480">
        <f>Power!P16</f>
        <v>355</v>
      </c>
      <c r="Q19" s="480">
        <f>Power!Q16</f>
        <v>483</v>
      </c>
      <c r="R19" s="481">
        <f>Power!R16</f>
        <v>432</v>
      </c>
      <c r="S19" s="77">
        <f>Power!S16</f>
        <v>1771</v>
      </c>
      <c r="T19" s="509">
        <f>Power!T16</f>
        <v>441</v>
      </c>
      <c r="U19" s="480">
        <f>Power!U16</f>
        <v>196</v>
      </c>
      <c r="V19" s="480">
        <f>Power!V16</f>
        <v>267</v>
      </c>
      <c r="W19" s="481">
        <f>Power!W16</f>
        <v>219</v>
      </c>
      <c r="X19" s="77">
        <f>SUM(T19:W19)</f>
        <v>1123</v>
      </c>
      <c r="Y19" s="509">
        <f>Power!Y16</f>
        <v>241</v>
      </c>
      <c r="Z19" s="480">
        <f>Power!Z16</f>
        <v>349</v>
      </c>
      <c r="AA19" s="480">
        <f>Power!AA16</f>
        <v>369</v>
      </c>
      <c r="AB19" s="481">
        <f>Power!AB16</f>
        <v>111</v>
      </c>
      <c r="AC19" s="77">
        <f>SUM(Y19:AB19)</f>
        <v>1070</v>
      </c>
      <c r="AD19" s="509">
        <f>Power!AD16</f>
        <v>282</v>
      </c>
      <c r="AE19" s="480">
        <f>Power!AE16</f>
        <v>67</v>
      </c>
      <c r="AF19" s="480">
        <f>Power!AF16</f>
        <v>353</v>
      </c>
      <c r="AG19" s="481">
        <f>Power!AG16</f>
        <v>507</v>
      </c>
      <c r="AH19" s="77">
        <f>SUM(AD19:AG19)</f>
        <v>1209</v>
      </c>
      <c r="AI19" s="509">
        <f>Power!AI16</f>
        <v>584</v>
      </c>
      <c r="AJ19" s="480">
        <f>Power!AJ16</f>
        <v>228</v>
      </c>
      <c r="AK19" s="480">
        <f>Power!AK16</f>
        <v>391</v>
      </c>
      <c r="AL19" s="481">
        <f>Power!AL16</f>
        <v>227</v>
      </c>
      <c r="AM19" s="77">
        <f>SUM(AI19:AL19)</f>
        <v>1430</v>
      </c>
      <c r="AN19" s="509">
        <f>Power!AN16</f>
        <v>343</v>
      </c>
      <c r="AO19" s="480">
        <f>Power!AO16</f>
        <v>-12</v>
      </c>
      <c r="AP19" s="480">
        <f>Power!AP16</f>
        <v>238</v>
      </c>
      <c r="AQ19" s="481">
        <f>Power!AQ16</f>
        <v>-556</v>
      </c>
      <c r="AR19" s="77">
        <f>SUM(AN19:AQ19)</f>
        <v>13</v>
      </c>
      <c r="AS19" s="509">
        <f>Power!AS16</f>
        <v>-303</v>
      </c>
      <c r="AT19" s="480">
        <f>Power!AT16</f>
        <v>-187</v>
      </c>
      <c r="AU19" s="480">
        <f>Power!AU16</f>
        <v>213</v>
      </c>
      <c r="AV19" s="481">
        <f>Power!AV16</f>
        <v>-82</v>
      </c>
      <c r="AW19" s="77">
        <f>SUM(AS19:AV19)</f>
        <v>-359</v>
      </c>
      <c r="AX19" s="509">
        <f>Power!AX16</f>
        <v>252.85659071684245</v>
      </c>
      <c r="AY19" s="480">
        <f>Power!AY16</f>
        <v>148.62522163813094</v>
      </c>
      <c r="AZ19" s="480">
        <f>Power!AZ16</f>
        <v>256.35031689766129</v>
      </c>
      <c r="BA19" s="481">
        <f>Power!BA16</f>
        <v>88.648317003438478</v>
      </c>
      <c r="BB19" s="463">
        <f>SUM(AX19:BA19)</f>
        <v>746.48044625607315</v>
      </c>
      <c r="BC19" s="509">
        <f>Power!BC16</f>
        <v>290.53893508777844</v>
      </c>
      <c r="BD19" s="480">
        <f>Power!BD16</f>
        <v>215.35520913790981</v>
      </c>
      <c r="BE19" s="480">
        <f>Power!BE16</f>
        <v>185.15308453457055</v>
      </c>
      <c r="BF19" s="481">
        <f>Power!BF16</f>
        <v>9.7928990860342537</v>
      </c>
      <c r="BG19" s="463">
        <f>SUM(BC19:BF19)</f>
        <v>700.84012784629306</v>
      </c>
      <c r="BH19" s="509">
        <f>Power!BH16</f>
        <v>295.8372581027005</v>
      </c>
      <c r="BI19" s="480">
        <f>Power!BI16</f>
        <v>158.627090713386</v>
      </c>
      <c r="BJ19" s="480">
        <f>Power!BJ16</f>
        <v>199.75763041358653</v>
      </c>
      <c r="BK19" s="481">
        <f>Power!BK16</f>
        <v>52.626621956749773</v>
      </c>
      <c r="BL19" s="463">
        <f>SUM(BH19:BK19)</f>
        <v>706.8486011864228</v>
      </c>
      <c r="BM19" s="509">
        <f>Power!BM16</f>
        <v>306.46191551293293</v>
      </c>
      <c r="BN19" s="480">
        <f>Power!BN16</f>
        <v>222.01973065262166</v>
      </c>
      <c r="BO19" s="480">
        <f>Power!BO16</f>
        <v>229.48790114747612</v>
      </c>
      <c r="BP19" s="481">
        <f>Power!BP16</f>
        <v>117.9266063592097</v>
      </c>
      <c r="BQ19" s="463">
        <f>SUM(BM19:BP19)</f>
        <v>875.89615367224042</v>
      </c>
      <c r="BR19" s="3"/>
      <c r="CL19"/>
      <c r="CM19"/>
      <c r="CN19"/>
      <c r="CO19"/>
      <c r="CP19"/>
      <c r="CQ19"/>
    </row>
    <row r="20" spans="1:95" s="2" customFormat="1">
      <c r="A20" s="1523"/>
      <c r="C20" s="2" t="s">
        <v>92</v>
      </c>
      <c r="E20" s="509">
        <f>+'PSE&amp;G'!E23</f>
        <v>288</v>
      </c>
      <c r="F20" s="480">
        <f>+'PSE&amp;G'!F23</f>
        <v>150</v>
      </c>
      <c r="G20" s="480">
        <f>+'PSE&amp;G'!G23</f>
        <v>226</v>
      </c>
      <c r="H20" s="481">
        <f>+'PSE&amp;G'!H23</f>
        <v>194</v>
      </c>
      <c r="I20" s="451">
        <f>+'PSE&amp;G'!I23</f>
        <v>858</v>
      </c>
      <c r="J20" s="509">
        <f>+'PSE&amp;G'!J23</f>
        <v>271</v>
      </c>
      <c r="K20" s="480">
        <f>+'PSE&amp;G'!K23</f>
        <v>71</v>
      </c>
      <c r="L20" s="480">
        <f>+'PSE&amp;G'!L23</f>
        <v>325</v>
      </c>
      <c r="M20" s="481">
        <f>+'PSE&amp;G'!M23</f>
        <v>219</v>
      </c>
      <c r="N20" s="77">
        <f>+'PSE&amp;G'!N23</f>
        <v>886</v>
      </c>
      <c r="O20" s="509">
        <f>+'PSE&amp;G'!O23</f>
        <v>350</v>
      </c>
      <c r="P20" s="480">
        <f>+'PSE&amp;G'!P23</f>
        <v>252</v>
      </c>
      <c r="Q20" s="480">
        <f>+'PSE&amp;G'!Q23</f>
        <v>328</v>
      </c>
      <c r="R20" s="481">
        <f>+'PSE&amp;G'!R23</f>
        <v>221</v>
      </c>
      <c r="S20" s="77">
        <f>+'PSE&amp;G'!S23</f>
        <v>1151</v>
      </c>
      <c r="T20" s="509">
        <f>+'PSE&amp;G'!T23</f>
        <v>342</v>
      </c>
      <c r="U20" s="480">
        <f>+'PSE&amp;G'!U23</f>
        <v>227</v>
      </c>
      <c r="V20" s="480">
        <f>+'PSE&amp;G'!V23</f>
        <v>321</v>
      </c>
      <c r="W20" s="481">
        <f>+'PSE&amp;G'!W23</f>
        <v>193</v>
      </c>
      <c r="X20" s="77">
        <f>SUM(T20:W20)</f>
        <v>1083</v>
      </c>
      <c r="Y20" s="509">
        <f>+'PSE&amp;G'!Y23</f>
        <v>365</v>
      </c>
      <c r="Z20" s="480">
        <f>+'PSE&amp;G'!Z23</f>
        <v>253</v>
      </c>
      <c r="AA20" s="480">
        <f>+'PSE&amp;G'!AA23</f>
        <v>346</v>
      </c>
      <c r="AB20" s="481">
        <f>+'PSE&amp;G'!AB23</f>
        <v>271</v>
      </c>
      <c r="AC20" s="77">
        <f>SUM(Y20:AB20)</f>
        <v>1235</v>
      </c>
      <c r="AD20" s="509">
        <f>+'PSE&amp;G'!AD23</f>
        <v>411</v>
      </c>
      <c r="AE20" s="480">
        <f>+'PSE&amp;G'!AE23</f>
        <v>291</v>
      </c>
      <c r="AF20" s="480">
        <f>+'PSE&amp;G'!AF23</f>
        <v>383</v>
      </c>
      <c r="AG20" s="481">
        <f>+'PSE&amp;G'!AG23</f>
        <v>308</v>
      </c>
      <c r="AH20" s="77">
        <f>SUM(AD20:AG20)</f>
        <v>1393</v>
      </c>
      <c r="AI20" s="509">
        <f>+'PSE&amp;G'!AI23</f>
        <v>451</v>
      </c>
      <c r="AJ20" s="480">
        <f>+'PSE&amp;G'!AJ23</f>
        <v>320</v>
      </c>
      <c r="AK20" s="480">
        <f>+'PSE&amp;G'!AK23</f>
        <v>404</v>
      </c>
      <c r="AL20" s="481">
        <f>+'PSE&amp;G'!AL23</f>
        <v>287</v>
      </c>
      <c r="AM20" s="77">
        <f>SUM(AI20:AL20)</f>
        <v>1462</v>
      </c>
      <c r="AN20" s="509">
        <f>+'PSE&amp;G'!AN23</f>
        <v>462</v>
      </c>
      <c r="AO20" s="480">
        <f>+'PSE&amp;G'!AO23</f>
        <v>333</v>
      </c>
      <c r="AP20" s="480">
        <f>+'PSE&amp;G'!AP23</f>
        <v>450</v>
      </c>
      <c r="AQ20" s="481">
        <f>+'PSE&amp;G'!AQ23</f>
        <v>369</v>
      </c>
      <c r="AR20" s="77">
        <f>SUM(AN20:AQ20)</f>
        <v>1614</v>
      </c>
      <c r="AS20" s="509">
        <f>+'PSE&amp;G'!AS23</f>
        <v>521</v>
      </c>
      <c r="AT20" s="480">
        <f>+'PSE&amp;G'!AT23</f>
        <v>379</v>
      </c>
      <c r="AU20" s="480">
        <f>+'PSE&amp;G'!AU23</f>
        <v>459</v>
      </c>
      <c r="AV20" s="481">
        <f>+'PSE&amp;G'!AV23</f>
        <v>393</v>
      </c>
      <c r="AW20" s="77">
        <f>SUM(AS20:AV20)</f>
        <v>1752</v>
      </c>
      <c r="AX20" s="509">
        <f>+'PSE&amp;G'!AX23</f>
        <v>488.27052206255257</v>
      </c>
      <c r="AY20" s="480">
        <f>+'PSE&amp;G'!AY23</f>
        <v>336.61876871964887</v>
      </c>
      <c r="AZ20" s="480">
        <f>+'PSE&amp;G'!AZ23</f>
        <v>435.64067187546129</v>
      </c>
      <c r="BA20" s="481">
        <f>+'PSE&amp;G'!BA23</f>
        <v>366.95160380037601</v>
      </c>
      <c r="BB20" s="463">
        <f>SUM(AX20:BA20)</f>
        <v>1627.4815664580387</v>
      </c>
      <c r="BC20" s="509">
        <f>+'PSE&amp;G'!BC23</f>
        <v>547.43857591905089</v>
      </c>
      <c r="BD20" s="480">
        <f>+'PSE&amp;G'!BD23</f>
        <v>397.09305606195073</v>
      </c>
      <c r="BE20" s="480">
        <f>+'PSE&amp;G'!BE23</f>
        <v>393.24780255395206</v>
      </c>
      <c r="BF20" s="481">
        <f>+'PSE&amp;G'!BF23</f>
        <v>424.59505983438817</v>
      </c>
      <c r="BG20" s="463">
        <f>SUM(BC20:BF20)</f>
        <v>1762.3744943693418</v>
      </c>
      <c r="BH20" s="509">
        <f>+'PSE&amp;G'!BH23</f>
        <v>584.87128088716304</v>
      </c>
      <c r="BI20" s="480">
        <f>+'PSE&amp;G'!BI23</f>
        <v>435.74018550517417</v>
      </c>
      <c r="BJ20" s="480">
        <f>+'PSE&amp;G'!BJ23</f>
        <v>432.09983730754402</v>
      </c>
      <c r="BK20" s="481">
        <f>+'PSE&amp;G'!BK23</f>
        <v>464.49957976419523</v>
      </c>
      <c r="BL20" s="463">
        <f>SUM(BH20:BK20)</f>
        <v>1917.2108834640765</v>
      </c>
      <c r="BM20" s="509">
        <f>+'PSE&amp;G'!BM23</f>
        <v>621.29224616132547</v>
      </c>
      <c r="BN20" s="480">
        <f>+'PSE&amp;G'!BN23</f>
        <v>472.48471888309746</v>
      </c>
      <c r="BO20" s="480">
        <f>+'PSE&amp;G'!BO23</f>
        <v>469.73345828040806</v>
      </c>
      <c r="BP20" s="481">
        <f>+'PSE&amp;G'!BP23</f>
        <v>503.87223250469378</v>
      </c>
      <c r="BQ20" s="463">
        <f>SUM(BM20:BP20)</f>
        <v>2067.382655829525</v>
      </c>
      <c r="BR20" s="3"/>
      <c r="CL20"/>
      <c r="CM20"/>
      <c r="CN20"/>
      <c r="CO20"/>
      <c r="CP20"/>
      <c r="CQ20"/>
    </row>
    <row r="21" spans="1:95" s="2" customFormat="1">
      <c r="A21" s="1523"/>
      <c r="C21" s="2" t="s">
        <v>114</v>
      </c>
      <c r="E21" s="509">
        <f>+Parent!E16</f>
        <v>31</v>
      </c>
      <c r="F21" s="480">
        <f>+Parent!F16</f>
        <v>85</v>
      </c>
      <c r="G21" s="480">
        <f>+Parent!G16</f>
        <v>44</v>
      </c>
      <c r="H21" s="481">
        <f>+Parent!H16</f>
        <v>22</v>
      </c>
      <c r="I21" s="451">
        <f>+Parent!I16</f>
        <v>182</v>
      </c>
      <c r="J21" s="509">
        <f>+Parent!J16</f>
        <v>12</v>
      </c>
      <c r="K21" s="480">
        <f>+Parent!K16</f>
        <v>18</v>
      </c>
      <c r="L21" s="480">
        <f>+Parent!L16</f>
        <v>39</v>
      </c>
      <c r="M21" s="481">
        <f>+Parent!M16</f>
        <v>19</v>
      </c>
      <c r="N21" s="77">
        <f>+Parent!N16</f>
        <v>87.999999999999545</v>
      </c>
      <c r="O21" s="509">
        <f>+Parent!O16</f>
        <v>5</v>
      </c>
      <c r="P21" s="480">
        <f>+Parent!P16</f>
        <v>14</v>
      </c>
      <c r="Q21" s="480">
        <f>+Parent!Q16</f>
        <v>-255</v>
      </c>
      <c r="R21" s="481">
        <f>+Parent!R16</f>
        <v>56</v>
      </c>
      <c r="S21" s="77">
        <f>+Parent!S16</f>
        <v>-180</v>
      </c>
      <c r="T21" s="509">
        <f>+Parent!T16</f>
        <v>0</v>
      </c>
      <c r="U21" s="480">
        <f>+Parent!U16</f>
        <v>10</v>
      </c>
      <c r="V21" s="480">
        <f>+Parent!V16</f>
        <v>6</v>
      </c>
      <c r="W21" s="481">
        <f>+Parent!W16</f>
        <v>56</v>
      </c>
      <c r="X21" s="77">
        <f>SUM(T21:W21)</f>
        <v>72</v>
      </c>
      <c r="Y21" s="509">
        <f>+Parent!Y16</f>
        <v>4</v>
      </c>
      <c r="Z21" s="480">
        <f>+Parent!Z16</f>
        <v>10</v>
      </c>
      <c r="AA21" s="480">
        <f>+Parent!AA16</f>
        <v>-3</v>
      </c>
      <c r="AB21" s="481">
        <f>+Parent!AB16</f>
        <v>-17</v>
      </c>
      <c r="AC21" s="77">
        <f>SUM(Y21:AB21)</f>
        <v>-6</v>
      </c>
      <c r="AD21" s="509">
        <f>+Parent!AD16</f>
        <v>12</v>
      </c>
      <c r="AE21" s="480">
        <f>+Parent!AE16</f>
        <v>7</v>
      </c>
      <c r="AF21" s="480">
        <f>+Parent!AF16</f>
        <v>10</v>
      </c>
      <c r="AG21" s="481">
        <f>+Parent!AG16</f>
        <v>-8</v>
      </c>
      <c r="AH21" s="77">
        <f>SUM(AD21:AG21)</f>
        <v>21</v>
      </c>
      <c r="AI21" s="509">
        <f>+Parent!AI16</f>
        <v>13</v>
      </c>
      <c r="AJ21" s="480">
        <f>+Parent!AJ16</f>
        <v>20</v>
      </c>
      <c r="AK21" s="480">
        <f>+Parent!AK16</f>
        <v>19</v>
      </c>
      <c r="AL21" s="481">
        <f>+Parent!AL16</f>
        <v>18</v>
      </c>
      <c r="AM21" s="77">
        <f>SUM(AI21:AL21)</f>
        <v>70</v>
      </c>
      <c r="AN21" s="509">
        <f>+Parent!AN16</f>
        <v>22</v>
      </c>
      <c r="AO21" s="480">
        <f>+Parent!AO16</f>
        <v>26</v>
      </c>
      <c r="AP21" s="480">
        <f>+Parent!AP16</f>
        <v>-111</v>
      </c>
      <c r="AQ21" s="481">
        <f>+Parent!AQ16</f>
        <v>12</v>
      </c>
      <c r="AR21" s="77">
        <f>SUM(AN21:AQ21)</f>
        <v>-51</v>
      </c>
      <c r="AS21" s="509">
        <f>+Parent!AS16</f>
        <v>-40</v>
      </c>
      <c r="AT21" s="480">
        <f>+Parent!AT16</f>
        <v>4</v>
      </c>
      <c r="AU21" s="480">
        <f>+Parent!AU16</f>
        <v>21</v>
      </c>
      <c r="AV21" s="481">
        <f>+Parent!AV16</f>
        <v>51</v>
      </c>
      <c r="AW21" s="77">
        <f>SUM(AS21:AV21)</f>
        <v>36</v>
      </c>
      <c r="AX21" s="509">
        <f>+Parent!AX16</f>
        <v>23</v>
      </c>
      <c r="AY21" s="480">
        <f>+Parent!AY16</f>
        <v>23.46</v>
      </c>
      <c r="AZ21" s="480">
        <f>+Parent!AZ16</f>
        <v>23.929200000000002</v>
      </c>
      <c r="BA21" s="481">
        <f>+Parent!BA16</f>
        <v>24.407784000000003</v>
      </c>
      <c r="BB21" s="463">
        <f>SUM(AX21:BA21)</f>
        <v>94.796984000000009</v>
      </c>
      <c r="BC21" s="509">
        <f>+Parent!BC16</f>
        <v>24.895939680000005</v>
      </c>
      <c r="BD21" s="480">
        <f>+Parent!BD16</f>
        <v>25.393858473600005</v>
      </c>
      <c r="BE21" s="480">
        <f>+Parent!BE16</f>
        <v>25.901735643072005</v>
      </c>
      <c r="BF21" s="481">
        <f>+Parent!BF16</f>
        <v>26.419770355933444</v>
      </c>
      <c r="BG21" s="463">
        <f>SUM(BC21:BF21)</f>
        <v>102.61130415260547</v>
      </c>
      <c r="BH21" s="509">
        <f>+Parent!BH16</f>
        <v>25.393858473600005</v>
      </c>
      <c r="BI21" s="480">
        <f>+Parent!BI16</f>
        <v>25.901735643072005</v>
      </c>
      <c r="BJ21" s="480">
        <f>+Parent!BJ16</f>
        <v>26.419770355933444</v>
      </c>
      <c r="BK21" s="481">
        <f>+Parent!BK16</f>
        <v>26.948165763052113</v>
      </c>
      <c r="BL21" s="463">
        <f>SUM(BH21:BK21)</f>
        <v>104.66353023565756</v>
      </c>
      <c r="BM21" s="509">
        <f>+Parent!BM16</f>
        <v>25.901735643072005</v>
      </c>
      <c r="BN21" s="480">
        <f>+Parent!BN16</f>
        <v>26.419770355933444</v>
      </c>
      <c r="BO21" s="480">
        <f>+Parent!BO16</f>
        <v>26.948165763052113</v>
      </c>
      <c r="BP21" s="481">
        <f>+Parent!BP16</f>
        <v>27.487129078313156</v>
      </c>
      <c r="BQ21" s="463">
        <f>SUM(BM21:BP21)</f>
        <v>106.75680084037073</v>
      </c>
      <c r="BR21" s="3"/>
      <c r="CL21"/>
      <c r="CM21"/>
      <c r="CN21"/>
      <c r="CO21"/>
      <c r="CP21"/>
      <c r="CQ21"/>
    </row>
    <row r="22" spans="1:95" s="2" customFormat="1">
      <c r="A22" s="1523"/>
      <c r="C22" s="545" t="s">
        <v>94</v>
      </c>
      <c r="E22" s="396">
        <f t="shared" ref="E22:V22" si="6">E8-E17</f>
        <v>927</v>
      </c>
      <c r="F22" s="343">
        <f t="shared" si="6"/>
        <v>637</v>
      </c>
      <c r="G22" s="343">
        <f t="shared" si="6"/>
        <v>922</v>
      </c>
      <c r="H22" s="397">
        <f t="shared" si="6"/>
        <v>635</v>
      </c>
      <c r="I22" s="297">
        <f t="shared" si="6"/>
        <v>3121</v>
      </c>
      <c r="J22" s="396">
        <f t="shared" si="6"/>
        <v>934</v>
      </c>
      <c r="K22" s="343">
        <f t="shared" si="6"/>
        <v>437</v>
      </c>
      <c r="L22" s="343">
        <f t="shared" si="6"/>
        <v>1002</v>
      </c>
      <c r="M22" s="397">
        <f t="shared" si="6"/>
        <v>564</v>
      </c>
      <c r="N22" s="297">
        <f t="shared" si="6"/>
        <v>2937</v>
      </c>
      <c r="O22" s="396">
        <f t="shared" si="6"/>
        <v>856</v>
      </c>
      <c r="P22" s="343">
        <f t="shared" si="6"/>
        <v>621</v>
      </c>
      <c r="Q22" s="343">
        <f t="shared" si="6"/>
        <v>556</v>
      </c>
      <c r="R22" s="397">
        <f t="shared" si="6"/>
        <v>709</v>
      </c>
      <c r="S22" s="297">
        <f t="shared" si="6"/>
        <v>2742</v>
      </c>
      <c r="T22" s="396">
        <f t="shared" si="6"/>
        <v>783</v>
      </c>
      <c r="U22" s="343">
        <f t="shared" si="6"/>
        <v>433</v>
      </c>
      <c r="V22" s="343">
        <f t="shared" si="6"/>
        <v>594</v>
      </c>
      <c r="W22" s="397">
        <f t="shared" ref="W22:AC22" si="7">W8-W17</f>
        <v>468</v>
      </c>
      <c r="X22" s="297">
        <f t="shared" si="7"/>
        <v>2278</v>
      </c>
      <c r="Y22" s="396">
        <f t="shared" si="7"/>
        <v>610</v>
      </c>
      <c r="Z22" s="343">
        <f t="shared" si="7"/>
        <v>612</v>
      </c>
      <c r="AA22" s="343">
        <f t="shared" si="7"/>
        <v>712</v>
      </c>
      <c r="AB22" s="397">
        <f t="shared" si="7"/>
        <v>365</v>
      </c>
      <c r="AC22" s="297">
        <f t="shared" si="7"/>
        <v>2299</v>
      </c>
      <c r="AD22" s="396">
        <f t="shared" ref="AD22:AI22" si="8">AD8-AD17</f>
        <v>705</v>
      </c>
      <c r="AE22" s="343">
        <f t="shared" si="8"/>
        <v>365</v>
      </c>
      <c r="AF22" s="343">
        <f t="shared" si="8"/>
        <v>746</v>
      </c>
      <c r="AG22" s="397">
        <f t="shared" si="8"/>
        <v>807</v>
      </c>
      <c r="AH22" s="297">
        <f t="shared" si="8"/>
        <v>2623</v>
      </c>
      <c r="AI22" s="396">
        <f t="shared" si="8"/>
        <v>1048</v>
      </c>
      <c r="AJ22" s="343">
        <f t="shared" ref="AJ22:AO22" si="9">AJ8-AJ17</f>
        <v>568</v>
      </c>
      <c r="AK22" s="343">
        <f t="shared" si="9"/>
        <v>814</v>
      </c>
      <c r="AL22" s="397">
        <f t="shared" si="9"/>
        <v>532</v>
      </c>
      <c r="AM22" s="297">
        <f t="shared" si="9"/>
        <v>2962</v>
      </c>
      <c r="AN22" s="396">
        <f t="shared" si="9"/>
        <v>827</v>
      </c>
      <c r="AO22" s="343">
        <f t="shared" si="9"/>
        <v>347</v>
      </c>
      <c r="AP22" s="343">
        <f t="shared" ref="AP22:AU22" si="10">AP8-AP17</f>
        <v>577</v>
      </c>
      <c r="AQ22" s="397">
        <f t="shared" si="10"/>
        <v>-175</v>
      </c>
      <c r="AR22" s="297">
        <f t="shared" si="10"/>
        <v>1576</v>
      </c>
      <c r="AS22" s="396">
        <f t="shared" si="10"/>
        <v>178</v>
      </c>
      <c r="AT22" s="343">
        <f t="shared" si="10"/>
        <v>196</v>
      </c>
      <c r="AU22" s="343">
        <f t="shared" si="10"/>
        <v>693</v>
      </c>
      <c r="AV22" s="397">
        <f t="shared" ref="AV22:BB22" si="11">AV8-AV17</f>
        <v>362</v>
      </c>
      <c r="AW22" s="297">
        <f t="shared" si="11"/>
        <v>1429</v>
      </c>
      <c r="AX22" s="396">
        <f t="shared" si="11"/>
        <v>764.12711277939479</v>
      </c>
      <c r="AY22" s="343">
        <f t="shared" si="11"/>
        <v>508.70399035777996</v>
      </c>
      <c r="AZ22" s="343">
        <f t="shared" si="11"/>
        <v>715.92018877312239</v>
      </c>
      <c r="BA22" s="397">
        <f t="shared" si="11"/>
        <v>480.0077048038147</v>
      </c>
      <c r="BB22" s="297">
        <f t="shared" si="11"/>
        <v>2468.7589967141121</v>
      </c>
      <c r="BC22" s="396">
        <f t="shared" ref="BC22:BL22" si="12">BC8-BC17</f>
        <v>862.8734506868293</v>
      </c>
      <c r="BD22" s="343">
        <f t="shared" si="12"/>
        <v>637.84212367346049</v>
      </c>
      <c r="BE22" s="343">
        <f t="shared" si="12"/>
        <v>604.30262273159451</v>
      </c>
      <c r="BF22" s="397">
        <f t="shared" si="12"/>
        <v>460.80772927635599</v>
      </c>
      <c r="BG22" s="297">
        <f t="shared" si="12"/>
        <v>2565.8259263682385</v>
      </c>
      <c r="BH22" s="396">
        <f t="shared" si="12"/>
        <v>906.1023974634636</v>
      </c>
      <c r="BI22" s="343">
        <f t="shared" si="12"/>
        <v>620.26901186163195</v>
      </c>
      <c r="BJ22" s="343">
        <f t="shared" si="12"/>
        <v>658.27723807706388</v>
      </c>
      <c r="BK22" s="397">
        <f t="shared" si="12"/>
        <v>544.07436748399732</v>
      </c>
      <c r="BL22" s="297">
        <f t="shared" si="12"/>
        <v>2728.7230148861572</v>
      </c>
      <c r="BM22" s="396">
        <f>BM8-BM17</f>
        <v>953.6558973173303</v>
      </c>
      <c r="BN22" s="343">
        <f>BN8-BN17</f>
        <v>720.92421989165268</v>
      </c>
      <c r="BO22" s="343">
        <f>BO8-BO17</f>
        <v>726.16952519093593</v>
      </c>
      <c r="BP22" s="397">
        <f>BP8-BP17</f>
        <v>649.2859679422163</v>
      </c>
      <c r="BQ22" s="297">
        <f>BQ8-BQ17</f>
        <v>3050.0356103421345</v>
      </c>
      <c r="BR22" s="3"/>
      <c r="CL22"/>
      <c r="CM22"/>
      <c r="CN22"/>
      <c r="CO22"/>
      <c r="CP22"/>
      <c r="CQ22"/>
    </row>
    <row r="23" spans="1:95" s="2" customFormat="1">
      <c r="A23" s="1523"/>
      <c r="C23" s="626" t="s">
        <v>95</v>
      </c>
      <c r="E23" s="631">
        <f t="shared" ref="E23:AA23" si="13">E22-SUM(E19:E21)</f>
        <v>0</v>
      </c>
      <c r="F23" s="632">
        <f t="shared" si="13"/>
        <v>0</v>
      </c>
      <c r="G23" s="632">
        <f t="shared" si="13"/>
        <v>0</v>
      </c>
      <c r="H23" s="633">
        <f t="shared" si="13"/>
        <v>0</v>
      </c>
      <c r="I23" s="634">
        <f t="shared" si="13"/>
        <v>0</v>
      </c>
      <c r="J23" s="631">
        <f t="shared" si="13"/>
        <v>0</v>
      </c>
      <c r="K23" s="632">
        <f t="shared" si="13"/>
        <v>0</v>
      </c>
      <c r="L23" s="632">
        <f t="shared" si="13"/>
        <v>0</v>
      </c>
      <c r="M23" s="633">
        <f t="shared" si="13"/>
        <v>0</v>
      </c>
      <c r="N23" s="634">
        <f t="shared" si="13"/>
        <v>0</v>
      </c>
      <c r="O23" s="631">
        <f t="shared" si="13"/>
        <v>0</v>
      </c>
      <c r="P23" s="632">
        <f t="shared" si="13"/>
        <v>0</v>
      </c>
      <c r="Q23" s="632">
        <f t="shared" si="13"/>
        <v>0</v>
      </c>
      <c r="R23" s="633">
        <f t="shared" si="13"/>
        <v>0</v>
      </c>
      <c r="S23" s="634">
        <f t="shared" si="13"/>
        <v>0</v>
      </c>
      <c r="T23" s="631">
        <f t="shared" si="13"/>
        <v>0</v>
      </c>
      <c r="U23" s="632">
        <f t="shared" si="13"/>
        <v>0</v>
      </c>
      <c r="V23" s="632">
        <f t="shared" si="13"/>
        <v>0</v>
      </c>
      <c r="W23" s="633">
        <f t="shared" si="13"/>
        <v>0</v>
      </c>
      <c r="X23" s="634">
        <f t="shared" si="13"/>
        <v>0</v>
      </c>
      <c r="Y23" s="631">
        <f t="shared" si="13"/>
        <v>0</v>
      </c>
      <c r="Z23" s="632">
        <f t="shared" si="13"/>
        <v>0</v>
      </c>
      <c r="AA23" s="632">
        <f t="shared" si="13"/>
        <v>0</v>
      </c>
      <c r="AB23" s="633">
        <f t="shared" ref="AB23:AI23" si="14">AB22-SUM(AB19:AB21)</f>
        <v>0</v>
      </c>
      <c r="AC23" s="634">
        <f t="shared" si="14"/>
        <v>0</v>
      </c>
      <c r="AD23" s="631">
        <f t="shared" si="14"/>
        <v>0</v>
      </c>
      <c r="AE23" s="632">
        <f t="shared" si="14"/>
        <v>0</v>
      </c>
      <c r="AF23" s="632">
        <f t="shared" si="14"/>
        <v>0</v>
      </c>
      <c r="AG23" s="633">
        <f t="shared" si="14"/>
        <v>0</v>
      </c>
      <c r="AH23" s="634">
        <f t="shared" si="14"/>
        <v>0</v>
      </c>
      <c r="AI23" s="631">
        <f t="shared" si="14"/>
        <v>0</v>
      </c>
      <c r="AJ23" s="632">
        <f t="shared" ref="AJ23:AO23" si="15">AJ22-SUM(AJ19:AJ21)</f>
        <v>0</v>
      </c>
      <c r="AK23" s="632">
        <f t="shared" si="15"/>
        <v>0</v>
      </c>
      <c r="AL23" s="633">
        <f t="shared" si="15"/>
        <v>0</v>
      </c>
      <c r="AM23" s="634">
        <f t="shared" si="15"/>
        <v>0</v>
      </c>
      <c r="AN23" s="631">
        <f t="shared" si="15"/>
        <v>0</v>
      </c>
      <c r="AO23" s="632">
        <f t="shared" si="15"/>
        <v>0</v>
      </c>
      <c r="AP23" s="632">
        <f t="shared" ref="AP23:AU23" si="16">AP22-SUM(AP19:AP21)</f>
        <v>0</v>
      </c>
      <c r="AQ23" s="633">
        <f t="shared" si="16"/>
        <v>0</v>
      </c>
      <c r="AR23" s="634">
        <f t="shared" si="16"/>
        <v>0</v>
      </c>
      <c r="AS23" s="631">
        <f t="shared" si="16"/>
        <v>0</v>
      </c>
      <c r="AT23" s="632">
        <f t="shared" si="16"/>
        <v>0</v>
      </c>
      <c r="AU23" s="632">
        <f t="shared" si="16"/>
        <v>0</v>
      </c>
      <c r="AV23" s="633">
        <f t="shared" ref="AV23:BB23" si="17">AV22-SUM(AV19:AV21)</f>
        <v>0</v>
      </c>
      <c r="AW23" s="634">
        <f t="shared" si="17"/>
        <v>0</v>
      </c>
      <c r="AX23" s="631">
        <f t="shared" si="17"/>
        <v>0</v>
      </c>
      <c r="AY23" s="632">
        <f t="shared" si="17"/>
        <v>0</v>
      </c>
      <c r="AZ23" s="632">
        <f t="shared" si="17"/>
        <v>0</v>
      </c>
      <c r="BA23" s="633">
        <f t="shared" si="17"/>
        <v>0</v>
      </c>
      <c r="BB23" s="634">
        <f t="shared" si="17"/>
        <v>0</v>
      </c>
      <c r="BC23" s="631">
        <f t="shared" ref="BC23:BL23" si="18">BC22-SUM(BC19:BC21)</f>
        <v>0</v>
      </c>
      <c r="BD23" s="632">
        <f t="shared" si="18"/>
        <v>0</v>
      </c>
      <c r="BE23" s="632">
        <f t="shared" si="18"/>
        <v>0</v>
      </c>
      <c r="BF23" s="633">
        <f t="shared" si="18"/>
        <v>0</v>
      </c>
      <c r="BG23" s="634">
        <f t="shared" si="18"/>
        <v>0</v>
      </c>
      <c r="BH23" s="631">
        <f t="shared" si="18"/>
        <v>0</v>
      </c>
      <c r="BI23" s="632">
        <f t="shared" si="18"/>
        <v>0</v>
      </c>
      <c r="BJ23" s="632">
        <f t="shared" si="18"/>
        <v>0</v>
      </c>
      <c r="BK23" s="633">
        <f t="shared" si="18"/>
        <v>0</v>
      </c>
      <c r="BL23" s="634">
        <f t="shared" si="18"/>
        <v>0</v>
      </c>
      <c r="BM23" s="631">
        <f>BM22-SUM(BM19:BM21)</f>
        <v>0</v>
      </c>
      <c r="BN23" s="632">
        <f>BN22-SUM(BN19:BN21)</f>
        <v>0</v>
      </c>
      <c r="BO23" s="632">
        <f>BO22-SUM(BO19:BO21)</f>
        <v>0</v>
      </c>
      <c r="BP23" s="633">
        <f>BP22-SUM(BP19:BP21)</f>
        <v>0</v>
      </c>
      <c r="BQ23" s="634">
        <f>BQ22-SUM(BQ19:BQ21)</f>
        <v>0</v>
      </c>
      <c r="BR23" s="3"/>
      <c r="CL23"/>
      <c r="CM23"/>
      <c r="CN23"/>
      <c r="CO23"/>
      <c r="CP23"/>
      <c r="CQ23"/>
    </row>
    <row r="24" spans="1:95" s="2" customFormat="1">
      <c r="A24" s="1523"/>
      <c r="C24" s="626"/>
      <c r="E24" s="631"/>
      <c r="F24" s="632"/>
      <c r="G24" s="632"/>
      <c r="H24" s="633"/>
      <c r="I24" s="634"/>
      <c r="J24" s="631"/>
      <c r="K24" s="632"/>
      <c r="L24" s="632"/>
      <c r="M24" s="633"/>
      <c r="N24" s="634"/>
      <c r="O24" s="631"/>
      <c r="P24" s="632"/>
      <c r="Q24" s="632"/>
      <c r="R24" s="633"/>
      <c r="S24" s="634"/>
      <c r="T24" s="631"/>
      <c r="U24" s="632"/>
      <c r="V24" s="632"/>
      <c r="W24" s="633"/>
      <c r="X24" s="634"/>
      <c r="Y24" s="631"/>
      <c r="Z24" s="632"/>
      <c r="AA24" s="632"/>
      <c r="AB24" s="633"/>
      <c r="AC24" s="634"/>
      <c r="AD24" s="631"/>
      <c r="AE24" s="632"/>
      <c r="AF24" s="632"/>
      <c r="AG24" s="633"/>
      <c r="AH24" s="634"/>
      <c r="AI24" s="631"/>
      <c r="AJ24" s="632"/>
      <c r="AK24" s="632"/>
      <c r="AL24" s="633"/>
      <c r="AM24" s="634"/>
      <c r="AN24" s="631"/>
      <c r="AO24" s="632"/>
      <c r="AP24" s="632"/>
      <c r="AQ24" s="633"/>
      <c r="AR24" s="634"/>
      <c r="AS24" s="631"/>
      <c r="AT24" s="632"/>
      <c r="AU24" s="632"/>
      <c r="AV24" s="633"/>
      <c r="AW24" s="634"/>
      <c r="AX24" s="631"/>
      <c r="AY24" s="632"/>
      <c r="AZ24" s="632"/>
      <c r="BA24" s="633"/>
      <c r="BB24" s="634"/>
      <c r="BC24" s="631"/>
      <c r="BD24" s="632"/>
      <c r="BE24" s="632"/>
      <c r="BF24" s="633"/>
      <c r="BG24" s="634"/>
      <c r="BH24" s="631"/>
      <c r="BI24" s="632"/>
      <c r="BJ24" s="632"/>
      <c r="BK24" s="633"/>
      <c r="BL24" s="634"/>
      <c r="BM24" s="631"/>
      <c r="BN24" s="632"/>
      <c r="BO24" s="632"/>
      <c r="BP24" s="633"/>
      <c r="BQ24" s="634"/>
      <c r="BR24" s="3"/>
      <c r="CL24"/>
      <c r="CM24"/>
      <c r="CN24"/>
      <c r="CO24"/>
      <c r="CP24"/>
      <c r="CQ24"/>
    </row>
    <row r="25" spans="1:95" s="37" customFormat="1">
      <c r="C25" s="37" t="s">
        <v>97</v>
      </c>
      <c r="E25" s="456">
        <v>-34</v>
      </c>
      <c r="F25" s="457">
        <v>47</v>
      </c>
      <c r="G25" s="457">
        <v>32</v>
      </c>
      <c r="H25" s="395">
        <f>I25-SUM(E25:G25)</f>
        <v>-3</v>
      </c>
      <c r="I25" s="590">
        <v>42</v>
      </c>
      <c r="J25" s="456">
        <v>29.25</v>
      </c>
      <c r="K25" s="457">
        <v>35.25</v>
      </c>
      <c r="L25" s="457">
        <v>67</v>
      </c>
      <c r="M25" s="395">
        <f>N25-SUM(J25:L25)</f>
        <v>19.5</v>
      </c>
      <c r="N25" s="590">
        <v>151</v>
      </c>
      <c r="O25" s="456">
        <v>62</v>
      </c>
      <c r="P25" s="457">
        <v>43</v>
      </c>
      <c r="Q25" s="457">
        <v>27</v>
      </c>
      <c r="R25" s="395">
        <f>S25-SUM(O25:Q25)</f>
        <v>-15</v>
      </c>
      <c r="S25" s="590">
        <v>117</v>
      </c>
      <c r="T25" s="456">
        <f>28-5</f>
        <v>23</v>
      </c>
      <c r="U25" s="457">
        <f>2+51-19-7</f>
        <v>27</v>
      </c>
      <c r="V25" s="457">
        <f>7+121-26-2</f>
        <v>100</v>
      </c>
      <c r="W25" s="395">
        <f>X25-SUM(T25:V25)</f>
        <v>6</v>
      </c>
      <c r="X25" s="462">
        <f>12+260-98-18</f>
        <v>156</v>
      </c>
      <c r="Y25" s="459">
        <f>61-29-2+2</f>
        <v>32</v>
      </c>
      <c r="Z25" s="460">
        <f>3+52-13-2</f>
        <v>40</v>
      </c>
      <c r="AA25" s="460">
        <f>4+59-12-3</f>
        <v>48</v>
      </c>
      <c r="AB25" s="395">
        <f>AC25-SUM(Y25:AA25)</f>
        <v>38</v>
      </c>
      <c r="AC25" s="462">
        <f>11+213-54-12</f>
        <v>158</v>
      </c>
      <c r="AD25" s="459">
        <f>4+48-12-2</f>
        <v>38</v>
      </c>
      <c r="AE25" s="460">
        <f>3+62-10-2</f>
        <v>53</v>
      </c>
      <c r="AF25" s="460">
        <f>3+75-9-10</f>
        <v>59</v>
      </c>
      <c r="AG25" s="395">
        <f>AH25-SUM(AD25:AF25)</f>
        <v>72</v>
      </c>
      <c r="AH25" s="462">
        <f>13+290-61-20</f>
        <v>222</v>
      </c>
      <c r="AI25" s="459">
        <f>3+48-12-5</f>
        <v>34</v>
      </c>
      <c r="AJ25" s="460">
        <f>4+76-10-10</f>
        <v>60</v>
      </c>
      <c r="AK25" s="460">
        <f>3+47-14-30</f>
        <v>6</v>
      </c>
      <c r="AL25" s="395">
        <f>AM25-SUM(AI25:AK25)</f>
        <v>11</v>
      </c>
      <c r="AM25" s="462">
        <f>12+254+-102-53</f>
        <v>111</v>
      </c>
      <c r="AN25" s="459">
        <f>2+48-21-10</f>
        <v>19</v>
      </c>
      <c r="AO25" s="460">
        <f>4+44-10-10</f>
        <v>28</v>
      </c>
      <c r="AP25" s="460">
        <f>3+47-8-5</f>
        <v>37</v>
      </c>
      <c r="AQ25" s="395">
        <f>AR25-SUM(AN25:AP25)</f>
        <v>23</v>
      </c>
      <c r="AR25" s="462">
        <f>11+191-67-28</f>
        <v>107</v>
      </c>
      <c r="AS25" s="459">
        <f>3+72-11-1</f>
        <v>63</v>
      </c>
      <c r="AT25" s="460">
        <f>5+70-9-3</f>
        <v>63</v>
      </c>
      <c r="AU25" s="460">
        <f>3+66-10-5</f>
        <v>54</v>
      </c>
      <c r="AV25" s="395">
        <f>AW25-SUM(AS25:AU25)</f>
        <v>50</v>
      </c>
      <c r="AW25" s="462">
        <f>14+319-91-12</f>
        <v>230</v>
      </c>
      <c r="AX25" s="394">
        <f>+Power!AX18+'PSE&amp;G'!AX25+Parent!AX18</f>
        <v>42.097122302158269</v>
      </c>
      <c r="AY25" s="342">
        <f>+Power!AY18+'PSE&amp;G'!AY25+Parent!AY18</f>
        <v>34.147482014388487</v>
      </c>
      <c r="AZ25" s="342">
        <f>+Power!AZ18+'PSE&amp;G'!AZ25+Parent!AZ18</f>
        <v>16.860568687906817</v>
      </c>
      <c r="BA25" s="395">
        <f>+Power!BA18+'PSE&amp;G'!BA25+Parent!BA18</f>
        <v>10.164268585131893</v>
      </c>
      <c r="BB25" s="77">
        <f>SUM(AX25:BA25)</f>
        <v>103.26944158958547</v>
      </c>
      <c r="BC25" s="394">
        <f>+Power!BC18+'PSE&amp;G'!BC25+Parent!BC18</f>
        <v>41.89157245632066</v>
      </c>
      <c r="BD25" s="342">
        <f>+Power!BD18+'PSE&amp;G'!BD25+Parent!BD18</f>
        <v>33.967625899280577</v>
      </c>
      <c r="BE25" s="342">
        <f>+Power!BE18+'PSE&amp;G'!BE25+Parent!BE18</f>
        <v>31.967625899280577</v>
      </c>
      <c r="BF25" s="395">
        <f>+Power!BF18+'PSE&amp;G'!BF25+Parent!BF18</f>
        <v>9.9929770469338806</v>
      </c>
      <c r="BG25" s="77">
        <f>SUM(BC25:BF25)</f>
        <v>117.81980130181569</v>
      </c>
      <c r="BH25" s="394">
        <f>+Power!BH18+'PSE&amp;G'!BH25+Parent!BH18</f>
        <v>41.56269270298047</v>
      </c>
      <c r="BI25" s="342">
        <f>+Power!BI18+'PSE&amp;G'!BI25+Parent!BI18</f>
        <v>33.67985611510791</v>
      </c>
      <c r="BJ25" s="342">
        <f>+Power!BJ18+'PSE&amp;G'!BJ25+Parent!BJ18</f>
        <v>31.67985611510791</v>
      </c>
      <c r="BK25" s="395">
        <f>+Power!BK18+'PSE&amp;G'!BK25+Parent!BK18</f>
        <v>9.7189105858170564</v>
      </c>
      <c r="BL25" s="77">
        <f>SUM(BH25:BK25)</f>
        <v>116.64131551901335</v>
      </c>
      <c r="BM25" s="394">
        <f>+Power!BM18+'PSE&amp;G'!BM25+Parent!BM18</f>
        <v>31.945015416238437</v>
      </c>
      <c r="BN25" s="342">
        <f>+Power!BN18+'PSE&amp;G'!BN25+Parent!BN18</f>
        <v>29.514388489208631</v>
      </c>
      <c r="BO25" s="342">
        <f>+Power!BO18+'PSE&amp;G'!BO25+Parent!BO18</f>
        <v>29.514388489208631</v>
      </c>
      <c r="BP25" s="395">
        <f>+Power!BP18+'PSE&amp;G'!BP25+Parent!BP18</f>
        <v>28.704179513532029</v>
      </c>
      <c r="BQ25" s="77">
        <f>SUM(BM25:BP25)</f>
        <v>119.67797190818773</v>
      </c>
      <c r="BR25" s="26"/>
      <c r="CL25"/>
      <c r="CM25"/>
      <c r="CN25"/>
      <c r="CO25"/>
      <c r="CP25"/>
      <c r="CQ25"/>
    </row>
    <row r="26" spans="1:95" s="2" customFormat="1">
      <c r="A26" s="1523"/>
      <c r="E26" s="509"/>
      <c r="F26" s="480"/>
      <c r="G26" s="480"/>
      <c r="H26" s="481"/>
      <c r="I26" s="463"/>
      <c r="J26" s="509"/>
      <c r="K26" s="480"/>
      <c r="L26" s="480"/>
      <c r="M26" s="481"/>
      <c r="N26" s="463"/>
      <c r="O26" s="509"/>
      <c r="P26" s="480"/>
      <c r="Q26" s="480"/>
      <c r="R26" s="481"/>
      <c r="S26" s="463"/>
      <c r="T26" s="509"/>
      <c r="U26" s="480"/>
      <c r="V26" s="348"/>
      <c r="W26" s="481"/>
      <c r="X26" s="77"/>
      <c r="Y26" s="394"/>
      <c r="Z26" s="342"/>
      <c r="AA26" s="342"/>
      <c r="AB26" s="395"/>
      <c r="AC26" s="77"/>
      <c r="AD26" s="394"/>
      <c r="AE26" s="342"/>
      <c r="AF26" s="342"/>
      <c r="AG26" s="395"/>
      <c r="AH26" s="77"/>
      <c r="AI26" s="394"/>
      <c r="AJ26" s="342"/>
      <c r="AK26" s="342"/>
      <c r="AL26" s="395"/>
      <c r="AM26" s="77"/>
      <c r="AN26" s="394"/>
      <c r="AO26" s="342"/>
      <c r="AP26" s="480"/>
      <c r="AQ26" s="395"/>
      <c r="AR26" s="77"/>
      <c r="AS26" s="394"/>
      <c r="AT26" s="342"/>
      <c r="AU26" s="480"/>
      <c r="AV26" s="395"/>
      <c r="AW26" s="77"/>
      <c r="AX26" s="509"/>
      <c r="AY26" s="480"/>
      <c r="AZ26" s="480"/>
      <c r="BA26" s="481"/>
      <c r="BB26" s="463"/>
      <c r="BC26" s="509"/>
      <c r="BD26" s="480"/>
      <c r="BE26" s="480"/>
      <c r="BF26" s="481"/>
      <c r="BG26" s="463"/>
      <c r="BH26" s="509"/>
      <c r="BI26" s="480"/>
      <c r="BJ26" s="480"/>
      <c r="BK26" s="481"/>
      <c r="BL26" s="463"/>
      <c r="BM26" s="509"/>
      <c r="BN26" s="480"/>
      <c r="BO26" s="480"/>
      <c r="BP26" s="481"/>
      <c r="BQ26" s="463"/>
      <c r="BR26" s="3"/>
      <c r="CL26"/>
      <c r="CM26"/>
      <c r="CN26"/>
      <c r="CO26"/>
      <c r="CP26"/>
      <c r="CQ26"/>
    </row>
    <row r="27" spans="1:95" s="2" customFormat="1">
      <c r="A27" s="1523"/>
      <c r="C27" s="49" t="s">
        <v>545</v>
      </c>
      <c r="E27" s="396">
        <f t="shared" ref="E27:Y27" si="19">E22+E25</f>
        <v>893</v>
      </c>
      <c r="F27" s="343">
        <f t="shared" si="19"/>
        <v>684</v>
      </c>
      <c r="G27" s="343">
        <f t="shared" si="19"/>
        <v>954</v>
      </c>
      <c r="H27" s="397">
        <f t="shared" si="19"/>
        <v>632</v>
      </c>
      <c r="I27" s="297">
        <f t="shared" si="19"/>
        <v>3163</v>
      </c>
      <c r="J27" s="396">
        <f t="shared" si="19"/>
        <v>963.25</v>
      </c>
      <c r="K27" s="343">
        <f t="shared" si="19"/>
        <v>472.25</v>
      </c>
      <c r="L27" s="343">
        <f t="shared" si="19"/>
        <v>1069</v>
      </c>
      <c r="M27" s="397">
        <f t="shared" si="19"/>
        <v>583.5</v>
      </c>
      <c r="N27" s="297">
        <f t="shared" si="19"/>
        <v>3088</v>
      </c>
      <c r="O27" s="396">
        <f t="shared" si="19"/>
        <v>918</v>
      </c>
      <c r="P27" s="343">
        <f t="shared" si="19"/>
        <v>664</v>
      </c>
      <c r="Q27" s="343">
        <f t="shared" si="19"/>
        <v>583</v>
      </c>
      <c r="R27" s="397">
        <f t="shared" si="19"/>
        <v>694</v>
      </c>
      <c r="S27" s="297">
        <f t="shared" si="19"/>
        <v>2859</v>
      </c>
      <c r="T27" s="396">
        <f t="shared" si="19"/>
        <v>806</v>
      </c>
      <c r="U27" s="343">
        <f t="shared" si="19"/>
        <v>460</v>
      </c>
      <c r="V27" s="343">
        <f t="shared" si="19"/>
        <v>694</v>
      </c>
      <c r="W27" s="397">
        <f t="shared" si="19"/>
        <v>474</v>
      </c>
      <c r="X27" s="297">
        <f t="shared" si="19"/>
        <v>2434</v>
      </c>
      <c r="Y27" s="396">
        <f t="shared" si="19"/>
        <v>642</v>
      </c>
      <c r="Z27" s="343">
        <f t="shared" ref="Z27:AE27" si="20">Z22+Z25</f>
        <v>652</v>
      </c>
      <c r="AA27" s="343">
        <f t="shared" si="20"/>
        <v>760</v>
      </c>
      <c r="AB27" s="397">
        <f t="shared" si="20"/>
        <v>403</v>
      </c>
      <c r="AC27" s="297">
        <f t="shared" si="20"/>
        <v>2457</v>
      </c>
      <c r="AD27" s="396">
        <f t="shared" si="20"/>
        <v>743</v>
      </c>
      <c r="AE27" s="343">
        <f t="shared" si="20"/>
        <v>418</v>
      </c>
      <c r="AF27" s="343">
        <f t="shared" ref="AF27:AK27" si="21">AF22+AF25</f>
        <v>805</v>
      </c>
      <c r="AG27" s="397">
        <f t="shared" si="21"/>
        <v>879</v>
      </c>
      <c r="AH27" s="297">
        <f t="shared" si="21"/>
        <v>2845</v>
      </c>
      <c r="AI27" s="396">
        <f t="shared" si="21"/>
        <v>1082</v>
      </c>
      <c r="AJ27" s="343">
        <f t="shared" si="21"/>
        <v>628</v>
      </c>
      <c r="AK27" s="343">
        <f t="shared" si="21"/>
        <v>820</v>
      </c>
      <c r="AL27" s="397">
        <f t="shared" ref="AL27:AR27" si="22">AL22+AL25</f>
        <v>543</v>
      </c>
      <c r="AM27" s="297">
        <f t="shared" si="22"/>
        <v>3073</v>
      </c>
      <c r="AN27" s="396">
        <f t="shared" si="22"/>
        <v>846</v>
      </c>
      <c r="AO27" s="343">
        <f t="shared" si="22"/>
        <v>375</v>
      </c>
      <c r="AP27" s="343">
        <f t="shared" si="22"/>
        <v>614</v>
      </c>
      <c r="AQ27" s="397">
        <f t="shared" si="22"/>
        <v>-152</v>
      </c>
      <c r="AR27" s="297">
        <f t="shared" si="22"/>
        <v>1683</v>
      </c>
      <c r="AS27" s="396">
        <f>AS22+AS25</f>
        <v>241</v>
      </c>
      <c r="AT27" s="343">
        <f>AT22+AT25</f>
        <v>259</v>
      </c>
      <c r="AU27" s="343">
        <f>AU22+AU25</f>
        <v>747</v>
      </c>
      <c r="AV27" s="397">
        <f>AV22+AV25</f>
        <v>412</v>
      </c>
      <c r="AW27" s="297">
        <f>AW22+AW25</f>
        <v>1659</v>
      </c>
      <c r="AX27" s="396">
        <f t="shared" ref="AX27:BL27" si="23">AX22+AX25</f>
        <v>806.22423508155305</v>
      </c>
      <c r="AY27" s="343">
        <f t="shared" si="23"/>
        <v>542.85147237216847</v>
      </c>
      <c r="AZ27" s="343">
        <f>AZ22+AZ25</f>
        <v>732.78075746102922</v>
      </c>
      <c r="BA27" s="397">
        <f t="shared" si="23"/>
        <v>490.17197338894658</v>
      </c>
      <c r="BB27" s="297">
        <f t="shared" si="23"/>
        <v>2572.0284383036974</v>
      </c>
      <c r="BC27" s="396">
        <f t="shared" si="23"/>
        <v>904.76502314314996</v>
      </c>
      <c r="BD27" s="343">
        <f t="shared" si="23"/>
        <v>671.80974957274111</v>
      </c>
      <c r="BE27" s="343">
        <f t="shared" si="23"/>
        <v>636.27024863087513</v>
      </c>
      <c r="BF27" s="397">
        <f t="shared" si="23"/>
        <v>470.80070632328989</v>
      </c>
      <c r="BG27" s="297">
        <f t="shared" si="23"/>
        <v>2683.6457276700539</v>
      </c>
      <c r="BH27" s="396">
        <f t="shared" si="23"/>
        <v>947.66509016644409</v>
      </c>
      <c r="BI27" s="343">
        <f t="shared" si="23"/>
        <v>653.94886797673985</v>
      </c>
      <c r="BJ27" s="343">
        <f t="shared" si="23"/>
        <v>689.95709419217178</v>
      </c>
      <c r="BK27" s="397">
        <f t="shared" si="23"/>
        <v>553.79327806981439</v>
      </c>
      <c r="BL27" s="297">
        <f t="shared" si="23"/>
        <v>2845.3643304051707</v>
      </c>
      <c r="BM27" s="396">
        <f>BM22+BM25</f>
        <v>985.60091273356875</v>
      </c>
      <c r="BN27" s="343">
        <f>BN22+BN25</f>
        <v>750.4386083808613</v>
      </c>
      <c r="BO27" s="343">
        <f>BO22+BO25</f>
        <v>755.68391368014454</v>
      </c>
      <c r="BP27" s="397">
        <f>BP22+BP25</f>
        <v>677.99014745574834</v>
      </c>
      <c r="BQ27" s="297">
        <f>BQ22+BQ25</f>
        <v>3169.7135822503224</v>
      </c>
      <c r="BR27" s="3"/>
      <c r="CL27"/>
      <c r="CM27"/>
      <c r="CN27"/>
      <c r="CO27"/>
      <c r="CP27"/>
      <c r="CQ27"/>
    </row>
    <row r="28" spans="1:95" s="2" customFormat="1">
      <c r="A28" s="1523"/>
      <c r="C28" s="49" t="s">
        <v>75</v>
      </c>
      <c r="E28" s="396">
        <f t="shared" ref="E28:AA28" si="24">E27+E15</f>
        <v>1100</v>
      </c>
      <c r="F28" s="343">
        <f t="shared" si="24"/>
        <v>887</v>
      </c>
      <c r="G28" s="343">
        <f t="shared" si="24"/>
        <v>1178</v>
      </c>
      <c r="H28" s="397">
        <f t="shared" si="24"/>
        <v>836</v>
      </c>
      <c r="I28" s="297">
        <f t="shared" si="24"/>
        <v>4001</v>
      </c>
      <c r="J28" s="396">
        <f t="shared" si="24"/>
        <v>1195.25</v>
      </c>
      <c r="K28" s="343">
        <f t="shared" si="24"/>
        <v>705.25</v>
      </c>
      <c r="L28" s="343">
        <f t="shared" si="24"/>
        <v>1334</v>
      </c>
      <c r="M28" s="397">
        <f t="shared" si="24"/>
        <v>808.5</v>
      </c>
      <c r="N28" s="297">
        <f t="shared" si="24"/>
        <v>4043</v>
      </c>
      <c r="O28" s="396">
        <f t="shared" si="24"/>
        <v>1159</v>
      </c>
      <c r="P28" s="343">
        <f t="shared" si="24"/>
        <v>899</v>
      </c>
      <c r="Q28" s="343">
        <f t="shared" si="24"/>
        <v>846</v>
      </c>
      <c r="R28" s="397">
        <f t="shared" si="24"/>
        <v>931</v>
      </c>
      <c r="S28" s="297">
        <f t="shared" si="24"/>
        <v>3835</v>
      </c>
      <c r="T28" s="396">
        <f t="shared" si="24"/>
        <v>1062</v>
      </c>
      <c r="U28" s="343">
        <f t="shared" si="24"/>
        <v>715</v>
      </c>
      <c r="V28" s="343">
        <f t="shared" si="24"/>
        <v>980</v>
      </c>
      <c r="W28" s="397">
        <f t="shared" si="24"/>
        <v>731</v>
      </c>
      <c r="X28" s="297">
        <f t="shared" si="24"/>
        <v>3488</v>
      </c>
      <c r="Y28" s="396">
        <f t="shared" si="24"/>
        <v>932</v>
      </c>
      <c r="Z28" s="343">
        <f t="shared" si="24"/>
        <v>935</v>
      </c>
      <c r="AA28" s="343">
        <f t="shared" si="24"/>
        <v>1073</v>
      </c>
      <c r="AB28" s="397">
        <f t="shared" ref="AB28:AI28" si="25">AB27+AB15</f>
        <v>695</v>
      </c>
      <c r="AC28" s="297">
        <f t="shared" si="25"/>
        <v>3635</v>
      </c>
      <c r="AD28" s="396">
        <f t="shared" si="25"/>
        <v>1049</v>
      </c>
      <c r="AE28" s="343">
        <f t="shared" si="25"/>
        <v>713</v>
      </c>
      <c r="AF28" s="343">
        <f t="shared" si="25"/>
        <v>1123</v>
      </c>
      <c r="AG28" s="397">
        <f t="shared" si="25"/>
        <v>1187</v>
      </c>
      <c r="AH28" s="297">
        <f t="shared" si="25"/>
        <v>4072</v>
      </c>
      <c r="AI28" s="396">
        <f t="shared" si="25"/>
        <v>1412</v>
      </c>
      <c r="AJ28" s="343">
        <f t="shared" ref="AJ28:AO28" si="26">AJ27+AJ15</f>
        <v>945</v>
      </c>
      <c r="AK28" s="343">
        <f t="shared" si="26"/>
        <v>1133</v>
      </c>
      <c r="AL28" s="397">
        <f t="shared" si="26"/>
        <v>797</v>
      </c>
      <c r="AM28" s="297">
        <f t="shared" si="26"/>
        <v>4287</v>
      </c>
      <c r="AN28" s="396">
        <f t="shared" si="26"/>
        <v>1070</v>
      </c>
      <c r="AO28" s="343">
        <f t="shared" si="26"/>
        <v>599</v>
      </c>
      <c r="AP28" s="343">
        <f t="shared" ref="AP28:AU28" si="27">AP27+AP15</f>
        <v>845</v>
      </c>
      <c r="AQ28" s="397">
        <f t="shared" si="27"/>
        <v>645</v>
      </c>
      <c r="AR28" s="297">
        <f t="shared" si="27"/>
        <v>3159</v>
      </c>
      <c r="AS28" s="396">
        <f t="shared" si="27"/>
        <v>1069</v>
      </c>
      <c r="AT28" s="343">
        <f t="shared" si="27"/>
        <v>900</v>
      </c>
      <c r="AU28" s="343">
        <f t="shared" si="27"/>
        <v>999</v>
      </c>
      <c r="AV28" s="397">
        <f>AV27+AV15</f>
        <v>677</v>
      </c>
      <c r="AW28" s="297">
        <f>AW27+AW15</f>
        <v>3645</v>
      </c>
      <c r="AX28" s="396">
        <f t="shared" ref="AX28:BL28" si="28">AX27+AX15</f>
        <v>1039.6506833260848</v>
      </c>
      <c r="AY28" s="343">
        <f t="shared" si="28"/>
        <v>781.23608293909956</v>
      </c>
      <c r="AZ28" s="343">
        <f>AZ27+AZ15</f>
        <v>975.88005631568615</v>
      </c>
      <c r="BA28" s="397">
        <f t="shared" si="28"/>
        <v>733.27127224360356</v>
      </c>
      <c r="BB28" s="297">
        <f t="shared" si="28"/>
        <v>3530.0380948244742</v>
      </c>
      <c r="BC28" s="396">
        <f t="shared" si="28"/>
        <v>1151.5839345506085</v>
      </c>
      <c r="BD28" s="343">
        <f t="shared" si="28"/>
        <v>922.42864103529985</v>
      </c>
      <c r="BE28" s="343">
        <f t="shared" si="28"/>
        <v>890.55784031070357</v>
      </c>
      <c r="BF28" s="397">
        <f t="shared" si="28"/>
        <v>728.73147860022539</v>
      </c>
      <c r="BG28" s="297">
        <f t="shared" si="28"/>
        <v>3693.3018944968353</v>
      </c>
      <c r="BH28" s="396">
        <f t="shared" si="28"/>
        <v>1207.2738725754944</v>
      </c>
      <c r="BI28" s="343">
        <f t="shared" si="28"/>
        <v>917.06874785179502</v>
      </c>
      <c r="BJ28" s="343">
        <f t="shared" si="28"/>
        <v>956.39836854980626</v>
      </c>
      <c r="BK28" s="397">
        <f t="shared" si="28"/>
        <v>823.53346972872839</v>
      </c>
      <c r="BL28" s="297">
        <f t="shared" si="28"/>
        <v>3904.2744587058246</v>
      </c>
      <c r="BM28" s="396">
        <f>BM27+BM15</f>
        <v>1256.8075865232472</v>
      </c>
      <c r="BN28" s="343">
        <f>BN27+BN15</f>
        <v>1025.9487599877157</v>
      </c>
      <c r="BO28" s="343">
        <f>BO27+BO15</f>
        <v>1033.6608003146721</v>
      </c>
      <c r="BP28" s="397">
        <f>BP27+BP15</f>
        <v>958.41736126841784</v>
      </c>
      <c r="BQ28" s="297">
        <f>BQ27+BQ15</f>
        <v>4274.8345080940526</v>
      </c>
      <c r="BR28" s="3"/>
      <c r="CL28"/>
      <c r="CM28"/>
      <c r="CN28"/>
      <c r="CO28"/>
      <c r="CP28"/>
      <c r="CQ28"/>
    </row>
    <row r="29" spans="1:95" s="2" customFormat="1">
      <c r="A29" s="1523"/>
      <c r="E29" s="509"/>
      <c r="F29" s="480"/>
      <c r="G29" s="480"/>
      <c r="H29" s="481"/>
      <c r="I29" s="463"/>
      <c r="J29" s="509"/>
      <c r="K29" s="480"/>
      <c r="L29" s="480"/>
      <c r="M29" s="481"/>
      <c r="N29" s="463"/>
      <c r="O29" s="509"/>
      <c r="P29" s="480"/>
      <c r="Q29" s="480"/>
      <c r="R29" s="481"/>
      <c r="S29" s="463"/>
      <c r="T29" s="509"/>
      <c r="U29" s="480"/>
      <c r="V29" s="348"/>
      <c r="W29" s="481"/>
      <c r="X29" s="77"/>
      <c r="Y29" s="394"/>
      <c r="Z29" s="342"/>
      <c r="AA29" s="342"/>
      <c r="AB29" s="395"/>
      <c r="AC29" s="77"/>
      <c r="AD29" s="394"/>
      <c r="AE29" s="342"/>
      <c r="AF29" s="342"/>
      <c r="AG29" s="395"/>
      <c r="AH29" s="77"/>
      <c r="AI29" s="394"/>
      <c r="AJ29" s="342"/>
      <c r="AK29" s="342"/>
      <c r="AL29" s="395"/>
      <c r="AM29" s="77"/>
      <c r="AN29" s="394"/>
      <c r="AO29" s="342"/>
      <c r="AP29" s="480"/>
      <c r="AQ29" s="395"/>
      <c r="AR29" s="77"/>
      <c r="AS29" s="394"/>
      <c r="AT29" s="342"/>
      <c r="AU29" s="480"/>
      <c r="AV29" s="395"/>
      <c r="AW29" s="77"/>
      <c r="AX29" s="509"/>
      <c r="AY29" s="480"/>
      <c r="AZ29" s="480"/>
      <c r="BA29" s="481"/>
      <c r="BB29" s="463"/>
      <c r="BC29" s="509"/>
      <c r="BD29" s="480"/>
      <c r="BE29" s="480"/>
      <c r="BF29" s="481"/>
      <c r="BG29" s="463"/>
      <c r="BH29" s="509"/>
      <c r="BI29" s="480"/>
      <c r="BJ29" s="480"/>
      <c r="BK29" s="481"/>
      <c r="BL29" s="463"/>
      <c r="BM29" s="509"/>
      <c r="BN29" s="480"/>
      <c r="BO29" s="480"/>
      <c r="BP29" s="481"/>
      <c r="BQ29" s="463"/>
      <c r="BR29" s="3"/>
      <c r="CL29"/>
      <c r="CM29"/>
      <c r="CN29"/>
      <c r="CO29"/>
      <c r="CP29"/>
      <c r="CQ29"/>
    </row>
    <row r="30" spans="1:95" s="37" customFormat="1">
      <c r="C30" s="37" t="s">
        <v>89</v>
      </c>
      <c r="E30" s="456">
        <v>145</v>
      </c>
      <c r="F30" s="457">
        <v>133</v>
      </c>
      <c r="G30" s="457">
        <v>129</v>
      </c>
      <c r="H30" s="395">
        <f>I30-SUM(E30:G30)</f>
        <v>120</v>
      </c>
      <c r="I30" s="590">
        <v>527</v>
      </c>
      <c r="J30" s="456">
        <v>116</v>
      </c>
      <c r="K30" s="457">
        <v>120</v>
      </c>
      <c r="L30" s="457">
        <v>120</v>
      </c>
      <c r="M30" s="395">
        <f>N30-SUM(J30:L30)</f>
        <v>116</v>
      </c>
      <c r="N30" s="590">
        <v>472</v>
      </c>
      <c r="O30" s="456">
        <v>127</v>
      </c>
      <c r="P30" s="457">
        <v>117</v>
      </c>
      <c r="Q30" s="457">
        <v>117</v>
      </c>
      <c r="R30" s="395">
        <f>S30-SUM(O30:Q30)</f>
        <v>114</v>
      </c>
      <c r="S30" s="590">
        <v>475</v>
      </c>
      <c r="T30" s="456">
        <v>101</v>
      </c>
      <c r="U30" s="457">
        <v>103</v>
      </c>
      <c r="V30" s="457">
        <v>106</v>
      </c>
      <c r="W30" s="395">
        <f>X30-SUM(T30:V30)</f>
        <v>113</v>
      </c>
      <c r="X30" s="462">
        <v>423</v>
      </c>
      <c r="Y30" s="459">
        <v>102</v>
      </c>
      <c r="Z30" s="460">
        <v>101</v>
      </c>
      <c r="AA30" s="460">
        <v>100</v>
      </c>
      <c r="AB30" s="395">
        <f>AC30-SUM(Y30:AA30)</f>
        <v>99</v>
      </c>
      <c r="AC30" s="462">
        <v>402</v>
      </c>
      <c r="AD30" s="459">
        <v>97</v>
      </c>
      <c r="AE30" s="460">
        <v>94</v>
      </c>
      <c r="AF30" s="460">
        <v>100</v>
      </c>
      <c r="AG30" s="395">
        <f>AH30-SUM(AD30:AF30)</f>
        <v>98</v>
      </c>
      <c r="AH30" s="462">
        <v>389</v>
      </c>
      <c r="AI30" s="459">
        <v>98</v>
      </c>
      <c r="AJ30" s="460">
        <v>97</v>
      </c>
      <c r="AK30" s="460">
        <v>96</v>
      </c>
      <c r="AL30" s="395">
        <f>AM30-SUM(AI30:AK30)</f>
        <v>102</v>
      </c>
      <c r="AM30" s="462">
        <v>393</v>
      </c>
      <c r="AN30" s="459">
        <v>92</v>
      </c>
      <c r="AO30" s="460">
        <v>97</v>
      </c>
      <c r="AP30" s="460">
        <v>99</v>
      </c>
      <c r="AQ30" s="395">
        <f>AR30-SUM(AN30:AP30)</f>
        <v>97</v>
      </c>
      <c r="AR30" s="462">
        <v>385</v>
      </c>
      <c r="AS30" s="459">
        <v>98</v>
      </c>
      <c r="AT30" s="460">
        <v>91</v>
      </c>
      <c r="AU30" s="460">
        <v>100</v>
      </c>
      <c r="AV30" s="395">
        <f>AW30-SUM(AS30:AU30)</f>
        <v>102</v>
      </c>
      <c r="AW30" s="462">
        <v>391</v>
      </c>
      <c r="AX30" s="394">
        <f>+AS30+AX89</f>
        <v>119.56</v>
      </c>
      <c r="AY30" s="342">
        <f>+AT30+AY89</f>
        <v>116.66545126852336</v>
      </c>
      <c r="AZ30" s="342">
        <f>+AU30+AZ89</f>
        <v>127.22409435981483</v>
      </c>
      <c r="BA30" s="395">
        <f>+AV30+BA89</f>
        <v>125.5657610264815</v>
      </c>
      <c r="BB30" s="77">
        <f>SUM(AX30:BA30)</f>
        <v>489.01530665481965</v>
      </c>
      <c r="BC30" s="394">
        <f>+AX30+BC89</f>
        <v>134.48977514508397</v>
      </c>
      <c r="BD30" s="342">
        <f>+AY30+BD89</f>
        <v>135.59573828450993</v>
      </c>
      <c r="BE30" s="342">
        <f>+AY30+BE89</f>
        <v>147.35366313476464</v>
      </c>
      <c r="BF30" s="395">
        <f>+BA30+BF89</f>
        <v>151.74795717119241</v>
      </c>
      <c r="BG30" s="77">
        <f>SUM(BC30:BF30)</f>
        <v>569.18713373555101</v>
      </c>
      <c r="BH30" s="394">
        <f>+BC30+BH89</f>
        <v>162.62581259333231</v>
      </c>
      <c r="BI30" s="342">
        <f>+BD30+BI89</f>
        <v>158.84793054392873</v>
      </c>
      <c r="BJ30" s="342">
        <f>+BE30+BJ89</f>
        <v>163.21813061778494</v>
      </c>
      <c r="BK30" s="395">
        <f>+BF30+BK89</f>
        <v>166.42951325781576</v>
      </c>
      <c r="BL30" s="77">
        <f>SUM(BH30:BK30)</f>
        <v>651.12138701286176</v>
      </c>
      <c r="BM30" s="394">
        <f>+BH30+BM89</f>
        <v>178.07559885222946</v>
      </c>
      <c r="BN30" s="342">
        <f>+BI30+BN89</f>
        <v>176.87340623457146</v>
      </c>
      <c r="BO30" s="342">
        <f>+BJ30+BO89</f>
        <v>183.72567172342417</v>
      </c>
      <c r="BP30" s="395">
        <f>+BK30+BP89</f>
        <v>180.97440072456112</v>
      </c>
      <c r="BQ30" s="77">
        <f>SUM(BM30:BP30)</f>
        <v>719.6490775347861</v>
      </c>
      <c r="BR30" s="26"/>
      <c r="BS30" s="77"/>
      <c r="BT30" s="77"/>
      <c r="BU30" s="77"/>
      <c r="BV30" s="77"/>
      <c r="BW30" s="77"/>
      <c r="BX30" s="77"/>
      <c r="BY30" s="77"/>
      <c r="BZ30" s="77"/>
      <c r="CA30" s="77"/>
      <c r="CB30" s="77"/>
      <c r="CC30" s="77"/>
      <c r="CD30" s="77"/>
      <c r="CE30" s="77"/>
      <c r="CF30" s="77"/>
      <c r="CG30" s="77"/>
      <c r="CH30" s="77"/>
      <c r="CI30" s="77"/>
      <c r="CJ30" s="77"/>
      <c r="CK30" s="77"/>
      <c r="CL30"/>
      <c r="CM30"/>
      <c r="CN30"/>
      <c r="CO30"/>
      <c r="CP30"/>
      <c r="CQ30"/>
    </row>
    <row r="31" spans="1:95" s="2" customFormat="1">
      <c r="A31" s="1523"/>
      <c r="C31" s="49"/>
      <c r="E31" s="509"/>
      <c r="F31" s="480"/>
      <c r="G31" s="480"/>
      <c r="H31" s="481"/>
      <c r="I31" s="463"/>
      <c r="J31" s="509"/>
      <c r="K31" s="480"/>
      <c r="L31" s="480"/>
      <c r="M31" s="481"/>
      <c r="N31" s="463"/>
      <c r="O31" s="509"/>
      <c r="P31" s="480"/>
      <c r="Q31" s="480"/>
      <c r="R31" s="481"/>
      <c r="S31" s="463"/>
      <c r="T31" s="509"/>
      <c r="U31" s="480"/>
      <c r="V31" s="348"/>
      <c r="W31" s="481"/>
      <c r="X31" s="77"/>
      <c r="Y31" s="394"/>
      <c r="Z31" s="342"/>
      <c r="AA31" s="342"/>
      <c r="AB31" s="395"/>
      <c r="AC31" s="77"/>
      <c r="AD31" s="394"/>
      <c r="AE31" s="342"/>
      <c r="AF31" s="342"/>
      <c r="AG31" s="395"/>
      <c r="AH31" s="77"/>
      <c r="AI31" s="394"/>
      <c r="AJ31" s="342"/>
      <c r="AK31" s="342"/>
      <c r="AL31" s="395"/>
      <c r="AM31" s="77"/>
      <c r="AN31" s="394"/>
      <c r="AO31" s="342"/>
      <c r="AP31" s="480"/>
      <c r="AQ31" s="395"/>
      <c r="AR31" s="77"/>
      <c r="AS31" s="394"/>
      <c r="AT31" s="342"/>
      <c r="AU31" s="480"/>
      <c r="AV31" s="395"/>
      <c r="AW31" s="77"/>
      <c r="AX31" s="509"/>
      <c r="AY31" s="480"/>
      <c r="AZ31" s="480"/>
      <c r="BA31" s="481"/>
      <c r="BB31" s="463"/>
      <c r="BC31" s="509"/>
      <c r="BD31" s="480"/>
      <c r="BE31" s="480"/>
      <c r="BF31" s="481"/>
      <c r="BG31" s="463"/>
      <c r="BH31" s="509"/>
      <c r="BI31" s="480"/>
      <c r="BJ31" s="480"/>
      <c r="BK31" s="481"/>
      <c r="BL31" s="463"/>
      <c r="BM31" s="509"/>
      <c r="BN31" s="480"/>
      <c r="BO31" s="480"/>
      <c r="BP31" s="481"/>
      <c r="BQ31" s="463"/>
      <c r="BR31" s="3"/>
      <c r="CL31"/>
      <c r="CM31"/>
      <c r="CN31"/>
      <c r="CO31"/>
      <c r="CP31"/>
      <c r="CQ31"/>
    </row>
    <row r="32" spans="1:95" s="2" customFormat="1">
      <c r="A32" s="1523"/>
      <c r="C32" s="49" t="s">
        <v>625</v>
      </c>
      <c r="E32" s="396">
        <f>E27-E30</f>
        <v>748</v>
      </c>
      <c r="F32" s="343">
        <f t="shared" ref="F32:V32" si="29">F27-F30</f>
        <v>551</v>
      </c>
      <c r="G32" s="343">
        <f t="shared" si="29"/>
        <v>825</v>
      </c>
      <c r="H32" s="397">
        <f t="shared" si="29"/>
        <v>512</v>
      </c>
      <c r="I32" s="297">
        <f t="shared" si="29"/>
        <v>2636</v>
      </c>
      <c r="J32" s="396">
        <f t="shared" si="29"/>
        <v>847.25</v>
      </c>
      <c r="K32" s="343">
        <f t="shared" si="29"/>
        <v>352.25</v>
      </c>
      <c r="L32" s="343">
        <f t="shared" si="29"/>
        <v>949</v>
      </c>
      <c r="M32" s="397">
        <f t="shared" si="29"/>
        <v>467.5</v>
      </c>
      <c r="N32" s="297">
        <f t="shared" si="29"/>
        <v>2616</v>
      </c>
      <c r="O32" s="396">
        <f t="shared" si="29"/>
        <v>791</v>
      </c>
      <c r="P32" s="343">
        <f t="shared" si="29"/>
        <v>547</v>
      </c>
      <c r="Q32" s="343">
        <f t="shared" si="29"/>
        <v>466</v>
      </c>
      <c r="R32" s="397">
        <f t="shared" si="29"/>
        <v>580</v>
      </c>
      <c r="S32" s="297">
        <f t="shared" si="29"/>
        <v>2384</v>
      </c>
      <c r="T32" s="396">
        <f t="shared" si="29"/>
        <v>705</v>
      </c>
      <c r="U32" s="343">
        <f t="shared" si="29"/>
        <v>357</v>
      </c>
      <c r="V32" s="343">
        <f t="shared" si="29"/>
        <v>588</v>
      </c>
      <c r="W32" s="397">
        <f t="shared" ref="W32:AE32" si="30">W27-W30</f>
        <v>361</v>
      </c>
      <c r="X32" s="297">
        <f t="shared" si="30"/>
        <v>2011</v>
      </c>
      <c r="Y32" s="396">
        <f t="shared" si="30"/>
        <v>540</v>
      </c>
      <c r="Z32" s="343">
        <f t="shared" si="30"/>
        <v>551</v>
      </c>
      <c r="AA32" s="343">
        <f t="shared" si="30"/>
        <v>660</v>
      </c>
      <c r="AB32" s="397">
        <f t="shared" si="30"/>
        <v>304</v>
      </c>
      <c r="AC32" s="297">
        <f t="shared" si="30"/>
        <v>2055</v>
      </c>
      <c r="AD32" s="396">
        <f t="shared" si="30"/>
        <v>646</v>
      </c>
      <c r="AE32" s="343">
        <f t="shared" si="30"/>
        <v>324</v>
      </c>
      <c r="AF32" s="343">
        <f t="shared" ref="AF32:AK32" si="31">AF27-AF30</f>
        <v>705</v>
      </c>
      <c r="AG32" s="397">
        <f t="shared" si="31"/>
        <v>781</v>
      </c>
      <c r="AH32" s="297">
        <f t="shared" si="31"/>
        <v>2456</v>
      </c>
      <c r="AI32" s="396">
        <f t="shared" si="31"/>
        <v>984</v>
      </c>
      <c r="AJ32" s="343">
        <f t="shared" si="31"/>
        <v>531</v>
      </c>
      <c r="AK32" s="343">
        <f t="shared" si="31"/>
        <v>724</v>
      </c>
      <c r="AL32" s="397">
        <f t="shared" ref="AL32:AR32" si="32">AL27-AL30</f>
        <v>441</v>
      </c>
      <c r="AM32" s="297">
        <f t="shared" si="32"/>
        <v>2680</v>
      </c>
      <c r="AN32" s="396">
        <f t="shared" si="32"/>
        <v>754</v>
      </c>
      <c r="AO32" s="343">
        <f t="shared" si="32"/>
        <v>278</v>
      </c>
      <c r="AP32" s="343">
        <f t="shared" si="32"/>
        <v>515</v>
      </c>
      <c r="AQ32" s="397">
        <f t="shared" si="32"/>
        <v>-249</v>
      </c>
      <c r="AR32" s="297">
        <f t="shared" si="32"/>
        <v>1298</v>
      </c>
      <c r="AS32" s="396">
        <f t="shared" ref="AS32:AY32" si="33">AS27-AS30</f>
        <v>143</v>
      </c>
      <c r="AT32" s="343">
        <f t="shared" si="33"/>
        <v>168</v>
      </c>
      <c r="AU32" s="343">
        <f t="shared" si="33"/>
        <v>647</v>
      </c>
      <c r="AV32" s="397">
        <f t="shared" si="33"/>
        <v>310</v>
      </c>
      <c r="AW32" s="297">
        <f t="shared" si="33"/>
        <v>1268</v>
      </c>
      <c r="AX32" s="396">
        <f t="shared" si="33"/>
        <v>686.66423508155299</v>
      </c>
      <c r="AY32" s="343">
        <f t="shared" si="33"/>
        <v>426.18602110364509</v>
      </c>
      <c r="AZ32" s="343">
        <f>AZ27-AZ30</f>
        <v>605.55666310121444</v>
      </c>
      <c r="BA32" s="397">
        <f>BA27-BA30</f>
        <v>364.6062123624651</v>
      </c>
      <c r="BB32" s="297">
        <f>BB27-BB30</f>
        <v>2083.0131316488778</v>
      </c>
      <c r="BC32" s="396">
        <f t="shared" ref="BC32:BL32" si="34">BC27-BC30</f>
        <v>770.27524799806599</v>
      </c>
      <c r="BD32" s="343">
        <f t="shared" si="34"/>
        <v>536.21401128823118</v>
      </c>
      <c r="BE32" s="343">
        <f t="shared" si="34"/>
        <v>488.91658549611049</v>
      </c>
      <c r="BF32" s="397">
        <f t="shared" si="34"/>
        <v>319.05274915209748</v>
      </c>
      <c r="BG32" s="297">
        <f t="shared" si="34"/>
        <v>2114.4585939345029</v>
      </c>
      <c r="BH32" s="396">
        <f t="shared" si="34"/>
        <v>785.0392775731118</v>
      </c>
      <c r="BI32" s="343">
        <f t="shared" si="34"/>
        <v>495.10093743281112</v>
      </c>
      <c r="BJ32" s="343">
        <f t="shared" si="34"/>
        <v>526.73896357438684</v>
      </c>
      <c r="BK32" s="397">
        <f t="shared" si="34"/>
        <v>387.36376481199864</v>
      </c>
      <c r="BL32" s="297">
        <f t="shared" si="34"/>
        <v>2194.2429433923089</v>
      </c>
      <c r="BM32" s="396">
        <f>BM27-BM30</f>
        <v>807.52531388133934</v>
      </c>
      <c r="BN32" s="343">
        <f>BN27-BN30</f>
        <v>573.56520214628983</v>
      </c>
      <c r="BO32" s="343">
        <f>BO27-BO30</f>
        <v>571.95824195672037</v>
      </c>
      <c r="BP32" s="397">
        <f>BP27-BP30</f>
        <v>497.01574673118722</v>
      </c>
      <c r="BQ32" s="297">
        <f>BQ27-BQ30</f>
        <v>2450.0645047155363</v>
      </c>
      <c r="BR32" s="3"/>
      <c r="CL32"/>
      <c r="CM32"/>
      <c r="CN32"/>
      <c r="CO32"/>
      <c r="CP32"/>
      <c r="CQ32"/>
    </row>
    <row r="33" spans="1:95" s="2" customFormat="1">
      <c r="A33" s="1523"/>
      <c r="C33" s="49"/>
      <c r="E33" s="509"/>
      <c r="F33" s="480"/>
      <c r="G33" s="480"/>
      <c r="H33" s="481"/>
      <c r="I33" s="463"/>
      <c r="J33" s="509"/>
      <c r="K33" s="480"/>
      <c r="L33" s="480"/>
      <c r="M33" s="481"/>
      <c r="N33" s="463"/>
      <c r="O33" s="509"/>
      <c r="P33" s="480"/>
      <c r="Q33" s="480"/>
      <c r="R33" s="481"/>
      <c r="S33" s="463"/>
      <c r="T33" s="509"/>
      <c r="U33" s="480"/>
      <c r="V33" s="348"/>
      <c r="W33" s="481"/>
      <c r="X33" s="77"/>
      <c r="Y33" s="394"/>
      <c r="Z33" s="342"/>
      <c r="AA33" s="342"/>
      <c r="AB33" s="395"/>
      <c r="AC33" s="77"/>
      <c r="AD33" s="394"/>
      <c r="AE33" s="342"/>
      <c r="AF33" s="342"/>
      <c r="AG33" s="395"/>
      <c r="AH33" s="77"/>
      <c r="AI33" s="394"/>
      <c r="AJ33" s="342"/>
      <c r="AK33" s="342"/>
      <c r="AL33" s="395"/>
      <c r="AM33" s="77"/>
      <c r="AN33" s="394"/>
      <c r="AO33" s="342"/>
      <c r="AP33" s="480"/>
      <c r="AQ33" s="395"/>
      <c r="AR33" s="77"/>
      <c r="AS33" s="394"/>
      <c r="AT33" s="342"/>
      <c r="AU33" s="480"/>
      <c r="AV33" s="395"/>
      <c r="AW33" s="77"/>
      <c r="AX33" s="509"/>
      <c r="AY33" s="480"/>
      <c r="AZ33" s="480"/>
      <c r="BA33" s="481"/>
      <c r="BB33" s="463"/>
      <c r="BC33" s="509"/>
      <c r="BD33" s="480"/>
      <c r="BE33" s="480"/>
      <c r="BF33" s="481"/>
      <c r="BG33" s="463"/>
      <c r="BH33" s="509"/>
      <c r="BI33" s="480"/>
      <c r="BJ33" s="480"/>
      <c r="BK33" s="481"/>
      <c r="BL33" s="463"/>
      <c r="BM33" s="509"/>
      <c r="BN33" s="480"/>
      <c r="BO33" s="480"/>
      <c r="BP33" s="481"/>
      <c r="BQ33" s="463"/>
      <c r="BR33" s="3"/>
      <c r="CL33"/>
      <c r="CM33"/>
      <c r="CN33"/>
      <c r="CO33"/>
      <c r="CP33"/>
      <c r="CQ33"/>
    </row>
    <row r="34" spans="1:95" s="2" customFormat="1">
      <c r="A34" s="1523"/>
      <c r="C34" s="2" t="s">
        <v>386</v>
      </c>
      <c r="E34" s="459">
        <v>304</v>
      </c>
      <c r="F34" s="460">
        <v>240</v>
      </c>
      <c r="G34" s="460">
        <v>337</v>
      </c>
      <c r="H34" s="395">
        <f>I34-SUM(E34:G34)</f>
        <v>163</v>
      </c>
      <c r="I34" s="462">
        <v>1044</v>
      </c>
      <c r="J34" s="459">
        <v>356</v>
      </c>
      <c r="K34" s="460">
        <v>128</v>
      </c>
      <c r="L34" s="460">
        <v>382</v>
      </c>
      <c r="M34" s="395">
        <f>N34-SUM(J34:L34)</f>
        <v>193</v>
      </c>
      <c r="N34" s="590">
        <v>1059</v>
      </c>
      <c r="O34" s="459">
        <v>329</v>
      </c>
      <c r="P34" s="460">
        <v>227</v>
      </c>
      <c r="Q34" s="460">
        <v>201</v>
      </c>
      <c r="R34" s="395">
        <f>S34-SUM(O34:Q34)</f>
        <v>221</v>
      </c>
      <c r="S34" s="590">
        <v>978</v>
      </c>
      <c r="T34" s="459">
        <v>212</v>
      </c>
      <c r="U34" s="460">
        <v>146</v>
      </c>
      <c r="V34" s="460">
        <v>241</v>
      </c>
      <c r="W34" s="395">
        <f>X34-SUM(T34:V34)</f>
        <v>137</v>
      </c>
      <c r="X34" s="462">
        <v>736</v>
      </c>
      <c r="Y34" s="459">
        <v>220</v>
      </c>
      <c r="Z34" s="460">
        <v>218</v>
      </c>
      <c r="AA34" s="460">
        <v>270</v>
      </c>
      <c r="AB34" s="395">
        <f>AC34-SUM(Y34:AA34)</f>
        <v>104</v>
      </c>
      <c r="AC34" s="462">
        <v>812</v>
      </c>
      <c r="AD34" s="459">
        <v>260</v>
      </c>
      <c r="AE34" s="460">
        <v>112</v>
      </c>
      <c r="AF34" s="460">
        <v>261</v>
      </c>
      <c r="AG34" s="395">
        <f>AH34-SUM(AD34:AF34)</f>
        <v>305</v>
      </c>
      <c r="AH34" s="462">
        <v>938</v>
      </c>
      <c r="AI34" s="459">
        <v>398</v>
      </c>
      <c r="AJ34" s="460">
        <v>186</v>
      </c>
      <c r="AK34" s="460">
        <v>285</v>
      </c>
      <c r="AL34" s="395">
        <f>AM34-SUM(AI34:AK34)</f>
        <v>132</v>
      </c>
      <c r="AM34" s="462">
        <v>1001</v>
      </c>
      <c r="AN34" s="459">
        <v>283</v>
      </c>
      <c r="AO34" s="460">
        <v>91</v>
      </c>
      <c r="AP34" s="460">
        <v>188</v>
      </c>
      <c r="AQ34" s="395">
        <f>AR34-SUM(AN34:AP34)</f>
        <v>-151</v>
      </c>
      <c r="AR34" s="462">
        <v>411</v>
      </c>
      <c r="AS34" s="459">
        <v>29</v>
      </c>
      <c r="AT34" s="460">
        <v>59</v>
      </c>
      <c r="AU34" s="460">
        <v>252</v>
      </c>
      <c r="AV34" s="395">
        <f>AW34-SUM(AS34:AU34)</f>
        <v>-646</v>
      </c>
      <c r="AW34" s="462">
        <v>-306</v>
      </c>
      <c r="AX34" s="509">
        <f>AX32*AX94</f>
        <v>157.9327740687572</v>
      </c>
      <c r="AY34" s="480">
        <f>AY32*AY94</f>
        <v>98.022784853838374</v>
      </c>
      <c r="AZ34" s="480">
        <f>AZ32*AZ94</f>
        <v>139.27803251327933</v>
      </c>
      <c r="BA34" s="481">
        <f>BA32*BA94</f>
        <v>83.85942884336697</v>
      </c>
      <c r="BB34" s="463">
        <f>SUM(AX34:BA34)</f>
        <v>479.0930202792419</v>
      </c>
      <c r="BC34" s="509">
        <f>BC32*BC94</f>
        <v>177.16330703955518</v>
      </c>
      <c r="BD34" s="480">
        <f>BD32*BD94</f>
        <v>123.32922259629318</v>
      </c>
      <c r="BE34" s="480">
        <f>BE32*BE94</f>
        <v>112.45081466410542</v>
      </c>
      <c r="BF34" s="481">
        <f>BF32*BF94</f>
        <v>73.38213230498242</v>
      </c>
      <c r="BG34" s="463">
        <f>SUM(BC34:BF34)</f>
        <v>486.32547660493617</v>
      </c>
      <c r="BH34" s="509">
        <f>BH32*BH94</f>
        <v>180.55903384181573</v>
      </c>
      <c r="BI34" s="480">
        <f>BI32*BI94</f>
        <v>113.87321560954656</v>
      </c>
      <c r="BJ34" s="480">
        <f>BJ32*BJ94</f>
        <v>121.14996162210898</v>
      </c>
      <c r="BK34" s="481">
        <f>BK32*BK94</f>
        <v>89.093665906759696</v>
      </c>
      <c r="BL34" s="463">
        <f>SUM(BH34:BK34)</f>
        <v>504.67587698023101</v>
      </c>
      <c r="BM34" s="509">
        <f>BM32*BM94</f>
        <v>185.73082219270805</v>
      </c>
      <c r="BN34" s="480">
        <f>BN32*BN94</f>
        <v>131.91999649364666</v>
      </c>
      <c r="BO34" s="480">
        <f>BO32*BO94</f>
        <v>131.55039565004569</v>
      </c>
      <c r="BP34" s="481">
        <f>BP32*BP94</f>
        <v>114.31362174817306</v>
      </c>
      <c r="BQ34" s="463">
        <f>SUM(BM34:BP34)</f>
        <v>563.5148360845734</v>
      </c>
      <c r="BR34" s="3"/>
      <c r="CL34"/>
      <c r="CM34"/>
      <c r="CN34"/>
      <c r="CO34"/>
      <c r="CP34"/>
      <c r="CQ34"/>
    </row>
    <row r="35" spans="1:95" s="2" customFormat="1">
      <c r="A35" s="1523"/>
      <c r="C35" s="49"/>
      <c r="E35" s="509"/>
      <c r="F35" s="480"/>
      <c r="G35" s="480"/>
      <c r="H35" s="481"/>
      <c r="I35" s="463"/>
      <c r="J35" s="509"/>
      <c r="K35" s="480"/>
      <c r="L35" s="480"/>
      <c r="M35" s="481"/>
      <c r="N35" s="463"/>
      <c r="O35" s="509"/>
      <c r="P35" s="480"/>
      <c r="Q35" s="480"/>
      <c r="R35" s="481"/>
      <c r="S35" s="463"/>
      <c r="T35" s="509"/>
      <c r="U35" s="480"/>
      <c r="V35" s="348"/>
      <c r="W35" s="481"/>
      <c r="X35" s="77"/>
      <c r="Y35" s="394"/>
      <c r="Z35" s="342"/>
      <c r="AA35" s="342"/>
      <c r="AB35" s="395"/>
      <c r="AC35" s="77"/>
      <c r="AD35" s="394"/>
      <c r="AE35" s="342"/>
      <c r="AF35" s="342"/>
      <c r="AG35" s="395"/>
      <c r="AH35" s="77"/>
      <c r="AI35" s="394"/>
      <c r="AJ35" s="342"/>
      <c r="AK35" s="342"/>
      <c r="AL35" s="395"/>
      <c r="AM35" s="77"/>
      <c r="AN35" s="394"/>
      <c r="AO35" s="342"/>
      <c r="AP35" s="480"/>
      <c r="AQ35" s="395"/>
      <c r="AR35" s="77"/>
      <c r="AS35" s="394"/>
      <c r="AT35" s="342"/>
      <c r="AU35" s="480"/>
      <c r="AV35" s="395"/>
      <c r="AW35" s="77"/>
      <c r="AX35" s="509"/>
      <c r="AY35" s="480"/>
      <c r="AZ35" s="480"/>
      <c r="BA35" s="481"/>
      <c r="BB35" s="463"/>
      <c r="BC35" s="509"/>
      <c r="BD35" s="480"/>
      <c r="BE35" s="480"/>
      <c r="BF35" s="481"/>
      <c r="BG35" s="463"/>
      <c r="BH35" s="509"/>
      <c r="BI35" s="480"/>
      <c r="BJ35" s="480"/>
      <c r="BK35" s="481"/>
      <c r="BL35" s="463"/>
      <c r="BM35" s="509"/>
      <c r="BN35" s="480"/>
      <c r="BO35" s="480"/>
      <c r="BP35" s="481"/>
      <c r="BQ35" s="463"/>
      <c r="BR35" s="3"/>
      <c r="CL35"/>
      <c r="CM35"/>
      <c r="CN35"/>
      <c r="CO35"/>
      <c r="CP35"/>
      <c r="CQ35"/>
    </row>
    <row r="36" spans="1:95" s="2" customFormat="1">
      <c r="A36" s="1523"/>
      <c r="C36" s="49" t="s">
        <v>127</v>
      </c>
      <c r="E36" s="396">
        <f>E32-E34</f>
        <v>444</v>
      </c>
      <c r="F36" s="343">
        <f>F32-F34</f>
        <v>311</v>
      </c>
      <c r="G36" s="343">
        <f>G32-G34</f>
        <v>488</v>
      </c>
      <c r="H36" s="397">
        <f>H32-H34</f>
        <v>349</v>
      </c>
      <c r="I36" s="297">
        <f t="shared" ref="I36:S36" si="35">I32-I34</f>
        <v>1592</v>
      </c>
      <c r="J36" s="396">
        <f t="shared" si="35"/>
        <v>491.25</v>
      </c>
      <c r="K36" s="343">
        <f t="shared" si="35"/>
        <v>224.25</v>
      </c>
      <c r="L36" s="343">
        <f t="shared" si="35"/>
        <v>567</v>
      </c>
      <c r="M36" s="397">
        <f t="shared" si="35"/>
        <v>274.5</v>
      </c>
      <c r="N36" s="297">
        <f t="shared" si="35"/>
        <v>1557</v>
      </c>
      <c r="O36" s="396">
        <f t="shared" si="35"/>
        <v>462</v>
      </c>
      <c r="P36" s="343">
        <f t="shared" si="35"/>
        <v>320</v>
      </c>
      <c r="Q36" s="343">
        <f t="shared" si="35"/>
        <v>265</v>
      </c>
      <c r="R36" s="397">
        <f t="shared" si="35"/>
        <v>359</v>
      </c>
      <c r="S36" s="297">
        <f t="shared" si="35"/>
        <v>1406</v>
      </c>
      <c r="T36" s="396">
        <f t="shared" ref="T36:AD36" si="36">T32-T34</f>
        <v>493</v>
      </c>
      <c r="U36" s="343">
        <f t="shared" si="36"/>
        <v>211</v>
      </c>
      <c r="V36" s="343">
        <f t="shared" si="36"/>
        <v>347</v>
      </c>
      <c r="W36" s="397">
        <f t="shared" si="36"/>
        <v>224</v>
      </c>
      <c r="X36" s="297">
        <f t="shared" si="36"/>
        <v>1275</v>
      </c>
      <c r="Y36" s="396">
        <f t="shared" si="36"/>
        <v>320</v>
      </c>
      <c r="Z36" s="343">
        <f t="shared" si="36"/>
        <v>333</v>
      </c>
      <c r="AA36" s="343">
        <f t="shared" si="36"/>
        <v>390</v>
      </c>
      <c r="AB36" s="397">
        <f t="shared" si="36"/>
        <v>200</v>
      </c>
      <c r="AC36" s="297">
        <f t="shared" si="36"/>
        <v>1243</v>
      </c>
      <c r="AD36" s="396">
        <f t="shared" si="36"/>
        <v>386</v>
      </c>
      <c r="AE36" s="343">
        <f t="shared" ref="AE36:AK36" si="37">AE32-AE34</f>
        <v>212</v>
      </c>
      <c r="AF36" s="343">
        <f t="shared" si="37"/>
        <v>444</v>
      </c>
      <c r="AG36" s="397">
        <f t="shared" si="37"/>
        <v>476</v>
      </c>
      <c r="AH36" s="297">
        <f t="shared" si="37"/>
        <v>1518</v>
      </c>
      <c r="AI36" s="396">
        <f t="shared" si="37"/>
        <v>586</v>
      </c>
      <c r="AJ36" s="343">
        <f t="shared" si="37"/>
        <v>345</v>
      </c>
      <c r="AK36" s="343">
        <f t="shared" si="37"/>
        <v>439</v>
      </c>
      <c r="AL36" s="397">
        <f t="shared" ref="AL36:AR36" si="38">AL32-AL34</f>
        <v>309</v>
      </c>
      <c r="AM36" s="297">
        <f t="shared" si="38"/>
        <v>1679</v>
      </c>
      <c r="AN36" s="396">
        <f t="shared" si="38"/>
        <v>471</v>
      </c>
      <c r="AO36" s="343">
        <f t="shared" si="38"/>
        <v>187</v>
      </c>
      <c r="AP36" s="343">
        <f t="shared" si="38"/>
        <v>327</v>
      </c>
      <c r="AQ36" s="397">
        <f t="shared" si="38"/>
        <v>-98</v>
      </c>
      <c r="AR36" s="297">
        <f t="shared" si="38"/>
        <v>887</v>
      </c>
      <c r="AS36" s="396">
        <f t="shared" ref="AS36:AY36" si="39">AS32-AS34</f>
        <v>114</v>
      </c>
      <c r="AT36" s="343">
        <f t="shared" si="39"/>
        <v>109</v>
      </c>
      <c r="AU36" s="343">
        <f t="shared" si="39"/>
        <v>395</v>
      </c>
      <c r="AV36" s="397">
        <f t="shared" si="39"/>
        <v>956</v>
      </c>
      <c r="AW36" s="297">
        <f t="shared" si="39"/>
        <v>1574</v>
      </c>
      <c r="AX36" s="396">
        <f t="shared" si="39"/>
        <v>528.73146101279576</v>
      </c>
      <c r="AY36" s="343">
        <f t="shared" si="39"/>
        <v>328.16323624980669</v>
      </c>
      <c r="AZ36" s="343">
        <f>AZ32-AZ34</f>
        <v>466.27863058793514</v>
      </c>
      <c r="BA36" s="397">
        <f>BA32-BA34</f>
        <v>280.74678351909813</v>
      </c>
      <c r="BB36" s="297">
        <f>BB32-BB34</f>
        <v>1603.9201113696358</v>
      </c>
      <c r="BC36" s="396">
        <f t="shared" ref="BC36:BL36" si="40">BC32-BC34</f>
        <v>593.11194095851079</v>
      </c>
      <c r="BD36" s="343">
        <f t="shared" si="40"/>
        <v>412.88478869193801</v>
      </c>
      <c r="BE36" s="343">
        <f t="shared" si="40"/>
        <v>376.46577083200509</v>
      </c>
      <c r="BF36" s="397">
        <f t="shared" si="40"/>
        <v>245.67061684711507</v>
      </c>
      <c r="BG36" s="297">
        <f t="shared" si="40"/>
        <v>1628.1331173295666</v>
      </c>
      <c r="BH36" s="396">
        <f t="shared" si="40"/>
        <v>604.48024373129601</v>
      </c>
      <c r="BI36" s="343">
        <f t="shared" si="40"/>
        <v>381.22772182326457</v>
      </c>
      <c r="BJ36" s="343">
        <f t="shared" si="40"/>
        <v>405.58900195227784</v>
      </c>
      <c r="BK36" s="397">
        <f t="shared" si="40"/>
        <v>298.27009890523891</v>
      </c>
      <c r="BL36" s="297">
        <f t="shared" si="40"/>
        <v>1689.567066412078</v>
      </c>
      <c r="BM36" s="396">
        <f>BM32-BM34</f>
        <v>621.7944916886313</v>
      </c>
      <c r="BN36" s="343">
        <f>BN32-BN34</f>
        <v>441.6452056526432</v>
      </c>
      <c r="BO36" s="343">
        <f>BO32-BO34</f>
        <v>440.40784630667468</v>
      </c>
      <c r="BP36" s="397">
        <f>BP32-BP34</f>
        <v>382.70212498301419</v>
      </c>
      <c r="BQ36" s="297">
        <f>BQ32-BQ34</f>
        <v>1886.549668630963</v>
      </c>
      <c r="BR36" s="3"/>
      <c r="CL36"/>
      <c r="CM36"/>
      <c r="CN36"/>
      <c r="CO36"/>
      <c r="CP36"/>
      <c r="CQ36"/>
    </row>
    <row r="37" spans="1:95" s="2" customFormat="1">
      <c r="A37" s="1523"/>
      <c r="E37" s="509"/>
      <c r="F37" s="480"/>
      <c r="G37" s="480"/>
      <c r="H37" s="481"/>
      <c r="I37" s="463"/>
      <c r="J37" s="509"/>
      <c r="K37" s="480"/>
      <c r="L37" s="480"/>
      <c r="M37" s="481"/>
      <c r="N37" s="463"/>
      <c r="O37" s="509"/>
      <c r="P37" s="480"/>
      <c r="Q37" s="480"/>
      <c r="R37" s="481"/>
      <c r="S37" s="463"/>
      <c r="T37" s="509"/>
      <c r="U37" s="480"/>
      <c r="V37" s="348"/>
      <c r="W37" s="481"/>
      <c r="X37" s="77"/>
      <c r="Y37" s="394"/>
      <c r="Z37" s="342"/>
      <c r="AA37" s="342"/>
      <c r="AB37" s="395"/>
      <c r="AC37" s="77"/>
      <c r="AD37" s="394"/>
      <c r="AE37" s="342"/>
      <c r="AF37" s="342"/>
      <c r="AG37" s="395"/>
      <c r="AH37" s="77"/>
      <c r="AI37" s="394"/>
      <c r="AJ37" s="342"/>
      <c r="AK37" s="342"/>
      <c r="AL37" s="395"/>
      <c r="AM37" s="77"/>
      <c r="AN37" s="394"/>
      <c r="AO37" s="342"/>
      <c r="AP37" s="480"/>
      <c r="AQ37" s="395"/>
      <c r="AR37" s="77"/>
      <c r="AS37" s="394"/>
      <c r="AT37" s="342"/>
      <c r="AU37" s="480"/>
      <c r="AV37" s="395"/>
      <c r="AW37" s="77"/>
      <c r="AX37" s="509"/>
      <c r="AY37" s="480"/>
      <c r="AZ37" s="480"/>
      <c r="BA37" s="481"/>
      <c r="BB37" s="463"/>
      <c r="BC37" s="509"/>
      <c r="BD37" s="480"/>
      <c r="BE37" s="480"/>
      <c r="BF37" s="481"/>
      <c r="BG37" s="463"/>
      <c r="BH37" s="509"/>
      <c r="BI37" s="480"/>
      <c r="BJ37" s="480"/>
      <c r="BK37" s="481"/>
      <c r="BL37" s="463"/>
      <c r="BM37" s="509"/>
      <c r="BN37" s="480"/>
      <c r="BO37" s="480"/>
      <c r="BP37" s="481"/>
      <c r="BQ37" s="463"/>
      <c r="BR37" s="3"/>
      <c r="CL37"/>
      <c r="CM37"/>
      <c r="CN37"/>
      <c r="CO37"/>
      <c r="CP37"/>
      <c r="CQ37"/>
    </row>
    <row r="38" spans="1:95" s="2" customFormat="1">
      <c r="A38" s="1523"/>
      <c r="C38" s="37" t="s">
        <v>388</v>
      </c>
      <c r="E38" s="459">
        <v>0</v>
      </c>
      <c r="F38" s="460">
        <v>0</v>
      </c>
      <c r="G38" s="460">
        <v>0</v>
      </c>
      <c r="H38" s="395">
        <f>I38-SUM(E38:G38)</f>
        <v>-2</v>
      </c>
      <c r="I38" s="462">
        <v>-2</v>
      </c>
      <c r="J38" s="459">
        <v>-66</v>
      </c>
      <c r="K38" s="460">
        <v>2</v>
      </c>
      <c r="L38" s="460">
        <v>0</v>
      </c>
      <c r="M38" s="395">
        <v>12</v>
      </c>
      <c r="N38" s="462">
        <v>7</v>
      </c>
      <c r="O38" s="459">
        <v>64</v>
      </c>
      <c r="P38" s="460">
        <v>3</v>
      </c>
      <c r="Q38" s="460">
        <v>29</v>
      </c>
      <c r="R38" s="461">
        <f>S38-SUM(O38:Q38)</f>
        <v>0</v>
      </c>
      <c r="S38" s="590">
        <v>96</v>
      </c>
      <c r="T38" s="459">
        <v>0</v>
      </c>
      <c r="U38" s="460">
        <v>0</v>
      </c>
      <c r="V38" s="460">
        <v>0</v>
      </c>
      <c r="W38" s="461">
        <f>X38-SUM(T38:V38)</f>
        <v>0</v>
      </c>
      <c r="X38" s="462">
        <v>0</v>
      </c>
      <c r="Y38" s="459">
        <v>0</v>
      </c>
      <c r="Z38" s="460">
        <v>0</v>
      </c>
      <c r="AA38" s="460">
        <v>0</v>
      </c>
      <c r="AB38" s="461">
        <f>AC38-SUM(Y38:AA38)</f>
        <v>0</v>
      </c>
      <c r="AC38" s="462">
        <v>0</v>
      </c>
      <c r="AD38" s="459">
        <v>0</v>
      </c>
      <c r="AE38" s="460">
        <v>0</v>
      </c>
      <c r="AF38" s="460">
        <v>0</v>
      </c>
      <c r="AG38" s="395">
        <f>AH38-SUM(AD38:AF38)</f>
        <v>0</v>
      </c>
      <c r="AH38" s="462">
        <v>0</v>
      </c>
      <c r="AI38" s="459">
        <v>0</v>
      </c>
      <c r="AJ38" s="460">
        <v>0</v>
      </c>
      <c r="AK38" s="460">
        <v>0</v>
      </c>
      <c r="AL38" s="395">
        <f>AM38-SUM(AI38:AK38)</f>
        <v>0</v>
      </c>
      <c r="AM38" s="462">
        <v>0</v>
      </c>
      <c r="AN38" s="459">
        <v>0</v>
      </c>
      <c r="AO38" s="460">
        <v>0</v>
      </c>
      <c r="AP38" s="460">
        <v>0</v>
      </c>
      <c r="AQ38" s="395">
        <f>AR38-SUM(AN38:AP38)</f>
        <v>0</v>
      </c>
      <c r="AR38" s="462">
        <v>0</v>
      </c>
      <c r="AS38" s="459">
        <v>0</v>
      </c>
      <c r="AT38" s="460">
        <v>0</v>
      </c>
      <c r="AU38" s="460">
        <v>0</v>
      </c>
      <c r="AV38" s="395">
        <f>AW38-SUM(AS38:AU38)</f>
        <v>0</v>
      </c>
      <c r="AW38" s="462">
        <v>0</v>
      </c>
      <c r="AX38" s="406">
        <f>+Power!AX31</f>
        <v>0</v>
      </c>
      <c r="AY38" s="348">
        <f>+Power!AY31</f>
        <v>0</v>
      </c>
      <c r="AZ38" s="348">
        <f>+Power!AZ31</f>
        <v>0</v>
      </c>
      <c r="BA38" s="405">
        <f>+Power!BA31</f>
        <v>0</v>
      </c>
      <c r="BB38" s="296">
        <f>SUM(AX38:BA38)</f>
        <v>0</v>
      </c>
      <c r="BC38" s="406">
        <f>+Power!BC31</f>
        <v>0</v>
      </c>
      <c r="BD38" s="348">
        <f>+Power!BD31</f>
        <v>0</v>
      </c>
      <c r="BE38" s="348">
        <f>+Power!BE31</f>
        <v>0</v>
      </c>
      <c r="BF38" s="405">
        <f>+Power!BF31</f>
        <v>0</v>
      </c>
      <c r="BG38" s="296">
        <f>SUM(BC38:BF38)</f>
        <v>0</v>
      </c>
      <c r="BH38" s="406">
        <f>+Power!BH31</f>
        <v>0</v>
      </c>
      <c r="BI38" s="348">
        <f>+Power!BI31</f>
        <v>0</v>
      </c>
      <c r="BJ38" s="348">
        <f>+Power!BJ31</f>
        <v>0</v>
      </c>
      <c r="BK38" s="405">
        <f>+Power!BK31</f>
        <v>0</v>
      </c>
      <c r="BL38" s="296">
        <f>SUM(BH38:BK38)</f>
        <v>0</v>
      </c>
      <c r="BM38" s="406">
        <f>+Power!BM31</f>
        <v>0</v>
      </c>
      <c r="BN38" s="348">
        <f>+Power!BN31</f>
        <v>0</v>
      </c>
      <c r="BO38" s="348">
        <f>+Power!BO31</f>
        <v>0</v>
      </c>
      <c r="BP38" s="405">
        <f>+Power!BP31</f>
        <v>0</v>
      </c>
      <c r="BQ38" s="296">
        <f>SUM(BM38:BP38)</f>
        <v>0</v>
      </c>
      <c r="BR38" s="4"/>
      <c r="CL38"/>
      <c r="CM38"/>
      <c r="CN38"/>
      <c r="CO38"/>
      <c r="CP38"/>
      <c r="CQ38"/>
    </row>
    <row r="39" spans="1:95" s="2" customFormat="1">
      <c r="A39" s="1523"/>
      <c r="E39" s="509"/>
      <c r="F39" s="480"/>
      <c r="G39" s="480"/>
      <c r="H39" s="481"/>
      <c r="I39" s="463"/>
      <c r="J39" s="509"/>
      <c r="K39" s="480"/>
      <c r="L39" s="480"/>
      <c r="M39" s="481"/>
      <c r="N39" s="463"/>
      <c r="O39" s="509"/>
      <c r="P39" s="480"/>
      <c r="Q39" s="480"/>
      <c r="R39" s="481"/>
      <c r="S39" s="463"/>
      <c r="T39" s="509"/>
      <c r="U39" s="480"/>
      <c r="V39" s="348"/>
      <c r="W39" s="481"/>
      <c r="X39" s="77"/>
      <c r="Y39" s="394"/>
      <c r="Z39" s="342"/>
      <c r="AA39" s="342"/>
      <c r="AB39" s="395"/>
      <c r="AC39" s="77"/>
      <c r="AD39" s="394"/>
      <c r="AE39" s="342"/>
      <c r="AF39" s="342"/>
      <c r="AG39" s="395"/>
      <c r="AH39" s="77"/>
      <c r="AI39" s="394"/>
      <c r="AJ39" s="342"/>
      <c r="AK39" s="342"/>
      <c r="AL39" s="395"/>
      <c r="AM39" s="77"/>
      <c r="AN39" s="394"/>
      <c r="AO39" s="342"/>
      <c r="AP39" s="480"/>
      <c r="AQ39" s="395"/>
      <c r="AR39" s="77"/>
      <c r="AS39" s="394"/>
      <c r="AT39" s="342"/>
      <c r="AU39" s="480"/>
      <c r="AV39" s="395"/>
      <c r="AW39" s="77"/>
      <c r="AX39" s="509"/>
      <c r="AY39" s="480"/>
      <c r="AZ39" s="480"/>
      <c r="BA39" s="481"/>
      <c r="BB39" s="463"/>
      <c r="BC39" s="509"/>
      <c r="BD39" s="480"/>
      <c r="BE39" s="480"/>
      <c r="BF39" s="481"/>
      <c r="BG39" s="463"/>
      <c r="BH39" s="509"/>
      <c r="BI39" s="480"/>
      <c r="BJ39" s="480"/>
      <c r="BK39" s="481"/>
      <c r="BL39" s="463"/>
      <c r="BM39" s="509"/>
      <c r="BN39" s="480"/>
      <c r="BO39" s="480"/>
      <c r="BP39" s="481"/>
      <c r="BQ39" s="463"/>
      <c r="BR39" s="3"/>
      <c r="CL39"/>
      <c r="CM39"/>
      <c r="CN39"/>
      <c r="CO39"/>
      <c r="CP39"/>
      <c r="CQ39"/>
    </row>
    <row r="40" spans="1:95" s="2" customFormat="1">
      <c r="A40" s="1523"/>
      <c r="C40" s="49" t="s">
        <v>90</v>
      </c>
      <c r="E40" s="396">
        <f>E36+E38</f>
        <v>444</v>
      </c>
      <c r="F40" s="343">
        <f t="shared" ref="F40:V40" si="41">F36+F38</f>
        <v>311</v>
      </c>
      <c r="G40" s="343">
        <f t="shared" si="41"/>
        <v>488</v>
      </c>
      <c r="H40" s="397">
        <f t="shared" si="41"/>
        <v>347</v>
      </c>
      <c r="I40" s="297">
        <f t="shared" si="41"/>
        <v>1590</v>
      </c>
      <c r="J40" s="396">
        <f t="shared" si="41"/>
        <v>425.25</v>
      </c>
      <c r="K40" s="343">
        <f t="shared" si="41"/>
        <v>226.25</v>
      </c>
      <c r="L40" s="343">
        <f t="shared" si="41"/>
        <v>567</v>
      </c>
      <c r="M40" s="397">
        <f t="shared" si="41"/>
        <v>286.5</v>
      </c>
      <c r="N40" s="297">
        <f t="shared" si="41"/>
        <v>1564</v>
      </c>
      <c r="O40" s="396">
        <f t="shared" si="41"/>
        <v>526</v>
      </c>
      <c r="P40" s="343">
        <f t="shared" si="41"/>
        <v>323</v>
      </c>
      <c r="Q40" s="343">
        <f t="shared" si="41"/>
        <v>294</v>
      </c>
      <c r="R40" s="397">
        <f t="shared" si="41"/>
        <v>359</v>
      </c>
      <c r="S40" s="297">
        <f t="shared" si="41"/>
        <v>1502</v>
      </c>
      <c r="T40" s="396">
        <f>T36+T38</f>
        <v>493</v>
      </c>
      <c r="U40" s="343">
        <f t="shared" si="41"/>
        <v>211</v>
      </c>
      <c r="V40" s="343">
        <f t="shared" si="41"/>
        <v>347</v>
      </c>
      <c r="W40" s="397">
        <f t="shared" ref="W40:AC40" si="42">W36+W38</f>
        <v>224</v>
      </c>
      <c r="X40" s="297">
        <f t="shared" si="42"/>
        <v>1275</v>
      </c>
      <c r="Y40" s="396">
        <f t="shared" si="42"/>
        <v>320</v>
      </c>
      <c r="Z40" s="343">
        <f t="shared" si="42"/>
        <v>333</v>
      </c>
      <c r="AA40" s="343">
        <f t="shared" si="42"/>
        <v>390</v>
      </c>
      <c r="AB40" s="397">
        <f t="shared" si="42"/>
        <v>200</v>
      </c>
      <c r="AC40" s="297">
        <f t="shared" si="42"/>
        <v>1243</v>
      </c>
      <c r="AD40" s="396">
        <f t="shared" ref="AD40:AI40" si="43">AD36+AD38</f>
        <v>386</v>
      </c>
      <c r="AE40" s="343">
        <f t="shared" si="43"/>
        <v>212</v>
      </c>
      <c r="AF40" s="343">
        <f t="shared" si="43"/>
        <v>444</v>
      </c>
      <c r="AG40" s="397">
        <f t="shared" si="43"/>
        <v>476</v>
      </c>
      <c r="AH40" s="297">
        <f t="shared" si="43"/>
        <v>1518</v>
      </c>
      <c r="AI40" s="396">
        <f t="shared" si="43"/>
        <v>586</v>
      </c>
      <c r="AJ40" s="343">
        <f t="shared" ref="AJ40:AR40" si="44">AJ36+AJ38</f>
        <v>345</v>
      </c>
      <c r="AK40" s="343">
        <f t="shared" si="44"/>
        <v>439</v>
      </c>
      <c r="AL40" s="397">
        <f t="shared" si="44"/>
        <v>309</v>
      </c>
      <c r="AM40" s="297">
        <f t="shared" si="44"/>
        <v>1679</v>
      </c>
      <c r="AN40" s="396">
        <f t="shared" si="44"/>
        <v>471</v>
      </c>
      <c r="AO40" s="343">
        <f t="shared" si="44"/>
        <v>187</v>
      </c>
      <c r="AP40" s="343">
        <f t="shared" si="44"/>
        <v>327</v>
      </c>
      <c r="AQ40" s="397">
        <f t="shared" si="44"/>
        <v>-98</v>
      </c>
      <c r="AR40" s="297">
        <f t="shared" si="44"/>
        <v>887</v>
      </c>
      <c r="AS40" s="396">
        <f t="shared" ref="AS40:AY40" si="45">AS36+AS38</f>
        <v>114</v>
      </c>
      <c r="AT40" s="343">
        <f t="shared" si="45"/>
        <v>109</v>
      </c>
      <c r="AU40" s="343">
        <f t="shared" si="45"/>
        <v>395</v>
      </c>
      <c r="AV40" s="397">
        <f t="shared" si="45"/>
        <v>956</v>
      </c>
      <c r="AW40" s="297">
        <f t="shared" si="45"/>
        <v>1574</v>
      </c>
      <c r="AX40" s="396">
        <f t="shared" si="45"/>
        <v>528.73146101279576</v>
      </c>
      <c r="AY40" s="343">
        <f t="shared" si="45"/>
        <v>328.16323624980669</v>
      </c>
      <c r="AZ40" s="343">
        <f>AZ36+AZ38</f>
        <v>466.27863058793514</v>
      </c>
      <c r="BA40" s="397">
        <f>BA36+BA38</f>
        <v>280.74678351909813</v>
      </c>
      <c r="BB40" s="297">
        <f>BB36+BB38</f>
        <v>1603.9201113696358</v>
      </c>
      <c r="BC40" s="396">
        <f t="shared" ref="BC40:BL40" si="46">BC36+BC38</f>
        <v>593.11194095851079</v>
      </c>
      <c r="BD40" s="343">
        <f t="shared" si="46"/>
        <v>412.88478869193801</v>
      </c>
      <c r="BE40" s="343">
        <f t="shared" si="46"/>
        <v>376.46577083200509</v>
      </c>
      <c r="BF40" s="397">
        <f t="shared" si="46"/>
        <v>245.67061684711507</v>
      </c>
      <c r="BG40" s="297">
        <f t="shared" si="46"/>
        <v>1628.1331173295666</v>
      </c>
      <c r="BH40" s="396">
        <f t="shared" si="46"/>
        <v>604.48024373129601</v>
      </c>
      <c r="BI40" s="343">
        <f t="shared" si="46"/>
        <v>381.22772182326457</v>
      </c>
      <c r="BJ40" s="343">
        <f t="shared" si="46"/>
        <v>405.58900195227784</v>
      </c>
      <c r="BK40" s="397">
        <f t="shared" si="46"/>
        <v>298.27009890523891</v>
      </c>
      <c r="BL40" s="297">
        <f t="shared" si="46"/>
        <v>1689.567066412078</v>
      </c>
      <c r="BM40" s="396">
        <f>BM36+BM38</f>
        <v>621.7944916886313</v>
      </c>
      <c r="BN40" s="343">
        <f>BN36+BN38</f>
        <v>441.6452056526432</v>
      </c>
      <c r="BO40" s="343">
        <f>BO36+BO38</f>
        <v>440.40784630667468</v>
      </c>
      <c r="BP40" s="397">
        <f>BP36+BP38</f>
        <v>382.70212498301419</v>
      </c>
      <c r="BQ40" s="297">
        <f>BQ36+BQ38</f>
        <v>1886.549668630963</v>
      </c>
      <c r="BR40" s="3"/>
      <c r="CL40"/>
      <c r="CM40"/>
      <c r="CN40"/>
      <c r="CO40"/>
      <c r="CP40"/>
      <c r="CQ40"/>
    </row>
    <row r="41" spans="1:95" s="2" customFormat="1">
      <c r="A41" s="1523"/>
      <c r="C41" s="305" t="s">
        <v>91</v>
      </c>
      <c r="E41" s="459">
        <f>38+61</f>
        <v>99</v>
      </c>
      <c r="F41" s="460">
        <f>7+1</f>
        <v>8</v>
      </c>
      <c r="G41" s="460">
        <v>-24</v>
      </c>
      <c r="H41" s="395">
        <f>I41-SUM(E41:G41)</f>
        <v>-16</v>
      </c>
      <c r="I41" s="590">
        <v>67</v>
      </c>
      <c r="J41" s="459">
        <f>-59+7+1</f>
        <v>-51</v>
      </c>
      <c r="K41" s="460">
        <v>107</v>
      </c>
      <c r="L41" s="460">
        <v>-29</v>
      </c>
      <c r="M41" s="458">
        <f>N41-SUM(J41:L41)</f>
        <v>13</v>
      </c>
      <c r="N41" s="590">
        <v>40</v>
      </c>
      <c r="O41" s="459">
        <f>-31-64+4</f>
        <v>-91</v>
      </c>
      <c r="P41" s="460">
        <f>-19-3+1</f>
        <v>-21</v>
      </c>
      <c r="Q41" s="460">
        <f>-29-15+170+8</f>
        <v>134</v>
      </c>
      <c r="R41" s="461">
        <f>-123+9</f>
        <v>-114</v>
      </c>
      <c r="S41" s="590">
        <v>-92</v>
      </c>
      <c r="T41" s="459">
        <f>-61+5</f>
        <v>-56</v>
      </c>
      <c r="U41" s="460">
        <f>4+7</f>
        <v>11</v>
      </c>
      <c r="V41" s="460">
        <f>-40+76-1</f>
        <v>35</v>
      </c>
      <c r="W41" s="395">
        <f>X41-SUM(T41:V41)</f>
        <v>-29</v>
      </c>
      <c r="X41" s="462">
        <f>39-52+10-36</f>
        <v>-39</v>
      </c>
      <c r="Y41" s="459">
        <f>-9+105+17</f>
        <v>113</v>
      </c>
      <c r="Z41" s="460">
        <f>-8-80-2</f>
        <v>-90</v>
      </c>
      <c r="AA41" s="460">
        <f>-12-3+10</f>
        <v>-5</v>
      </c>
      <c r="AB41" s="395">
        <f>AC41-SUM(Y41:AA41)</f>
        <v>48</v>
      </c>
      <c r="AC41" s="462">
        <f>-40+74+32</f>
        <v>66</v>
      </c>
      <c r="AD41" s="459">
        <f>132+6-9</f>
        <v>129</v>
      </c>
      <c r="AE41" s="460">
        <f>42+5-14</f>
        <v>33</v>
      </c>
      <c r="AF41" s="460">
        <f>-17-36+2</f>
        <v>-51</v>
      </c>
      <c r="AG41" s="395">
        <f>AH41-SUM(AD41:AF41)</f>
        <v>-229</v>
      </c>
      <c r="AH41" s="462">
        <f>-68-66+16</f>
        <v>-118</v>
      </c>
      <c r="AI41" s="459">
        <f>-2+20-75</f>
        <v>-57</v>
      </c>
      <c r="AJ41" s="460">
        <f>-1-28-27</f>
        <v>-56</v>
      </c>
      <c r="AK41" s="460">
        <f>14-50</f>
        <v>-36</v>
      </c>
      <c r="AL41" s="395">
        <f>AM41-SUM(AI41:AK41)</f>
        <v>-54</v>
      </c>
      <c r="AM41" s="462">
        <f>-8-93-102</f>
        <v>-203</v>
      </c>
      <c r="AN41" s="459">
        <f>5-13</f>
        <v>-8</v>
      </c>
      <c r="AO41" s="460">
        <f>171-69</f>
        <v>102</v>
      </c>
      <c r="AP41" s="460">
        <f>-4-58+114+137-72</f>
        <v>117</v>
      </c>
      <c r="AQ41" s="395">
        <f>AR41-SUM(AN41:AP41)</f>
        <v>377</v>
      </c>
      <c r="AR41" s="462">
        <f>-5+168+669+147-391</f>
        <v>588</v>
      </c>
      <c r="AS41" s="459">
        <f>-17-10+564+55-240</f>
        <v>352</v>
      </c>
      <c r="AT41" s="460">
        <f>-30-36+387+22-136</f>
        <v>207</v>
      </c>
      <c r="AU41" s="460">
        <f>-22+46+9-11</f>
        <v>22</v>
      </c>
      <c r="AV41" s="395">
        <f>AW41-SUM(AS41:AU41)</f>
        <v>-667</v>
      </c>
      <c r="AW41" s="462">
        <f>-133+167+975+77-427-745</f>
        <v>-86</v>
      </c>
      <c r="AX41" s="406">
        <f>+Power!AX34+'PSE&amp;G'!AX37+Parent!AX30</f>
        <v>0</v>
      </c>
      <c r="AY41" s="348">
        <f>+Power!AY34+'PSE&amp;G'!AY37+Parent!AY30</f>
        <v>0</v>
      </c>
      <c r="AZ41" s="348">
        <f>+Power!AZ34+'PSE&amp;G'!AZ37+Parent!AZ30</f>
        <v>0</v>
      </c>
      <c r="BA41" s="405">
        <f>+Power!BA34+'PSE&amp;G'!BA37+Parent!BA30</f>
        <v>0</v>
      </c>
      <c r="BB41" s="296">
        <f>SUM(AX41:BA41)</f>
        <v>0</v>
      </c>
      <c r="BC41" s="406">
        <f>+Power!BC34+'PSE&amp;G'!BC37+Parent!BC30</f>
        <v>0</v>
      </c>
      <c r="BD41" s="348">
        <f>+Power!BD34+'PSE&amp;G'!BD37+Parent!BD30</f>
        <v>0</v>
      </c>
      <c r="BE41" s="348">
        <f>+Power!BE34+'PSE&amp;G'!BE37+Parent!BE30</f>
        <v>0</v>
      </c>
      <c r="BF41" s="405">
        <f>+Power!BF34+'PSE&amp;G'!BF37+Parent!BF30</f>
        <v>0</v>
      </c>
      <c r="BG41" s="296">
        <f>SUM(BC41:BF41)</f>
        <v>0</v>
      </c>
      <c r="BH41" s="406">
        <f>+Power!BH34+'PSE&amp;G'!BH37+Parent!BH30</f>
        <v>0</v>
      </c>
      <c r="BI41" s="348">
        <f>+Power!BI34+'PSE&amp;G'!BI37+Parent!BI30</f>
        <v>0</v>
      </c>
      <c r="BJ41" s="348">
        <f>+Power!BJ34+'PSE&amp;G'!BJ37+Parent!BJ30</f>
        <v>0</v>
      </c>
      <c r="BK41" s="405">
        <f>+Power!BK34+'PSE&amp;G'!BK37+Parent!BK30</f>
        <v>0</v>
      </c>
      <c r="BL41" s="296">
        <f>SUM(BH41:BK41)</f>
        <v>0</v>
      </c>
      <c r="BM41" s="406">
        <f>+Power!BM34+'PSE&amp;G'!BM37+Parent!BM30</f>
        <v>0</v>
      </c>
      <c r="BN41" s="348">
        <f>+Power!BN34+'PSE&amp;G'!BN37+Parent!BN30</f>
        <v>0</v>
      </c>
      <c r="BO41" s="348">
        <f>+Power!BO34+'PSE&amp;G'!BO37+Parent!BO30</f>
        <v>0</v>
      </c>
      <c r="BP41" s="405">
        <f>+Power!BP34+'PSE&amp;G'!BP37+Parent!BP30</f>
        <v>0</v>
      </c>
      <c r="BQ41" s="296">
        <f>SUM(BM41:BP41)</f>
        <v>0</v>
      </c>
      <c r="BR41" s="3"/>
      <c r="CL41"/>
      <c r="CM41"/>
      <c r="CN41"/>
      <c r="CO41"/>
      <c r="CP41"/>
      <c r="CQ41"/>
    </row>
    <row r="42" spans="1:95" s="2" customFormat="1">
      <c r="A42" s="1523"/>
      <c r="C42" s="49" t="s">
        <v>421</v>
      </c>
      <c r="E42" s="396">
        <f>+E40+E41</f>
        <v>543</v>
      </c>
      <c r="F42" s="343">
        <f t="shared" ref="F42:AA42" si="47">+F40+F41</f>
        <v>319</v>
      </c>
      <c r="G42" s="343">
        <f t="shared" si="47"/>
        <v>464</v>
      </c>
      <c r="H42" s="397">
        <f t="shared" si="47"/>
        <v>331</v>
      </c>
      <c r="I42" s="297">
        <f t="shared" si="47"/>
        <v>1657</v>
      </c>
      <c r="J42" s="396">
        <f t="shared" si="47"/>
        <v>374.25</v>
      </c>
      <c r="K42" s="343">
        <f t="shared" si="47"/>
        <v>333.25</v>
      </c>
      <c r="L42" s="343">
        <f t="shared" si="47"/>
        <v>538</v>
      </c>
      <c r="M42" s="397">
        <f t="shared" si="47"/>
        <v>299.5</v>
      </c>
      <c r="N42" s="297">
        <f t="shared" si="47"/>
        <v>1604</v>
      </c>
      <c r="O42" s="396">
        <f t="shared" si="47"/>
        <v>435</v>
      </c>
      <c r="P42" s="343">
        <f t="shared" si="47"/>
        <v>302</v>
      </c>
      <c r="Q42" s="343">
        <f t="shared" si="47"/>
        <v>428</v>
      </c>
      <c r="R42" s="397">
        <f t="shared" si="47"/>
        <v>245</v>
      </c>
      <c r="S42" s="297">
        <f t="shared" si="47"/>
        <v>1410</v>
      </c>
      <c r="T42" s="396">
        <f t="shared" si="47"/>
        <v>437</v>
      </c>
      <c r="U42" s="343">
        <f t="shared" si="47"/>
        <v>222</v>
      </c>
      <c r="V42" s="343">
        <f t="shared" si="47"/>
        <v>382</v>
      </c>
      <c r="W42" s="397">
        <f t="shared" si="47"/>
        <v>195</v>
      </c>
      <c r="X42" s="297">
        <f t="shared" si="47"/>
        <v>1236</v>
      </c>
      <c r="Y42" s="396">
        <f t="shared" si="47"/>
        <v>433</v>
      </c>
      <c r="Z42" s="343">
        <f t="shared" si="47"/>
        <v>243</v>
      </c>
      <c r="AA42" s="343">
        <f t="shared" si="47"/>
        <v>385</v>
      </c>
      <c r="AB42" s="397">
        <f t="shared" ref="AB42:AI42" si="48">+AB40+AB41</f>
        <v>248</v>
      </c>
      <c r="AC42" s="297">
        <f t="shared" si="48"/>
        <v>1309</v>
      </c>
      <c r="AD42" s="396">
        <f t="shared" si="48"/>
        <v>515</v>
      </c>
      <c r="AE42" s="343">
        <f t="shared" si="48"/>
        <v>245</v>
      </c>
      <c r="AF42" s="343">
        <f t="shared" si="48"/>
        <v>393</v>
      </c>
      <c r="AG42" s="397">
        <f t="shared" si="48"/>
        <v>247</v>
      </c>
      <c r="AH42" s="297">
        <f t="shared" si="48"/>
        <v>1400</v>
      </c>
      <c r="AI42" s="396">
        <f t="shared" si="48"/>
        <v>529</v>
      </c>
      <c r="AJ42" s="343">
        <f t="shared" ref="AJ42:AP42" si="49">+AJ40+AJ41</f>
        <v>289</v>
      </c>
      <c r="AK42" s="343">
        <f t="shared" si="49"/>
        <v>403</v>
      </c>
      <c r="AL42" s="397">
        <f t="shared" si="49"/>
        <v>255</v>
      </c>
      <c r="AM42" s="297">
        <f t="shared" si="49"/>
        <v>1476</v>
      </c>
      <c r="AN42" s="396">
        <f t="shared" si="49"/>
        <v>463</v>
      </c>
      <c r="AO42" s="343">
        <f>+AO40+AO41</f>
        <v>289</v>
      </c>
      <c r="AP42" s="343">
        <f t="shared" si="49"/>
        <v>444</v>
      </c>
      <c r="AQ42" s="397">
        <f t="shared" ref="AQ42:AW42" si="50">+AQ40+AQ41</f>
        <v>279</v>
      </c>
      <c r="AR42" s="297">
        <f t="shared" si="50"/>
        <v>1475</v>
      </c>
      <c r="AS42" s="396">
        <f t="shared" si="50"/>
        <v>466</v>
      </c>
      <c r="AT42" s="343">
        <f t="shared" si="50"/>
        <v>316</v>
      </c>
      <c r="AU42" s="343">
        <f t="shared" si="50"/>
        <v>417</v>
      </c>
      <c r="AV42" s="397">
        <f t="shared" si="50"/>
        <v>289</v>
      </c>
      <c r="AW42" s="297">
        <f t="shared" si="50"/>
        <v>1488</v>
      </c>
      <c r="AX42" s="396">
        <f>+AX40+AX41</f>
        <v>528.73146101279576</v>
      </c>
      <c r="AY42" s="343">
        <f>+AY40+AY41</f>
        <v>328.16323624980669</v>
      </c>
      <c r="AZ42" s="343">
        <f>+AZ40+AZ41</f>
        <v>466.27863058793514</v>
      </c>
      <c r="BA42" s="397">
        <f>+BA40+BA41</f>
        <v>280.74678351909813</v>
      </c>
      <c r="BB42" s="297">
        <f>+BB40+BB41</f>
        <v>1603.9201113696358</v>
      </c>
      <c r="BC42" s="396">
        <f t="shared" ref="BC42:BL42" si="51">+BC40+BC41</f>
        <v>593.11194095851079</v>
      </c>
      <c r="BD42" s="343">
        <f t="shared" si="51"/>
        <v>412.88478869193801</v>
      </c>
      <c r="BE42" s="343">
        <f t="shared" si="51"/>
        <v>376.46577083200509</v>
      </c>
      <c r="BF42" s="397">
        <f t="shared" si="51"/>
        <v>245.67061684711507</v>
      </c>
      <c r="BG42" s="297">
        <f t="shared" si="51"/>
        <v>1628.1331173295666</v>
      </c>
      <c r="BH42" s="396">
        <f t="shared" si="51"/>
        <v>604.48024373129601</v>
      </c>
      <c r="BI42" s="343">
        <f t="shared" si="51"/>
        <v>381.22772182326457</v>
      </c>
      <c r="BJ42" s="343">
        <f t="shared" si="51"/>
        <v>405.58900195227784</v>
      </c>
      <c r="BK42" s="397">
        <f t="shared" si="51"/>
        <v>298.27009890523891</v>
      </c>
      <c r="BL42" s="297">
        <f t="shared" si="51"/>
        <v>1689.567066412078</v>
      </c>
      <c r="BM42" s="396">
        <f>+BM40+BM41</f>
        <v>621.7944916886313</v>
      </c>
      <c r="BN42" s="343">
        <f>+BN40+BN41</f>
        <v>441.6452056526432</v>
      </c>
      <c r="BO42" s="343">
        <f>+BO40+BO41</f>
        <v>440.40784630667468</v>
      </c>
      <c r="BP42" s="397">
        <f>+BP40+BP41</f>
        <v>382.70212498301419</v>
      </c>
      <c r="BQ42" s="297">
        <f>+BQ40+BQ41</f>
        <v>1886.549668630963</v>
      </c>
      <c r="BR42" s="3"/>
      <c r="CL42"/>
      <c r="CM42"/>
      <c r="CN42"/>
      <c r="CO42"/>
      <c r="CP42"/>
      <c r="CQ42"/>
    </row>
    <row r="43" spans="1:95" s="2" customFormat="1">
      <c r="A43" s="1523"/>
      <c r="C43" s="49"/>
      <c r="E43" s="434"/>
      <c r="F43" s="435"/>
      <c r="G43" s="435"/>
      <c r="H43" s="436"/>
      <c r="I43" s="297"/>
      <c r="J43" s="434"/>
      <c r="K43" s="435"/>
      <c r="L43" s="435"/>
      <c r="M43" s="436"/>
      <c r="N43" s="297"/>
      <c r="O43" s="434"/>
      <c r="P43" s="435"/>
      <c r="Q43" s="435"/>
      <c r="R43" s="436"/>
      <c r="S43" s="297"/>
      <c r="T43" s="434"/>
      <c r="U43" s="435"/>
      <c r="V43" s="435"/>
      <c r="W43" s="436"/>
      <c r="X43" s="297"/>
      <c r="Y43" s="434"/>
      <c r="Z43" s="435"/>
      <c r="AA43" s="435"/>
      <c r="AB43" s="436"/>
      <c r="AC43" s="297"/>
      <c r="AD43" s="434"/>
      <c r="AE43" s="435"/>
      <c r="AF43" s="435"/>
      <c r="AG43" s="436"/>
      <c r="AH43" s="297"/>
      <c r="AI43" s="434"/>
      <c r="AJ43" s="435"/>
      <c r="AK43" s="435"/>
      <c r="AL43" s="436"/>
      <c r="AM43" s="475"/>
      <c r="AN43" s="434"/>
      <c r="AO43" s="435"/>
      <c r="AP43" s="435"/>
      <c r="AQ43" s="436"/>
      <c r="AR43" s="475"/>
      <c r="AS43" s="434"/>
      <c r="AT43" s="435"/>
      <c r="AU43" s="435"/>
      <c r="AV43" s="436"/>
      <c r="AW43" s="475"/>
      <c r="AX43" s="434"/>
      <c r="AY43" s="435"/>
      <c r="AZ43" s="435"/>
      <c r="BA43" s="436"/>
      <c r="BB43" s="475"/>
      <c r="BC43" s="434"/>
      <c r="BD43" s="435"/>
      <c r="BE43" s="435"/>
      <c r="BF43" s="436"/>
      <c r="BG43" s="475"/>
      <c r="BH43" s="434"/>
      <c r="BI43" s="435"/>
      <c r="BJ43" s="435"/>
      <c r="BK43" s="436"/>
      <c r="BL43" s="475"/>
      <c r="BM43" s="434"/>
      <c r="BN43" s="435"/>
      <c r="BO43" s="435"/>
      <c r="BP43" s="436"/>
      <c r="BQ43" s="475"/>
      <c r="BR43" s="25"/>
      <c r="CL43"/>
      <c r="CM43"/>
      <c r="CN43"/>
      <c r="CO43"/>
      <c r="CP43"/>
      <c r="CQ43"/>
    </row>
    <row r="44" spans="1:95" s="2" customFormat="1">
      <c r="A44" s="1523"/>
      <c r="C44" s="550" t="s">
        <v>380</v>
      </c>
      <c r="E44" s="506">
        <f>533.55666-27.570896</f>
        <v>505.98576399999996</v>
      </c>
      <c r="F44" s="507">
        <f>533.55666-27.571375</f>
        <v>505.98528499999998</v>
      </c>
      <c r="G44" s="507">
        <f>533.55666-27.575156</f>
        <v>505.98150399999997</v>
      </c>
      <c r="H44" s="508">
        <f>533.55666-27.56703</f>
        <v>505.98962999999998</v>
      </c>
      <c r="I44" s="77">
        <f>H44</f>
        <v>505.98962999999998</v>
      </c>
      <c r="J44" s="506">
        <f>533.55666-27.621816</f>
        <v>505.93484399999994</v>
      </c>
      <c r="K44" s="507">
        <f>533.55666-27.593877</f>
        <v>505.96278299999994</v>
      </c>
      <c r="L44" s="507">
        <f>533.55666-27.622433</f>
        <v>505.93422699999996</v>
      </c>
      <c r="M44" s="508">
        <f>533.55666-27.582437</f>
        <v>505.97422299999994</v>
      </c>
      <c r="N44" s="77">
        <f>M44</f>
        <v>505.97422299999994</v>
      </c>
      <c r="O44" s="506">
        <f>533.55666-27.651927</f>
        <v>505.90473299999996</v>
      </c>
      <c r="P44" s="507">
        <f>533.55666-27.651927</f>
        <v>505.90473299999996</v>
      </c>
      <c r="Q44" s="507">
        <f>533.55666-27.651927</f>
        <v>505.90473299999996</v>
      </c>
      <c r="R44" s="508">
        <f>533.55666-27.611374</f>
        <v>505.94528599999995</v>
      </c>
      <c r="S44" s="77">
        <f>R44</f>
        <v>505.94528599999995</v>
      </c>
      <c r="T44" s="506">
        <f>533.55666-27.663745</f>
        <v>505.89291499999996</v>
      </c>
      <c r="U44" s="507">
        <f>533.55666-27.646288</f>
        <v>505.91037199999994</v>
      </c>
      <c r="V44" s="507">
        <f>533.55666-27.664188</f>
        <v>505.89247199999994</v>
      </c>
      <c r="W44" s="508">
        <f>533.55666-27.664188</f>
        <v>505.89247199999994</v>
      </c>
      <c r="X44" s="77">
        <f>W44</f>
        <v>505.89247199999994</v>
      </c>
      <c r="Y44" s="506">
        <f>533.55666-27.692398</f>
        <v>505.86426199999994</v>
      </c>
      <c r="Z44" s="507">
        <f>533.55666-27.699398</f>
        <v>505.85726199999999</v>
      </c>
      <c r="AA44" s="507">
        <f>533.55666-27.695398</f>
        <v>505.86126199999995</v>
      </c>
      <c r="AB44" s="508">
        <f>533.55666-27.699398</f>
        <v>505.85726199999999</v>
      </c>
      <c r="AC44" s="77">
        <f>AB44</f>
        <v>505.85726199999999</v>
      </c>
      <c r="AD44" s="506">
        <f>533.55666-27.680836</f>
        <v>505.87582399999997</v>
      </c>
      <c r="AE44" s="507">
        <f>533.55666-27.716798</f>
        <v>505.83986199999998</v>
      </c>
      <c r="AF44" s="507">
        <f>533.55666-27.674968</f>
        <v>505.88169199999999</v>
      </c>
      <c r="AG44" s="508">
        <f>533.55666-27.720068</f>
        <v>505.83659199999994</v>
      </c>
      <c r="AH44" s="77">
        <f>AG44</f>
        <v>505.83659199999994</v>
      </c>
      <c r="AI44" s="506">
        <f>533.55666-27.720068</f>
        <v>505.83659199999994</v>
      </c>
      <c r="AJ44" s="507">
        <f>533.55666-27.743506</f>
        <v>505.81315399999994</v>
      </c>
      <c r="AK44" s="507">
        <f>533.55666-28.238912</f>
        <v>505.31774799999994</v>
      </c>
      <c r="AL44" s="508">
        <f>534-28</f>
        <v>506</v>
      </c>
      <c r="AM44" s="77">
        <f>AL44</f>
        <v>506</v>
      </c>
      <c r="AN44" s="506">
        <f>534-29</f>
        <v>505</v>
      </c>
      <c r="AO44" s="507">
        <f>534-29</f>
        <v>505</v>
      </c>
      <c r="AP44" s="507">
        <f>534-29</f>
        <v>505</v>
      </c>
      <c r="AQ44" s="508">
        <f>534-29</f>
        <v>505</v>
      </c>
      <c r="AR44" s="77">
        <f>AQ44</f>
        <v>505</v>
      </c>
      <c r="AS44" s="506">
        <f>534-29</f>
        <v>505</v>
      </c>
      <c r="AT44" s="507">
        <f>534-29</f>
        <v>505</v>
      </c>
      <c r="AU44" s="507">
        <f>534-29</f>
        <v>505</v>
      </c>
      <c r="AV44" s="508">
        <f>534-29</f>
        <v>505</v>
      </c>
      <c r="AW44" s="77">
        <f>AV44</f>
        <v>505</v>
      </c>
      <c r="AX44" s="434">
        <f>AW44+AX62</f>
        <v>505</v>
      </c>
      <c r="AY44" s="435">
        <f>AX44+AY62</f>
        <v>505</v>
      </c>
      <c r="AZ44" s="435">
        <f>AY44+AZ62</f>
        <v>505</v>
      </c>
      <c r="BA44" s="436">
        <f>AY44+BA62</f>
        <v>505</v>
      </c>
      <c r="BB44" s="476">
        <f>BA44</f>
        <v>505</v>
      </c>
      <c r="BC44" s="434">
        <f>BB44+BC62</f>
        <v>505</v>
      </c>
      <c r="BD44" s="435">
        <f>BC44+BD62</f>
        <v>505</v>
      </c>
      <c r="BE44" s="435">
        <f>BD44+BE62</f>
        <v>505</v>
      </c>
      <c r="BF44" s="436">
        <f>BE44+BF62</f>
        <v>505</v>
      </c>
      <c r="BG44" s="476">
        <f>BF44</f>
        <v>505</v>
      </c>
      <c r="BH44" s="434">
        <f>BG44+BH62</f>
        <v>505</v>
      </c>
      <c r="BI44" s="435">
        <f>BH44+BI62</f>
        <v>505</v>
      </c>
      <c r="BJ44" s="435">
        <f>BI44+BJ62</f>
        <v>505</v>
      </c>
      <c r="BK44" s="436">
        <f>BJ44+BK62</f>
        <v>505</v>
      </c>
      <c r="BL44" s="476">
        <f>BK44</f>
        <v>505</v>
      </c>
      <c r="BM44" s="434">
        <f>BL44+BM62</f>
        <v>505</v>
      </c>
      <c r="BN44" s="435">
        <f>BM44+BN62</f>
        <v>505</v>
      </c>
      <c r="BO44" s="435">
        <f>BN44+BO62</f>
        <v>505</v>
      </c>
      <c r="BP44" s="436">
        <f>BO44+BP62</f>
        <v>505</v>
      </c>
      <c r="BQ44" s="476">
        <f>BP44</f>
        <v>505</v>
      </c>
      <c r="BR44" s="25"/>
      <c r="CL44"/>
      <c r="CM44"/>
      <c r="CN44"/>
      <c r="CO44"/>
      <c r="CP44"/>
      <c r="CQ44"/>
    </row>
    <row r="45" spans="1:95" s="2" customFormat="1">
      <c r="A45" s="1523"/>
      <c r="C45" s="37" t="s">
        <v>400</v>
      </c>
      <c r="E45" s="506">
        <v>505.98599999999999</v>
      </c>
      <c r="F45" s="507">
        <v>505.98200000000003</v>
      </c>
      <c r="G45" s="507">
        <v>505.98200000000003</v>
      </c>
      <c r="H45" s="508">
        <v>505.98700000000002</v>
      </c>
      <c r="I45" s="462">
        <v>507.1035</v>
      </c>
      <c r="J45" s="506">
        <v>505.95</v>
      </c>
      <c r="K45" s="507">
        <v>506.10899999999998</v>
      </c>
      <c r="L45" s="507">
        <v>505.94499999999999</v>
      </c>
      <c r="M45" s="508">
        <v>505.93799999999999</v>
      </c>
      <c r="N45" s="462">
        <v>507.04500000000002</v>
      </c>
      <c r="O45" s="506">
        <v>505.97899999999998</v>
      </c>
      <c r="P45" s="507">
        <v>505.988</v>
      </c>
      <c r="Q45" s="507">
        <v>505.90899999999999</v>
      </c>
      <c r="R45" s="508">
        <v>505.92</v>
      </c>
      <c r="S45" s="462">
        <v>505.94900000000001</v>
      </c>
      <c r="T45" s="506">
        <v>506.01</v>
      </c>
      <c r="U45" s="507">
        <v>505.90300000000002</v>
      </c>
      <c r="V45" s="507">
        <v>505.91399999999999</v>
      </c>
      <c r="W45" s="508">
        <v>505.90600000000001</v>
      </c>
      <c r="X45" s="462">
        <v>505.93299999999999</v>
      </c>
      <c r="Y45" s="506">
        <v>505.94200000000001</v>
      </c>
      <c r="Z45" s="507">
        <v>505.9</v>
      </c>
      <c r="AA45" s="507">
        <v>505.858</v>
      </c>
      <c r="AB45" s="508">
        <v>505.85899999999998</v>
      </c>
      <c r="AC45" s="462">
        <v>505.88900000000001</v>
      </c>
      <c r="AD45" s="506">
        <v>506.077</v>
      </c>
      <c r="AE45" s="507">
        <v>505.875</v>
      </c>
      <c r="AF45" s="507">
        <v>505.86200000000002</v>
      </c>
      <c r="AG45" s="508">
        <v>506</v>
      </c>
      <c r="AH45" s="462">
        <v>506</v>
      </c>
      <c r="AI45" s="506">
        <v>506.077</v>
      </c>
      <c r="AJ45" s="507">
        <v>506</v>
      </c>
      <c r="AK45" s="507">
        <v>505</v>
      </c>
      <c r="AL45" s="508">
        <v>505</v>
      </c>
      <c r="AM45" s="462">
        <v>505</v>
      </c>
      <c r="AN45" s="506">
        <v>505</v>
      </c>
      <c r="AO45" s="507">
        <v>505</v>
      </c>
      <c r="AP45" s="507">
        <v>505</v>
      </c>
      <c r="AQ45" s="508">
        <v>505</v>
      </c>
      <c r="AR45" s="462">
        <v>505</v>
      </c>
      <c r="AS45" s="506">
        <v>505</v>
      </c>
      <c r="AT45" s="507">
        <v>505</v>
      </c>
      <c r="AU45" s="507">
        <v>505</v>
      </c>
      <c r="AV45" s="508">
        <v>505</v>
      </c>
      <c r="AW45" s="462">
        <v>505</v>
      </c>
      <c r="AX45" s="406">
        <f>AVERAGE(AW44:AX44)</f>
        <v>505</v>
      </c>
      <c r="AY45" s="435">
        <f>AVERAGE(AX44:AY44)</f>
        <v>505</v>
      </c>
      <c r="AZ45" s="435">
        <f>AVERAGE(AY44:AZ44)</f>
        <v>505</v>
      </c>
      <c r="BA45" s="436">
        <f>AVERAGE(AY44:BA44)</f>
        <v>505</v>
      </c>
      <c r="BB45" s="476">
        <f>AVERAGE(AX45:BA45)</f>
        <v>505</v>
      </c>
      <c r="BC45" s="406">
        <f>AVERAGE(BB44:BC44)</f>
        <v>505</v>
      </c>
      <c r="BD45" s="435">
        <f>AVERAGE(BC44:BD44)</f>
        <v>505</v>
      </c>
      <c r="BE45" s="435">
        <f>AVERAGE(BD44:BE44)</f>
        <v>505</v>
      </c>
      <c r="BF45" s="436">
        <f>AVERAGE(BE44:BF44)</f>
        <v>505</v>
      </c>
      <c r="BG45" s="476">
        <f>AVERAGE(BC45:BF45)</f>
        <v>505</v>
      </c>
      <c r="BH45" s="406">
        <f>AVERAGE(BG44:BH44)</f>
        <v>505</v>
      </c>
      <c r="BI45" s="435">
        <f>AVERAGE(BH44:BI44)</f>
        <v>505</v>
      </c>
      <c r="BJ45" s="435">
        <f>AVERAGE(BI44:BJ44)</f>
        <v>505</v>
      </c>
      <c r="BK45" s="436">
        <f>AVERAGE(BJ44:BK44)</f>
        <v>505</v>
      </c>
      <c r="BL45" s="476">
        <f>AVERAGE(BH45:BK45)</f>
        <v>505</v>
      </c>
      <c r="BM45" s="406">
        <f>AVERAGE(BL44:BM44)</f>
        <v>505</v>
      </c>
      <c r="BN45" s="435">
        <f>AVERAGE(BM44:BN44)</f>
        <v>505</v>
      </c>
      <c r="BO45" s="435">
        <f>AVERAGE(BN44:BO44)</f>
        <v>505</v>
      </c>
      <c r="BP45" s="436">
        <f>AVERAGE(BO44:BP44)</f>
        <v>505</v>
      </c>
      <c r="BQ45" s="476">
        <f>AVERAGE(BM45:BP45)</f>
        <v>505</v>
      </c>
      <c r="BR45" s="26"/>
      <c r="CL45"/>
      <c r="CM45"/>
      <c r="CN45"/>
      <c r="CO45"/>
      <c r="CP45"/>
      <c r="CQ45"/>
    </row>
    <row r="46" spans="1:95" s="2" customFormat="1">
      <c r="A46" s="1523"/>
      <c r="C46" s="37" t="s">
        <v>401</v>
      </c>
      <c r="E46" s="506">
        <v>506.548</v>
      </c>
      <c r="F46" s="507">
        <v>507.24200000000002</v>
      </c>
      <c r="G46" s="507">
        <v>507.24200000000002</v>
      </c>
      <c r="H46" s="508">
        <v>507.38200000000001</v>
      </c>
      <c r="I46" s="462">
        <v>507.1035</v>
      </c>
      <c r="J46" s="506">
        <v>507.14699999999999</v>
      </c>
      <c r="K46" s="507">
        <v>507.09100000000001</v>
      </c>
      <c r="L46" s="507">
        <v>506.96800000000002</v>
      </c>
      <c r="M46" s="508">
        <v>506.97399999999999</v>
      </c>
      <c r="N46" s="462">
        <v>507.04500000000002</v>
      </c>
      <c r="O46" s="506">
        <v>507.13200000000001</v>
      </c>
      <c r="P46" s="507">
        <v>506.76100000000002</v>
      </c>
      <c r="Q46" s="507">
        <v>506.99900000000002</v>
      </c>
      <c r="R46" s="508">
        <v>507.03800000000001</v>
      </c>
      <c r="S46" s="462">
        <v>506.98200000000003</v>
      </c>
      <c r="T46" s="506">
        <v>507.029</v>
      </c>
      <c r="U46" s="507">
        <v>506.96899999999999</v>
      </c>
      <c r="V46" s="507">
        <v>507.11099999999999</v>
      </c>
      <c r="W46" s="508">
        <v>507.23099999999999</v>
      </c>
      <c r="X46" s="462">
        <v>507.08600000000001</v>
      </c>
      <c r="Y46" s="506">
        <v>507.22</v>
      </c>
      <c r="Z46" s="507">
        <v>507.38099999999997</v>
      </c>
      <c r="AA46" s="507">
        <v>507.69400000000002</v>
      </c>
      <c r="AB46" s="508">
        <v>507.79599999999999</v>
      </c>
      <c r="AC46" s="462">
        <v>507.52499999999998</v>
      </c>
      <c r="AD46" s="506">
        <v>507.83100000000002</v>
      </c>
      <c r="AE46" s="507">
        <v>508.05599999999998</v>
      </c>
      <c r="AF46" s="507">
        <v>507.42200000000003</v>
      </c>
      <c r="AG46" s="508">
        <v>508</v>
      </c>
      <c r="AH46" s="462">
        <v>508</v>
      </c>
      <c r="AI46" s="506">
        <v>507.83100000000002</v>
      </c>
      <c r="AJ46" s="507">
        <v>508</v>
      </c>
      <c r="AK46" s="507">
        <v>508</v>
      </c>
      <c r="AL46" s="508">
        <v>508</v>
      </c>
      <c r="AM46" s="462">
        <v>508</v>
      </c>
      <c r="AN46" s="506">
        <v>508</v>
      </c>
      <c r="AO46" s="507">
        <v>508</v>
      </c>
      <c r="AP46" s="507">
        <v>508</v>
      </c>
      <c r="AQ46" s="508">
        <v>508</v>
      </c>
      <c r="AR46" s="462">
        <v>508</v>
      </c>
      <c r="AS46" s="506">
        <v>508</v>
      </c>
      <c r="AT46" s="507">
        <v>507</v>
      </c>
      <c r="AU46" s="507">
        <v>507</v>
      </c>
      <c r="AV46" s="508">
        <v>508</v>
      </c>
      <c r="AW46" s="462">
        <v>507</v>
      </c>
      <c r="AX46" s="406">
        <f>AX45+(AV46-AV45)</f>
        <v>508</v>
      </c>
      <c r="AY46" s="341">
        <f>AY45+(AX46-AX45)</f>
        <v>508</v>
      </c>
      <c r="AZ46" s="341">
        <f>AZ45+(AY46-AY45)</f>
        <v>508</v>
      </c>
      <c r="BA46" s="393">
        <f>BA45+(AY46-AY45)</f>
        <v>508</v>
      </c>
      <c r="BB46" s="476">
        <f>AVERAGE(AX46:BA46)</f>
        <v>508</v>
      </c>
      <c r="BC46" s="406">
        <f>BC45+(BA46-BA45)</f>
        <v>508</v>
      </c>
      <c r="BD46" s="341">
        <f>BD45+(BC46-BC45)</f>
        <v>508</v>
      </c>
      <c r="BE46" s="341">
        <f>BE45+(BD46-BD45)</f>
        <v>508</v>
      </c>
      <c r="BF46" s="393">
        <f>BF45+(BE46-BE45)</f>
        <v>508</v>
      </c>
      <c r="BG46" s="476">
        <f>AVERAGE(BC46:BF46)</f>
        <v>508</v>
      </c>
      <c r="BH46" s="406">
        <f>BH45+(BF46-BF45)</f>
        <v>508</v>
      </c>
      <c r="BI46" s="341">
        <f>BI45+(BH46-BH45)</f>
        <v>508</v>
      </c>
      <c r="BJ46" s="341">
        <f>BJ45+(BI46-BI45)</f>
        <v>508</v>
      </c>
      <c r="BK46" s="393">
        <f>BK45+(BJ46-BJ45)</f>
        <v>508</v>
      </c>
      <c r="BL46" s="476">
        <f>AVERAGE(BH46:BK46)</f>
        <v>508</v>
      </c>
      <c r="BM46" s="406">
        <f>BM45+(BK46-BK45)</f>
        <v>508</v>
      </c>
      <c r="BN46" s="341">
        <f>BN45+(BM46-BM45)</f>
        <v>508</v>
      </c>
      <c r="BO46" s="341">
        <f>BO45+(BN46-BN45)</f>
        <v>508</v>
      </c>
      <c r="BP46" s="393">
        <f>BP45+(BO46-BO45)</f>
        <v>508</v>
      </c>
      <c r="BQ46" s="476">
        <f>AVERAGE(BM46:BP46)</f>
        <v>508</v>
      </c>
      <c r="BR46" s="26"/>
      <c r="CL46"/>
      <c r="CM46"/>
      <c r="CN46"/>
      <c r="CO46"/>
      <c r="CP46"/>
      <c r="CQ46"/>
    </row>
    <row r="47" spans="1:95" s="2" customFormat="1">
      <c r="A47" s="1523"/>
      <c r="C47" s="37"/>
      <c r="E47" s="506"/>
      <c r="F47" s="507"/>
      <c r="G47" s="507"/>
      <c r="H47" s="508"/>
      <c r="I47" s="462"/>
      <c r="J47" s="459"/>
      <c r="K47" s="460"/>
      <c r="L47" s="460"/>
      <c r="M47" s="461"/>
      <c r="N47" s="462"/>
      <c r="O47" s="459"/>
      <c r="P47" s="460"/>
      <c r="Q47" s="460"/>
      <c r="R47" s="461"/>
      <c r="S47" s="462"/>
      <c r="T47" s="459"/>
      <c r="U47" s="460"/>
      <c r="V47" s="435"/>
      <c r="W47" s="461"/>
      <c r="X47" s="462"/>
      <c r="Y47" s="459"/>
      <c r="Z47" s="460"/>
      <c r="AA47" s="435"/>
      <c r="AB47" s="461"/>
      <c r="AC47" s="462"/>
      <c r="AD47" s="459"/>
      <c r="AE47" s="460"/>
      <c r="AF47" s="435"/>
      <c r="AG47" s="461"/>
      <c r="AH47" s="462"/>
      <c r="AI47" s="459"/>
      <c r="AJ47" s="460"/>
      <c r="AK47" s="435"/>
      <c r="AL47" s="436"/>
      <c r="AM47" s="476"/>
      <c r="AN47" s="434"/>
      <c r="AO47" s="460"/>
      <c r="AP47" s="435"/>
      <c r="AQ47" s="436"/>
      <c r="AR47" s="476"/>
      <c r="AS47" s="434"/>
      <c r="AT47" s="460"/>
      <c r="AU47" s="435"/>
      <c r="AV47" s="436"/>
      <c r="AW47" s="476"/>
      <c r="AX47" s="434"/>
      <c r="AY47" s="435"/>
      <c r="AZ47" s="435"/>
      <c r="BA47" s="436"/>
      <c r="BB47" s="476"/>
      <c r="BC47" s="434"/>
      <c r="BD47" s="435"/>
      <c r="BE47" s="435"/>
      <c r="BF47" s="436"/>
      <c r="BG47" s="476"/>
      <c r="BH47" s="434"/>
      <c r="BI47" s="435"/>
      <c r="BJ47" s="435"/>
      <c r="BK47" s="436"/>
      <c r="BL47" s="476"/>
      <c r="BM47" s="434"/>
      <c r="BN47" s="435"/>
      <c r="BO47" s="435"/>
      <c r="BP47" s="436"/>
      <c r="BQ47" s="476"/>
      <c r="BR47" s="26"/>
      <c r="CL47"/>
      <c r="CM47"/>
      <c r="CN47"/>
      <c r="CO47"/>
      <c r="CP47"/>
      <c r="CQ47"/>
    </row>
    <row r="48" spans="1:95" s="303" customFormat="1">
      <c r="C48" s="303" t="s">
        <v>522</v>
      </c>
      <c r="E48" s="517">
        <f t="shared" ref="E48:X48" si="52">E40/E46</f>
        <v>0.87652107993714312</v>
      </c>
      <c r="F48" s="518">
        <f t="shared" si="52"/>
        <v>0.61311957606034195</v>
      </c>
      <c r="G48" s="518">
        <f t="shared" si="52"/>
        <v>0.96206544410754624</v>
      </c>
      <c r="H48" s="519">
        <f t="shared" si="52"/>
        <v>0.68390285820151286</v>
      </c>
      <c r="I48" s="520">
        <f t="shared" si="52"/>
        <v>3.1354545965468588</v>
      </c>
      <c r="J48" s="517">
        <f t="shared" si="52"/>
        <v>0.83851427692562508</v>
      </c>
      <c r="K48" s="518">
        <f t="shared" si="52"/>
        <v>0.44617238326059822</v>
      </c>
      <c r="L48" s="518">
        <f t="shared" si="52"/>
        <v>1.1184137854854743</v>
      </c>
      <c r="M48" s="519">
        <f t="shared" si="52"/>
        <v>0.56511773779325958</v>
      </c>
      <c r="N48" s="520">
        <f t="shared" si="52"/>
        <v>3.0845388476367974</v>
      </c>
      <c r="O48" s="517">
        <f t="shared" si="52"/>
        <v>1.0372053035501605</v>
      </c>
      <c r="P48" s="518">
        <f t="shared" si="52"/>
        <v>0.6373813296603329</v>
      </c>
      <c r="Q48" s="518">
        <f t="shared" si="52"/>
        <v>0.57988280055779196</v>
      </c>
      <c r="R48" s="519">
        <f t="shared" si="52"/>
        <v>0.70803371739396259</v>
      </c>
      <c r="S48" s="520">
        <f t="shared" si="52"/>
        <v>2.9626298369567361</v>
      </c>
      <c r="T48" s="517">
        <f t="shared" si="52"/>
        <v>0.97233097120677514</v>
      </c>
      <c r="U48" s="518">
        <f t="shared" si="52"/>
        <v>0.41619901808591847</v>
      </c>
      <c r="V48" s="1214">
        <f>V40/V46</f>
        <v>0.68426833572925849</v>
      </c>
      <c r="W48" s="519">
        <f t="shared" si="52"/>
        <v>0.44161338719439469</v>
      </c>
      <c r="X48" s="496">
        <f t="shared" si="52"/>
        <v>2.5143663993878751</v>
      </c>
      <c r="Y48" s="493">
        <f t="shared" ref="Y48:AE48" si="53">Y40/Y46</f>
        <v>0.63088994913449781</v>
      </c>
      <c r="Z48" s="494">
        <f t="shared" si="53"/>
        <v>0.65631152920586311</v>
      </c>
      <c r="AA48" s="494">
        <f t="shared" si="53"/>
        <v>0.76817925758429284</v>
      </c>
      <c r="AB48" s="495">
        <f t="shared" si="53"/>
        <v>0.39385895123238468</v>
      </c>
      <c r="AC48" s="496">
        <f t="shared" si="53"/>
        <v>2.4491404364317031</v>
      </c>
      <c r="AD48" s="493">
        <f t="shared" si="53"/>
        <v>0.76009538606347382</v>
      </c>
      <c r="AE48" s="494">
        <f t="shared" si="53"/>
        <v>0.41727683562441936</v>
      </c>
      <c r="AF48" s="494">
        <f t="shared" ref="AF48:AK48" si="54">AF40/AF46</f>
        <v>0.87501133179089585</v>
      </c>
      <c r="AG48" s="495">
        <f t="shared" si="54"/>
        <v>0.93700787401574803</v>
      </c>
      <c r="AH48" s="496">
        <f t="shared" si="54"/>
        <v>2.9881889763779528</v>
      </c>
      <c r="AI48" s="493">
        <f t="shared" si="54"/>
        <v>1.1539271923139784</v>
      </c>
      <c r="AJ48" s="494">
        <f t="shared" si="54"/>
        <v>0.67913385826771655</v>
      </c>
      <c r="AK48" s="494">
        <f t="shared" si="54"/>
        <v>0.86417322834645671</v>
      </c>
      <c r="AL48" s="495">
        <f t="shared" ref="AL48:AR48" si="55">AL40/AL46</f>
        <v>0.6082677165354331</v>
      </c>
      <c r="AM48" s="496">
        <f t="shared" si="55"/>
        <v>3.3051181102362204</v>
      </c>
      <c r="AN48" s="517">
        <f t="shared" si="55"/>
        <v>0.92716535433070868</v>
      </c>
      <c r="AO48" s="494">
        <f t="shared" si="55"/>
        <v>0.36811023622047245</v>
      </c>
      <c r="AP48" s="518">
        <f t="shared" si="55"/>
        <v>0.64370078740157477</v>
      </c>
      <c r="AQ48" s="495">
        <f t="shared" si="55"/>
        <v>-0.19291338582677164</v>
      </c>
      <c r="AR48" s="496">
        <f t="shared" si="55"/>
        <v>1.7460629921259843</v>
      </c>
      <c r="AS48" s="517">
        <f t="shared" ref="AS48:AY48" si="56">AS40/AS46</f>
        <v>0.22440944881889763</v>
      </c>
      <c r="AT48" s="494">
        <f t="shared" si="56"/>
        <v>0.21499013806706113</v>
      </c>
      <c r="AU48" s="518">
        <f t="shared" si="56"/>
        <v>0.77909270216962523</v>
      </c>
      <c r="AV48" s="495">
        <f t="shared" si="56"/>
        <v>1.8818897637795275</v>
      </c>
      <c r="AW48" s="496">
        <f t="shared" si="56"/>
        <v>3.1045364891518736</v>
      </c>
      <c r="AX48" s="517">
        <f t="shared" si="56"/>
        <v>1.0408099626236138</v>
      </c>
      <c r="AY48" s="518">
        <f t="shared" si="56"/>
        <v>0.64599062253898953</v>
      </c>
      <c r="AZ48" s="518">
        <f>AZ40/AZ46</f>
        <v>0.91787132005499039</v>
      </c>
      <c r="BA48" s="519">
        <f>BA40/BA46</f>
        <v>0.55265114865964204</v>
      </c>
      <c r="BB48" s="520">
        <f>BB40/BB46</f>
        <v>3.1573230538772359</v>
      </c>
      <c r="BC48" s="517">
        <f t="shared" ref="BC48:BL48" si="57">BC40/BC46</f>
        <v>1.1675431908632101</v>
      </c>
      <c r="BD48" s="518">
        <f t="shared" si="57"/>
        <v>0.81276533207074408</v>
      </c>
      <c r="BE48" s="518">
        <f t="shared" si="57"/>
        <v>0.74107435203150607</v>
      </c>
      <c r="BF48" s="519">
        <f t="shared" si="57"/>
        <v>0.48360357647069896</v>
      </c>
      <c r="BG48" s="520">
        <f t="shared" si="57"/>
        <v>3.2049864514361546</v>
      </c>
      <c r="BH48" s="517">
        <f t="shared" si="57"/>
        <v>1.1899217396285355</v>
      </c>
      <c r="BI48" s="518">
        <f t="shared" si="57"/>
        <v>0.75044827130563896</v>
      </c>
      <c r="BJ48" s="518">
        <f t="shared" si="57"/>
        <v>0.79840354715015327</v>
      </c>
      <c r="BK48" s="519">
        <f t="shared" si="57"/>
        <v>0.58714586398669077</v>
      </c>
      <c r="BL48" s="520">
        <f t="shared" si="57"/>
        <v>3.3259194220710198</v>
      </c>
      <c r="BM48" s="517">
        <f>BM40/BM46</f>
        <v>1.2240049048988806</v>
      </c>
      <c r="BN48" s="518">
        <f>BN40/BN46</f>
        <v>0.8693803260878803</v>
      </c>
      <c r="BO48" s="518">
        <f>BO40/BO46</f>
        <v>0.86694457934384783</v>
      </c>
      <c r="BP48" s="519">
        <f>BP40/BP46</f>
        <v>0.75335063973034289</v>
      </c>
      <c r="BQ48" s="520">
        <f>BQ40/BQ46</f>
        <v>3.7136804500609508</v>
      </c>
      <c r="BR48" s="465"/>
      <c r="BS48" s="1663"/>
      <c r="CL48"/>
      <c r="CM48"/>
      <c r="CN48"/>
      <c r="CO48"/>
      <c r="CP48"/>
      <c r="CQ48"/>
    </row>
    <row r="49" spans="1:95" s="303" customFormat="1">
      <c r="B49" s="17"/>
      <c r="C49" s="483" t="s">
        <v>521</v>
      </c>
      <c r="D49" s="484"/>
      <c r="E49" s="485">
        <f t="shared" ref="E49:X49" si="58">E42/E46</f>
        <v>1.0719615910042088</v>
      </c>
      <c r="F49" s="486">
        <f t="shared" si="58"/>
        <v>0.62889114071784269</v>
      </c>
      <c r="G49" s="486">
        <f t="shared" si="58"/>
        <v>0.91475075013504403</v>
      </c>
      <c r="H49" s="487">
        <f t="shared" si="58"/>
        <v>0.6523684324631146</v>
      </c>
      <c r="I49" s="488">
        <f t="shared" si="58"/>
        <v>3.2675775260868836</v>
      </c>
      <c r="J49" s="485">
        <f t="shared" si="58"/>
        <v>0.73795171814089411</v>
      </c>
      <c r="K49" s="486">
        <f t="shared" si="58"/>
        <v>0.65717987501257169</v>
      </c>
      <c r="L49" s="486">
        <f t="shared" si="58"/>
        <v>1.0612109640056178</v>
      </c>
      <c r="M49" s="487">
        <f t="shared" si="58"/>
        <v>0.59076007842611256</v>
      </c>
      <c r="N49" s="488">
        <f t="shared" si="58"/>
        <v>3.1634273092131862</v>
      </c>
      <c r="O49" s="485">
        <f t="shared" si="58"/>
        <v>0.85776484228958139</v>
      </c>
      <c r="P49" s="486">
        <f t="shared" si="58"/>
        <v>0.59594167664836084</v>
      </c>
      <c r="Q49" s="486">
        <f t="shared" si="58"/>
        <v>0.84418312462154754</v>
      </c>
      <c r="R49" s="487">
        <f t="shared" si="58"/>
        <v>0.48319849794295494</v>
      </c>
      <c r="S49" s="488">
        <f t="shared" si="58"/>
        <v>2.7811638283015965</v>
      </c>
      <c r="T49" s="485">
        <f t="shared" si="58"/>
        <v>0.86188363979180682</v>
      </c>
      <c r="U49" s="486">
        <f t="shared" si="58"/>
        <v>0.43789659722783841</v>
      </c>
      <c r="V49" s="486">
        <f>V42/V46</f>
        <v>0.75328675575958715</v>
      </c>
      <c r="W49" s="487">
        <f t="shared" si="58"/>
        <v>0.38444022545940609</v>
      </c>
      <c r="X49" s="502">
        <f t="shared" si="58"/>
        <v>2.4374563683477755</v>
      </c>
      <c r="Y49" s="499">
        <f t="shared" ref="Y49:AE49" si="59">Y42/Y46</f>
        <v>0.85367296242261737</v>
      </c>
      <c r="Z49" s="500">
        <f t="shared" si="59"/>
        <v>0.47893003482590008</v>
      </c>
      <c r="AA49" s="500">
        <f t="shared" si="59"/>
        <v>0.75833080556398147</v>
      </c>
      <c r="AB49" s="501">
        <f t="shared" si="59"/>
        <v>0.48838509952815701</v>
      </c>
      <c r="AC49" s="502">
        <f t="shared" si="59"/>
        <v>2.5791832914634747</v>
      </c>
      <c r="AD49" s="499">
        <f t="shared" si="59"/>
        <v>1.0141169010950493</v>
      </c>
      <c r="AE49" s="500">
        <f t="shared" si="59"/>
        <v>0.48223030532067335</v>
      </c>
      <c r="AF49" s="500">
        <f t="shared" ref="AF49:AN49" si="60">AF42/AF46</f>
        <v>0.7745032734095092</v>
      </c>
      <c r="AG49" s="501">
        <f t="shared" si="60"/>
        <v>0.48622047244094491</v>
      </c>
      <c r="AH49" s="502">
        <f t="shared" si="60"/>
        <v>2.7559055118110236</v>
      </c>
      <c r="AI49" s="499">
        <f t="shared" si="60"/>
        <v>1.0416851275325847</v>
      </c>
      <c r="AJ49" s="500">
        <f t="shared" si="60"/>
        <v>0.56889763779527558</v>
      </c>
      <c r="AK49" s="500">
        <f>AK42/AK46</f>
        <v>0.79330708661417326</v>
      </c>
      <c r="AL49" s="501">
        <f>AL42/AL46</f>
        <v>0.50196850393700787</v>
      </c>
      <c r="AM49" s="502">
        <f>AM42/AM46</f>
        <v>2.9055118110236222</v>
      </c>
      <c r="AN49" s="485">
        <f t="shared" si="60"/>
        <v>0.91141732283464572</v>
      </c>
      <c r="AO49" s="500">
        <f t="shared" ref="AO49:AT49" si="61">AO42/AO46</f>
        <v>0.56889763779527558</v>
      </c>
      <c r="AP49" s="486">
        <f t="shared" si="61"/>
        <v>0.87401574803149606</v>
      </c>
      <c r="AQ49" s="501">
        <f t="shared" si="61"/>
        <v>0.54921259842519687</v>
      </c>
      <c r="AR49" s="502">
        <f t="shared" si="61"/>
        <v>2.9035433070866143</v>
      </c>
      <c r="AS49" s="485">
        <f t="shared" si="61"/>
        <v>0.91732283464566933</v>
      </c>
      <c r="AT49" s="500">
        <f t="shared" si="61"/>
        <v>0.62327416173570016</v>
      </c>
      <c r="AU49" s="486">
        <f t="shared" ref="AU49:BB49" si="62">AU42/AU46</f>
        <v>0.8224852071005917</v>
      </c>
      <c r="AV49" s="501">
        <f t="shared" si="62"/>
        <v>0.56889763779527558</v>
      </c>
      <c r="AW49" s="502">
        <f t="shared" si="62"/>
        <v>2.9349112426035502</v>
      </c>
      <c r="AX49" s="485">
        <f t="shared" si="62"/>
        <v>1.0408099626236138</v>
      </c>
      <c r="AY49" s="486">
        <f t="shared" si="62"/>
        <v>0.64599062253898953</v>
      </c>
      <c r="AZ49" s="486">
        <f t="shared" si="62"/>
        <v>0.91787132005499039</v>
      </c>
      <c r="BA49" s="487">
        <f t="shared" si="62"/>
        <v>0.55265114865964204</v>
      </c>
      <c r="BB49" s="488">
        <f t="shared" si="62"/>
        <v>3.1573230538772359</v>
      </c>
      <c r="BC49" s="485">
        <f t="shared" ref="BC49:BL49" si="63">BC42/BC46</f>
        <v>1.1675431908632101</v>
      </c>
      <c r="BD49" s="486">
        <f t="shared" si="63"/>
        <v>0.81276533207074408</v>
      </c>
      <c r="BE49" s="486">
        <f t="shared" si="63"/>
        <v>0.74107435203150607</v>
      </c>
      <c r="BF49" s="487">
        <f t="shared" si="63"/>
        <v>0.48360357647069896</v>
      </c>
      <c r="BG49" s="488">
        <f t="shared" si="63"/>
        <v>3.2049864514361546</v>
      </c>
      <c r="BH49" s="485">
        <f t="shared" si="63"/>
        <v>1.1899217396285355</v>
      </c>
      <c r="BI49" s="486">
        <f t="shared" si="63"/>
        <v>0.75044827130563896</v>
      </c>
      <c r="BJ49" s="486">
        <f t="shared" si="63"/>
        <v>0.79840354715015327</v>
      </c>
      <c r="BK49" s="487">
        <f t="shared" si="63"/>
        <v>0.58714586398669077</v>
      </c>
      <c r="BL49" s="488">
        <f t="shared" si="63"/>
        <v>3.3259194220710198</v>
      </c>
      <c r="BM49" s="485">
        <f>BM42/BM46</f>
        <v>1.2240049048988806</v>
      </c>
      <c r="BN49" s="486">
        <f>BN42/BN46</f>
        <v>0.8693803260878803</v>
      </c>
      <c r="BO49" s="486">
        <f>BO42/BO46</f>
        <v>0.86694457934384783</v>
      </c>
      <c r="BP49" s="487">
        <f>BP42/BP46</f>
        <v>0.75335063973034289</v>
      </c>
      <c r="BQ49" s="488">
        <f>BQ42/BQ46</f>
        <v>3.7136804500609508</v>
      </c>
      <c r="BR49" s="465"/>
      <c r="BS49" s="1663">
        <f>RATE(4,0,AW49,-BQ49)</f>
        <v>6.0601873352477846E-2</v>
      </c>
      <c r="CL49"/>
      <c r="CM49"/>
      <c r="CN49"/>
      <c r="CO49"/>
      <c r="CP49"/>
      <c r="CQ49"/>
    </row>
    <row r="50" spans="1:95" s="303" customFormat="1">
      <c r="C50" s="290" t="s">
        <v>379</v>
      </c>
      <c r="E50" s="517"/>
      <c r="F50" s="518"/>
      <c r="G50" s="518"/>
      <c r="H50" s="519"/>
      <c r="I50" s="520"/>
      <c r="J50" s="541">
        <f>J49/E49-1</f>
        <v>-0.31158753789901728</v>
      </c>
      <c r="K50" s="542">
        <f t="shared" ref="K50:AA50" si="64">K49/F49-1</f>
        <v>4.4981925269990342E-2</v>
      </c>
      <c r="L50" s="542">
        <f t="shared" si="64"/>
        <v>0.16010942199167588</v>
      </c>
      <c r="M50" s="543">
        <f t="shared" si="64"/>
        <v>-9.4437975492453696E-2</v>
      </c>
      <c r="N50" s="540">
        <f t="shared" si="64"/>
        <v>-3.1873831926620966E-2</v>
      </c>
      <c r="O50" s="541">
        <f t="shared" si="64"/>
        <v>0.1623590286509935</v>
      </c>
      <c r="P50" s="542">
        <f t="shared" si="64"/>
        <v>-9.3183313568510284E-2</v>
      </c>
      <c r="Q50" s="542">
        <f t="shared" si="64"/>
        <v>-0.20450960906480165</v>
      </c>
      <c r="R50" s="543">
        <f t="shared" si="64"/>
        <v>-0.18207320435348362</v>
      </c>
      <c r="S50" s="540">
        <f t="shared" si="64"/>
        <v>-0.12083839568504795</v>
      </c>
      <c r="T50" s="541">
        <f t="shared" si="64"/>
        <v>4.8017793445944701E-3</v>
      </c>
      <c r="U50" s="542">
        <f t="shared" si="64"/>
        <v>-0.26520225990802437</v>
      </c>
      <c r="V50" s="542">
        <f t="shared" si="64"/>
        <v>-0.107673757281881</v>
      </c>
      <c r="W50" s="543">
        <f t="shared" si="64"/>
        <v>-0.20438447740209653</v>
      </c>
      <c r="X50" s="540">
        <f t="shared" si="64"/>
        <v>-0.12358403933497031</v>
      </c>
      <c r="Y50" s="541">
        <f t="shared" si="64"/>
        <v>-9.5264337204181704E-3</v>
      </c>
      <c r="Z50" s="542">
        <f t="shared" si="64"/>
        <v>9.3705769484917711E-2</v>
      </c>
      <c r="AA50" s="542">
        <f t="shared" si="64"/>
        <v>6.6960553412467316E-3</v>
      </c>
      <c r="AB50" s="543">
        <f t="shared" ref="AB50:AI50" si="65">AB49/W49-1</f>
        <v>0.27037980727572619</v>
      </c>
      <c r="AC50" s="540">
        <f t="shared" si="65"/>
        <v>5.8145419526737463E-2</v>
      </c>
      <c r="AD50" s="541">
        <f t="shared" si="65"/>
        <v>0.18794543781392825</v>
      </c>
      <c r="AE50" s="542">
        <f t="shared" si="65"/>
        <v>6.890924049006486E-3</v>
      </c>
      <c r="AF50" s="542">
        <f t="shared" si="65"/>
        <v>2.132640231264249E-2</v>
      </c>
      <c r="AG50" s="543">
        <f t="shared" si="65"/>
        <v>-4.4322136144272495E-3</v>
      </c>
      <c r="AH50" s="540">
        <f t="shared" si="65"/>
        <v>6.8518674470503971E-2</v>
      </c>
      <c r="AI50" s="541">
        <f t="shared" si="65"/>
        <v>2.7184466019417597E-2</v>
      </c>
      <c r="AJ50" s="542">
        <f t="shared" ref="AJ50:AU50" si="66">AJ49/AE49-1</f>
        <v>0.1797218704804755</v>
      </c>
      <c r="AK50" s="542">
        <f t="shared" si="66"/>
        <v>2.427854581154465E-2</v>
      </c>
      <c r="AL50" s="543">
        <f t="shared" si="66"/>
        <v>3.2388663967611198E-2</v>
      </c>
      <c r="AM50" s="540">
        <f t="shared" si="66"/>
        <v>5.428571428571427E-2</v>
      </c>
      <c r="AN50" s="541">
        <f t="shared" si="66"/>
        <v>-0.12505487623357092</v>
      </c>
      <c r="AO50" s="542">
        <f t="shared" si="66"/>
        <v>0</v>
      </c>
      <c r="AP50" s="542">
        <f t="shared" si="66"/>
        <v>0.1017369727047146</v>
      </c>
      <c r="AQ50" s="543">
        <f t="shared" si="66"/>
        <v>9.4117647058823639E-2</v>
      </c>
      <c r="AR50" s="540">
        <f t="shared" si="66"/>
        <v>-6.7750677506772661E-4</v>
      </c>
      <c r="AS50" s="541">
        <f t="shared" si="66"/>
        <v>6.4794816414686096E-3</v>
      </c>
      <c r="AT50" s="542">
        <f t="shared" si="66"/>
        <v>9.5582263535417544E-2</v>
      </c>
      <c r="AU50" s="542">
        <f t="shared" si="66"/>
        <v>-5.8958366650674332E-2</v>
      </c>
      <c r="AV50" s="543">
        <f t="shared" ref="AV50:BA50" si="67">AV49/AQ49-1</f>
        <v>3.584229390680993E-2</v>
      </c>
      <c r="AW50" s="540">
        <f t="shared" si="67"/>
        <v>1.0803329656002392E-2</v>
      </c>
      <c r="AX50" s="541">
        <f t="shared" si="67"/>
        <v>0.13461686912617132</v>
      </c>
      <c r="AY50" s="542">
        <f t="shared" si="67"/>
        <v>3.6446979833125726E-2</v>
      </c>
      <c r="AZ50" s="542">
        <f t="shared" si="67"/>
        <v>0.11597304380786611</v>
      </c>
      <c r="BA50" s="543">
        <f t="shared" si="67"/>
        <v>-2.855784249447002E-2</v>
      </c>
      <c r="BB50" s="540">
        <f>BB49/AW49-1</f>
        <v>7.5781443760590594E-2</v>
      </c>
      <c r="BC50" s="541">
        <f>BC49/AX49-1</f>
        <v>0.12176404222739623</v>
      </c>
      <c r="BD50" s="542">
        <f>BD49/AY49-1</f>
        <v>0.25816893266386187</v>
      </c>
      <c r="BE50" s="542">
        <f>BE49/AY49-1</f>
        <v>0.1471905723937621</v>
      </c>
      <c r="BF50" s="543">
        <f t="shared" ref="BF50:BL50" si="68">BF49/BA49-1</f>
        <v>-0.12493880155031944</v>
      </c>
      <c r="BG50" s="540">
        <f t="shared" si="68"/>
        <v>1.5096142125965661E-2</v>
      </c>
      <c r="BH50" s="541">
        <f t="shared" si="68"/>
        <v>1.9167212776753928E-2</v>
      </c>
      <c r="BI50" s="542">
        <f t="shared" si="68"/>
        <v>-7.6672882449765889E-2</v>
      </c>
      <c r="BJ50" s="542">
        <f t="shared" si="68"/>
        <v>7.7359572573913571E-2</v>
      </c>
      <c r="BK50" s="543">
        <f t="shared" si="68"/>
        <v>0.21410571086267671</v>
      </c>
      <c r="BL50" s="540">
        <f t="shared" si="68"/>
        <v>3.7732755650394356E-2</v>
      </c>
      <c r="BM50" s="541">
        <f>BM49/BH49-1</f>
        <v>2.8643199073734804E-2</v>
      </c>
      <c r="BN50" s="542">
        <f>BN49/BI49-1</f>
        <v>0.15848134952102955</v>
      </c>
      <c r="BO50" s="542">
        <f>BO49/BJ49-1</f>
        <v>8.5847604808805045E-2</v>
      </c>
      <c r="BP50" s="543">
        <f>BP49/BK49-1</f>
        <v>0.28307237764587168</v>
      </c>
      <c r="BQ50" s="540">
        <f>BQ49/BL49-1</f>
        <v>0.11658761947650431</v>
      </c>
      <c r="BR50" s="465"/>
      <c r="CL50"/>
      <c r="CM50"/>
      <c r="CN50"/>
      <c r="CO50"/>
      <c r="CP50"/>
      <c r="CQ50"/>
    </row>
    <row r="51" spans="1:95" s="1008" customFormat="1">
      <c r="C51" s="1009"/>
      <c r="E51" s="1010"/>
      <c r="F51" s="1011"/>
      <c r="G51" s="1011"/>
      <c r="H51" s="1012"/>
      <c r="J51" s="1013"/>
      <c r="K51" s="1006"/>
      <c r="L51" s="1006"/>
      <c r="M51" s="1014"/>
      <c r="N51" s="1009"/>
      <c r="O51" s="1013"/>
      <c r="P51" s="1006"/>
      <c r="Q51" s="1006"/>
      <c r="R51" s="1014"/>
      <c r="S51" s="1009"/>
      <c r="T51" s="1013"/>
      <c r="U51" s="1007"/>
      <c r="V51" s="1215"/>
      <c r="W51" s="1014"/>
      <c r="X51" s="1015"/>
      <c r="Y51" s="1233"/>
      <c r="Z51" s="1007"/>
      <c r="AA51" s="1007"/>
      <c r="AB51" s="1016"/>
      <c r="AC51" s="1015"/>
      <c r="AD51" s="1233"/>
      <c r="AE51" s="1007"/>
      <c r="AF51" s="1006"/>
      <c r="AG51" s="1014"/>
      <c r="AH51" s="1009"/>
      <c r="AI51" s="1013"/>
      <c r="AJ51" s="1006"/>
      <c r="AK51" s="1006"/>
      <c r="AL51" s="1014"/>
      <c r="AM51" s="1009"/>
      <c r="AN51" s="1013"/>
      <c r="AO51" s="1006"/>
      <c r="AP51" s="1006"/>
      <c r="AQ51" s="1014"/>
      <c r="AR51" s="1009"/>
      <c r="AS51" s="1013"/>
      <c r="AT51" s="1006"/>
      <c r="AU51" s="1006"/>
      <c r="AV51" s="1014"/>
      <c r="AW51" s="1009"/>
      <c r="AX51" s="1013"/>
      <c r="AY51" s="1006"/>
      <c r="AZ51" s="1006"/>
      <c r="BA51" s="1014"/>
      <c r="BB51" s="1009"/>
      <c r="BC51" s="1013"/>
      <c r="BD51" s="1006"/>
      <c r="BE51" s="1006"/>
      <c r="BF51" s="1014"/>
      <c r="BG51" s="1009"/>
      <c r="BH51" s="1013"/>
      <c r="BI51" s="1006"/>
      <c r="BJ51" s="1006"/>
      <c r="BK51" s="1014"/>
      <c r="BL51" s="1009"/>
      <c r="BM51" s="1013"/>
      <c r="BN51" s="1006"/>
      <c r="BO51" s="1006"/>
      <c r="BP51" s="1014"/>
      <c r="BQ51" s="1009"/>
      <c r="BR51" s="1017"/>
      <c r="CL51"/>
      <c r="CM51"/>
      <c r="CN51"/>
      <c r="CO51"/>
      <c r="CP51"/>
      <c r="CQ51"/>
    </row>
    <row r="52" spans="1:95" s="2" customFormat="1">
      <c r="A52" s="1523"/>
      <c r="B52" s="105" t="s">
        <v>80</v>
      </c>
      <c r="C52" s="277"/>
      <c r="D52" s="277"/>
      <c r="E52" s="365"/>
      <c r="F52" s="6"/>
      <c r="G52" s="6"/>
      <c r="H52" s="366"/>
      <c r="I52" s="33"/>
      <c r="J52" s="365"/>
      <c r="K52" s="6"/>
      <c r="L52" s="6"/>
      <c r="M52" s="366"/>
      <c r="N52" s="33"/>
      <c r="O52" s="365"/>
      <c r="P52" s="6"/>
      <c r="Q52" s="6"/>
      <c r="R52" s="366"/>
      <c r="S52" s="33"/>
      <c r="T52" s="365"/>
      <c r="U52" s="6"/>
      <c r="V52" s="6"/>
      <c r="W52" s="366"/>
      <c r="X52" s="33"/>
      <c r="Y52" s="365"/>
      <c r="Z52" s="6"/>
      <c r="AA52" s="6"/>
      <c r="AB52" s="366"/>
      <c r="AC52" s="33"/>
      <c r="AD52" s="365"/>
      <c r="AE52" s="6"/>
      <c r="AF52" s="6"/>
      <c r="AG52" s="366"/>
      <c r="AH52" s="33"/>
      <c r="AI52" s="365"/>
      <c r="AJ52" s="6"/>
      <c r="AK52" s="6"/>
      <c r="AL52" s="366"/>
      <c r="AM52" s="33"/>
      <c r="AN52" s="365"/>
      <c r="AO52" s="6"/>
      <c r="AP52" s="6"/>
      <c r="AQ52" s="366"/>
      <c r="AR52" s="33"/>
      <c r="AS52" s="365"/>
      <c r="AT52" s="6"/>
      <c r="AU52" s="6"/>
      <c r="AV52" s="366"/>
      <c r="AW52" s="33"/>
      <c r="AX52" s="365"/>
      <c r="AY52" s="6"/>
      <c r="AZ52" s="6"/>
      <c r="BA52" s="366"/>
      <c r="BB52" s="33"/>
      <c r="BC52" s="365"/>
      <c r="BD52" s="6"/>
      <c r="BE52" s="6"/>
      <c r="BF52" s="366"/>
      <c r="BG52" s="33"/>
      <c r="BH52" s="365"/>
      <c r="BI52" s="6"/>
      <c r="BJ52" s="6"/>
      <c r="BK52" s="366"/>
      <c r="BL52" s="33"/>
      <c r="BM52" s="365"/>
      <c r="BN52" s="6"/>
      <c r="BO52" s="6"/>
      <c r="BP52" s="366"/>
      <c r="BQ52" s="33"/>
      <c r="BR52" s="3"/>
      <c r="CL52"/>
      <c r="CM52"/>
      <c r="CN52"/>
      <c r="CO52"/>
      <c r="CP52"/>
      <c r="CQ52"/>
    </row>
    <row r="53" spans="1:95" s="2" customFormat="1">
      <c r="A53" s="1523"/>
      <c r="C53" s="49" t="s">
        <v>303</v>
      </c>
      <c r="E53" s="365"/>
      <c r="F53" s="6"/>
      <c r="G53" s="6"/>
      <c r="H53" s="366"/>
      <c r="I53" s="33"/>
      <c r="J53" s="365"/>
      <c r="K53" s="6"/>
      <c r="L53" s="6"/>
      <c r="M53" s="366"/>
      <c r="N53" s="33"/>
      <c r="O53" s="365"/>
      <c r="P53" s="6"/>
      <c r="Q53" s="6"/>
      <c r="R53" s="366"/>
      <c r="S53" s="33"/>
      <c r="T53" s="365"/>
      <c r="U53" s="6"/>
      <c r="V53" s="6"/>
      <c r="W53" s="366"/>
      <c r="X53" s="33"/>
      <c r="Y53" s="365"/>
      <c r="Z53" s="6"/>
      <c r="AA53" s="6"/>
      <c r="AB53" s="366"/>
      <c r="AC53" s="33"/>
      <c r="AD53" s="365"/>
      <c r="AE53" s="6"/>
      <c r="AF53" s="6"/>
      <c r="AG53" s="366"/>
      <c r="AH53" s="33"/>
      <c r="AI53" s="365"/>
      <c r="AJ53" s="6"/>
      <c r="AK53" s="6"/>
      <c r="AL53" s="366"/>
      <c r="AM53" s="33"/>
      <c r="AN53" s="365"/>
      <c r="AO53" s="6"/>
      <c r="AP53" s="6"/>
      <c r="AQ53" s="366"/>
      <c r="AR53" s="33"/>
      <c r="AS53" s="365"/>
      <c r="AT53" s="6"/>
      <c r="AU53" s="6"/>
      <c r="AV53" s="366"/>
      <c r="AW53" s="33"/>
      <c r="AX53" s="365"/>
      <c r="AY53" s="6"/>
      <c r="AZ53" s="6"/>
      <c r="BA53" s="366"/>
      <c r="BB53" s="33"/>
      <c r="BC53" s="365"/>
      <c r="BD53" s="6"/>
      <c r="BE53" s="6"/>
      <c r="BF53" s="366"/>
      <c r="BG53" s="33"/>
      <c r="BH53" s="365"/>
      <c r="BI53" s="6"/>
      <c r="BJ53" s="6"/>
      <c r="BK53" s="366"/>
      <c r="BL53" s="33"/>
      <c r="BM53" s="365"/>
      <c r="BN53" s="6"/>
      <c r="BO53" s="6"/>
      <c r="BP53" s="366"/>
      <c r="BQ53" s="33"/>
      <c r="BR53" s="3"/>
      <c r="CL53"/>
      <c r="CM53"/>
      <c r="CN53"/>
      <c r="CO53"/>
      <c r="CP53"/>
      <c r="CQ53"/>
    </row>
    <row r="54" spans="1:95" s="37" customFormat="1">
      <c r="C54" s="547" t="s">
        <v>103</v>
      </c>
      <c r="E54" s="867">
        <v>0.33250000000000002</v>
      </c>
      <c r="F54" s="868">
        <v>0.33250000000000002</v>
      </c>
      <c r="G54" s="868">
        <v>0.33250000000000002</v>
      </c>
      <c r="H54" s="869">
        <v>0.33250000000000002</v>
      </c>
      <c r="I54" s="496">
        <f>SUM(E54:H54)</f>
        <v>1.33</v>
      </c>
      <c r="J54" s="867">
        <v>0.34250000000000003</v>
      </c>
      <c r="K54" s="868">
        <v>0.34250000000000003</v>
      </c>
      <c r="L54" s="868">
        <v>0.34250000000000003</v>
      </c>
      <c r="M54" s="869">
        <v>0.34250000000000003</v>
      </c>
      <c r="N54" s="496">
        <f>SUM(J54:M54)</f>
        <v>1.37</v>
      </c>
      <c r="O54" s="867">
        <v>0.34250000000000003</v>
      </c>
      <c r="P54" s="868">
        <v>0.34250000000000003</v>
      </c>
      <c r="Q54" s="868">
        <v>0.34250000000000003</v>
      </c>
      <c r="R54" s="869">
        <v>0.34250000000000003</v>
      </c>
      <c r="S54" s="496">
        <f>SUM(O54:R54)</f>
        <v>1.37</v>
      </c>
      <c r="T54" s="898">
        <v>0.35499999999999998</v>
      </c>
      <c r="U54" s="868">
        <v>0.35499999999999998</v>
      </c>
      <c r="V54" s="868">
        <v>0.35499999999999998</v>
      </c>
      <c r="W54" s="869">
        <f>1.42-SUM(T54:V54)</f>
        <v>0.35499999999999998</v>
      </c>
      <c r="X54" s="496">
        <f>SUM(T54:W54)</f>
        <v>1.42</v>
      </c>
      <c r="Y54" s="1322">
        <v>0.36</v>
      </c>
      <c r="Z54" s="1323">
        <v>0.36</v>
      </c>
      <c r="AA54" s="1323">
        <v>0.36</v>
      </c>
      <c r="AB54" s="1324">
        <f>1.44-SUM(Y54:AA54)</f>
        <v>0.35999999999999988</v>
      </c>
      <c r="AC54" s="496">
        <f>SUM(Y54:AB54)</f>
        <v>1.44</v>
      </c>
      <c r="AD54" s="1322">
        <v>0.37</v>
      </c>
      <c r="AE54" s="1323">
        <v>0.37</v>
      </c>
      <c r="AF54" s="1323">
        <v>0.37</v>
      </c>
      <c r="AG54" s="1324">
        <f>1.48-SUM(AD54:AF54)</f>
        <v>0.37000000000000011</v>
      </c>
      <c r="AH54" s="496">
        <f>SUM(AD54:AG54)</f>
        <v>1.48</v>
      </c>
      <c r="AI54" s="1322">
        <v>0.39</v>
      </c>
      <c r="AJ54" s="1323">
        <v>0.39</v>
      </c>
      <c r="AK54" s="1323">
        <v>0.39</v>
      </c>
      <c r="AL54" s="1324">
        <f>1.56-SUM(AI54:AK54)</f>
        <v>0.39000000000000012</v>
      </c>
      <c r="AM54" s="496">
        <f>SUM(AI54:AL54)</f>
        <v>1.56</v>
      </c>
      <c r="AN54" s="1322">
        <v>0.41</v>
      </c>
      <c r="AO54" s="1323">
        <v>0.41</v>
      </c>
      <c r="AP54" s="1323">
        <v>0.41</v>
      </c>
      <c r="AQ54" s="1324">
        <f>1.64-SUM(AN54:AP54)</f>
        <v>0.40999999999999992</v>
      </c>
      <c r="AR54" s="496">
        <f>SUM(AN54:AQ54)</f>
        <v>1.64</v>
      </c>
      <c r="AS54" s="1322">
        <v>0.43</v>
      </c>
      <c r="AT54" s="1323">
        <v>0.43</v>
      </c>
      <c r="AU54" s="1323">
        <v>0.43</v>
      </c>
      <c r="AV54" s="1324">
        <f>1.72-SUM(AS54:AU54)</f>
        <v>0.42999999999999994</v>
      </c>
      <c r="AW54" s="496">
        <f>SUM(AS54:AV54)</f>
        <v>1.72</v>
      </c>
      <c r="AX54" s="901">
        <f>+AS54*1.045</f>
        <v>0.44934999999999997</v>
      </c>
      <c r="AY54" s="597">
        <f>+AX54</f>
        <v>0.44934999999999997</v>
      </c>
      <c r="AZ54" s="597">
        <f>+AY54</f>
        <v>0.44934999999999997</v>
      </c>
      <c r="BA54" s="899">
        <f>+AY54</f>
        <v>0.44934999999999997</v>
      </c>
      <c r="BB54" s="900">
        <f>SUM(AX54:BA54)</f>
        <v>1.7973999999999999</v>
      </c>
      <c r="BC54" s="901">
        <f>+AX54*1.045</f>
        <v>0.46957074999999993</v>
      </c>
      <c r="BD54" s="597">
        <f>+BC54</f>
        <v>0.46957074999999993</v>
      </c>
      <c r="BE54" s="597">
        <f>+BD54</f>
        <v>0.46957074999999993</v>
      </c>
      <c r="BF54" s="899">
        <f>+BE54</f>
        <v>0.46957074999999993</v>
      </c>
      <c r="BG54" s="900">
        <f>SUM(BC54:BF54)</f>
        <v>1.8782829999999997</v>
      </c>
      <c r="BH54" s="901">
        <f>+BC54*1.045</f>
        <v>0.49070143374999992</v>
      </c>
      <c r="BI54" s="597">
        <f>+BH54</f>
        <v>0.49070143374999992</v>
      </c>
      <c r="BJ54" s="597">
        <f>+BI54</f>
        <v>0.49070143374999992</v>
      </c>
      <c r="BK54" s="899">
        <f>+BJ54</f>
        <v>0.49070143374999992</v>
      </c>
      <c r="BL54" s="900">
        <f>SUM(BH54:BK54)</f>
        <v>1.9628057349999997</v>
      </c>
      <c r="BM54" s="901">
        <f>+BH54*1.045</f>
        <v>0.51278299826874985</v>
      </c>
      <c r="BN54" s="597">
        <f>+BM54</f>
        <v>0.51278299826874985</v>
      </c>
      <c r="BO54" s="597">
        <f>+BN54</f>
        <v>0.51278299826874985</v>
      </c>
      <c r="BP54" s="899">
        <f>+BO54</f>
        <v>0.51278299826874985</v>
      </c>
      <c r="BQ54" s="900">
        <f>SUM(BM54:BP54)</f>
        <v>2.0511319930749994</v>
      </c>
      <c r="BR54" s="26"/>
      <c r="CL54"/>
      <c r="CM54"/>
      <c r="CN54"/>
      <c r="CO54"/>
      <c r="CP54"/>
      <c r="CQ54"/>
    </row>
    <row r="55" spans="1:95" s="290" customFormat="1">
      <c r="C55" s="290" t="s">
        <v>118</v>
      </c>
      <c r="E55" s="369"/>
      <c r="F55" s="330"/>
      <c r="G55" s="330"/>
      <c r="H55" s="370"/>
      <c r="I55" s="289"/>
      <c r="J55" s="369">
        <f>IF(J54=0,0,J54/E54-1)</f>
        <v>3.007518796992481E-2</v>
      </c>
      <c r="K55" s="330">
        <f>IF(K54=0,0,K54/F54-1)</f>
        <v>3.007518796992481E-2</v>
      </c>
      <c r="L55" s="330">
        <f>IF(L54=0,0,L54/G54-1)</f>
        <v>3.007518796992481E-2</v>
      </c>
      <c r="M55" s="370">
        <f>IF(M54=0,0,M54/H54-1)</f>
        <v>3.007518796992481E-2</v>
      </c>
      <c r="N55" s="528">
        <f>+N54/I54-1</f>
        <v>3.007518796992481E-2</v>
      </c>
      <c r="O55" s="529">
        <f>IF(O54=0,0,O54/J54-1)</f>
        <v>0</v>
      </c>
      <c r="P55" s="530">
        <f>IF(P54=0,0,P54/K54-1)</f>
        <v>0</v>
      </c>
      <c r="Q55" s="530">
        <f>IF(Q54=0,0,Q54/L54-1)</f>
        <v>0</v>
      </c>
      <c r="R55" s="531">
        <f>IF(R54=0,0,R54/M54-1)</f>
        <v>0</v>
      </c>
      <c r="S55" s="528">
        <f>+S54/N54-1</f>
        <v>0</v>
      </c>
      <c r="T55" s="529">
        <f>+T54/O54-1</f>
        <v>3.6496350364963348E-2</v>
      </c>
      <c r="U55" s="530">
        <f>+U54/P54-1</f>
        <v>3.6496350364963348E-2</v>
      </c>
      <c r="V55" s="530">
        <f>+V54/Q54-1</f>
        <v>3.6496350364963348E-2</v>
      </c>
      <c r="W55" s="531">
        <f>IF(W54=0,0,W54/R54-1)</f>
        <v>3.6496350364963348E-2</v>
      </c>
      <c r="X55" s="528">
        <f>+X54/S54-1</f>
        <v>3.6496350364963348E-2</v>
      </c>
      <c r="Y55" s="529">
        <f>+Y54/T54-1</f>
        <v>1.4084507042253502E-2</v>
      </c>
      <c r="Z55" s="530">
        <f>+Z54/U54-1</f>
        <v>1.4084507042253502E-2</v>
      </c>
      <c r="AA55" s="530">
        <f>+AA54/V54-1</f>
        <v>1.4084507042253502E-2</v>
      </c>
      <c r="AB55" s="531">
        <f>IF(AB54=0,0,AB54/W54-1)</f>
        <v>1.408450704225328E-2</v>
      </c>
      <c r="AC55" s="528">
        <f>+AC54/X54-1</f>
        <v>1.4084507042253502E-2</v>
      </c>
      <c r="AD55" s="529">
        <f>+AD54/Y54-1</f>
        <v>2.7777777777777901E-2</v>
      </c>
      <c r="AE55" s="530">
        <f>+AE54/Z54-1</f>
        <v>2.7777777777777901E-2</v>
      </c>
      <c r="AF55" s="530">
        <f>+AF54/AA54-1</f>
        <v>2.7777777777777901E-2</v>
      </c>
      <c r="AG55" s="531">
        <f>IF(AG54=0,0,AG54/AB54-1)</f>
        <v>2.7777777777778345E-2</v>
      </c>
      <c r="AH55" s="528">
        <f>+AH54/AC54-1</f>
        <v>2.7777777777777901E-2</v>
      </c>
      <c r="AI55" s="529">
        <f>+AI54/AD54-1</f>
        <v>5.4054054054054168E-2</v>
      </c>
      <c r="AJ55" s="530">
        <f>+AJ54/AE54-1</f>
        <v>5.4054054054054168E-2</v>
      </c>
      <c r="AK55" s="530">
        <f>+AK54/AF54-1</f>
        <v>5.4054054054054168E-2</v>
      </c>
      <c r="AL55" s="531">
        <f>IF(AL54=0,0,AL54/AG54-1)</f>
        <v>5.4054054054054168E-2</v>
      </c>
      <c r="AM55" s="528">
        <f>+AM54/AH54-1</f>
        <v>5.4054054054054168E-2</v>
      </c>
      <c r="AN55" s="529">
        <f>+AN54/AI54-1</f>
        <v>5.12820512820511E-2</v>
      </c>
      <c r="AO55" s="530">
        <f>+AO54/AJ54-1</f>
        <v>5.12820512820511E-2</v>
      </c>
      <c r="AP55" s="530">
        <f>+AP54/AK54-1</f>
        <v>5.12820512820511E-2</v>
      </c>
      <c r="AQ55" s="531">
        <f>IF(AQ54=0,0,AQ54/AL54-1)</f>
        <v>5.1282051282050656E-2</v>
      </c>
      <c r="AR55" s="528">
        <f>+AR54/AM54-1</f>
        <v>5.12820512820511E-2</v>
      </c>
      <c r="AS55" s="529">
        <f>+AS54/AN54-1</f>
        <v>4.8780487804878092E-2</v>
      </c>
      <c r="AT55" s="530">
        <f>+AT54/AO54-1</f>
        <v>4.8780487804878092E-2</v>
      </c>
      <c r="AU55" s="530">
        <f>+AU54/AP54-1</f>
        <v>4.8780487804878092E-2</v>
      </c>
      <c r="AV55" s="531">
        <f>IF(AV54=0,0,AV54/AQ54-1)</f>
        <v>4.8780487804878092E-2</v>
      </c>
      <c r="AW55" s="528">
        <f>+AW54/AR54-1</f>
        <v>4.8780487804878092E-2</v>
      </c>
      <c r="AX55" s="529">
        <f t="shared" ref="AX55:BL55" si="69">+AX54/AS54-1</f>
        <v>4.4999999999999929E-2</v>
      </c>
      <c r="AY55" s="530">
        <f t="shared" si="69"/>
        <v>4.4999999999999929E-2</v>
      </c>
      <c r="AZ55" s="530">
        <f>+AZ54/AU54-1</f>
        <v>4.4999999999999929E-2</v>
      </c>
      <c r="BA55" s="531">
        <f t="shared" si="69"/>
        <v>4.5000000000000151E-2</v>
      </c>
      <c r="BB55" s="902">
        <f>+BB54/AW54-1</f>
        <v>4.4999999999999929E-2</v>
      </c>
      <c r="BC55" s="529">
        <f>+BC54/AX54-1</f>
        <v>4.4999999999999929E-2</v>
      </c>
      <c r="BD55" s="530">
        <f>+BD54/AY54-1</f>
        <v>4.4999999999999929E-2</v>
      </c>
      <c r="BE55" s="530">
        <f>+BE54/AY54-1</f>
        <v>4.4999999999999929E-2</v>
      </c>
      <c r="BF55" s="531">
        <f>+BF54/BA54-1</f>
        <v>4.4999999999999929E-2</v>
      </c>
      <c r="BG55" s="902">
        <f>+BG54/BB54-1</f>
        <v>4.4999999999999929E-2</v>
      </c>
      <c r="BH55" s="529">
        <f t="shared" si="69"/>
        <v>4.4999999999999929E-2</v>
      </c>
      <c r="BI55" s="530">
        <f t="shared" si="69"/>
        <v>4.4999999999999929E-2</v>
      </c>
      <c r="BJ55" s="530">
        <f t="shared" si="69"/>
        <v>4.4999999999999929E-2</v>
      </c>
      <c r="BK55" s="531">
        <f t="shared" si="69"/>
        <v>4.4999999999999929E-2</v>
      </c>
      <c r="BL55" s="902">
        <f t="shared" si="69"/>
        <v>4.4999999999999929E-2</v>
      </c>
      <c r="BM55" s="529">
        <f>+BM54/BH54-1</f>
        <v>4.4999999999999929E-2</v>
      </c>
      <c r="BN55" s="530">
        <f>+BN54/BI54-1</f>
        <v>4.4999999999999929E-2</v>
      </c>
      <c r="BO55" s="530">
        <f>+BO54/BJ54-1</f>
        <v>4.4999999999999929E-2</v>
      </c>
      <c r="BP55" s="531">
        <f>+BP54/BK54-1</f>
        <v>4.4999999999999929E-2</v>
      </c>
      <c r="BQ55" s="902">
        <f>+BQ54/BL54-1</f>
        <v>4.4999999999999929E-2</v>
      </c>
      <c r="CL55"/>
      <c r="CM55"/>
      <c r="CN55"/>
      <c r="CO55"/>
      <c r="CP55"/>
      <c r="CQ55"/>
    </row>
    <row r="56" spans="1:95" s="2" customFormat="1">
      <c r="A56" s="1523"/>
      <c r="C56" s="37"/>
      <c r="E56" s="369"/>
      <c r="F56" s="330"/>
      <c r="G56" s="330"/>
      <c r="H56" s="370"/>
      <c r="I56" s="289"/>
      <c r="J56" s="369"/>
      <c r="K56" s="330"/>
      <c r="L56" s="330"/>
      <c r="M56" s="370"/>
      <c r="N56" s="289"/>
      <c r="O56" s="369"/>
      <c r="P56" s="330"/>
      <c r="Q56" s="330"/>
      <c r="R56" s="370"/>
      <c r="S56" s="289"/>
      <c r="T56" s="369"/>
      <c r="U56" s="330"/>
      <c r="V56" s="330"/>
      <c r="W56" s="370"/>
      <c r="X56" s="289"/>
      <c r="Y56" s="369"/>
      <c r="Z56" s="330"/>
      <c r="AA56" s="330"/>
      <c r="AB56" s="370"/>
      <c r="AC56" s="289"/>
      <c r="AD56" s="369"/>
      <c r="AE56" s="330"/>
      <c r="AF56" s="330"/>
      <c r="AG56" s="370"/>
      <c r="AH56" s="289"/>
      <c r="AI56" s="369"/>
      <c r="AJ56" s="330"/>
      <c r="AK56" s="330"/>
      <c r="AL56" s="370"/>
      <c r="AM56" s="289"/>
      <c r="AN56" s="369"/>
      <c r="AO56" s="330"/>
      <c r="AP56" s="330"/>
      <c r="AQ56" s="370"/>
      <c r="AR56" s="289"/>
      <c r="AS56" s="369"/>
      <c r="AT56" s="330"/>
      <c r="AU56" s="330"/>
      <c r="AV56" s="370"/>
      <c r="AW56" s="289"/>
      <c r="AX56" s="369"/>
      <c r="AY56" s="330"/>
      <c r="AZ56" s="330"/>
      <c r="BA56" s="370"/>
      <c r="BB56" s="289"/>
      <c r="BC56" s="369"/>
      <c r="BD56" s="330"/>
      <c r="BE56" s="330"/>
      <c r="BF56" s="370"/>
      <c r="BG56" s="289"/>
      <c r="BH56" s="369"/>
      <c r="BI56" s="330"/>
      <c r="BJ56" s="330"/>
      <c r="BK56" s="370"/>
      <c r="BL56" s="289"/>
      <c r="BM56" s="369"/>
      <c r="BN56" s="330"/>
      <c r="BO56" s="330"/>
      <c r="BP56" s="370"/>
      <c r="BQ56" s="289"/>
      <c r="CL56"/>
      <c r="CM56"/>
      <c r="CN56"/>
      <c r="CO56"/>
      <c r="CP56"/>
      <c r="CQ56"/>
    </row>
    <row r="57" spans="1:95" s="290" customFormat="1">
      <c r="C57" s="290" t="s">
        <v>119</v>
      </c>
      <c r="E57" s="369"/>
      <c r="F57" s="330"/>
      <c r="G57" s="330"/>
      <c r="H57" s="370"/>
      <c r="I57" s="289">
        <f>+I54/I69</f>
        <v>2.0816285648148147</v>
      </c>
      <c r="J57" s="369"/>
      <c r="K57" s="330"/>
      <c r="L57" s="330"/>
      <c r="M57" s="370"/>
      <c r="N57" s="289">
        <f>+N54/N69</f>
        <v>1.6154689534883722</v>
      </c>
      <c r="O57" s="369"/>
      <c r="P57" s="330"/>
      <c r="Q57" s="330"/>
      <c r="R57" s="370"/>
      <c r="S57" s="289">
        <f>+S54/S69</f>
        <v>1.3331388483685223</v>
      </c>
      <c r="T57" s="369"/>
      <c r="U57" s="330"/>
      <c r="V57" s="330"/>
      <c r="W57" s="370"/>
      <c r="X57" s="289">
        <f>+X54/X69</f>
        <v>1.3637540151515151</v>
      </c>
      <c r="Y57" s="369"/>
      <c r="Z57" s="330"/>
      <c r="AA57" s="330"/>
      <c r="AB57" s="370"/>
      <c r="AC57" s="289">
        <f>+AC54/AC69</f>
        <v>1.1941764705882352</v>
      </c>
      <c r="AD57" s="369"/>
      <c r="AE57" s="330"/>
      <c r="AF57" s="330"/>
      <c r="AG57" s="370"/>
      <c r="AH57" s="289">
        <f>+AH54/AH69</f>
        <v>1.0370206896551726</v>
      </c>
      <c r="AI57" s="369"/>
      <c r="AJ57" s="330"/>
      <c r="AK57" s="330"/>
      <c r="AL57" s="370"/>
      <c r="AM57" s="289">
        <f>+AM54/AM69</f>
        <v>1.0069631512071158</v>
      </c>
      <c r="AN57" s="369"/>
      <c r="AO57" s="330"/>
      <c r="AP57" s="330"/>
      <c r="AQ57" s="370"/>
      <c r="AR57" s="289">
        <f>+AR54/AR69</f>
        <v>0.93714285714285706</v>
      </c>
      <c r="AS57" s="369"/>
      <c r="AT57" s="330"/>
      <c r="AU57" s="330"/>
      <c r="AV57" s="370"/>
      <c r="AW57" s="289">
        <f>+AW54/AW69</f>
        <v>0.90554517133956391</v>
      </c>
      <c r="AX57" s="369"/>
      <c r="AY57" s="330"/>
      <c r="AZ57" s="330"/>
      <c r="BA57" s="370"/>
      <c r="BB57" s="289">
        <f>+BB54/BB69</f>
        <v>0.88107696024855531</v>
      </c>
      <c r="BC57" s="369"/>
      <c r="BD57" s="330"/>
      <c r="BE57" s="330"/>
      <c r="BF57" s="370"/>
      <c r="BG57" s="289">
        <f>+BG54/BG69</f>
        <v>0.85940106321931276</v>
      </c>
      <c r="BH57" s="369"/>
      <c r="BI57" s="330"/>
      <c r="BJ57" s="330"/>
      <c r="BK57" s="370"/>
      <c r="BL57" s="289">
        <f>+BL54/BL69</f>
        <v>0.84416886795457602</v>
      </c>
      <c r="BM57" s="369"/>
      <c r="BN57" s="330"/>
      <c r="BO57" s="330"/>
      <c r="BP57" s="370"/>
      <c r="BQ57" s="289">
        <f>+BQ54/BQ69</f>
        <v>0.83309883968479304</v>
      </c>
      <c r="CL57"/>
      <c r="CM57"/>
      <c r="CN57"/>
      <c r="CO57"/>
      <c r="CP57"/>
      <c r="CQ57"/>
    </row>
    <row r="58" spans="1:95" s="290" customFormat="1">
      <c r="C58" s="290" t="s">
        <v>83</v>
      </c>
      <c r="E58" s="891"/>
      <c r="F58" s="532"/>
      <c r="G58" s="532"/>
      <c r="H58" s="747"/>
      <c r="I58" s="540">
        <f>+I54/I49</f>
        <v>0.4070293633071817</v>
      </c>
      <c r="J58" s="746"/>
      <c r="K58" s="532"/>
      <c r="L58" s="532"/>
      <c r="M58" s="747"/>
      <c r="N58" s="540">
        <f>+N54/N49</f>
        <v>0.43307459476309229</v>
      </c>
      <c r="O58" s="746"/>
      <c r="P58" s="532"/>
      <c r="Q58" s="532"/>
      <c r="R58" s="747"/>
      <c r="S58" s="540">
        <f>+S54/S49</f>
        <v>0.49259953191489364</v>
      </c>
      <c r="T58" s="746"/>
      <c r="U58" s="532"/>
      <c r="V58" s="532"/>
      <c r="W58" s="747"/>
      <c r="X58" s="540">
        <f>+X54/X49</f>
        <v>0.58257453074433652</v>
      </c>
      <c r="Y58" s="746"/>
      <c r="Z58" s="532"/>
      <c r="AA58" s="532"/>
      <c r="AB58" s="747"/>
      <c r="AC58" s="540">
        <f>+AC54/AC49</f>
        <v>0.55831627196333078</v>
      </c>
      <c r="AD58" s="746"/>
      <c r="AE58" s="532"/>
      <c r="AF58" s="532"/>
      <c r="AG58" s="747"/>
      <c r="AH58" s="540">
        <f>+AH54/AH49</f>
        <v>0.53702857142857141</v>
      </c>
      <c r="AI58" s="746"/>
      <c r="AJ58" s="532"/>
      <c r="AK58" s="532"/>
      <c r="AL58" s="747"/>
      <c r="AM58" s="540">
        <f>+AM54/AM49</f>
        <v>0.53691056910569102</v>
      </c>
      <c r="AN58" s="746"/>
      <c r="AO58" s="532"/>
      <c r="AP58" s="532"/>
      <c r="AQ58" s="747"/>
      <c r="AR58" s="540">
        <f>+AR54/AR49</f>
        <v>0.56482711864406776</v>
      </c>
      <c r="AS58" s="746"/>
      <c r="AT58" s="532"/>
      <c r="AU58" s="532"/>
      <c r="AV58" s="747"/>
      <c r="AW58" s="540">
        <f>+AW54/AW49</f>
        <v>0.5860483870967742</v>
      </c>
      <c r="AX58" s="746"/>
      <c r="AY58" s="532"/>
      <c r="AZ58" s="532"/>
      <c r="BA58" s="747"/>
      <c r="BB58" s="540">
        <f>+BB54/BB49</f>
        <v>0.56927972504833424</v>
      </c>
      <c r="BC58" s="746"/>
      <c r="BD58" s="532"/>
      <c r="BE58" s="532"/>
      <c r="BF58" s="747"/>
      <c r="BG58" s="540">
        <f>+BG54/BG49</f>
        <v>0.58605021533190604</v>
      </c>
      <c r="BH58" s="746"/>
      <c r="BI58" s="532"/>
      <c r="BJ58" s="532"/>
      <c r="BK58" s="747"/>
      <c r="BL58" s="540">
        <f>+BL54/BL49</f>
        <v>0.59015432604130214</v>
      </c>
      <c r="BM58" s="746"/>
      <c r="BN58" s="532"/>
      <c r="BO58" s="532"/>
      <c r="BP58" s="747"/>
      <c r="BQ58" s="540">
        <f>+BQ54/BQ49</f>
        <v>0.55231784766008485</v>
      </c>
      <c r="CL58"/>
      <c r="CM58"/>
      <c r="CN58"/>
      <c r="CO58"/>
      <c r="CP58"/>
      <c r="CQ58"/>
    </row>
    <row r="59" spans="1:95" s="2" customFormat="1">
      <c r="A59" s="1523"/>
      <c r="C59" s="290"/>
      <c r="E59" s="365"/>
      <c r="F59" s="6"/>
      <c r="G59" s="6"/>
      <c r="H59" s="366"/>
      <c r="J59" s="365"/>
      <c r="K59" s="6"/>
      <c r="L59" s="6"/>
      <c r="M59" s="366"/>
      <c r="O59" s="365"/>
      <c r="P59" s="6"/>
      <c r="Q59" s="6"/>
      <c r="R59" s="366"/>
      <c r="T59" s="365"/>
      <c r="U59" s="6"/>
      <c r="V59" s="6"/>
      <c r="W59" s="366"/>
      <c r="Y59" s="365"/>
      <c r="Z59" s="6"/>
      <c r="AA59" s="6"/>
      <c r="AB59" s="366"/>
      <c r="AD59" s="365"/>
      <c r="AE59" s="6"/>
      <c r="AF59" s="6"/>
      <c r="AG59" s="366"/>
      <c r="AI59" s="365"/>
      <c r="AJ59" s="6"/>
      <c r="AK59" s="6"/>
      <c r="AL59" s="366"/>
      <c r="AN59" s="365"/>
      <c r="AO59" s="6"/>
      <c r="AP59" s="6"/>
      <c r="AQ59" s="366"/>
      <c r="AS59" s="365"/>
      <c r="AT59" s="6"/>
      <c r="AU59" s="6"/>
      <c r="AV59" s="366"/>
      <c r="AX59" s="365"/>
      <c r="AY59" s="6"/>
      <c r="AZ59" s="6"/>
      <c r="BA59" s="366"/>
      <c r="BC59" s="365"/>
      <c r="BD59" s="6"/>
      <c r="BE59" s="6"/>
      <c r="BF59" s="366"/>
      <c r="BH59" s="365"/>
      <c r="BI59" s="6"/>
      <c r="BJ59" s="6"/>
      <c r="BK59" s="366"/>
      <c r="BM59" s="365"/>
      <c r="BN59" s="6"/>
      <c r="BO59" s="6"/>
      <c r="BP59" s="366"/>
      <c r="CL59"/>
      <c r="CM59"/>
      <c r="CN59"/>
      <c r="CO59"/>
      <c r="CP59"/>
      <c r="CQ59"/>
    </row>
    <row r="60" spans="1:95" s="2" customFormat="1">
      <c r="A60" s="1523"/>
      <c r="C60" s="49" t="s">
        <v>452</v>
      </c>
      <c r="E60" s="365"/>
      <c r="F60" s="6"/>
      <c r="G60" s="6"/>
      <c r="H60" s="366"/>
      <c r="J60" s="365"/>
      <c r="K60" s="6"/>
      <c r="L60" s="6"/>
      <c r="M60" s="366"/>
      <c r="O60" s="365"/>
      <c r="P60" s="6"/>
      <c r="Q60" s="6"/>
      <c r="R60" s="366"/>
      <c r="T60" s="365"/>
      <c r="U60" s="6"/>
      <c r="V60" s="6"/>
      <c r="W60" s="366"/>
      <c r="Y60" s="365"/>
      <c r="Z60" s="6"/>
      <c r="AA60" s="6"/>
      <c r="AB60" s="366"/>
      <c r="AD60" s="365"/>
      <c r="AE60" s="6"/>
      <c r="AF60" s="6"/>
      <c r="AG60" s="366"/>
      <c r="AI60" s="365"/>
      <c r="AJ60" s="6"/>
      <c r="AK60" s="6"/>
      <c r="AL60" s="366"/>
      <c r="AN60" s="365"/>
      <c r="AO60" s="6"/>
      <c r="AP60" s="6"/>
      <c r="AQ60" s="366"/>
      <c r="AS60" s="365"/>
      <c r="AT60" s="6"/>
      <c r="AU60" s="6"/>
      <c r="AV60" s="366"/>
      <c r="AX60" s="365"/>
      <c r="AY60" s="6"/>
      <c r="AZ60" s="6"/>
      <c r="BA60" s="366"/>
      <c r="BC60" s="365"/>
      <c r="BD60" s="6"/>
      <c r="BE60" s="6"/>
      <c r="BF60" s="366"/>
      <c r="BH60" s="365"/>
      <c r="BI60" s="6"/>
      <c r="BJ60" s="6"/>
      <c r="BK60" s="366"/>
      <c r="BM60" s="365"/>
      <c r="BN60" s="6"/>
      <c r="BO60" s="6"/>
      <c r="BP60" s="366"/>
      <c r="CL60"/>
      <c r="CM60"/>
      <c r="CN60"/>
      <c r="CO60"/>
      <c r="CP60"/>
      <c r="CQ60"/>
    </row>
    <row r="61" spans="1:95" s="37" customFormat="1">
      <c r="C61" s="547" t="s">
        <v>121</v>
      </c>
      <c r="E61" s="417"/>
      <c r="F61" s="66"/>
      <c r="G61" s="66"/>
      <c r="H61" s="892"/>
      <c r="I61" s="77"/>
      <c r="J61" s="394"/>
      <c r="K61" s="342"/>
      <c r="L61" s="342"/>
      <c r="M61" s="395"/>
      <c r="N61" s="77"/>
      <c r="O61" s="893"/>
      <c r="P61" s="894"/>
      <c r="Q61" s="894"/>
      <c r="R61" s="895"/>
      <c r="S61" s="77"/>
      <c r="T61" s="903"/>
      <c r="U61" s="896"/>
      <c r="V61" s="896"/>
      <c r="W61" s="895"/>
      <c r="X61" s="77"/>
      <c r="Y61" s="903"/>
      <c r="Z61" s="896"/>
      <c r="AA61" s="896"/>
      <c r="AB61" s="897"/>
      <c r="AC61" s="595"/>
      <c r="AD61" s="903"/>
      <c r="AE61" s="896"/>
      <c r="AF61" s="896"/>
      <c r="AG61" s="897"/>
      <c r="AH61" s="595"/>
      <c r="AI61" s="903"/>
      <c r="AJ61" s="896"/>
      <c r="AK61" s="896"/>
      <c r="AL61" s="897"/>
      <c r="AM61" s="595"/>
      <c r="AN61" s="903"/>
      <c r="AO61" s="896"/>
      <c r="AP61" s="896"/>
      <c r="AQ61" s="897"/>
      <c r="AR61" s="595"/>
      <c r="AS61" s="903"/>
      <c r="AT61" s="896"/>
      <c r="AU61" s="896"/>
      <c r="AV61" s="897"/>
      <c r="AW61" s="595"/>
      <c r="AX61" s="903">
        <f>+Financial!$N$60</f>
        <v>49.44</v>
      </c>
      <c r="AY61" s="896">
        <f>+Financial!$N$60</f>
        <v>49.44</v>
      </c>
      <c r="AZ61" s="896">
        <f>+Financial!$N$60</f>
        <v>49.44</v>
      </c>
      <c r="BA61" s="897">
        <f>+Financial!$N$60</f>
        <v>49.44</v>
      </c>
      <c r="BB61" s="595">
        <f>+Financial!$N$60</f>
        <v>49.44</v>
      </c>
      <c r="BC61" s="903">
        <f>+Financial!$N$60</f>
        <v>49.44</v>
      </c>
      <c r="BD61" s="896">
        <f>+Financial!$N$60</f>
        <v>49.44</v>
      </c>
      <c r="BE61" s="896">
        <f>+Financial!$N$60</f>
        <v>49.44</v>
      </c>
      <c r="BF61" s="897">
        <f>+Financial!$N$60</f>
        <v>49.44</v>
      </c>
      <c r="BG61" s="595">
        <f>+Financial!$N$60</f>
        <v>49.44</v>
      </c>
      <c r="BH61" s="903">
        <f>+Financial!$N$60</f>
        <v>49.44</v>
      </c>
      <c r="BI61" s="896">
        <f>+Financial!$N$60</f>
        <v>49.44</v>
      </c>
      <c r="BJ61" s="896">
        <f>+Financial!$N$60</f>
        <v>49.44</v>
      </c>
      <c r="BK61" s="897">
        <f>+Financial!$N$60</f>
        <v>49.44</v>
      </c>
      <c r="BL61" s="595">
        <f>+Financial!$N$60</f>
        <v>49.44</v>
      </c>
      <c r="BM61" s="903">
        <f>+Financial!$N$60</f>
        <v>49.44</v>
      </c>
      <c r="BN61" s="896">
        <f>+Financial!$N$60</f>
        <v>49.44</v>
      </c>
      <c r="BO61" s="896">
        <f>+Financial!$N$60</f>
        <v>49.44</v>
      </c>
      <c r="BP61" s="897">
        <f>+Financial!$N$60</f>
        <v>49.44</v>
      </c>
      <c r="BQ61" s="595">
        <f>+Financial!$N$60</f>
        <v>49.44</v>
      </c>
      <c r="BR61" s="77"/>
      <c r="BS61" s="77"/>
      <c r="BT61" s="77"/>
      <c r="BU61" s="595"/>
      <c r="BV61" s="77"/>
      <c r="BW61" s="77"/>
      <c r="BX61" s="77"/>
      <c r="CL61"/>
      <c r="CM61"/>
      <c r="CN61"/>
      <c r="CO61"/>
      <c r="CP61"/>
      <c r="CQ61"/>
    </row>
    <row r="62" spans="1:95" s="37" customFormat="1">
      <c r="C62" s="550" t="s">
        <v>122</v>
      </c>
      <c r="E62" s="417"/>
      <c r="F62" s="66"/>
      <c r="G62" s="66"/>
      <c r="H62" s="892"/>
      <c r="I62" s="77"/>
      <c r="J62" s="394"/>
      <c r="K62" s="342"/>
      <c r="L62" s="342"/>
      <c r="M62" s="395"/>
      <c r="N62" s="77"/>
      <c r="O62" s="394"/>
      <c r="P62" s="342"/>
      <c r="Q62" s="342"/>
      <c r="R62" s="395"/>
      <c r="S62" s="77"/>
      <c r="T62" s="418"/>
      <c r="U62" s="353"/>
      <c r="V62" s="353"/>
      <c r="W62" s="395"/>
      <c r="X62" s="77"/>
      <c r="Y62" s="398"/>
      <c r="Z62" s="344"/>
      <c r="AA62" s="344"/>
      <c r="AB62" s="399"/>
      <c r="AC62" s="77"/>
      <c r="AD62" s="398"/>
      <c r="AE62" s="344"/>
      <c r="AF62" s="344"/>
      <c r="AG62" s="399"/>
      <c r="AH62" s="77"/>
      <c r="AI62" s="398"/>
      <c r="AJ62" s="353"/>
      <c r="AK62" s="353"/>
      <c r="AL62" s="419"/>
      <c r="AM62" s="77"/>
      <c r="AN62" s="398"/>
      <c r="AO62" s="353"/>
      <c r="AP62" s="353"/>
      <c r="AQ62" s="419"/>
      <c r="AR62" s="77"/>
      <c r="AS62" s="398"/>
      <c r="AT62" s="353"/>
      <c r="AU62" s="353"/>
      <c r="AV62" s="419"/>
      <c r="AW62" s="77"/>
      <c r="AX62" s="418">
        <v>0</v>
      </c>
      <c r="AY62" s="353">
        <v>0</v>
      </c>
      <c r="AZ62" s="353">
        <v>0</v>
      </c>
      <c r="BA62" s="419">
        <v>0</v>
      </c>
      <c r="BB62" s="77">
        <f>+SUM(AX62:BA62)</f>
        <v>0</v>
      </c>
      <c r="BC62" s="418">
        <v>0</v>
      </c>
      <c r="BD62" s="353">
        <v>0</v>
      </c>
      <c r="BE62" s="353">
        <v>0</v>
      </c>
      <c r="BF62" s="419">
        <v>0</v>
      </c>
      <c r="BG62" s="77">
        <f>+SUM(BC62:BF62)</f>
        <v>0</v>
      </c>
      <c r="BH62" s="418">
        <v>0</v>
      </c>
      <c r="BI62" s="353">
        <v>0</v>
      </c>
      <c r="BJ62" s="353">
        <v>0</v>
      </c>
      <c r="BK62" s="419">
        <v>0</v>
      </c>
      <c r="BL62" s="77">
        <f>+SUM(BH62:BK62)</f>
        <v>0</v>
      </c>
      <c r="BM62" s="418">
        <v>0</v>
      </c>
      <c r="BN62" s="353">
        <v>0</v>
      </c>
      <c r="BO62" s="353">
        <v>0</v>
      </c>
      <c r="BP62" s="419">
        <v>0</v>
      </c>
      <c r="BQ62" s="77">
        <f>+SUM(BM62:BP62)</f>
        <v>0</v>
      </c>
      <c r="BR62" s="77"/>
      <c r="BS62" s="77"/>
      <c r="BT62" s="77"/>
      <c r="BU62" s="77"/>
      <c r="BV62" s="77"/>
      <c r="BW62" s="77"/>
      <c r="BX62" s="77"/>
      <c r="CL62"/>
      <c r="CM62"/>
      <c r="CN62"/>
      <c r="CO62"/>
      <c r="CP62"/>
      <c r="CQ62"/>
    </row>
    <row r="63" spans="1:95" s="37" customFormat="1">
      <c r="C63" s="547" t="s">
        <v>123</v>
      </c>
      <c r="E63" s="417"/>
      <c r="F63" s="66"/>
      <c r="G63" s="66"/>
      <c r="H63" s="892"/>
      <c r="I63" s="77"/>
      <c r="J63" s="394"/>
      <c r="K63" s="342"/>
      <c r="L63" s="342"/>
      <c r="M63" s="395"/>
      <c r="N63" s="77"/>
      <c r="O63" s="418"/>
      <c r="P63" s="353"/>
      <c r="Q63" s="353"/>
      <c r="R63" s="419"/>
      <c r="S63" s="77"/>
      <c r="T63" s="418"/>
      <c r="U63" s="353"/>
      <c r="V63" s="353"/>
      <c r="W63" s="419"/>
      <c r="X63" s="77"/>
      <c r="Y63" s="398"/>
      <c r="Z63" s="344"/>
      <c r="AA63" s="344"/>
      <c r="AB63" s="399"/>
      <c r="AC63" s="77"/>
      <c r="AD63" s="398"/>
      <c r="AE63" s="344"/>
      <c r="AF63" s="344"/>
      <c r="AG63" s="399"/>
      <c r="AH63" s="77"/>
      <c r="AI63" s="398"/>
      <c r="AJ63" s="353"/>
      <c r="AK63" s="353"/>
      <c r="AL63" s="419"/>
      <c r="AM63" s="77"/>
      <c r="AN63" s="398"/>
      <c r="AO63" s="353"/>
      <c r="AP63" s="353"/>
      <c r="AQ63" s="419"/>
      <c r="AR63" s="77"/>
      <c r="AS63" s="398"/>
      <c r="AT63" s="353"/>
      <c r="AU63" s="353"/>
      <c r="AV63" s="419"/>
      <c r="AW63" s="77"/>
      <c r="AX63" s="418">
        <v>0</v>
      </c>
      <c r="AY63" s="353">
        <v>0</v>
      </c>
      <c r="AZ63" s="353">
        <v>0</v>
      </c>
      <c r="BA63" s="419">
        <v>0</v>
      </c>
      <c r="BB63" s="77">
        <f>+SUM(AX63:BA63)</f>
        <v>0</v>
      </c>
      <c r="BC63" s="418">
        <v>0</v>
      </c>
      <c r="BD63" s="353">
        <v>0</v>
      </c>
      <c r="BE63" s="353">
        <v>0</v>
      </c>
      <c r="BF63" s="419">
        <v>0</v>
      </c>
      <c r="BG63" s="77">
        <f>+SUM(BC63:BF63)</f>
        <v>0</v>
      </c>
      <c r="BH63" s="418">
        <v>0</v>
      </c>
      <c r="BI63" s="353">
        <v>0</v>
      </c>
      <c r="BJ63" s="353">
        <v>0</v>
      </c>
      <c r="BK63" s="419">
        <v>0</v>
      </c>
      <c r="BL63" s="77">
        <f>+SUM(BH63:BK63)</f>
        <v>0</v>
      </c>
      <c r="BM63" s="418">
        <v>0</v>
      </c>
      <c r="BN63" s="353">
        <v>0</v>
      </c>
      <c r="BO63" s="353">
        <v>0</v>
      </c>
      <c r="BP63" s="419">
        <v>0</v>
      </c>
      <c r="BQ63" s="77">
        <f>+SUM(BM63:BP63)</f>
        <v>0</v>
      </c>
      <c r="BR63" s="77"/>
      <c r="BS63" s="77"/>
      <c r="BT63" s="77"/>
      <c r="BU63" s="77"/>
      <c r="BV63" s="77"/>
      <c r="BW63" s="77"/>
      <c r="BX63" s="77"/>
      <c r="CL63"/>
      <c r="CM63"/>
      <c r="CN63"/>
      <c r="CO63"/>
      <c r="CP63"/>
      <c r="CQ63"/>
    </row>
    <row r="64" spans="1:95" s="2" customFormat="1">
      <c r="A64" s="1523"/>
      <c r="C64" s="290"/>
      <c r="E64" s="365"/>
      <c r="F64" s="6"/>
      <c r="G64" s="6"/>
      <c r="H64" s="366"/>
      <c r="I64" s="296"/>
      <c r="J64" s="392"/>
      <c r="K64" s="341"/>
      <c r="L64" s="341"/>
      <c r="M64" s="393"/>
      <c r="N64" s="296"/>
      <c r="O64" s="398"/>
      <c r="P64" s="344"/>
      <c r="Q64" s="344"/>
      <c r="R64" s="399"/>
      <c r="S64" s="296"/>
      <c r="T64" s="398"/>
      <c r="U64" s="344"/>
      <c r="V64" s="344"/>
      <c r="W64" s="399"/>
      <c r="X64" s="296"/>
      <c r="Y64" s="398"/>
      <c r="Z64" s="344"/>
      <c r="AA64" s="344"/>
      <c r="AB64" s="399"/>
      <c r="AC64" s="296"/>
      <c r="AD64" s="398"/>
      <c r="AE64" s="344"/>
      <c r="AF64" s="344"/>
      <c r="AG64" s="399"/>
      <c r="AH64" s="296"/>
      <c r="AI64" s="398"/>
      <c r="AJ64" s="344"/>
      <c r="AK64" s="344"/>
      <c r="AL64" s="399"/>
      <c r="AM64" s="296"/>
      <c r="AN64" s="398"/>
      <c r="AO64" s="344"/>
      <c r="AP64" s="344"/>
      <c r="AQ64" s="399"/>
      <c r="AR64" s="296"/>
      <c r="AS64" s="398"/>
      <c r="AT64" s="344"/>
      <c r="AU64" s="344"/>
      <c r="AV64" s="399"/>
      <c r="AW64" s="296"/>
      <c r="AX64" s="398"/>
      <c r="AY64" s="344"/>
      <c r="AZ64" s="344"/>
      <c r="BA64" s="399"/>
      <c r="BB64" s="296"/>
      <c r="BC64" s="398"/>
      <c r="BD64" s="344"/>
      <c r="BE64" s="344"/>
      <c r="BF64" s="399"/>
      <c r="BG64" s="296"/>
      <c r="BH64" s="398"/>
      <c r="BI64" s="344"/>
      <c r="BJ64" s="344"/>
      <c r="BK64" s="399"/>
      <c r="BL64" s="296"/>
      <c r="BM64" s="398"/>
      <c r="BN64" s="344"/>
      <c r="BO64" s="344"/>
      <c r="BP64" s="399"/>
      <c r="BQ64" s="296"/>
      <c r="BR64" s="296"/>
      <c r="BS64" s="296"/>
      <c r="BT64" s="296"/>
      <c r="BU64" s="296"/>
      <c r="BV64" s="296"/>
      <c r="BW64" s="296"/>
      <c r="BX64" s="296"/>
      <c r="CL64"/>
      <c r="CM64"/>
      <c r="CN64"/>
      <c r="CO64"/>
      <c r="CP64"/>
      <c r="CQ64"/>
    </row>
    <row r="65" spans="1:95" s="2" customFormat="1">
      <c r="A65" s="1523"/>
      <c r="C65" s="290"/>
      <c r="E65" s="365"/>
      <c r="F65" s="6"/>
      <c r="G65" s="6"/>
      <c r="H65" s="366"/>
      <c r="I65" s="296"/>
      <c r="J65" s="392"/>
      <c r="K65" s="341"/>
      <c r="L65" s="341"/>
      <c r="M65" s="393"/>
      <c r="N65" s="296"/>
      <c r="O65" s="398"/>
      <c r="P65" s="344"/>
      <c r="Q65" s="344"/>
      <c r="R65" s="399"/>
      <c r="S65" s="296"/>
      <c r="T65" s="398"/>
      <c r="U65" s="344"/>
      <c r="V65" s="344"/>
      <c r="W65" s="399"/>
      <c r="X65" s="296"/>
      <c r="Y65" s="398"/>
      <c r="Z65" s="344"/>
      <c r="AA65" s="344"/>
      <c r="AB65" s="399"/>
      <c r="AC65" s="296"/>
      <c r="AD65" s="398"/>
      <c r="AE65" s="344"/>
      <c r="AF65" s="344"/>
      <c r="AG65" s="399"/>
      <c r="AH65" s="296"/>
      <c r="AI65" s="398"/>
      <c r="AJ65" s="344"/>
      <c r="AK65" s="344"/>
      <c r="AL65" s="399"/>
      <c r="AM65" s="296"/>
      <c r="AN65" s="398"/>
      <c r="AO65" s="344"/>
      <c r="AP65" s="344"/>
      <c r="AQ65" s="399"/>
      <c r="AR65" s="296"/>
      <c r="AS65" s="398"/>
      <c r="AT65" s="344"/>
      <c r="AU65" s="344"/>
      <c r="AV65" s="399"/>
      <c r="AW65" s="296"/>
      <c r="AX65" s="398"/>
      <c r="AY65" s="344"/>
      <c r="AZ65" s="344"/>
      <c r="BA65" s="399"/>
      <c r="BB65" s="296"/>
      <c r="BC65" s="398"/>
      <c r="BD65" s="344"/>
      <c r="BE65" s="344"/>
      <c r="BF65" s="399"/>
      <c r="BG65" s="296"/>
      <c r="BH65" s="398"/>
      <c r="BI65" s="344"/>
      <c r="BJ65" s="344"/>
      <c r="BK65" s="399"/>
      <c r="BL65" s="296"/>
      <c r="BM65" s="398"/>
      <c r="BN65" s="344"/>
      <c r="BO65" s="344"/>
      <c r="BP65" s="399"/>
      <c r="BQ65" s="296"/>
      <c r="BR65" s="296"/>
      <c r="BS65" s="296"/>
      <c r="BT65" s="296"/>
      <c r="BU65" s="296"/>
      <c r="BV65" s="296"/>
      <c r="BW65" s="296"/>
      <c r="BX65" s="296"/>
      <c r="CL65"/>
      <c r="CM65"/>
      <c r="CN65"/>
      <c r="CO65"/>
      <c r="CP65"/>
      <c r="CQ65"/>
    </row>
    <row r="66" spans="1:95" s="2" customFormat="1">
      <c r="A66" s="1523"/>
      <c r="B66" s="105" t="s">
        <v>745</v>
      </c>
      <c r="C66" s="277"/>
      <c r="D66" s="277"/>
      <c r="E66" s="365"/>
      <c r="F66" s="6"/>
      <c r="G66" s="6"/>
      <c r="H66" s="366"/>
      <c r="I66" s="296"/>
      <c r="J66" s="392"/>
      <c r="K66" s="341"/>
      <c r="L66" s="341"/>
      <c r="M66" s="393"/>
      <c r="N66" s="296"/>
      <c r="O66" s="398"/>
      <c r="P66" s="344"/>
      <c r="Q66" s="344"/>
      <c r="R66" s="399"/>
      <c r="S66" s="296"/>
      <c r="T66" s="398"/>
      <c r="U66" s="344"/>
      <c r="V66" s="344"/>
      <c r="W66" s="399"/>
      <c r="X66" s="296"/>
      <c r="Y66" s="398"/>
      <c r="Z66" s="344"/>
      <c r="AA66" s="344"/>
      <c r="AB66" s="399"/>
      <c r="AC66" s="296"/>
      <c r="AD66" s="398"/>
      <c r="AE66" s="344"/>
      <c r="AF66" s="344"/>
      <c r="AG66" s="399"/>
      <c r="AH66" s="296"/>
      <c r="AI66" s="398"/>
      <c r="AJ66" s="344"/>
      <c r="AK66" s="344"/>
      <c r="AL66" s="399"/>
      <c r="AM66" s="296"/>
      <c r="AN66" s="398"/>
      <c r="AO66" s="344"/>
      <c r="AP66" s="344"/>
      <c r="AQ66" s="399"/>
      <c r="AR66" s="296"/>
      <c r="AS66" s="398"/>
      <c r="AT66" s="344"/>
      <c r="AU66" s="344"/>
      <c r="AV66" s="399"/>
      <c r="AW66" s="296"/>
      <c r="AX66" s="398"/>
      <c r="AY66" s="344"/>
      <c r="AZ66" s="344"/>
      <c r="BA66" s="399"/>
      <c r="BB66" s="296"/>
      <c r="BC66" s="398"/>
      <c r="BD66" s="344"/>
      <c r="BE66" s="344"/>
      <c r="BF66" s="399"/>
      <c r="BG66" s="296"/>
      <c r="BH66" s="398"/>
      <c r="BI66" s="344"/>
      <c r="BJ66" s="344"/>
      <c r="BK66" s="399"/>
      <c r="BL66" s="296"/>
      <c r="BM66" s="398"/>
      <c r="BN66" s="344"/>
      <c r="BO66" s="344"/>
      <c r="BP66" s="399"/>
      <c r="BQ66" s="296"/>
      <c r="BR66" s="296"/>
      <c r="BS66" s="296"/>
      <c r="BT66" s="296"/>
      <c r="BU66" s="296"/>
      <c r="BV66" s="296"/>
      <c r="BW66" s="296"/>
      <c r="BX66" s="296"/>
      <c r="CL66"/>
      <c r="CM66"/>
      <c r="CN66"/>
      <c r="CO66"/>
      <c r="CP66"/>
      <c r="CQ66"/>
    </row>
    <row r="67" spans="1:95" s="2" customFormat="1">
      <c r="A67" s="1523"/>
      <c r="B67" s="203"/>
      <c r="C67" s="549" t="s">
        <v>375</v>
      </c>
      <c r="E67" s="365"/>
      <c r="F67" s="6"/>
      <c r="G67" s="6"/>
      <c r="H67" s="366"/>
      <c r="I67" s="296"/>
      <c r="J67" s="392"/>
      <c r="K67" s="341"/>
      <c r="L67" s="341"/>
      <c r="M67" s="393"/>
      <c r="N67" s="296"/>
      <c r="O67" s="398"/>
      <c r="P67" s="344"/>
      <c r="Q67" s="344"/>
      <c r="R67" s="399"/>
      <c r="S67" s="296"/>
      <c r="T67" s="398"/>
      <c r="U67" s="344"/>
      <c r="V67" s="344"/>
      <c r="W67" s="399"/>
      <c r="X67" s="296"/>
      <c r="Y67" s="398"/>
      <c r="Z67" s="344"/>
      <c r="AA67" s="344"/>
      <c r="AB67" s="399"/>
      <c r="AC67" s="1003"/>
      <c r="AD67" s="398"/>
      <c r="AE67" s="344"/>
      <c r="AF67" s="344"/>
      <c r="AG67" s="399"/>
      <c r="AH67" s="1003"/>
      <c r="AI67" s="398"/>
      <c r="AJ67" s="344"/>
      <c r="AK67" s="344"/>
      <c r="AL67" s="399"/>
      <c r="AM67" s="1003"/>
      <c r="AN67" s="398"/>
      <c r="AO67" s="344"/>
      <c r="AP67" s="344"/>
      <c r="AQ67" s="399"/>
      <c r="AR67" s="1003"/>
      <c r="AS67" s="398"/>
      <c r="AT67" s="344"/>
      <c r="AU67" s="344"/>
      <c r="AV67" s="399"/>
      <c r="AW67" s="1003"/>
      <c r="AX67" s="398"/>
      <c r="AY67" s="344"/>
      <c r="AZ67" s="344"/>
      <c r="BA67" s="399"/>
      <c r="BB67" s="1003"/>
      <c r="BC67" s="398"/>
      <c r="BD67" s="344"/>
      <c r="BE67" s="344"/>
      <c r="BF67" s="399"/>
      <c r="BG67" s="1003"/>
      <c r="BH67" s="398"/>
      <c r="BI67" s="344"/>
      <c r="BJ67" s="344"/>
      <c r="BK67" s="399"/>
      <c r="BL67" s="1003"/>
      <c r="BM67" s="398"/>
      <c r="BN67" s="344"/>
      <c r="BO67" s="344"/>
      <c r="BP67" s="399"/>
      <c r="BQ67" s="1003"/>
      <c r="BR67" s="296"/>
      <c r="BS67" s="1034"/>
      <c r="BT67" s="1034"/>
      <c r="BU67" s="1034"/>
      <c r="BV67" s="1034"/>
      <c r="BX67" s="1034"/>
      <c r="BY67" s="1034"/>
      <c r="BZ67" s="1034"/>
      <c r="CA67" s="1034"/>
      <c r="CB67" s="977"/>
      <c r="CL67"/>
      <c r="CM67"/>
      <c r="CN67"/>
      <c r="CO67"/>
      <c r="CP67"/>
      <c r="CQ67"/>
    </row>
    <row r="68" spans="1:95" s="2" customFormat="1">
      <c r="A68" s="1523"/>
      <c r="B68" s="7"/>
      <c r="C68" s="547" t="s">
        <v>478</v>
      </c>
      <c r="E68" s="493">
        <f>Power!E41</f>
        <v>0.8133483894912229</v>
      </c>
      <c r="F68" s="494">
        <f>Power!F41</f>
        <v>0.4987757322934615</v>
      </c>
      <c r="G68" s="494">
        <f>Power!G41</f>
        <v>0.70577751842315894</v>
      </c>
      <c r="H68" s="495">
        <f>Power!H41</f>
        <v>0.54002704077007069</v>
      </c>
      <c r="I68" s="558">
        <f>Power!I41</f>
        <v>2.5576632778121233</v>
      </c>
      <c r="J68" s="559">
        <f>Power!J41</f>
        <v>0.61717805685531024</v>
      </c>
      <c r="K68" s="560">
        <f>Power!K41</f>
        <v>0.46145563616786728</v>
      </c>
      <c r="L68" s="560">
        <f>Power!L41</f>
        <v>0.67065376907418217</v>
      </c>
      <c r="M68" s="561">
        <f>Power!M41</f>
        <v>0.41619491334861353</v>
      </c>
      <c r="N68" s="558">
        <f>Power!N41</f>
        <v>2.1654882702718692</v>
      </c>
      <c r="O68" s="559">
        <f>Power!O41</f>
        <v>0.53043389097907445</v>
      </c>
      <c r="P68" s="560">
        <f>Power!P41</f>
        <v>0.36901024348756117</v>
      </c>
      <c r="Q68" s="560">
        <f>Power!Q41</f>
        <v>0.52465586717133561</v>
      </c>
      <c r="R68" s="561">
        <f>Power!R41</f>
        <v>0.28400238246443066</v>
      </c>
      <c r="S68" s="558">
        <f>Power!S41</f>
        <v>1.7081474292972925</v>
      </c>
      <c r="T68" s="559">
        <f>Power!T41</f>
        <v>0.39642702882872577</v>
      </c>
      <c r="U68" s="560">
        <f>Power!U41</f>
        <v>0.23078334178223917</v>
      </c>
      <c r="V68" s="560">
        <f>Power!V41</f>
        <v>0.42791420418803772</v>
      </c>
      <c r="W68" s="561">
        <f>Power!W41</f>
        <v>0.21489222859012955</v>
      </c>
      <c r="X68" s="558">
        <f>Power!X41</f>
        <v>1.2700015382006207</v>
      </c>
      <c r="Y68" s="559">
        <f>Power!Y41</f>
        <v>0.49288277276132642</v>
      </c>
      <c r="Z68" s="560">
        <f>Power!Z41</f>
        <v>0.22468322621461981</v>
      </c>
      <c r="AA68" s="560">
        <f>Power!AA41</f>
        <v>0.42545312727745449</v>
      </c>
      <c r="AB68" s="561">
        <f>Power!AB41</f>
        <v>0.25600831830105003</v>
      </c>
      <c r="AC68" s="558">
        <f>Power!AC41</f>
        <v>1.3989458647357274</v>
      </c>
      <c r="AD68" s="559">
        <f>Power!AD41</f>
        <v>0.57696359615698922</v>
      </c>
      <c r="AE68" s="560">
        <f>Power!AE41</f>
        <v>0.17124096556285134</v>
      </c>
      <c r="AF68" s="560">
        <f>Power!AF41</f>
        <v>0.33699760751406127</v>
      </c>
      <c r="AG68" s="561">
        <f>Power!AG41</f>
        <v>0.17913385826771652</v>
      </c>
      <c r="AH68" s="558">
        <f>Power!AH41</f>
        <v>1.2637795275590551</v>
      </c>
      <c r="AI68" s="559">
        <f>Power!AI41</f>
        <v>0.54742621068820141</v>
      </c>
      <c r="AJ68" s="560">
        <f>Power!AJ41</f>
        <v>0.21653543307086615</v>
      </c>
      <c r="AK68" s="560">
        <f>Power!AK41</f>
        <v>0.3346456692913386</v>
      </c>
      <c r="AL68" s="561">
        <f>Power!AL41</f>
        <v>0.18700787401574803</v>
      </c>
      <c r="AM68" s="558">
        <f>Power!AM41</f>
        <v>1.2854330708661417</v>
      </c>
      <c r="AN68" s="559">
        <f>Power!AN41</f>
        <v>0.36220472440944884</v>
      </c>
      <c r="AO68" s="560">
        <f>Power!AO41</f>
        <v>0.17913385826771652</v>
      </c>
      <c r="AP68" s="560">
        <f>Power!AP41</f>
        <v>0.3346456692913386</v>
      </c>
      <c r="AQ68" s="561">
        <f>Power!AQ41</f>
        <v>0.13582677165354332</v>
      </c>
      <c r="AR68" s="558">
        <f>Power!AR41</f>
        <v>1.0118110236220472</v>
      </c>
      <c r="AS68" s="559">
        <f>Power!AS41</f>
        <v>0.29527559055118108</v>
      </c>
      <c r="AT68" s="560">
        <f>Power!AT41</f>
        <v>0.19132149901380671</v>
      </c>
      <c r="AU68" s="560">
        <f>Power!AU41</f>
        <v>0.31163708086785008</v>
      </c>
      <c r="AV68" s="561">
        <f>Power!AV41</f>
        <v>0.19685039370078741</v>
      </c>
      <c r="AW68" s="558">
        <f>Power!AW41</f>
        <v>0.99605522682445757</v>
      </c>
      <c r="AX68" s="559">
        <f>Power!AX41</f>
        <v>0.35213597860327439</v>
      </c>
      <c r="AY68" s="560">
        <f>Power!AY41</f>
        <v>0.20533233943576976</v>
      </c>
      <c r="AZ68" s="560">
        <f>Power!AZ41</f>
        <v>0.3592297969469474</v>
      </c>
      <c r="BA68" s="561">
        <f>Power!BA41</f>
        <v>0.122806837783447</v>
      </c>
      <c r="BB68" s="558">
        <f>Power!BB41</f>
        <v>1.0395049527694398</v>
      </c>
      <c r="BC68" s="559">
        <f>Power!BC41</f>
        <v>0.39773388182077957</v>
      </c>
      <c r="BD68" s="560">
        <f>Power!BD41</f>
        <v>0.28821428102766389</v>
      </c>
      <c r="BE68" s="560">
        <f>Power!BE41</f>
        <v>0.24421906014878386</v>
      </c>
      <c r="BF68" s="561">
        <f>Power!BF41</f>
        <v>-1.1226879284123329E-2</v>
      </c>
      <c r="BG68" s="558">
        <f>Power!BG41</f>
        <v>0.91894034371310296</v>
      </c>
      <c r="BH68" s="559">
        <f>Power!BH41</f>
        <v>0.40454998736766612</v>
      </c>
      <c r="BI68" s="560">
        <f>Power!BI41</f>
        <v>0.2129724013344422</v>
      </c>
      <c r="BJ68" s="560">
        <f>Power!BJ41</f>
        <v>0.26390978011428318</v>
      </c>
      <c r="BK68" s="561">
        <f>Power!BK41</f>
        <v>5.3789521178228446E-2</v>
      </c>
      <c r="BL68" s="558">
        <f>Power!BL41</f>
        <v>0.93522168999462008</v>
      </c>
      <c r="BM68" s="559">
        <f>Power!BM41</f>
        <v>0.42135524860190321</v>
      </c>
      <c r="BN68" s="560">
        <f>Power!BN41</f>
        <v>0.30464435903735637</v>
      </c>
      <c r="BO68" s="560">
        <f>Power!BO41</f>
        <v>0.29896775855122676</v>
      </c>
      <c r="BP68" s="561">
        <f>Power!BP41</f>
        <v>0.14713250330661473</v>
      </c>
      <c r="BQ68" s="558">
        <f>Power!BQ41</f>
        <v>1.1720998694971019</v>
      </c>
      <c r="BR68" s="1003"/>
      <c r="BS68" s="1003"/>
      <c r="BT68" s="1003"/>
      <c r="BU68" s="1003"/>
      <c r="BV68" s="1003"/>
      <c r="BX68" s="293"/>
      <c r="BY68" s="293"/>
      <c r="BZ68" s="293"/>
      <c r="CA68" s="293"/>
      <c r="CB68" s="293"/>
      <c r="CL68"/>
      <c r="CM68"/>
      <c r="CN68"/>
      <c r="CO68"/>
      <c r="CP68"/>
      <c r="CQ68"/>
    </row>
    <row r="69" spans="1:95" s="2" customFormat="1">
      <c r="A69" s="1523"/>
      <c r="B69" s="7"/>
      <c r="C69" s="547" t="s">
        <v>477</v>
      </c>
      <c r="E69" s="493">
        <f>+'PSE&amp;G'!E44</f>
        <v>0.24430063883383213</v>
      </c>
      <c r="F69" s="494">
        <f>+'PSE&amp;G'!F44</f>
        <v>8.6250744220707276E-2</v>
      </c>
      <c r="G69" s="494">
        <f>+'PSE&amp;G'!G44</f>
        <v>0.17299434983696144</v>
      </c>
      <c r="H69" s="495">
        <f>+'PSE&amp;G'!H44</f>
        <v>0.13549948559468014</v>
      </c>
      <c r="I69" s="558">
        <f>+'PSE&amp;G'!I44</f>
        <v>0.63892282344728446</v>
      </c>
      <c r="J69" s="559">
        <f>+'PSE&amp;G'!J44</f>
        <v>0.2326741556195738</v>
      </c>
      <c r="K69" s="560">
        <f>+'PSE&amp;G'!K44</f>
        <v>0.14790244748970105</v>
      </c>
      <c r="L69" s="560">
        <f>+'PSE&amp;G'!L44</f>
        <v>0.30573921825440659</v>
      </c>
      <c r="M69" s="561">
        <f>+'PSE&amp;G'!M44</f>
        <v>0.16174399476107257</v>
      </c>
      <c r="N69" s="558">
        <f>+'PSE&amp;G'!N44</f>
        <v>0.84805096194617835</v>
      </c>
      <c r="O69" s="559">
        <f>+'PSE&amp;G'!O44</f>
        <v>0.32141533170850983</v>
      </c>
      <c r="P69" s="560">
        <f>+'PSE&amp;G'!P44</f>
        <v>0.20719826505986055</v>
      </c>
      <c r="Q69" s="560">
        <f>+'PSE&amp;G'!Q44</f>
        <v>0.30374813362551012</v>
      </c>
      <c r="R69" s="561">
        <f>+'PSE&amp;G'!R44</f>
        <v>0.19525163794429609</v>
      </c>
      <c r="S69" s="558">
        <f>+'PSE&amp;G'!S44</f>
        <v>1.027649896840519</v>
      </c>
      <c r="T69" s="559">
        <f>+'PSE&amp;G'!T44</f>
        <v>0.3885379337276566</v>
      </c>
      <c r="U69" s="560">
        <f>+'PSE&amp;G'!U44</f>
        <v>0.19922322666671927</v>
      </c>
      <c r="V69" s="560">
        <f>+'PSE&amp;G'!V44</f>
        <v>0.30565300299145554</v>
      </c>
      <c r="W69" s="561">
        <f>+'PSE&amp;G'!W44</f>
        <v>0.14786162517669466</v>
      </c>
      <c r="X69" s="558">
        <f>+'PSE&amp;G'!X44</f>
        <v>1.0412434971582729</v>
      </c>
      <c r="Y69" s="559">
        <f>+'PSE&amp;G'!Y44</f>
        <v>0.35290406529710971</v>
      </c>
      <c r="Z69" s="560">
        <f>+'PSE&amp;G'!Z44</f>
        <v>0.23847956466639469</v>
      </c>
      <c r="AA69" s="560">
        <f>+'PSE&amp;G'!AA44</f>
        <v>0.33090798788246462</v>
      </c>
      <c r="AB69" s="561">
        <f>+'PSE&amp;G'!AB44</f>
        <v>0.28357844488731698</v>
      </c>
      <c r="AC69" s="558">
        <f>+'PSE&amp;G'!AC44</f>
        <v>1.2058519284764297</v>
      </c>
      <c r="AD69" s="559">
        <f>+'PSE&amp;G'!AD44</f>
        <v>0.42140003268803988</v>
      </c>
      <c r="AE69" s="560">
        <f>+'PSE&amp;G'!AE44</f>
        <v>0.29721133103437419</v>
      </c>
      <c r="AF69" s="560">
        <f>+'PSE&amp;G'!AF44</f>
        <v>0.3941492485544576</v>
      </c>
      <c r="AG69" s="561">
        <f>+'PSE&amp;G'!AG44</f>
        <v>0.31496062992125984</v>
      </c>
      <c r="AH69" s="558">
        <f>+'PSE&amp;G'!AH44</f>
        <v>1.4271653543307086</v>
      </c>
      <c r="AI69" s="559">
        <f>+'PSE&amp;G'!AI44</f>
        <v>0.47653648556311057</v>
      </c>
      <c r="AJ69" s="560">
        <f>+'PSE&amp;G'!AJ44</f>
        <v>0.32874015748031499</v>
      </c>
      <c r="AK69" s="560">
        <f>+'PSE&amp;G'!AK44</f>
        <v>0.43700787401574803</v>
      </c>
      <c r="AL69" s="561">
        <f>+'PSE&amp;G'!AL44</f>
        <v>0.30708661417322836</v>
      </c>
      <c r="AM69" s="558">
        <f>+'PSE&amp;G'!AM44</f>
        <v>1.5492125984251968</v>
      </c>
      <c r="AN69" s="559">
        <f>+'PSE&amp;G'!AN44</f>
        <v>0.51574803149606296</v>
      </c>
      <c r="AO69" s="560">
        <f>+'PSE&amp;G'!AO44</f>
        <v>0.35236220472440943</v>
      </c>
      <c r="AP69" s="560">
        <f>+'PSE&amp;G'!AP44</f>
        <v>0.50196850393700787</v>
      </c>
      <c r="AQ69" s="561">
        <f>+'PSE&amp;G'!AQ44</f>
        <v>0.37992125984251968</v>
      </c>
      <c r="AR69" s="558">
        <f>+'PSE&amp;G'!AR44</f>
        <v>1.75</v>
      </c>
      <c r="AS69" s="559">
        <f>+'PSE&amp;G'!AS44</f>
        <v>0.58858267716535428</v>
      </c>
      <c r="AT69" s="560">
        <f>+'PSE&amp;G'!AT44</f>
        <v>0.41025641025641024</v>
      </c>
      <c r="AU69" s="560">
        <f>+'PSE&amp;G'!AU44</f>
        <v>0.48520710059171596</v>
      </c>
      <c r="AV69" s="561">
        <f>+'PSE&amp;G'!AV44</f>
        <v>0.41338582677165353</v>
      </c>
      <c r="AW69" s="558">
        <f>+'PSE&amp;G'!AW44</f>
        <v>1.8994082840236686</v>
      </c>
      <c r="AX69" s="559">
        <f>+'PSE&amp;G'!AX44</f>
        <v>0.65291247275753406</v>
      </c>
      <c r="AY69" s="560">
        <f>+'PSE&amp;G'!AY44</f>
        <v>0.4168556701291446</v>
      </c>
      <c r="AZ69" s="560">
        <f>+'PSE&amp;G'!AZ44</f>
        <v>0.5255069116555301</v>
      </c>
      <c r="BA69" s="561">
        <f>+'PSE&amp;G'!BA44</f>
        <v>0.44472835162215918</v>
      </c>
      <c r="BB69" s="558">
        <f>+'PSE&amp;G'!BB44</f>
        <v>2.0400034061643675</v>
      </c>
      <c r="BC69" s="559">
        <f>+'PSE&amp;G'!BC44</f>
        <v>0.72151570338950466</v>
      </c>
      <c r="BD69" s="560">
        <f>+'PSE&amp;G'!BD44</f>
        <v>0.47854906006593573</v>
      </c>
      <c r="BE69" s="560">
        <f>+'PSE&amp;G'!BE44</f>
        <v>0.47719377060774293</v>
      </c>
      <c r="BF69" s="561">
        <f>+'PSE&amp;G'!BF44</f>
        <v>0.50831358166583152</v>
      </c>
      <c r="BG69" s="558">
        <f>+'PSE&amp;G'!BG44</f>
        <v>2.1855721157290167</v>
      </c>
      <c r="BH69" s="559">
        <f>+'PSE&amp;G'!BH44</f>
        <v>0.75352790447490026</v>
      </c>
      <c r="BI69" s="560">
        <f>+'PSE&amp;G'!BI44</f>
        <v>0.50886742775899785</v>
      </c>
      <c r="BJ69" s="560">
        <f>+'PSE&amp;G'!BJ44</f>
        <v>0.51468352037761478</v>
      </c>
      <c r="BK69" s="561">
        <f>+'PSE&amp;G'!BK44</f>
        <v>0.54805514546624801</v>
      </c>
      <c r="BL69" s="558">
        <f>+'PSE&amp;G'!BL44</f>
        <v>2.3251339980777597</v>
      </c>
      <c r="BM69" s="559">
        <f>+'PSE&amp;G'!BM44</f>
        <v>0.78306669296421871</v>
      </c>
      <c r="BN69" s="560">
        <f>+'PSE&amp;G'!BN44</f>
        <v>0.53580190687809881</v>
      </c>
      <c r="BO69" s="560">
        <f>+'PSE&amp;G'!BO44</f>
        <v>0.55328928473851202</v>
      </c>
      <c r="BP69" s="561">
        <f>+'PSE&amp;G'!BP44</f>
        <v>0.58989330955005459</v>
      </c>
      <c r="BQ69" s="558">
        <f>+'PSE&amp;G'!BQ44</f>
        <v>2.4620511941308849</v>
      </c>
      <c r="BR69" s="1003"/>
      <c r="BS69" s="1003"/>
      <c r="BT69" s="1003"/>
      <c r="BU69" s="1003"/>
      <c r="BV69" s="1003"/>
      <c r="BX69" s="293"/>
      <c r="BY69" s="293"/>
      <c r="BZ69" s="293"/>
      <c r="CA69" s="293"/>
      <c r="CB69" s="293"/>
      <c r="CL69"/>
      <c r="CM69"/>
      <c r="CN69"/>
      <c r="CO69"/>
      <c r="CP69"/>
      <c r="CQ69"/>
    </row>
    <row r="70" spans="1:95" s="2" customFormat="1">
      <c r="A70" s="1523"/>
      <c r="B70" s="7"/>
      <c r="C70" s="547" t="s">
        <v>120</v>
      </c>
      <c r="E70" s="493">
        <f>Parent!E37</f>
        <v>1.4312562679153802E-2</v>
      </c>
      <c r="F70" s="494">
        <f>Parent!F37</f>
        <v>4.3864664203673985E-2</v>
      </c>
      <c r="G70" s="494">
        <f>Parent!G37</f>
        <v>3.5978881874923603E-2</v>
      </c>
      <c r="H70" s="495">
        <f>Parent!H37</f>
        <v>-2.3158093901636242E-2</v>
      </c>
      <c r="I70" s="558">
        <f>Parent!I37</f>
        <v>7.0991424827476043E-2</v>
      </c>
      <c r="J70" s="559">
        <f>Parent!J37</f>
        <v>4.4365834757969583E-3</v>
      </c>
      <c r="K70" s="560">
        <f>Parent!K37</f>
        <v>4.7821791355003342E-2</v>
      </c>
      <c r="L70" s="560">
        <f>Parent!L37</f>
        <v>8.4817976677028922E-2</v>
      </c>
      <c r="M70" s="561">
        <f>Parent!M37</f>
        <v>1.2821170316426484E-2</v>
      </c>
      <c r="N70" s="558">
        <f>Parent!N37</f>
        <v>0.14988807699513759</v>
      </c>
      <c r="O70" s="559">
        <f>Parent!O37</f>
        <v>5.9156196019971132E-3</v>
      </c>
      <c r="P70" s="560">
        <f>Parent!P37</f>
        <v>1.97331681009391E-2</v>
      </c>
      <c r="Q70" s="560">
        <f>Parent!Q37</f>
        <v>1.5779123824701823E-2</v>
      </c>
      <c r="R70" s="561">
        <f>Parent!R37</f>
        <v>3.9444775342282034E-3</v>
      </c>
      <c r="S70" s="558">
        <f>Parent!S37</f>
        <v>4.5366502163784905E-2</v>
      </c>
      <c r="T70" s="559">
        <f>Parent!T37</f>
        <v>7.6918677235424407E-2</v>
      </c>
      <c r="U70" s="560">
        <f>Parent!U37</f>
        <v>7.8900287788799713E-3</v>
      </c>
      <c r="V70" s="560">
        <f>Parent!V37</f>
        <v>1.9719548580093903E-2</v>
      </c>
      <c r="W70" s="561">
        <f>Parent!W37</f>
        <v>2.168637169258188E-2</v>
      </c>
      <c r="X70" s="558">
        <f>Parent!X37</f>
        <v>0.12621133298888113</v>
      </c>
      <c r="Y70" s="559">
        <f>Parent!Y37</f>
        <v>7.8861243641812229E-3</v>
      </c>
      <c r="Z70" s="560">
        <f>Parent!Z37</f>
        <v>1.5767243944885601E-2</v>
      </c>
      <c r="AA70" s="560">
        <f>Parent!AA37</f>
        <v>1.9696904040622893E-3</v>
      </c>
      <c r="AB70" s="561">
        <f>Parent!AB37</f>
        <v>-5.1201663660210006E-2</v>
      </c>
      <c r="AC70" s="558">
        <f>Parent!AC37</f>
        <v>-2.5614501748682333E-2</v>
      </c>
      <c r="AD70" s="559">
        <f>Parent!AD37</f>
        <v>1.5753272250020184E-2</v>
      </c>
      <c r="AE70" s="560">
        <f>Parent!AE37</f>
        <v>1.377800872344781E-2</v>
      </c>
      <c r="AF70" s="560">
        <f>Parent!AF37</f>
        <v>4.3356417340990334E-2</v>
      </c>
      <c r="AG70" s="561">
        <f>Parent!AG37</f>
        <v>-7.874015748031496E-3</v>
      </c>
      <c r="AH70" s="558">
        <f>Parent!AH37</f>
        <v>6.4960629921259838E-2</v>
      </c>
      <c r="AI70" s="559">
        <f>Parent!AI37</f>
        <v>1.7722431281272707E-2</v>
      </c>
      <c r="AJ70" s="560">
        <f>Parent!AJ37</f>
        <v>2.3622047244094488E-2</v>
      </c>
      <c r="AK70" s="560">
        <f>Parent!AK37</f>
        <v>2.1653543307086614E-2</v>
      </c>
      <c r="AL70" s="561">
        <f>Parent!AL37</f>
        <v>7.874015748031496E-3</v>
      </c>
      <c r="AM70" s="558">
        <f>Parent!AM37</f>
        <v>7.0866141732283464E-2</v>
      </c>
      <c r="AN70" s="559">
        <f>Parent!AN37</f>
        <v>3.3464566929133861E-2</v>
      </c>
      <c r="AO70" s="560">
        <f>Parent!AO37</f>
        <v>3.7401574803149609E-2</v>
      </c>
      <c r="AP70" s="560">
        <f>Parent!AP37</f>
        <v>3.7401574803149609E-2</v>
      </c>
      <c r="AQ70" s="561">
        <f>Parent!AQ37</f>
        <v>3.3464566929133861E-2</v>
      </c>
      <c r="AR70" s="558">
        <f>Parent!AR37</f>
        <v>0.14173228346456693</v>
      </c>
      <c r="AS70" s="559">
        <f>Parent!AS37</f>
        <v>3.3464566929133861E-2</v>
      </c>
      <c r="AT70" s="560">
        <f>Parent!AT37</f>
        <v>2.1696252465483234E-2</v>
      </c>
      <c r="AU70" s="560">
        <f>Parent!AU37</f>
        <v>2.564102564102564E-2</v>
      </c>
      <c r="AV70" s="561">
        <f>Parent!AV37</f>
        <v>-4.1338582677165357E-2</v>
      </c>
      <c r="AW70" s="558">
        <f>Parent!AW37</f>
        <v>3.9447731755423612E-2</v>
      </c>
      <c r="AX70" s="559">
        <f>Parent!AX37</f>
        <v>3.5761511262805773E-2</v>
      </c>
      <c r="AY70" s="560">
        <f>Parent!AY37</f>
        <v>2.3802612974075016E-2</v>
      </c>
      <c r="AZ70" s="560">
        <f>Parent!AZ37</f>
        <v>3.3134611452513181E-2</v>
      </c>
      <c r="BA70" s="561">
        <f>Parent!BA37</f>
        <v>-1.4884040745964697E-2</v>
      </c>
      <c r="BB70" s="558">
        <f>Parent!BB37</f>
        <v>7.78146949434292E-2</v>
      </c>
      <c r="BC70" s="559">
        <f>Parent!BC37</f>
        <v>4.8293605652926105E-2</v>
      </c>
      <c r="BD70" s="560">
        <f>Parent!BD37</f>
        <v>4.6001990977144427E-2</v>
      </c>
      <c r="BE70" s="560">
        <f>Parent!BE37</f>
        <v>1.9661521274979308E-2</v>
      </c>
      <c r="BF70" s="561">
        <f>Parent!BF37</f>
        <v>-1.3483125911009523E-2</v>
      </c>
      <c r="BG70" s="558">
        <f>Parent!BG37</f>
        <v>0.10047399199404025</v>
      </c>
      <c r="BH70" s="559">
        <f>Parent!BH37</f>
        <v>3.1843847785969055E-2</v>
      </c>
      <c r="BI70" s="560">
        <f>Parent!BI37</f>
        <v>2.860844221219936E-2</v>
      </c>
      <c r="BJ70" s="560">
        <f>Parent!BJ37</f>
        <v>1.9810246658255492E-2</v>
      </c>
      <c r="BK70" s="561">
        <f>Parent!BK37</f>
        <v>-1.4698802657786007E-2</v>
      </c>
      <c r="BL70" s="558">
        <f>Parent!BL37</f>
        <v>6.5563733998637852E-2</v>
      </c>
      <c r="BM70" s="559">
        <f>Parent!BM37</f>
        <v>1.9582963332758666E-2</v>
      </c>
      <c r="BN70" s="560">
        <f>Parent!BN37</f>
        <v>2.8934060172424739E-2</v>
      </c>
      <c r="BO70" s="560">
        <f>Parent!BO37</f>
        <v>1.468753605410978E-2</v>
      </c>
      <c r="BP70" s="561">
        <f>Parent!BP37</f>
        <v>1.6324826873674137E-2</v>
      </c>
      <c r="BQ70" s="558">
        <f>Parent!BQ37</f>
        <v>7.9529386432967628E-2</v>
      </c>
      <c r="BR70" s="260"/>
      <c r="BS70" s="1003"/>
      <c r="BT70" s="1003"/>
      <c r="BU70" s="1003"/>
      <c r="BV70" s="1003"/>
      <c r="BX70" s="293"/>
      <c r="BY70" s="293"/>
      <c r="BZ70" s="293"/>
      <c r="CA70" s="293"/>
      <c r="CB70" s="293"/>
      <c r="CL70"/>
      <c r="CM70"/>
      <c r="CN70"/>
      <c r="CO70"/>
      <c r="CP70"/>
      <c r="CQ70"/>
    </row>
    <row r="71" spans="1:95" s="2" customFormat="1">
      <c r="A71" s="1523"/>
      <c r="B71" s="203"/>
      <c r="C71" s="549" t="s">
        <v>376</v>
      </c>
      <c r="E71" s="490">
        <f t="shared" ref="E71:W71" si="70">SUM(E68:E70)</f>
        <v>1.0719615910042088</v>
      </c>
      <c r="F71" s="491">
        <f t="shared" si="70"/>
        <v>0.6288911407178428</v>
      </c>
      <c r="G71" s="491">
        <f t="shared" si="70"/>
        <v>0.91475075013504403</v>
      </c>
      <c r="H71" s="492">
        <f t="shared" si="70"/>
        <v>0.6523684324631146</v>
      </c>
      <c r="I71" s="554">
        <f t="shared" si="70"/>
        <v>3.267577526086884</v>
      </c>
      <c r="J71" s="555">
        <f t="shared" si="70"/>
        <v>0.85428879595068108</v>
      </c>
      <c r="K71" s="556">
        <f t="shared" si="70"/>
        <v>0.65717987501257158</v>
      </c>
      <c r="L71" s="556">
        <f t="shared" si="70"/>
        <v>1.0612109640056178</v>
      </c>
      <c r="M71" s="557">
        <f t="shared" si="70"/>
        <v>0.59076007842611256</v>
      </c>
      <c r="N71" s="554">
        <f t="shared" si="70"/>
        <v>3.1634273092131853</v>
      </c>
      <c r="O71" s="555">
        <f t="shared" si="70"/>
        <v>0.85776484228958139</v>
      </c>
      <c r="P71" s="556">
        <f t="shared" si="70"/>
        <v>0.59594167664836084</v>
      </c>
      <c r="Q71" s="556">
        <f t="shared" si="70"/>
        <v>0.84418312462154754</v>
      </c>
      <c r="R71" s="557">
        <f t="shared" si="70"/>
        <v>0.483198497942955</v>
      </c>
      <c r="S71" s="554">
        <f t="shared" si="70"/>
        <v>2.7811638283015965</v>
      </c>
      <c r="T71" s="555">
        <f t="shared" si="70"/>
        <v>0.86188363979180682</v>
      </c>
      <c r="U71" s="556">
        <f t="shared" si="70"/>
        <v>0.43789659722783841</v>
      </c>
      <c r="V71" s="556">
        <f t="shared" si="70"/>
        <v>0.75328675575958715</v>
      </c>
      <c r="W71" s="557">
        <f t="shared" si="70"/>
        <v>0.38444022545940609</v>
      </c>
      <c r="X71" s="554">
        <f t="shared" ref="X71:AC71" si="71">SUM(X68:X70)</f>
        <v>2.4374563683477746</v>
      </c>
      <c r="Y71" s="555">
        <f t="shared" si="71"/>
        <v>0.85367296242261737</v>
      </c>
      <c r="Z71" s="556">
        <f t="shared" si="71"/>
        <v>0.47893003482590013</v>
      </c>
      <c r="AA71" s="556">
        <f t="shared" si="71"/>
        <v>0.75833080556398136</v>
      </c>
      <c r="AB71" s="557">
        <f t="shared" si="71"/>
        <v>0.48838509952815706</v>
      </c>
      <c r="AC71" s="554">
        <f t="shared" si="71"/>
        <v>2.5791832914634747</v>
      </c>
      <c r="AD71" s="555">
        <f t="shared" ref="AD71:AJ71" si="72">SUM(AD68:AD70)</f>
        <v>1.0141169010950493</v>
      </c>
      <c r="AE71" s="556">
        <f t="shared" si="72"/>
        <v>0.48223030532067335</v>
      </c>
      <c r="AF71" s="556">
        <f t="shared" si="72"/>
        <v>0.7745032734095092</v>
      </c>
      <c r="AG71" s="557">
        <f t="shared" si="72"/>
        <v>0.48622047244094491</v>
      </c>
      <c r="AH71" s="554">
        <f t="shared" si="72"/>
        <v>2.7559055118110236</v>
      </c>
      <c r="AI71" s="555">
        <f t="shared" si="72"/>
        <v>1.0416851275325847</v>
      </c>
      <c r="AJ71" s="556">
        <f t="shared" si="72"/>
        <v>0.56889763779527558</v>
      </c>
      <c r="AK71" s="556">
        <f t="shared" ref="AK71:AR71" si="73">SUM(AK68:AK70)</f>
        <v>0.79330708661417315</v>
      </c>
      <c r="AL71" s="557">
        <f t="shared" si="73"/>
        <v>0.50196850393700787</v>
      </c>
      <c r="AM71" s="554">
        <f t="shared" si="73"/>
        <v>2.9055118110236218</v>
      </c>
      <c r="AN71" s="555">
        <f t="shared" si="73"/>
        <v>0.91141732283464572</v>
      </c>
      <c r="AO71" s="556">
        <f t="shared" si="73"/>
        <v>0.56889763779527558</v>
      </c>
      <c r="AP71" s="556">
        <f t="shared" si="73"/>
        <v>0.87401574803149618</v>
      </c>
      <c r="AQ71" s="557">
        <f t="shared" si="73"/>
        <v>0.54921259842519687</v>
      </c>
      <c r="AR71" s="554">
        <f t="shared" si="73"/>
        <v>2.9035433070866143</v>
      </c>
      <c r="AS71" s="555">
        <f t="shared" ref="AS71:AY71" si="74">SUM(AS68:AS70)</f>
        <v>0.91732283464566933</v>
      </c>
      <c r="AT71" s="556">
        <f t="shared" si="74"/>
        <v>0.62327416173570016</v>
      </c>
      <c r="AU71" s="556">
        <f t="shared" si="74"/>
        <v>0.8224852071005917</v>
      </c>
      <c r="AV71" s="557">
        <f t="shared" si="74"/>
        <v>0.56889763779527558</v>
      </c>
      <c r="AW71" s="554">
        <f t="shared" si="74"/>
        <v>2.9349112426035497</v>
      </c>
      <c r="AX71" s="555">
        <f t="shared" si="74"/>
        <v>1.0408099626236142</v>
      </c>
      <c r="AY71" s="556">
        <f t="shared" si="74"/>
        <v>0.64599062253898942</v>
      </c>
      <c r="AZ71" s="556">
        <f>SUM(AZ68:AZ70)</f>
        <v>0.91787132005499072</v>
      </c>
      <c r="BA71" s="557">
        <f>SUM(BA68:BA70)</f>
        <v>0.55265114865964149</v>
      </c>
      <c r="BB71" s="554">
        <f>SUM(BB68:BB70)</f>
        <v>3.1573230538772363</v>
      </c>
      <c r="BC71" s="555">
        <f t="shared" ref="BC71:BL71" si="75">SUM(BC68:BC70)</f>
        <v>1.1675431908632103</v>
      </c>
      <c r="BD71" s="556">
        <f t="shared" si="75"/>
        <v>0.81276533207074408</v>
      </c>
      <c r="BE71" s="556">
        <f t="shared" si="75"/>
        <v>0.74107435203150618</v>
      </c>
      <c r="BF71" s="557">
        <f t="shared" si="75"/>
        <v>0.48360357647069868</v>
      </c>
      <c r="BG71" s="554">
        <f t="shared" si="75"/>
        <v>3.2049864514361599</v>
      </c>
      <c r="BH71" s="555">
        <f t="shared" si="75"/>
        <v>1.1899217396285355</v>
      </c>
      <c r="BI71" s="556">
        <f t="shared" si="75"/>
        <v>0.7504482713056394</v>
      </c>
      <c r="BJ71" s="556">
        <f t="shared" si="75"/>
        <v>0.79840354715015338</v>
      </c>
      <c r="BK71" s="557">
        <f t="shared" si="75"/>
        <v>0.58714586398669044</v>
      </c>
      <c r="BL71" s="554">
        <f t="shared" si="75"/>
        <v>3.3259194220710175</v>
      </c>
      <c r="BM71" s="555">
        <f>SUM(BM68:BM70)</f>
        <v>1.2240049048988806</v>
      </c>
      <c r="BN71" s="556">
        <f>SUM(BN68:BN70)</f>
        <v>0.86938032608787996</v>
      </c>
      <c r="BO71" s="556">
        <f>SUM(BO68:BO70)</f>
        <v>0.8669445793438485</v>
      </c>
      <c r="BP71" s="557">
        <f>SUM(BP68:BP70)</f>
        <v>0.75335063973034344</v>
      </c>
      <c r="BQ71" s="554">
        <f>SUM(BQ68:BQ70)</f>
        <v>3.7136804500609544</v>
      </c>
      <c r="BR71" s="554"/>
      <c r="BS71" s="554"/>
      <c r="BT71" s="554"/>
      <c r="BU71" s="554"/>
      <c r="BV71" s="554"/>
      <c r="BX71" s="264"/>
      <c r="BY71" s="264"/>
      <c r="BZ71" s="264"/>
      <c r="CA71" s="264"/>
      <c r="CB71" s="601"/>
      <c r="CL71"/>
      <c r="CM71"/>
      <c r="CN71"/>
      <c r="CO71"/>
      <c r="CP71"/>
      <c r="CQ71"/>
    </row>
    <row r="72" spans="1:95" s="2" customFormat="1">
      <c r="A72" s="1523"/>
      <c r="B72" s="7"/>
      <c r="C72" s="7"/>
      <c r="E72" s="365"/>
      <c r="F72" s="6"/>
      <c r="G72" s="6"/>
      <c r="H72" s="366"/>
      <c r="I72" s="296"/>
      <c r="J72" s="392"/>
      <c r="K72" s="341"/>
      <c r="L72" s="341"/>
      <c r="M72" s="393"/>
      <c r="N72" s="296"/>
      <c r="O72" s="398"/>
      <c r="P72" s="344"/>
      <c r="Q72" s="344"/>
      <c r="R72" s="399"/>
      <c r="S72" s="296"/>
      <c r="T72" s="398"/>
      <c r="U72" s="344"/>
      <c r="V72" s="344"/>
      <c r="W72" s="399"/>
      <c r="X72" s="973"/>
      <c r="Y72" s="398"/>
      <c r="Z72" s="344"/>
      <c r="AA72" s="344"/>
      <c r="AB72" s="399"/>
      <c r="AC72" s="973"/>
      <c r="AD72" s="1365"/>
      <c r="AE72" s="1366"/>
      <c r="AF72" s="344"/>
      <c r="AG72" s="1367"/>
      <c r="AH72" s="441"/>
      <c r="AI72" s="1365"/>
      <c r="AJ72" s="344"/>
      <c r="AK72" s="344"/>
      <c r="AL72" s="1367"/>
      <c r="AM72" s="441"/>
      <c r="AN72" s="1365"/>
      <c r="AO72" s="344"/>
      <c r="AP72" s="344"/>
      <c r="AQ72" s="399"/>
      <c r="AR72" s="296"/>
      <c r="AS72" s="1365"/>
      <c r="AT72" s="344"/>
      <c r="AU72" s="344"/>
      <c r="AV72" s="399"/>
      <c r="AW72" s="296"/>
      <c r="AX72" s="398"/>
      <c r="AY72" s="344"/>
      <c r="AZ72" s="344"/>
      <c r="BA72" s="399"/>
      <c r="BB72" s="296"/>
      <c r="BC72" s="398"/>
      <c r="BD72" s="344"/>
      <c r="BE72" s="344"/>
      <c r="BF72" s="399"/>
      <c r="BG72" s="296"/>
      <c r="BH72" s="398"/>
      <c r="BI72" s="344"/>
      <c r="BJ72" s="344"/>
      <c r="BK72" s="399"/>
      <c r="BL72" s="296"/>
      <c r="BM72" s="398"/>
      <c r="BN72" s="344"/>
      <c r="BO72" s="344"/>
      <c r="BP72" s="399"/>
      <c r="BQ72" s="296"/>
      <c r="BR72" s="973"/>
      <c r="BS72" s="296"/>
      <c r="BT72" s="296"/>
      <c r="BU72" s="296"/>
      <c r="BV72" s="296"/>
      <c r="BW72" s="296"/>
      <c r="BX72" s="296"/>
      <c r="CL72"/>
      <c r="CM72"/>
      <c r="CN72"/>
      <c r="CO72"/>
      <c r="CP72"/>
      <c r="CQ72"/>
    </row>
    <row r="73" spans="1:95" s="2" customFormat="1">
      <c r="A73" s="1523"/>
      <c r="B73" s="7"/>
      <c r="C73" s="549" t="s">
        <v>377</v>
      </c>
      <c r="E73" s="365"/>
      <c r="F73" s="6"/>
      <c r="G73" s="6"/>
      <c r="H73" s="366"/>
      <c r="I73" s="296"/>
      <c r="J73" s="392"/>
      <c r="K73" s="341"/>
      <c r="L73" s="341"/>
      <c r="M73" s="393"/>
      <c r="N73" s="296"/>
      <c r="O73" s="398"/>
      <c r="P73" s="344"/>
      <c r="Q73" s="344"/>
      <c r="R73" s="399"/>
      <c r="S73" s="296"/>
      <c r="T73" s="398"/>
      <c r="U73" s="344"/>
      <c r="V73" s="344"/>
      <c r="W73" s="399"/>
      <c r="X73" s="296"/>
      <c r="Y73" s="398"/>
      <c r="Z73" s="344"/>
      <c r="AA73" s="344"/>
      <c r="AB73" s="399"/>
      <c r="AC73" s="296"/>
      <c r="AD73" s="398"/>
      <c r="AE73" s="344"/>
      <c r="AF73" s="344"/>
      <c r="AG73" s="399"/>
      <c r="AH73" s="296"/>
      <c r="AI73" s="398"/>
      <c r="AJ73" s="344"/>
      <c r="AK73" s="344"/>
      <c r="AL73" s="399"/>
      <c r="AM73" s="296"/>
      <c r="AN73" s="398"/>
      <c r="AO73" s="344"/>
      <c r="AP73" s="344"/>
      <c r="AQ73" s="399"/>
      <c r="AR73" s="296"/>
      <c r="AS73" s="398"/>
      <c r="AT73" s="344"/>
      <c r="AU73" s="344"/>
      <c r="AV73" s="399"/>
      <c r="AW73" s="296"/>
      <c r="AX73" s="398"/>
      <c r="AY73" s="344"/>
      <c r="AZ73" s="344"/>
      <c r="BA73" s="399"/>
      <c r="BB73" s="296"/>
      <c r="BC73" s="398"/>
      <c r="BD73" s="344"/>
      <c r="BE73" s="344"/>
      <c r="BF73" s="399"/>
      <c r="BG73" s="296"/>
      <c r="BH73" s="398"/>
      <c r="BI73" s="344"/>
      <c r="BJ73" s="344"/>
      <c r="BK73" s="399"/>
      <c r="BL73" s="296"/>
      <c r="BM73" s="398"/>
      <c r="BN73" s="344"/>
      <c r="BO73" s="344"/>
      <c r="BP73" s="399"/>
      <c r="BQ73" s="296"/>
      <c r="BR73" s="973"/>
      <c r="BS73" s="973"/>
      <c r="BT73" s="973"/>
      <c r="BU73" s="296"/>
      <c r="BV73" s="1004"/>
      <c r="BW73" s="296"/>
      <c r="BX73" s="296"/>
      <c r="CL73"/>
      <c r="CM73"/>
      <c r="CN73"/>
      <c r="CO73"/>
      <c r="CP73"/>
      <c r="CQ73"/>
    </row>
    <row r="74" spans="1:95" s="2" customFormat="1">
      <c r="A74" s="1523"/>
      <c r="B74" s="7"/>
      <c r="C74" s="547" t="s">
        <v>478</v>
      </c>
      <c r="E74" s="503">
        <f>Power!E480</f>
        <v>208</v>
      </c>
      <c r="F74" s="504">
        <f>Power!F480</f>
        <v>221</v>
      </c>
      <c r="G74" s="504">
        <f>Power!G480</f>
        <v>207</v>
      </c>
      <c r="H74" s="505">
        <f>Power!H480</f>
        <v>233</v>
      </c>
      <c r="I74" s="451">
        <f>Power!I480</f>
        <v>869</v>
      </c>
      <c r="J74" s="406">
        <f>Power!J480</f>
        <v>174</v>
      </c>
      <c r="K74" s="348">
        <f>Power!K480</f>
        <v>154</v>
      </c>
      <c r="L74" s="348">
        <f>Power!L480</f>
        <v>251</v>
      </c>
      <c r="M74" s="405">
        <f>Power!M480</f>
        <v>246</v>
      </c>
      <c r="N74" s="451">
        <f>Power!N480</f>
        <v>825</v>
      </c>
      <c r="O74" s="406">
        <f>Power!O480</f>
        <v>155</v>
      </c>
      <c r="P74" s="348">
        <f>Power!P480</f>
        <v>168</v>
      </c>
      <c r="Q74" s="348">
        <f>Power!Q480</f>
        <v>207</v>
      </c>
      <c r="R74" s="405">
        <f>Power!R480</f>
        <v>227</v>
      </c>
      <c r="S74" s="451">
        <f>Power!S480</f>
        <v>757</v>
      </c>
      <c r="T74" s="406">
        <f>Power!T480</f>
        <v>237</v>
      </c>
      <c r="U74" s="348">
        <f>Power!U480</f>
        <v>107</v>
      </c>
      <c r="V74" s="348">
        <f>Power!V480</f>
        <v>149</v>
      </c>
      <c r="W74" s="405">
        <f>Power!W480</f>
        <v>153</v>
      </c>
      <c r="X74" s="77">
        <f>Power!X480</f>
        <v>646</v>
      </c>
      <c r="Y74" s="394">
        <f>Power!Y480</f>
        <v>143</v>
      </c>
      <c r="Z74" s="342">
        <f>Power!Z480</f>
        <v>79</v>
      </c>
      <c r="AA74" s="342">
        <f>Power!AA480</f>
        <v>197</v>
      </c>
      <c r="AB74" s="395">
        <f>Power!AB480</f>
        <v>190</v>
      </c>
      <c r="AC74" s="77">
        <f>Power!AC480</f>
        <v>609</v>
      </c>
      <c r="AD74" s="394">
        <f>Power!AD480</f>
        <v>126</v>
      </c>
      <c r="AE74" s="342">
        <f>Power!AE480</f>
        <v>100</v>
      </c>
      <c r="AF74" s="342">
        <f>Power!AF480</f>
        <v>188</v>
      </c>
      <c r="AG74" s="395">
        <f>Power!AG480</f>
        <v>212</v>
      </c>
      <c r="AH74" s="77">
        <f>Power!AH480</f>
        <v>626</v>
      </c>
      <c r="AI74" s="394">
        <f>Power!AI480</f>
        <v>139</v>
      </c>
      <c r="AJ74" s="342">
        <f>Power!AJ480</f>
        <v>348</v>
      </c>
      <c r="AK74" s="342">
        <f>Power!AK480</f>
        <v>310</v>
      </c>
      <c r="AL74" s="395">
        <f>Power!AL480</f>
        <v>320</v>
      </c>
      <c r="AM74" s="77">
        <f>Power!AM480</f>
        <v>1117</v>
      </c>
      <c r="AN74" s="394">
        <f>Power!AN480</f>
        <v>333</v>
      </c>
      <c r="AO74" s="342">
        <f>Power!AO480</f>
        <v>265</v>
      </c>
      <c r="AP74" s="342">
        <f>Power!AP480</f>
        <v>325</v>
      </c>
      <c r="AQ74" s="395">
        <f>Power!AQ480</f>
        <v>420</v>
      </c>
      <c r="AR74" s="77">
        <f>Power!AR480</f>
        <v>1343</v>
      </c>
      <c r="AS74" s="394">
        <f>Power!AS480</f>
        <v>307</v>
      </c>
      <c r="AT74" s="342">
        <f>Power!AT480</f>
        <v>269</v>
      </c>
      <c r="AU74" s="342">
        <f>Power!AU480</f>
        <v>327</v>
      </c>
      <c r="AV74" s="395">
        <f>Power!AV480</f>
        <v>328</v>
      </c>
      <c r="AW74" s="77">
        <f>Power!AW480</f>
        <v>1231</v>
      </c>
      <c r="AX74" s="406">
        <f>Power!AX480</f>
        <v>161.25</v>
      </c>
      <c r="AY74" s="348">
        <f>Power!AY480</f>
        <v>161.25</v>
      </c>
      <c r="AZ74" s="348">
        <f>Power!AZ480</f>
        <v>161.25</v>
      </c>
      <c r="BA74" s="405">
        <f>Power!BA480</f>
        <v>161.25</v>
      </c>
      <c r="BB74" s="451">
        <f>Power!BB480</f>
        <v>645</v>
      </c>
      <c r="BC74" s="406">
        <f>Power!BC480</f>
        <v>65</v>
      </c>
      <c r="BD74" s="348">
        <f>Power!BD480</f>
        <v>65</v>
      </c>
      <c r="BE74" s="348">
        <f>Power!BE480</f>
        <v>65</v>
      </c>
      <c r="BF74" s="405">
        <f>Power!BF480</f>
        <v>65</v>
      </c>
      <c r="BG74" s="451">
        <f>Power!BG480</f>
        <v>260</v>
      </c>
      <c r="BH74" s="406">
        <f>Power!BH480</f>
        <v>48.75</v>
      </c>
      <c r="BI74" s="348">
        <f>Power!BI480</f>
        <v>48.75</v>
      </c>
      <c r="BJ74" s="348">
        <f>Power!BJ480</f>
        <v>48.75</v>
      </c>
      <c r="BK74" s="405">
        <f>Power!BK480</f>
        <v>48.75</v>
      </c>
      <c r="BL74" s="451">
        <f>Power!BL480</f>
        <v>195</v>
      </c>
      <c r="BM74" s="406">
        <f>Power!BM480</f>
        <v>51.25</v>
      </c>
      <c r="BN74" s="348">
        <f>Power!BN480</f>
        <v>51.25</v>
      </c>
      <c r="BO74" s="348">
        <f>Power!BO480</f>
        <v>51.25</v>
      </c>
      <c r="BP74" s="405">
        <f>Power!BP480</f>
        <v>51.25</v>
      </c>
      <c r="BQ74" s="451">
        <f>Power!BQ480</f>
        <v>205</v>
      </c>
      <c r="BR74" s="296"/>
      <c r="BS74" s="296"/>
      <c r="BT74" s="296"/>
      <c r="BU74" s="296"/>
      <c r="BV74" s="296"/>
      <c r="BW74" s="296"/>
      <c r="BX74" s="296"/>
      <c r="CL74"/>
      <c r="CM74"/>
      <c r="CN74"/>
      <c r="CO74"/>
      <c r="CP74"/>
      <c r="CQ74"/>
    </row>
    <row r="75" spans="1:95" s="2" customFormat="1">
      <c r="A75" s="1523"/>
      <c r="B75" s="7"/>
      <c r="C75" s="547" t="s">
        <v>477</v>
      </c>
      <c r="E75" s="503">
        <f>+'PSE&amp;G'!E168</f>
        <v>194</v>
      </c>
      <c r="F75" s="504">
        <f>+'PSE&amp;G'!F168</f>
        <v>185</v>
      </c>
      <c r="G75" s="504">
        <f>+'PSE&amp;G'!G168</f>
        <v>201</v>
      </c>
      <c r="H75" s="505">
        <f>+'PSE&amp;G'!H168</f>
        <v>275</v>
      </c>
      <c r="I75" s="451">
        <f>+'PSE&amp;G'!I168</f>
        <v>855</v>
      </c>
      <c r="J75" s="406">
        <f>+'PSE&amp;G'!J168</f>
        <v>217</v>
      </c>
      <c r="K75" s="348">
        <f>+'PSE&amp;G'!K168</f>
        <v>313</v>
      </c>
      <c r="L75" s="348">
        <f>+'PSE&amp;G'!L168</f>
        <v>341</v>
      </c>
      <c r="M75" s="405">
        <f>+'PSE&amp;G'!M168</f>
        <v>386</v>
      </c>
      <c r="N75" s="451">
        <f>+'PSE&amp;G'!N168</f>
        <v>1257</v>
      </c>
      <c r="O75" s="406">
        <f>+'PSE&amp;G'!O168</f>
        <v>339</v>
      </c>
      <c r="P75" s="348">
        <f>+'PSE&amp;G'!P168</f>
        <v>335</v>
      </c>
      <c r="Q75" s="348">
        <f>+'PSE&amp;G'!Q168</f>
        <v>265</v>
      </c>
      <c r="R75" s="405">
        <f>+'PSE&amp;G'!R168</f>
        <v>363</v>
      </c>
      <c r="S75" s="451">
        <f>+'PSE&amp;G'!S168</f>
        <v>1302</v>
      </c>
      <c r="T75" s="406">
        <f>+'PSE&amp;G'!T168</f>
        <v>435</v>
      </c>
      <c r="U75" s="348">
        <f>+'PSE&amp;G'!U168</f>
        <v>435</v>
      </c>
      <c r="V75" s="348">
        <f>+'PSE&amp;G'!V168</f>
        <v>499</v>
      </c>
      <c r="W75" s="405">
        <f>+'PSE&amp;G'!W168</f>
        <v>401</v>
      </c>
      <c r="X75" s="77">
        <f>+'PSE&amp;G'!X168</f>
        <v>1770</v>
      </c>
      <c r="Y75" s="394">
        <f>+'PSE&amp;G'!Y168</f>
        <v>572</v>
      </c>
      <c r="Z75" s="342">
        <f>+'PSE&amp;G'!Z168</f>
        <v>576</v>
      </c>
      <c r="AA75" s="342">
        <f>+'PSE&amp;G'!AA168</f>
        <v>480</v>
      </c>
      <c r="AB75" s="395">
        <f>+'PSE&amp;G'!AB168</f>
        <v>547</v>
      </c>
      <c r="AC75" s="77">
        <f>+'PSE&amp;G'!AC168</f>
        <v>2175</v>
      </c>
      <c r="AD75" s="394">
        <f>+'PSE&amp;G'!AD168</f>
        <v>481</v>
      </c>
      <c r="AE75" s="342">
        <f>+'PSE&amp;G'!AE168</f>
        <v>515</v>
      </c>
      <c r="AF75" s="342">
        <f>+'PSE&amp;G'!AF168</f>
        <v>497</v>
      </c>
      <c r="AG75" s="395">
        <f>+'PSE&amp;G'!AG168</f>
        <v>671</v>
      </c>
      <c r="AH75" s="77">
        <f>+'PSE&amp;G'!AH168</f>
        <v>2164</v>
      </c>
      <c r="AI75" s="394">
        <f>+'PSE&amp;G'!AI168</f>
        <v>599</v>
      </c>
      <c r="AJ75" s="342">
        <f>+'PSE&amp;G'!AJ168</f>
        <v>631</v>
      </c>
      <c r="AK75" s="342">
        <f>+'PSE&amp;G'!AK168</f>
        <v>716</v>
      </c>
      <c r="AL75" s="395">
        <f>+'PSE&amp;G'!AL168</f>
        <v>746</v>
      </c>
      <c r="AM75" s="77">
        <f>+'PSE&amp;G'!AM168</f>
        <v>2692</v>
      </c>
      <c r="AN75" s="394">
        <f>+'PSE&amp;G'!AN168</f>
        <v>724</v>
      </c>
      <c r="AO75" s="342">
        <f>+'PSE&amp;G'!AO168</f>
        <v>631</v>
      </c>
      <c r="AP75" s="342">
        <f>+'PSE&amp;G'!AP168</f>
        <v>680</v>
      </c>
      <c r="AQ75" s="395">
        <f>+'PSE&amp;G'!AQ168</f>
        <v>781</v>
      </c>
      <c r="AR75" s="77">
        <f>+'PSE&amp;G'!AR168</f>
        <v>2816</v>
      </c>
      <c r="AS75" s="394">
        <f>+'PSE&amp;G'!AS168</f>
        <v>748</v>
      </c>
      <c r="AT75" s="342">
        <f>+'PSE&amp;G'!AT168</f>
        <v>641</v>
      </c>
      <c r="AU75" s="342">
        <f>+'PSE&amp;G'!AU168</f>
        <v>729</v>
      </c>
      <c r="AV75" s="395">
        <f>+'PSE&amp;G'!AV168</f>
        <v>801</v>
      </c>
      <c r="AW75" s="77">
        <f>+'PSE&amp;G'!AW168</f>
        <v>2919</v>
      </c>
      <c r="AX75" s="406">
        <f>+'PSE&amp;G'!AX168</f>
        <v>717.5</v>
      </c>
      <c r="AY75" s="348">
        <f>+'PSE&amp;G'!AY168</f>
        <v>717.5</v>
      </c>
      <c r="AZ75" s="348">
        <f>+'PSE&amp;G'!AZ168</f>
        <v>717.5</v>
      </c>
      <c r="BA75" s="405">
        <f>+'PSE&amp;G'!BA168</f>
        <v>717.5</v>
      </c>
      <c r="BB75" s="451">
        <f>+'PSE&amp;G'!BB168</f>
        <v>2870</v>
      </c>
      <c r="BC75" s="406">
        <f>+'PSE&amp;G'!BC168</f>
        <v>711.25</v>
      </c>
      <c r="BD75" s="348">
        <f>+'PSE&amp;G'!BD168</f>
        <v>711.25</v>
      </c>
      <c r="BE75" s="348">
        <f>+'PSE&amp;G'!BE168</f>
        <v>711.25</v>
      </c>
      <c r="BF75" s="405">
        <f>+'PSE&amp;G'!BF168</f>
        <v>711.25</v>
      </c>
      <c r="BG75" s="451">
        <f>+'PSE&amp;G'!BG168</f>
        <v>2845</v>
      </c>
      <c r="BH75" s="406">
        <f>+'PSE&amp;G'!BH168</f>
        <v>701.25</v>
      </c>
      <c r="BI75" s="348">
        <f>+'PSE&amp;G'!BI168</f>
        <v>701.25</v>
      </c>
      <c r="BJ75" s="348">
        <f>+'PSE&amp;G'!BJ168</f>
        <v>701.25</v>
      </c>
      <c r="BK75" s="405">
        <f>+'PSE&amp;G'!BK168</f>
        <v>701.25</v>
      </c>
      <c r="BL75" s="451">
        <f>+'PSE&amp;G'!BL168</f>
        <v>2805</v>
      </c>
      <c r="BM75" s="406">
        <f>+'PSE&amp;G'!BM168</f>
        <v>591.25</v>
      </c>
      <c r="BN75" s="348">
        <f>+'PSE&amp;G'!BN168</f>
        <v>591.25</v>
      </c>
      <c r="BO75" s="348">
        <f>+'PSE&amp;G'!BO168</f>
        <v>591.25</v>
      </c>
      <c r="BP75" s="405">
        <f>+'PSE&amp;G'!BP168</f>
        <v>591.25</v>
      </c>
      <c r="BQ75" s="451">
        <f>+'PSE&amp;G'!BQ168</f>
        <v>2365</v>
      </c>
      <c r="BR75" s="296"/>
      <c r="BS75" s="296"/>
      <c r="BT75" s="296"/>
      <c r="BU75" s="296"/>
      <c r="BV75" s="296"/>
      <c r="BW75" s="296"/>
      <c r="BX75" s="296"/>
      <c r="CL75"/>
      <c r="CM75"/>
      <c r="CN75"/>
      <c r="CO75"/>
      <c r="CP75"/>
      <c r="CQ75"/>
    </row>
    <row r="76" spans="1:95" s="2" customFormat="1">
      <c r="A76" s="1523"/>
      <c r="B76" s="7"/>
      <c r="C76" s="547" t="s">
        <v>120</v>
      </c>
      <c r="E76" s="503">
        <f>+E77-E74-E75</f>
        <v>96</v>
      </c>
      <c r="F76" s="504">
        <f t="shared" ref="F76:V76" si="76">+F77-F74-F75</f>
        <v>3</v>
      </c>
      <c r="G76" s="504">
        <f t="shared" si="76"/>
        <v>11</v>
      </c>
      <c r="H76" s="505">
        <f t="shared" si="76"/>
        <v>111</v>
      </c>
      <c r="I76" s="451">
        <f t="shared" si="76"/>
        <v>221</v>
      </c>
      <c r="J76" s="406">
        <f t="shared" si="76"/>
        <v>47</v>
      </c>
      <c r="K76" s="348">
        <f t="shared" si="76"/>
        <v>14</v>
      </c>
      <c r="L76" s="348">
        <f t="shared" si="76"/>
        <v>19</v>
      </c>
      <c r="M76" s="405">
        <f t="shared" si="76"/>
        <v>17</v>
      </c>
      <c r="N76" s="451">
        <f t="shared" si="76"/>
        <v>97</v>
      </c>
      <c r="O76" s="406">
        <f t="shared" si="76"/>
        <v>10</v>
      </c>
      <c r="P76" s="348">
        <f t="shared" si="76"/>
        <v>-9</v>
      </c>
      <c r="Q76" s="348">
        <f t="shared" si="76"/>
        <v>-7</v>
      </c>
      <c r="R76" s="405">
        <f t="shared" si="76"/>
        <v>9</v>
      </c>
      <c r="S76" s="451">
        <f t="shared" si="76"/>
        <v>3</v>
      </c>
      <c r="T76" s="406">
        <f t="shared" si="76"/>
        <v>8</v>
      </c>
      <c r="U76" s="348">
        <f t="shared" si="76"/>
        <v>16</v>
      </c>
      <c r="V76" s="348">
        <f t="shared" si="76"/>
        <v>25</v>
      </c>
      <c r="W76" s="405">
        <f t="shared" ref="W76:AC76" si="77">+W77-W74-W75</f>
        <v>34</v>
      </c>
      <c r="X76" s="77">
        <f t="shared" si="77"/>
        <v>83</v>
      </c>
      <c r="Y76" s="394">
        <f t="shared" si="77"/>
        <v>13</v>
      </c>
      <c r="Z76" s="342">
        <f t="shared" si="77"/>
        <v>53</v>
      </c>
      <c r="AA76" s="342">
        <f t="shared" si="77"/>
        <v>11</v>
      </c>
      <c r="AB76" s="395">
        <f t="shared" si="77"/>
        <v>-29</v>
      </c>
      <c r="AC76" s="77">
        <f t="shared" si="77"/>
        <v>48</v>
      </c>
      <c r="AD76" s="394">
        <f t="shared" ref="AD76:AJ76" si="78">+AD77-AD74-AD75</f>
        <v>-6</v>
      </c>
      <c r="AE76" s="342">
        <f t="shared" si="78"/>
        <v>-25</v>
      </c>
      <c r="AF76" s="342">
        <f t="shared" si="78"/>
        <v>-3</v>
      </c>
      <c r="AG76" s="395">
        <f t="shared" si="78"/>
        <v>11</v>
      </c>
      <c r="AH76" s="77">
        <f t="shared" si="78"/>
        <v>-23</v>
      </c>
      <c r="AI76" s="394">
        <f t="shared" si="78"/>
        <v>6</v>
      </c>
      <c r="AJ76" s="342">
        <f t="shared" si="78"/>
        <v>23</v>
      </c>
      <c r="AK76" s="342">
        <f t="shared" ref="AK76:AP76" si="79">+AK77-AK74-AK75</f>
        <v>-6</v>
      </c>
      <c r="AL76" s="395">
        <f t="shared" si="79"/>
        <v>3</v>
      </c>
      <c r="AM76" s="77">
        <f t="shared" si="79"/>
        <v>26</v>
      </c>
      <c r="AN76" s="394">
        <f t="shared" si="79"/>
        <v>-3</v>
      </c>
      <c r="AO76" s="342">
        <f t="shared" si="79"/>
        <v>3</v>
      </c>
      <c r="AP76" s="342">
        <f t="shared" si="79"/>
        <v>-17</v>
      </c>
      <c r="AQ76" s="395">
        <f t="shared" ref="AQ76:AW76" si="80">+AQ77-AQ74-AQ75</f>
        <v>40</v>
      </c>
      <c r="AR76" s="77">
        <f t="shared" si="80"/>
        <v>23</v>
      </c>
      <c r="AS76" s="394">
        <f t="shared" si="80"/>
        <v>-1</v>
      </c>
      <c r="AT76" s="342">
        <f t="shared" si="80"/>
        <v>24</v>
      </c>
      <c r="AU76" s="342">
        <f t="shared" si="80"/>
        <v>-40</v>
      </c>
      <c r="AV76" s="395">
        <f t="shared" si="80"/>
        <v>12</v>
      </c>
      <c r="AW76" s="77">
        <f t="shared" si="80"/>
        <v>-5</v>
      </c>
      <c r="AX76" s="394">
        <f>+BB76/4</f>
        <v>10</v>
      </c>
      <c r="AY76" s="342">
        <f>(BB76-SUM(AX76:AX76))/3</f>
        <v>10</v>
      </c>
      <c r="AZ76" s="342">
        <f>(BC76-SUM(AY76:AY76))/3</f>
        <v>-0.83333333333333337</v>
      </c>
      <c r="BA76" s="395">
        <f>(BB76-SUM(AX76:AY76))/1</f>
        <v>20</v>
      </c>
      <c r="BB76" s="298">
        <v>40</v>
      </c>
      <c r="BC76" s="394">
        <f>+BG76/4</f>
        <v>7.5</v>
      </c>
      <c r="BD76" s="342">
        <f>(BG76-SUM(BC76:BC76))/3</f>
        <v>7.5</v>
      </c>
      <c r="BE76" s="342">
        <f>(BG76-SUM(BC76:BD76))/2</f>
        <v>7.5</v>
      </c>
      <c r="BF76" s="395">
        <f>(BG76-SUM(BC76:BE76))/1</f>
        <v>7.5</v>
      </c>
      <c r="BG76" s="298">
        <v>30</v>
      </c>
      <c r="BH76" s="394">
        <f>+BL76/4</f>
        <v>5</v>
      </c>
      <c r="BI76" s="342">
        <f>(BL76-SUM(BH76:BH76))/3</f>
        <v>5</v>
      </c>
      <c r="BJ76" s="342">
        <f>(BL76-SUM(BH76:BI76))/2</f>
        <v>5</v>
      </c>
      <c r="BK76" s="395">
        <f>(BL76-SUM(BH76:BJ76))/1</f>
        <v>5</v>
      </c>
      <c r="BL76" s="298">
        <v>20</v>
      </c>
      <c r="BM76" s="394">
        <f>+BQ76/4</f>
        <v>8.75</v>
      </c>
      <c r="BN76" s="342">
        <f>(BQ76-SUM(BM76:BM76))/3</f>
        <v>8.75</v>
      </c>
      <c r="BO76" s="342">
        <f>(BQ76-SUM(BM76:BN76))/2</f>
        <v>8.75</v>
      </c>
      <c r="BP76" s="395">
        <f>(BQ76-SUM(BM76:BO76))/1</f>
        <v>8.75</v>
      </c>
      <c r="BQ76" s="298">
        <v>35</v>
      </c>
      <c r="BR76" s="296"/>
      <c r="BS76" s="296"/>
      <c r="BT76" s="296"/>
      <c r="BU76" s="296"/>
      <c r="BV76" s="296"/>
      <c r="BW76" s="296"/>
      <c r="BX76" s="296"/>
      <c r="CL76"/>
      <c r="CM76"/>
      <c r="CN76"/>
      <c r="CO76"/>
      <c r="CP76"/>
      <c r="CQ76"/>
    </row>
    <row r="77" spans="1:95" s="2" customFormat="1">
      <c r="A77" s="1523"/>
      <c r="B77" s="7"/>
      <c r="C77" s="549" t="s">
        <v>378</v>
      </c>
      <c r="E77" s="477">
        <f>+E119-E117</f>
        <v>498</v>
      </c>
      <c r="F77" s="478">
        <f t="shared" ref="F77:R77" si="81">+F119-F117</f>
        <v>409</v>
      </c>
      <c r="G77" s="478">
        <f t="shared" si="81"/>
        <v>419</v>
      </c>
      <c r="H77" s="479">
        <f t="shared" si="81"/>
        <v>619</v>
      </c>
      <c r="I77" s="297">
        <f>+I119-I117</f>
        <v>1945</v>
      </c>
      <c r="J77" s="396">
        <f t="shared" si="81"/>
        <v>438</v>
      </c>
      <c r="K77" s="343">
        <f t="shared" si="81"/>
        <v>481</v>
      </c>
      <c r="L77" s="343">
        <f t="shared" si="81"/>
        <v>611</v>
      </c>
      <c r="M77" s="397">
        <f t="shared" si="81"/>
        <v>649</v>
      </c>
      <c r="N77" s="297">
        <f t="shared" si="81"/>
        <v>2179</v>
      </c>
      <c r="O77" s="396">
        <f t="shared" si="81"/>
        <v>504</v>
      </c>
      <c r="P77" s="343">
        <f t="shared" si="81"/>
        <v>494</v>
      </c>
      <c r="Q77" s="343">
        <f t="shared" si="81"/>
        <v>465</v>
      </c>
      <c r="R77" s="397">
        <f t="shared" si="81"/>
        <v>599</v>
      </c>
      <c r="S77" s="297">
        <f>+S119-S117</f>
        <v>2062</v>
      </c>
      <c r="T77" s="396">
        <f>+T119-T117</f>
        <v>680</v>
      </c>
      <c r="U77" s="343">
        <f>+U119-U117</f>
        <v>558</v>
      </c>
      <c r="V77" s="343">
        <f>+V119-V117</f>
        <v>673</v>
      </c>
      <c r="W77" s="397">
        <f>+W119-W117</f>
        <v>588</v>
      </c>
      <c r="X77" s="297">
        <f t="shared" ref="X77:AC77" si="82">+X119-X117</f>
        <v>2499</v>
      </c>
      <c r="Y77" s="396">
        <f t="shared" si="82"/>
        <v>728</v>
      </c>
      <c r="Z77" s="343">
        <f t="shared" si="82"/>
        <v>708</v>
      </c>
      <c r="AA77" s="343">
        <f t="shared" si="82"/>
        <v>688</v>
      </c>
      <c r="AB77" s="397">
        <f t="shared" si="82"/>
        <v>708</v>
      </c>
      <c r="AC77" s="297">
        <f t="shared" si="82"/>
        <v>2832</v>
      </c>
      <c r="AD77" s="396">
        <f t="shared" ref="AD77:AJ77" si="83">+AD119-AD117</f>
        <v>601</v>
      </c>
      <c r="AE77" s="343">
        <f t="shared" si="83"/>
        <v>590</v>
      </c>
      <c r="AF77" s="343">
        <f t="shared" si="83"/>
        <v>682</v>
      </c>
      <c r="AG77" s="397">
        <f t="shared" si="83"/>
        <v>894</v>
      </c>
      <c r="AH77" s="297">
        <f t="shared" si="83"/>
        <v>2767</v>
      </c>
      <c r="AI77" s="396">
        <f t="shared" si="83"/>
        <v>744</v>
      </c>
      <c r="AJ77" s="343">
        <f t="shared" si="83"/>
        <v>1002</v>
      </c>
      <c r="AK77" s="343">
        <f t="shared" ref="AK77:AP77" si="84">+AK119-AK117</f>
        <v>1020</v>
      </c>
      <c r="AL77" s="397">
        <f t="shared" si="84"/>
        <v>1069</v>
      </c>
      <c r="AM77" s="297">
        <f t="shared" si="84"/>
        <v>3835</v>
      </c>
      <c r="AN77" s="396">
        <f t="shared" si="84"/>
        <v>1054</v>
      </c>
      <c r="AO77" s="343">
        <f t="shared" si="84"/>
        <v>899</v>
      </c>
      <c r="AP77" s="343">
        <f t="shared" si="84"/>
        <v>988</v>
      </c>
      <c r="AQ77" s="397">
        <f t="shared" ref="AQ77:AW77" si="85">+AQ119-AQ117</f>
        <v>1241</v>
      </c>
      <c r="AR77" s="297">
        <f t="shared" si="85"/>
        <v>4182</v>
      </c>
      <c r="AS77" s="396">
        <f t="shared" si="85"/>
        <v>1054</v>
      </c>
      <c r="AT77" s="343">
        <f t="shared" si="85"/>
        <v>934</v>
      </c>
      <c r="AU77" s="343">
        <f t="shared" si="85"/>
        <v>1016</v>
      </c>
      <c r="AV77" s="397">
        <f t="shared" si="85"/>
        <v>1141</v>
      </c>
      <c r="AW77" s="297">
        <f t="shared" si="85"/>
        <v>4145</v>
      </c>
      <c r="AX77" s="396">
        <f>SUM(AX74:AX76)</f>
        <v>888.75</v>
      </c>
      <c r="AY77" s="343">
        <f>SUM(AY74:AY76)</f>
        <v>888.75</v>
      </c>
      <c r="AZ77" s="343">
        <f>SUM(AZ74:AZ76)</f>
        <v>877.91666666666663</v>
      </c>
      <c r="BA77" s="397">
        <f>SUM(BA74:BA76)</f>
        <v>898.75</v>
      </c>
      <c r="BB77" s="297">
        <f>SUM(BB74:BB76)</f>
        <v>3555</v>
      </c>
      <c r="BC77" s="396">
        <f t="shared" ref="BC77:BL77" si="86">SUM(BC74:BC76)</f>
        <v>783.75</v>
      </c>
      <c r="BD77" s="343">
        <f t="shared" si="86"/>
        <v>783.75</v>
      </c>
      <c r="BE77" s="343">
        <f t="shared" si="86"/>
        <v>783.75</v>
      </c>
      <c r="BF77" s="397">
        <f t="shared" si="86"/>
        <v>783.75</v>
      </c>
      <c r="BG77" s="297">
        <f t="shared" si="86"/>
        <v>3135</v>
      </c>
      <c r="BH77" s="396">
        <f t="shared" si="86"/>
        <v>755</v>
      </c>
      <c r="BI77" s="343">
        <f t="shared" si="86"/>
        <v>755</v>
      </c>
      <c r="BJ77" s="343">
        <f t="shared" si="86"/>
        <v>755</v>
      </c>
      <c r="BK77" s="397">
        <f t="shared" si="86"/>
        <v>755</v>
      </c>
      <c r="BL77" s="297">
        <f t="shared" si="86"/>
        <v>3020</v>
      </c>
      <c r="BM77" s="396">
        <f>SUM(BM74:BM76)</f>
        <v>651.25</v>
      </c>
      <c r="BN77" s="343">
        <f>SUM(BN74:BN76)</f>
        <v>651.25</v>
      </c>
      <c r="BO77" s="343">
        <f>SUM(BO74:BO76)</f>
        <v>651.25</v>
      </c>
      <c r="BP77" s="397">
        <f>SUM(BP74:BP76)</f>
        <v>651.25</v>
      </c>
      <c r="BQ77" s="297">
        <f>SUM(BQ74:BQ76)</f>
        <v>2605</v>
      </c>
      <c r="BR77" s="296"/>
      <c r="BS77" s="296"/>
      <c r="BT77" s="296"/>
      <c r="BU77" s="296"/>
      <c r="BV77" s="296"/>
      <c r="BW77" s="296"/>
      <c r="BX77" s="296"/>
      <c r="CL77"/>
      <c r="CM77"/>
      <c r="CN77"/>
      <c r="CO77"/>
      <c r="CP77"/>
      <c r="CQ77"/>
    </row>
    <row r="78" spans="1:95" s="2" customFormat="1">
      <c r="A78" s="1523"/>
      <c r="B78" s="7"/>
      <c r="C78" s="549"/>
      <c r="E78" s="477"/>
      <c r="F78" s="478"/>
      <c r="G78" s="478"/>
      <c r="H78" s="479"/>
      <c r="I78" s="297"/>
      <c r="J78" s="396"/>
      <c r="K78" s="343"/>
      <c r="L78" s="343"/>
      <c r="M78" s="397"/>
      <c r="N78" s="297"/>
      <c r="O78" s="396"/>
      <c r="P78" s="343"/>
      <c r="Q78" s="343"/>
      <c r="R78" s="397"/>
      <c r="S78" s="297"/>
      <c r="T78" s="396"/>
      <c r="U78" s="343"/>
      <c r="V78" s="343"/>
      <c r="W78" s="397"/>
      <c r="X78" s="297"/>
      <c r="Y78" s="396"/>
      <c r="Z78" s="343"/>
      <c r="AA78" s="343"/>
      <c r="AB78" s="397"/>
      <c r="AC78" s="297"/>
      <c r="AD78" s="396"/>
      <c r="AE78" s="343"/>
      <c r="AF78" s="343"/>
      <c r="AG78" s="397"/>
      <c r="AH78" s="297"/>
      <c r="AI78" s="396"/>
      <c r="AJ78" s="343"/>
      <c r="AK78" s="343"/>
      <c r="AL78" s="397"/>
      <c r="AM78" s="297"/>
      <c r="AN78" s="396"/>
      <c r="AO78" s="343"/>
      <c r="AP78" s="343"/>
      <c r="AQ78" s="397"/>
      <c r="AR78" s="297"/>
      <c r="AS78" s="396"/>
      <c r="AT78" s="343"/>
      <c r="AU78" s="343"/>
      <c r="AV78" s="397"/>
      <c r="AW78" s="297"/>
      <c r="AX78" s="396"/>
      <c r="AY78" s="343"/>
      <c r="AZ78" s="343"/>
      <c r="BA78" s="397"/>
      <c r="BB78" s="297"/>
      <c r="BC78" s="396"/>
      <c r="BD78" s="343"/>
      <c r="BE78" s="343"/>
      <c r="BF78" s="397"/>
      <c r="BG78" s="297"/>
      <c r="BH78" s="396"/>
      <c r="BI78" s="343"/>
      <c r="BJ78" s="343"/>
      <c r="BK78" s="397"/>
      <c r="BL78" s="297"/>
      <c r="BM78" s="396"/>
      <c r="BN78" s="343"/>
      <c r="BO78" s="343"/>
      <c r="BP78" s="397"/>
      <c r="BQ78" s="297"/>
      <c r="BR78" s="296"/>
      <c r="BS78" s="296"/>
      <c r="BT78" s="296"/>
      <c r="BU78" s="296"/>
      <c r="BV78" s="296"/>
      <c r="BW78" s="296"/>
      <c r="BX78" s="296"/>
      <c r="CL78"/>
      <c r="CM78"/>
      <c r="CN78"/>
      <c r="CO78"/>
      <c r="CP78"/>
      <c r="CQ78"/>
    </row>
    <row r="79" spans="1:95" s="2" customFormat="1">
      <c r="A79" s="1523"/>
      <c r="C79" s="290"/>
      <c r="E79" s="365"/>
      <c r="F79" s="6"/>
      <c r="G79" s="6"/>
      <c r="H79" s="366"/>
      <c r="I79" s="296"/>
      <c r="J79" s="392"/>
      <c r="K79" s="341"/>
      <c r="L79" s="341"/>
      <c r="M79" s="393"/>
      <c r="N79" s="296"/>
      <c r="O79" s="398"/>
      <c r="P79" s="344"/>
      <c r="Q79" s="344"/>
      <c r="R79" s="399"/>
      <c r="S79" s="296"/>
      <c r="T79" s="398"/>
      <c r="U79" s="344"/>
      <c r="V79" s="344"/>
      <c r="W79" s="399"/>
      <c r="X79" s="296"/>
      <c r="Y79" s="398"/>
      <c r="Z79" s="344"/>
      <c r="AA79" s="344"/>
      <c r="AB79" s="399"/>
      <c r="AC79" s="296"/>
      <c r="AD79" s="398"/>
      <c r="AE79" s="344"/>
      <c r="AF79" s="344"/>
      <c r="AG79" s="399"/>
      <c r="AH79" s="296"/>
      <c r="AI79" s="398"/>
      <c r="AJ79" s="344"/>
      <c r="AK79" s="344"/>
      <c r="AL79" s="399"/>
      <c r="AM79" s="296"/>
      <c r="AN79" s="398"/>
      <c r="AO79" s="344"/>
      <c r="AP79" s="344"/>
      <c r="AQ79" s="399"/>
      <c r="AR79" s="296"/>
      <c r="AS79" s="398"/>
      <c r="AT79" s="344"/>
      <c r="AU79" s="344"/>
      <c r="AV79" s="399"/>
      <c r="AW79" s="296"/>
      <c r="AX79" s="398"/>
      <c r="AY79" s="344"/>
      <c r="AZ79" s="344"/>
      <c r="BA79" s="399"/>
      <c r="BB79" s="296"/>
      <c r="BC79" s="398"/>
      <c r="BD79" s="344"/>
      <c r="BE79" s="344"/>
      <c r="BF79" s="399"/>
      <c r="BG79" s="296"/>
      <c r="BH79" s="398"/>
      <c r="BI79" s="344"/>
      <c r="BJ79" s="344"/>
      <c r="BK79" s="399"/>
      <c r="BL79" s="296"/>
      <c r="BM79" s="398"/>
      <c r="BN79" s="344"/>
      <c r="BO79" s="344"/>
      <c r="BP79" s="399"/>
      <c r="BQ79" s="296"/>
      <c r="BR79" s="296"/>
      <c r="BS79" s="296"/>
      <c r="BT79" s="296"/>
      <c r="BU79" s="296"/>
      <c r="BV79" s="296"/>
      <c r="BW79" s="296"/>
      <c r="BX79" s="296"/>
      <c r="CL79"/>
      <c r="CM79"/>
      <c r="CN79"/>
      <c r="CO79"/>
      <c r="CP79"/>
      <c r="CQ79"/>
    </row>
    <row r="80" spans="1:95" s="2" customFormat="1">
      <c r="A80" s="1523"/>
      <c r="B80" s="105" t="s">
        <v>81</v>
      </c>
      <c r="C80" s="277"/>
      <c r="D80" s="277"/>
      <c r="E80" s="356"/>
      <c r="F80" s="326"/>
      <c r="G80" s="326"/>
      <c r="H80" s="357"/>
      <c r="J80" s="356"/>
      <c r="K80" s="326"/>
      <c r="L80" s="326"/>
      <c r="M80" s="357"/>
      <c r="O80" s="356"/>
      <c r="P80" s="326"/>
      <c r="Q80" s="326"/>
      <c r="R80" s="357"/>
      <c r="T80" s="356"/>
      <c r="U80" s="326"/>
      <c r="V80" s="326"/>
      <c r="W80" s="357"/>
      <c r="Y80" s="1325"/>
      <c r="Z80" s="1326"/>
      <c r="AA80" s="1326"/>
      <c r="AB80" s="1327"/>
      <c r="AD80" s="1325"/>
      <c r="AE80" s="1326"/>
      <c r="AF80" s="1326"/>
      <c r="AG80" s="1327"/>
      <c r="AI80" s="1325"/>
      <c r="AJ80" s="326"/>
      <c r="AK80" s="326"/>
      <c r="AL80" s="357"/>
      <c r="AN80" s="1325"/>
      <c r="AO80" s="326"/>
      <c r="AP80" s="326"/>
      <c r="AQ80" s="357"/>
      <c r="AS80" s="1325"/>
      <c r="AT80" s="326"/>
      <c r="AU80" s="326"/>
      <c r="AV80" s="357"/>
      <c r="AX80" s="356"/>
      <c r="AY80" s="326"/>
      <c r="AZ80" s="326"/>
      <c r="BA80" s="357"/>
      <c r="BC80" s="356"/>
      <c r="BD80" s="326"/>
      <c r="BE80" s="326"/>
      <c r="BF80" s="357"/>
      <c r="BH80" s="356"/>
      <c r="BI80" s="326"/>
      <c r="BJ80" s="326"/>
      <c r="BK80" s="357"/>
      <c r="BM80" s="356"/>
      <c r="BN80" s="326"/>
      <c r="BO80" s="326"/>
      <c r="BP80" s="357"/>
      <c r="BR80" s="3"/>
      <c r="CL80"/>
      <c r="CM80"/>
      <c r="CN80"/>
      <c r="CO80"/>
      <c r="CP80"/>
      <c r="CQ80"/>
    </row>
    <row r="81" spans="1:95" s="2" customFormat="1">
      <c r="A81" s="1523"/>
      <c r="C81" s="294" t="s">
        <v>318</v>
      </c>
      <c r="E81" s="365"/>
      <c r="F81" s="6"/>
      <c r="G81" s="6"/>
      <c r="H81" s="366"/>
      <c r="J81" s="365"/>
      <c r="K81" s="6"/>
      <c r="L81" s="6"/>
      <c r="M81" s="366"/>
      <c r="O81" s="365"/>
      <c r="P81" s="6"/>
      <c r="Q81" s="6"/>
      <c r="R81" s="366"/>
      <c r="T81" s="365"/>
      <c r="U81" s="6"/>
      <c r="V81" s="6"/>
      <c r="W81" s="366"/>
      <c r="Y81" s="365"/>
      <c r="Z81" s="6"/>
      <c r="AA81" s="6"/>
      <c r="AB81" s="366"/>
      <c r="AD81" s="365"/>
      <c r="AE81" s="6"/>
      <c r="AF81" s="6"/>
      <c r="AG81" s="366"/>
      <c r="AI81" s="365"/>
      <c r="AJ81" s="6"/>
      <c r="AK81" s="6"/>
      <c r="AL81" s="366"/>
      <c r="AN81" s="365"/>
      <c r="AO81" s="6"/>
      <c r="AP81" s="6"/>
      <c r="AQ81" s="366"/>
      <c r="AS81" s="365"/>
      <c r="AT81" s="6"/>
      <c r="AU81" s="6"/>
      <c r="AV81" s="366"/>
      <c r="AX81" s="365"/>
      <c r="AY81" s="6"/>
      <c r="AZ81" s="6"/>
      <c r="BA81" s="366"/>
      <c r="BC81" s="365"/>
      <c r="BD81" s="6"/>
      <c r="BE81" s="6"/>
      <c r="BF81" s="366"/>
      <c r="BH81" s="365"/>
      <c r="BI81" s="6"/>
      <c r="BJ81" s="6"/>
      <c r="BK81" s="366"/>
      <c r="BM81" s="365"/>
      <c r="BN81" s="6"/>
      <c r="BO81" s="6"/>
      <c r="BP81" s="366"/>
      <c r="CL81"/>
      <c r="CM81"/>
      <c r="CN81"/>
      <c r="CO81"/>
      <c r="CP81"/>
      <c r="CQ81"/>
    </row>
    <row r="82" spans="1:95" s="2" customFormat="1">
      <c r="A82" s="1523"/>
      <c r="C82" s="295" t="s">
        <v>316</v>
      </c>
      <c r="E82" s="503">
        <f t="shared" ref="E82:H83" si="87">+E122</f>
        <v>209</v>
      </c>
      <c r="F82" s="504">
        <f t="shared" si="87"/>
        <v>0</v>
      </c>
      <c r="G82" s="504">
        <f t="shared" si="87"/>
        <v>0</v>
      </c>
      <c r="H82" s="505">
        <f t="shared" si="87"/>
        <v>250</v>
      </c>
      <c r="I82" s="510">
        <f>+SUM(E82:H82)</f>
        <v>459</v>
      </c>
      <c r="J82" s="503">
        <f t="shared" ref="J82:M83" si="88">+J122</f>
        <v>344</v>
      </c>
      <c r="K82" s="504">
        <f t="shared" si="88"/>
        <v>850</v>
      </c>
      <c r="L82" s="504">
        <f t="shared" si="88"/>
        <v>414</v>
      </c>
      <c r="M82" s="505">
        <f t="shared" si="88"/>
        <v>120</v>
      </c>
      <c r="N82" s="510">
        <f>+SUM(J82:M82)</f>
        <v>1728</v>
      </c>
      <c r="O82" s="503">
        <f t="shared" ref="O82:R83" si="89">+O122</f>
        <v>0</v>
      </c>
      <c r="P82" s="504">
        <f t="shared" si="89"/>
        <v>0</v>
      </c>
      <c r="Q82" s="504">
        <f t="shared" si="89"/>
        <v>750</v>
      </c>
      <c r="R82" s="505">
        <f t="shared" si="89"/>
        <v>44</v>
      </c>
      <c r="S82" s="510">
        <f>+SUM(O82:R82)</f>
        <v>794</v>
      </c>
      <c r="T82" s="503">
        <f t="shared" ref="T82:W83" si="90">+T122</f>
        <v>0</v>
      </c>
      <c r="U82" s="504">
        <f t="shared" si="90"/>
        <v>500</v>
      </c>
      <c r="V82" s="504">
        <f t="shared" si="90"/>
        <v>350</v>
      </c>
      <c r="W82" s="505">
        <f>+W122</f>
        <v>50</v>
      </c>
      <c r="X82" s="476">
        <f>+SUM(T82:W82)</f>
        <v>900</v>
      </c>
      <c r="Y82" s="472">
        <f t="shared" ref="Y82:AB83" si="91">+Y122</f>
        <v>400</v>
      </c>
      <c r="Z82" s="473">
        <f t="shared" si="91"/>
        <v>500</v>
      </c>
      <c r="AA82" s="473">
        <f t="shared" si="91"/>
        <v>600</v>
      </c>
      <c r="AB82" s="474">
        <f t="shared" si="91"/>
        <v>500</v>
      </c>
      <c r="AC82" s="476">
        <f>+SUM(Y82:AB82)</f>
        <v>2000</v>
      </c>
      <c r="AD82" s="472">
        <f t="shared" ref="AD82:AG83" si="92">+AD122</f>
        <v>0</v>
      </c>
      <c r="AE82" s="473">
        <f t="shared" si="92"/>
        <v>500</v>
      </c>
      <c r="AF82" s="473">
        <f t="shared" si="92"/>
        <v>500</v>
      </c>
      <c r="AG82" s="474">
        <f t="shared" si="92"/>
        <v>250</v>
      </c>
      <c r="AH82" s="476">
        <f>+SUM(AD82:AG82)</f>
        <v>1250</v>
      </c>
      <c r="AI82" s="472">
        <f t="shared" ref="AI82:AL83" si="93">+AI122</f>
        <v>0</v>
      </c>
      <c r="AJ82" s="473">
        <f t="shared" si="93"/>
        <v>600</v>
      </c>
      <c r="AK82" s="473">
        <f t="shared" si="93"/>
        <v>0</v>
      </c>
      <c r="AL82" s="474">
        <f t="shared" si="93"/>
        <v>750</v>
      </c>
      <c r="AM82" s="476">
        <f>+SUM(AI82:AL82)</f>
        <v>1350</v>
      </c>
      <c r="AN82" s="472">
        <f t="shared" ref="AN82:AQ83" si="94">+AN122</f>
        <v>850</v>
      </c>
      <c r="AO82" s="473">
        <f t="shared" si="94"/>
        <v>700</v>
      </c>
      <c r="AP82" s="473">
        <f t="shared" si="94"/>
        <v>425</v>
      </c>
      <c r="AQ82" s="474">
        <f t="shared" si="94"/>
        <v>700</v>
      </c>
      <c r="AR82" s="476">
        <f>+SUM(AN82:AQ82)</f>
        <v>2675</v>
      </c>
      <c r="AS82" s="472">
        <f t="shared" ref="AS82:AV83" si="95">+AS122</f>
        <v>0</v>
      </c>
      <c r="AT82" s="473">
        <f t="shared" si="95"/>
        <v>1125</v>
      </c>
      <c r="AU82" s="473">
        <f t="shared" si="95"/>
        <v>0</v>
      </c>
      <c r="AV82" s="474">
        <f t="shared" si="95"/>
        <v>1050</v>
      </c>
      <c r="AW82" s="476">
        <f>+SUM(AS82:AV82)</f>
        <v>2175</v>
      </c>
      <c r="AX82" s="503">
        <f>+Debt!AL11</f>
        <v>1000</v>
      </c>
      <c r="AY82" s="504">
        <f>+Debt!AM11</f>
        <v>1600</v>
      </c>
      <c r="AZ82" s="504">
        <f>+Debt!AN11</f>
        <v>250</v>
      </c>
      <c r="BA82" s="505">
        <f>+Debt!AO11</f>
        <v>0</v>
      </c>
      <c r="BB82" s="510">
        <f>+SUM(AX82:BA82)</f>
        <v>2850</v>
      </c>
      <c r="BC82" s="503">
        <f>+Debt!AQ11</f>
        <v>0</v>
      </c>
      <c r="BD82" s="504">
        <f>+Debt!AR11</f>
        <v>1500</v>
      </c>
      <c r="BE82" s="504">
        <f>+Debt!AS11</f>
        <v>1400</v>
      </c>
      <c r="BF82" s="505">
        <f>+Debt!AT11</f>
        <v>0</v>
      </c>
      <c r="BG82" s="510">
        <f>+SUM(BC82:BF82)</f>
        <v>2900</v>
      </c>
      <c r="BH82" s="503">
        <f>+Debt!AV11</f>
        <v>0</v>
      </c>
      <c r="BI82" s="504">
        <f>+Debt!AW11</f>
        <v>1400</v>
      </c>
      <c r="BJ82" s="504">
        <f>+Debt!AX11</f>
        <v>500</v>
      </c>
      <c r="BK82" s="505">
        <f>+Debt!AY11</f>
        <v>0</v>
      </c>
      <c r="BL82" s="510">
        <f>+SUM(BH82:BK82)</f>
        <v>1900</v>
      </c>
      <c r="BM82" s="503">
        <f>+Debt!BA11</f>
        <v>0</v>
      </c>
      <c r="BN82" s="504">
        <f>+Debt!BB11</f>
        <v>1100</v>
      </c>
      <c r="BO82" s="504">
        <f>+Debt!BC11</f>
        <v>1250</v>
      </c>
      <c r="BP82" s="505">
        <f>+Debt!BD11</f>
        <v>0</v>
      </c>
      <c r="BQ82" s="510">
        <f>+SUM(BM82:BP82)</f>
        <v>2350</v>
      </c>
      <c r="CL82"/>
      <c r="CM82"/>
      <c r="CN82"/>
      <c r="CO82"/>
      <c r="CP82"/>
      <c r="CQ82"/>
    </row>
    <row r="83" spans="1:95" s="2" customFormat="1">
      <c r="A83" s="1523"/>
      <c r="C83" s="295" t="s">
        <v>317</v>
      </c>
      <c r="E83" s="503">
        <f t="shared" si="87"/>
        <v>-333</v>
      </c>
      <c r="F83" s="504">
        <f t="shared" si="87"/>
        <v>-357</v>
      </c>
      <c r="G83" s="504">
        <f t="shared" si="87"/>
        <v>-347</v>
      </c>
      <c r="H83" s="505">
        <f t="shared" si="87"/>
        <v>-292</v>
      </c>
      <c r="I83" s="510">
        <f>+SUM(E83:H83)</f>
        <v>-1329</v>
      </c>
      <c r="J83" s="503">
        <f t="shared" si="88"/>
        <v>-345</v>
      </c>
      <c r="K83" s="504">
        <f t="shared" si="88"/>
        <v>-296</v>
      </c>
      <c r="L83" s="504">
        <f t="shared" si="88"/>
        <v>-63</v>
      </c>
      <c r="M83" s="505">
        <f t="shared" si="88"/>
        <v>-318</v>
      </c>
      <c r="N83" s="510">
        <f>+SUM(J83:M83)</f>
        <v>-1022</v>
      </c>
      <c r="O83" s="503">
        <f t="shared" si="89"/>
        <v>-47</v>
      </c>
      <c r="P83" s="504">
        <f t="shared" si="89"/>
        <v>-656</v>
      </c>
      <c r="Q83" s="504">
        <f t="shared" si="89"/>
        <v>-51</v>
      </c>
      <c r="R83" s="505">
        <f t="shared" si="89"/>
        <v>-984</v>
      </c>
      <c r="S83" s="510">
        <f>+SUM(O83:R83)</f>
        <v>-1738</v>
      </c>
      <c r="T83" s="503">
        <f t="shared" si="90"/>
        <v>-115</v>
      </c>
      <c r="U83" s="504">
        <f t="shared" si="90"/>
        <v>-125</v>
      </c>
      <c r="V83" s="504">
        <f t="shared" si="90"/>
        <v>-354</v>
      </c>
      <c r="W83" s="505">
        <f t="shared" si="90"/>
        <v>-410</v>
      </c>
      <c r="X83" s="476">
        <f>+SUM(T83:W83)</f>
        <v>-1004</v>
      </c>
      <c r="Y83" s="472">
        <f t="shared" si="91"/>
        <v>-201</v>
      </c>
      <c r="Z83" s="473">
        <f t="shared" si="91"/>
        <v>-355</v>
      </c>
      <c r="AA83" s="473">
        <f t="shared" si="91"/>
        <v>-356</v>
      </c>
      <c r="AB83" s="474">
        <f t="shared" si="91"/>
        <v>-339</v>
      </c>
      <c r="AC83" s="476">
        <f>+SUM(Y83:AB83)</f>
        <v>-1251</v>
      </c>
      <c r="AD83" s="472">
        <f t="shared" si="92"/>
        <v>-54</v>
      </c>
      <c r="AE83" s="473">
        <f t="shared" si="92"/>
        <v>-57</v>
      </c>
      <c r="AF83" s="473">
        <f t="shared" si="92"/>
        <v>-559</v>
      </c>
      <c r="AG83" s="474">
        <f t="shared" si="92"/>
        <v>-67</v>
      </c>
      <c r="AH83" s="476">
        <f>+SUM(AD83:AG83)</f>
        <v>-737</v>
      </c>
      <c r="AI83" s="472">
        <f t="shared" si="93"/>
        <v>-58</v>
      </c>
      <c r="AJ83" s="473">
        <f t="shared" si="93"/>
        <v>-367</v>
      </c>
      <c r="AK83" s="473">
        <f t="shared" si="93"/>
        <v>-66</v>
      </c>
      <c r="AL83" s="474">
        <f t="shared" si="93"/>
        <v>-368</v>
      </c>
      <c r="AM83" s="476">
        <f>+SUM(AI83:AL83)</f>
        <v>-859</v>
      </c>
      <c r="AN83" s="472">
        <f t="shared" si="94"/>
        <v>-171</v>
      </c>
      <c r="AO83" s="473">
        <f t="shared" si="94"/>
        <v>0</v>
      </c>
      <c r="AP83" s="473">
        <f t="shared" si="94"/>
        <v>-653</v>
      </c>
      <c r="AQ83" s="474">
        <f t="shared" si="94"/>
        <v>0</v>
      </c>
      <c r="AR83" s="476">
        <f>+SUM(AN83:AQ83)</f>
        <v>-824</v>
      </c>
      <c r="AS83" s="472">
        <f t="shared" si="95"/>
        <v>0</v>
      </c>
      <c r="AT83" s="473">
        <f t="shared" si="95"/>
        <v>0</v>
      </c>
      <c r="AU83" s="473">
        <f t="shared" si="95"/>
        <v>0</v>
      </c>
      <c r="AV83" s="474">
        <f t="shared" si="95"/>
        <v>-500</v>
      </c>
      <c r="AW83" s="476">
        <f>+SUM(AS83:AV83)</f>
        <v>-500</v>
      </c>
      <c r="AX83" s="503">
        <f>+Debt!AL10</f>
        <v>0</v>
      </c>
      <c r="AY83" s="504">
        <f>+Debt!AM10</f>
        <v>-750</v>
      </c>
      <c r="AZ83" s="504">
        <f>+Debt!AN10</f>
        <v>0</v>
      </c>
      <c r="BA83" s="505">
        <f>+Debt!AO10</f>
        <v>-250</v>
      </c>
      <c r="BB83" s="510">
        <f>+SUM(AX83:BA83)</f>
        <v>-1000</v>
      </c>
      <c r="BC83" s="503">
        <f>+Debt!AQ10</f>
        <v>-44</v>
      </c>
      <c r="BD83" s="504">
        <f>+Debt!AR10</f>
        <v>-950</v>
      </c>
      <c r="BE83" s="504">
        <f>+Debt!AS10</f>
        <v>-250</v>
      </c>
      <c r="BF83" s="505">
        <f>+Debt!AT10</f>
        <v>-400</v>
      </c>
      <c r="BG83" s="510">
        <f>+SUM(BC83:BF83)</f>
        <v>-1644</v>
      </c>
      <c r="BH83" s="503">
        <f>+Debt!AV10</f>
        <v>0</v>
      </c>
      <c r="BI83" s="504">
        <f>+Debt!AW10</f>
        <v>-656</v>
      </c>
      <c r="BJ83" s="504">
        <f>+Debt!AX10</f>
        <v>0</v>
      </c>
      <c r="BK83" s="505">
        <f>+Debt!AY10</f>
        <v>-9</v>
      </c>
      <c r="BL83" s="510">
        <f>+SUM(BH83:BK83)</f>
        <v>-665</v>
      </c>
      <c r="BM83" s="503">
        <f>+Debt!BA10</f>
        <v>-300</v>
      </c>
      <c r="BN83" s="504">
        <f>+Debt!BB10</f>
        <v>-834</v>
      </c>
      <c r="BO83" s="504">
        <f>+Debt!BC10</f>
        <v>-250</v>
      </c>
      <c r="BP83" s="505">
        <f>+Debt!BD10</f>
        <v>-300</v>
      </c>
      <c r="BQ83" s="510">
        <f>+SUM(BM83:BP83)</f>
        <v>-1684</v>
      </c>
      <c r="CL83"/>
      <c r="CM83"/>
      <c r="CN83"/>
      <c r="CO83"/>
      <c r="CP83"/>
      <c r="CQ83"/>
    </row>
    <row r="84" spans="1:95" s="2" customFormat="1">
      <c r="A84" s="1523"/>
      <c r="C84" s="295"/>
      <c r="E84" s="367"/>
      <c r="F84" s="327"/>
      <c r="G84" s="327"/>
      <c r="H84" s="364"/>
      <c r="J84" s="367"/>
      <c r="K84" s="327"/>
      <c r="L84" s="327"/>
      <c r="M84" s="364"/>
      <c r="O84" s="367"/>
      <c r="P84" s="327"/>
      <c r="Q84" s="327"/>
      <c r="R84" s="364"/>
      <c r="T84" s="367"/>
      <c r="U84" s="327"/>
      <c r="V84" s="327"/>
      <c r="W84" s="364"/>
      <c r="Y84" s="367"/>
      <c r="Z84" s="327"/>
      <c r="AA84" s="327"/>
      <c r="AB84" s="364"/>
      <c r="AD84" s="367"/>
      <c r="AE84" s="327"/>
      <c r="AF84" s="327"/>
      <c r="AG84" s="364"/>
      <c r="AI84" s="367"/>
      <c r="AJ84" s="327"/>
      <c r="AK84" s="327"/>
      <c r="AL84" s="364"/>
      <c r="AN84" s="367"/>
      <c r="AO84" s="327"/>
      <c r="AP84" s="327"/>
      <c r="AQ84" s="364"/>
      <c r="AS84" s="367"/>
      <c r="AT84" s="327"/>
      <c r="AU84" s="327"/>
      <c r="AV84" s="364"/>
      <c r="AX84" s="367"/>
      <c r="AY84" s="327"/>
      <c r="AZ84" s="327"/>
      <c r="BA84" s="364"/>
      <c r="BC84" s="367"/>
      <c r="BD84" s="327"/>
      <c r="BE84" s="327"/>
      <c r="BF84" s="364"/>
      <c r="BH84" s="367"/>
      <c r="BI84" s="327"/>
      <c r="BJ84" s="327"/>
      <c r="BK84" s="364"/>
      <c r="BM84" s="367"/>
      <c r="BN84" s="327"/>
      <c r="BO84" s="327"/>
      <c r="BP84" s="364"/>
      <c r="CL84"/>
      <c r="CM84"/>
      <c r="CN84"/>
      <c r="CO84"/>
      <c r="CP84"/>
      <c r="CQ84"/>
    </row>
    <row r="85" spans="1:95" s="2" customFormat="1">
      <c r="A85" s="1523"/>
      <c r="C85" s="294" t="s">
        <v>384</v>
      </c>
      <c r="E85" s="378"/>
      <c r="F85" s="335"/>
      <c r="G85" s="335"/>
      <c r="H85" s="379"/>
      <c r="J85" s="403"/>
      <c r="K85" s="335"/>
      <c r="L85" s="335"/>
      <c r="M85" s="379"/>
      <c r="O85" s="403"/>
      <c r="P85" s="335"/>
      <c r="Q85" s="331"/>
      <c r="R85" s="371"/>
      <c r="S85" s="288"/>
      <c r="T85" s="453"/>
      <c r="U85" s="454"/>
      <c r="V85" s="331"/>
      <c r="W85" s="371"/>
      <c r="X85" s="288"/>
      <c r="Y85" s="453"/>
      <c r="Z85" s="454"/>
      <c r="AA85" s="454"/>
      <c r="AB85" s="371"/>
      <c r="AC85" s="288"/>
      <c r="AD85" s="453"/>
      <c r="AE85" s="454"/>
      <c r="AF85" s="454"/>
      <c r="AG85" s="371"/>
      <c r="AH85" s="288"/>
      <c r="AI85" s="453"/>
      <c r="AJ85" s="454"/>
      <c r="AK85" s="454"/>
      <c r="AL85" s="455"/>
      <c r="AM85" s="452"/>
      <c r="AN85" s="453"/>
      <c r="AO85" s="454"/>
      <c r="AP85" s="454"/>
      <c r="AQ85" s="455"/>
      <c r="AR85" s="452"/>
      <c r="AS85" s="453"/>
      <c r="AT85" s="454"/>
      <c r="AU85" s="454"/>
      <c r="AV85" s="455"/>
      <c r="AW85" s="452"/>
      <c r="AX85" s="453"/>
      <c r="AY85" s="454"/>
      <c r="AZ85" s="454"/>
      <c r="BA85" s="455"/>
      <c r="BB85" s="452"/>
      <c r="BC85" s="453"/>
      <c r="BD85" s="454"/>
      <c r="BE85" s="454"/>
      <c r="BF85" s="455"/>
      <c r="BG85" s="452"/>
      <c r="BH85" s="453"/>
      <c r="BI85" s="454"/>
      <c r="BJ85" s="454"/>
      <c r="BK85" s="455"/>
      <c r="BL85" s="452"/>
      <c r="BM85" s="453"/>
      <c r="BN85" s="454"/>
      <c r="BO85" s="454"/>
      <c r="BP85" s="455"/>
      <c r="BQ85" s="452"/>
      <c r="CL85"/>
      <c r="CM85"/>
      <c r="CN85"/>
      <c r="CO85"/>
      <c r="CP85"/>
      <c r="CQ85"/>
    </row>
    <row r="86" spans="1:95" s="2" customFormat="1">
      <c r="A86" s="1523"/>
      <c r="C86" s="295" t="s">
        <v>482</v>
      </c>
      <c r="E86" s="378"/>
      <c r="F86" s="335"/>
      <c r="G86" s="335"/>
      <c r="H86" s="379"/>
      <c r="J86" s="403"/>
      <c r="K86" s="335"/>
      <c r="L86" s="335"/>
      <c r="M86" s="379"/>
      <c r="O86" s="403"/>
      <c r="P86" s="335"/>
      <c r="Q86" s="331"/>
      <c r="R86" s="371"/>
      <c r="S86" s="288"/>
      <c r="T86" s="394"/>
      <c r="U86" s="342"/>
      <c r="V86" s="331"/>
      <c r="W86" s="371"/>
      <c r="X86" s="288"/>
      <c r="Y86" s="394"/>
      <c r="Z86" s="342"/>
      <c r="AA86" s="342"/>
      <c r="AB86" s="371"/>
      <c r="AC86" s="288"/>
      <c r="AD86" s="394"/>
      <c r="AE86" s="342"/>
      <c r="AF86" s="342"/>
      <c r="AG86" s="371"/>
      <c r="AH86" s="288"/>
      <c r="AI86" s="394"/>
      <c r="AJ86" s="342"/>
      <c r="AK86" s="342"/>
      <c r="AL86" s="395"/>
      <c r="AM86" s="77"/>
      <c r="AN86" s="394"/>
      <c r="AO86" s="342"/>
      <c r="AP86" s="342"/>
      <c r="AQ86" s="395"/>
      <c r="AR86" s="77"/>
      <c r="AS86" s="394"/>
      <c r="AT86" s="342"/>
      <c r="AU86" s="342"/>
      <c r="AV86" s="395"/>
      <c r="AW86" s="77"/>
      <c r="AX86" s="394">
        <f>(((AW189-AS189)*AX91)/4)-((AW187-AS187)*(AX91-1%)/4)</f>
        <v>0.83499999999999996</v>
      </c>
      <c r="AY86" s="342">
        <f>(((AX189-AT189)*AY91)/4)-((AX187-AT187)*(AY91-1%)/4)</f>
        <v>-0.22621539814331926</v>
      </c>
      <c r="AZ86" s="342">
        <f>(((AY189-AU189)*AZ91)/4)-((AY187-AU187)*(AZ91-1%)/4)</f>
        <v>-2.6259056401851639</v>
      </c>
      <c r="BA86" s="395">
        <f>(((AY189-AV189)*BA91)/4)-((AY187-AV187)*(BA91-1%)/4)</f>
        <v>-4.2384056401851637</v>
      </c>
      <c r="BB86" s="77">
        <f>+SUM(AX86:BA86)</f>
        <v>-6.2555266785136467</v>
      </c>
      <c r="BC86" s="394">
        <f>(((BB189-AX189)*BC91)/4)-((BB187-AX187)*(BC91-1%)/4)</f>
        <v>0.97852514508395416</v>
      </c>
      <c r="BD86" s="342">
        <f>(((BC189-AY189)*BD91)/4)-((BC187-AY187)*(BD91-1%)/4)</f>
        <v>2.4790370159865862</v>
      </c>
      <c r="BE86" s="342">
        <f>(((BD189-AY189)*BE91)/4)-((BD187-AY187)*(BE91-1%)/4)</f>
        <v>1.7577951995746326</v>
      </c>
      <c r="BF86" s="395">
        <f>(((BE189-BA189)*BF91)/4)-((BE187-BA187)*(BF91-1%)/4)</f>
        <v>-2.2857205219557502</v>
      </c>
      <c r="BG86" s="77">
        <f>+SUM(BC86:BF86)</f>
        <v>2.9296368386894232</v>
      </c>
      <c r="BH86" s="394">
        <f>(((BG189-BC189)*BH91)/4)-((BG187-BC187)*(BH91-1%)/4)</f>
        <v>-0.63896255175166372</v>
      </c>
      <c r="BI86" s="342">
        <f>(((BH189-BD189)*BI91)/4)-((BH187-BD187)*(BI91-1%)/4)</f>
        <v>0.4290672594187987</v>
      </c>
      <c r="BJ86" s="342">
        <f>(((BI189-BE189)*BJ91)/4)-((BI187-BE187)*(BJ91-1%)/4)</f>
        <v>1.5205091496869583</v>
      </c>
      <c r="BK86" s="395">
        <f>(((BJ189-BF189)*BK91)/4)-((BJ187-BF187)*(BK91-1%)/4)</f>
        <v>-1.0401355800433212</v>
      </c>
      <c r="BL86" s="77">
        <f>+SUM(BH86:BK86)</f>
        <v>0.27047827731077212</v>
      </c>
      <c r="BM86" s="394">
        <f>(((BL189-BH189)*BM91)/4)-((BL187-BH187)*(BM91-1%)/4)</f>
        <v>-0.27743874110283773</v>
      </c>
      <c r="BN86" s="342">
        <f>(((BM189-BI189)*BN91)/4)-((BM187-BI187)*(BN91-1%)/4)</f>
        <v>1.8709590239760612</v>
      </c>
      <c r="BO86" s="342">
        <f>(((BN189-BJ189)*BO91)/4)-((BN187-BJ187)*(BO91-1%)/4)</f>
        <v>1.9292744389725731</v>
      </c>
      <c r="BP86" s="395">
        <f>(((BO189-BK189)*BP91)/4)-((BO187-BK187)*(BP91-1%)/4)</f>
        <v>-1.4098125332546334</v>
      </c>
      <c r="BQ86" s="77">
        <f>+SUM(BM86:BP86)</f>
        <v>2.1129821885911633</v>
      </c>
      <c r="CL86"/>
      <c r="CM86"/>
      <c r="CN86"/>
      <c r="CO86"/>
      <c r="CP86"/>
      <c r="CQ86"/>
    </row>
    <row r="87" spans="1:95" s="2" customFormat="1">
      <c r="A87" s="1523"/>
      <c r="C87" s="295" t="s">
        <v>306</v>
      </c>
      <c r="E87" s="367"/>
      <c r="F87" s="327"/>
      <c r="G87" s="327"/>
      <c r="H87" s="364"/>
      <c r="J87" s="367"/>
      <c r="K87" s="327"/>
      <c r="L87" s="327"/>
      <c r="M87" s="364"/>
      <c r="O87" s="367"/>
      <c r="P87" s="327"/>
      <c r="Q87" s="327"/>
      <c r="R87" s="364"/>
      <c r="S87" s="288"/>
      <c r="T87" s="521"/>
      <c r="U87" s="522"/>
      <c r="V87" s="327"/>
      <c r="W87" s="364"/>
      <c r="X87" s="288"/>
      <c r="Y87" s="420"/>
      <c r="Z87" s="320"/>
      <c r="AA87" s="320"/>
      <c r="AB87" s="364"/>
      <c r="AC87" s="288"/>
      <c r="AD87" s="420"/>
      <c r="AE87" s="320"/>
      <c r="AF87" s="320"/>
      <c r="AG87" s="364"/>
      <c r="AH87" s="288"/>
      <c r="AI87" s="420"/>
      <c r="AJ87" s="522"/>
      <c r="AK87" s="522"/>
      <c r="AL87" s="523"/>
      <c r="AM87" s="524"/>
      <c r="AN87" s="420"/>
      <c r="AO87" s="522"/>
      <c r="AP87" s="522"/>
      <c r="AQ87" s="523"/>
      <c r="AR87" s="524"/>
      <c r="AS87" s="420"/>
      <c r="AT87" s="522"/>
      <c r="AU87" s="522"/>
      <c r="AV87" s="523"/>
      <c r="AW87" s="524"/>
      <c r="AX87" s="521">
        <f>+Debt!CG11</f>
        <v>26.975000000000001</v>
      </c>
      <c r="AY87" s="522">
        <f>+Debt!CH11</f>
        <v>37.016666666666666</v>
      </c>
      <c r="AZ87" s="522">
        <f>+Debt!CI11</f>
        <v>43.412499999999994</v>
      </c>
      <c r="BA87" s="523">
        <f>+Debt!CJ11</f>
        <v>38.220833333333331</v>
      </c>
      <c r="BB87" s="524">
        <f>+SUM(AX87:BA87)</f>
        <v>145.625</v>
      </c>
      <c r="BC87" s="521">
        <f>+Debt!CL11</f>
        <v>23.125</v>
      </c>
      <c r="BD87" s="522">
        <f>+Debt!CM11</f>
        <v>22.291666666666668</v>
      </c>
      <c r="BE87" s="522">
        <f>+Debt!CN11</f>
        <v>36.25</v>
      </c>
      <c r="BF87" s="523">
        <f>+Debt!CO11</f>
        <v>36.25</v>
      </c>
      <c r="BG87" s="524">
        <f>+SUM(BC87:BF87)</f>
        <v>117.91666666666667</v>
      </c>
      <c r="BH87" s="521">
        <f>+Debt!CQ11</f>
        <v>36.25</v>
      </c>
      <c r="BI87" s="522">
        <f>+Debt!CR11</f>
        <v>35.416666666666664</v>
      </c>
      <c r="BJ87" s="522">
        <f>+Debt!CS11</f>
        <v>23.75</v>
      </c>
      <c r="BK87" s="523">
        <f>+Debt!CT11</f>
        <v>23.75</v>
      </c>
      <c r="BL87" s="524">
        <f>+SUM(BH87:BK87)</f>
        <v>119.16666666666666</v>
      </c>
      <c r="BM87" s="521">
        <f>+Debt!CV11</f>
        <v>23.75</v>
      </c>
      <c r="BN87" s="522">
        <f>+Debt!CW11</f>
        <v>21.25</v>
      </c>
      <c r="BO87" s="522">
        <f>+Debt!CX11</f>
        <v>29.375</v>
      </c>
      <c r="BP87" s="523">
        <f>+Debt!CY11</f>
        <v>29.375</v>
      </c>
      <c r="BQ87" s="524">
        <f>+SUM(BM87:BP87)</f>
        <v>103.75</v>
      </c>
      <c r="CL87"/>
      <c r="CM87"/>
      <c r="CN87"/>
      <c r="CO87"/>
      <c r="CP87"/>
      <c r="CQ87"/>
    </row>
    <row r="88" spans="1:95" s="2" customFormat="1">
      <c r="A88" s="1523"/>
      <c r="C88" s="295" t="s">
        <v>307</v>
      </c>
      <c r="E88" s="367"/>
      <c r="F88" s="327"/>
      <c r="G88" s="327"/>
      <c r="H88" s="364"/>
      <c r="J88" s="367"/>
      <c r="K88" s="327"/>
      <c r="L88" s="327"/>
      <c r="M88" s="364"/>
      <c r="O88" s="367"/>
      <c r="P88" s="327"/>
      <c r="Q88" s="327"/>
      <c r="R88" s="364"/>
      <c r="S88" s="288"/>
      <c r="T88" s="521"/>
      <c r="U88" s="522"/>
      <c r="V88" s="327"/>
      <c r="W88" s="364"/>
      <c r="X88" s="288"/>
      <c r="Y88" s="420"/>
      <c r="Z88" s="320"/>
      <c r="AA88" s="320"/>
      <c r="AB88" s="364"/>
      <c r="AC88" s="288"/>
      <c r="AD88" s="420"/>
      <c r="AE88" s="320"/>
      <c r="AF88" s="320"/>
      <c r="AG88" s="364"/>
      <c r="AH88" s="288"/>
      <c r="AI88" s="420"/>
      <c r="AJ88" s="522"/>
      <c r="AK88" s="522"/>
      <c r="AL88" s="523"/>
      <c r="AM88" s="524"/>
      <c r="AN88" s="420"/>
      <c r="AO88" s="522"/>
      <c r="AP88" s="522"/>
      <c r="AQ88" s="523"/>
      <c r="AR88" s="524"/>
      <c r="AS88" s="420"/>
      <c r="AT88" s="522"/>
      <c r="AU88" s="522"/>
      <c r="AV88" s="523"/>
      <c r="AW88" s="524"/>
      <c r="AX88" s="521">
        <f>+Debt!CG10</f>
        <v>-6.25</v>
      </c>
      <c r="AY88" s="522">
        <f>+Debt!CH10</f>
        <v>-11.125</v>
      </c>
      <c r="AZ88" s="522">
        <f>+Debt!CI10</f>
        <v>-13.5625</v>
      </c>
      <c r="BA88" s="523">
        <f>+Debt!CJ10</f>
        <v>-10.416666666666668</v>
      </c>
      <c r="BB88" s="524">
        <f>+SUM(AX88:BA88)</f>
        <v>-41.354166666666671</v>
      </c>
      <c r="BC88" s="521">
        <f>+Debt!CL10</f>
        <v>-9.1737500000000001</v>
      </c>
      <c r="BD88" s="522">
        <f>+Debt!CM10</f>
        <v>-5.840416666666667</v>
      </c>
      <c r="BE88" s="522">
        <f>+Debt!CN10</f>
        <v>-7.319583333333334</v>
      </c>
      <c r="BF88" s="523">
        <f>+Debt!CO10</f>
        <v>-7.7820833333333326</v>
      </c>
      <c r="BG88" s="524">
        <f>+SUM(BC88:BF88)</f>
        <v>-30.115833333333335</v>
      </c>
      <c r="BH88" s="521">
        <f>+Debt!CQ10</f>
        <v>-7.4749999999999996</v>
      </c>
      <c r="BI88" s="522">
        <f>+Debt!CR10</f>
        <v>-12.593541666666667</v>
      </c>
      <c r="BJ88" s="522">
        <f>+Debt!CS10</f>
        <v>-9.4060416666666669</v>
      </c>
      <c r="BK88" s="523">
        <f>+Debt!CT10</f>
        <v>-8.0283083333333316</v>
      </c>
      <c r="BL88" s="524">
        <f>+SUM(BH88:BK88)</f>
        <v>-37.50289166666667</v>
      </c>
      <c r="BM88" s="521">
        <f>+Debt!CV10</f>
        <v>-8.0227749999999993</v>
      </c>
      <c r="BN88" s="522">
        <f>+Debt!CW10</f>
        <v>-5.0954833333333331</v>
      </c>
      <c r="BO88" s="522">
        <f>+Debt!CX10</f>
        <v>-10.796733333333332</v>
      </c>
      <c r="BP88" s="523">
        <f>+Debt!CY10</f>
        <v>-13.420300000000001</v>
      </c>
      <c r="BQ88" s="524">
        <f>+SUM(BM88:BP88)</f>
        <v>-37.335291666666663</v>
      </c>
      <c r="CL88"/>
      <c r="CM88"/>
      <c r="CN88"/>
      <c r="CO88"/>
      <c r="CP88"/>
      <c r="CQ88"/>
    </row>
    <row r="89" spans="1:95" s="49" customFormat="1">
      <c r="C89" s="294" t="s">
        <v>314</v>
      </c>
      <c r="E89" s="887"/>
      <c r="F89" s="888"/>
      <c r="G89" s="888"/>
      <c r="H89" s="889"/>
      <c r="J89" s="887"/>
      <c r="K89" s="888"/>
      <c r="L89" s="888"/>
      <c r="M89" s="889"/>
      <c r="O89" s="887"/>
      <c r="P89" s="888"/>
      <c r="Q89" s="888"/>
      <c r="R89" s="889"/>
      <c r="S89" s="890"/>
      <c r="T89" s="407"/>
      <c r="U89" s="349"/>
      <c r="V89" s="888"/>
      <c r="W89" s="889"/>
      <c r="X89" s="890"/>
      <c r="Y89" s="407"/>
      <c r="Z89" s="349"/>
      <c r="AA89" s="349"/>
      <c r="AB89" s="889"/>
      <c r="AC89" s="890"/>
      <c r="AD89" s="407"/>
      <c r="AE89" s="349"/>
      <c r="AF89" s="349"/>
      <c r="AG89" s="889"/>
      <c r="AH89" s="890"/>
      <c r="AI89" s="407"/>
      <c r="AJ89" s="349"/>
      <c r="AK89" s="349"/>
      <c r="AL89" s="408"/>
      <c r="AM89" s="608"/>
      <c r="AN89" s="407"/>
      <c r="AO89" s="349"/>
      <c r="AP89" s="349"/>
      <c r="AQ89" s="408"/>
      <c r="AR89" s="608"/>
      <c r="AS89" s="407"/>
      <c r="AT89" s="349"/>
      <c r="AU89" s="349"/>
      <c r="AV89" s="408"/>
      <c r="AW89" s="608"/>
      <c r="AX89" s="407">
        <f>+SUM(AX86:AX88)</f>
        <v>21.560000000000002</v>
      </c>
      <c r="AY89" s="349">
        <f>+SUM(AY86:AY88)</f>
        <v>25.665451268523348</v>
      </c>
      <c r="AZ89" s="349">
        <f>+SUM(AZ86:AZ88)</f>
        <v>27.224094359814828</v>
      </c>
      <c r="BA89" s="408">
        <f>+SUM(BA86:BA88)</f>
        <v>23.5657610264815</v>
      </c>
      <c r="BB89" s="608">
        <f>+SUM(AX89:BA89)</f>
        <v>98.015306654819668</v>
      </c>
      <c r="BC89" s="407">
        <f>+SUM(BC86:BC88)</f>
        <v>14.929775145083953</v>
      </c>
      <c r="BD89" s="349">
        <f>+SUM(BD86:BD88)</f>
        <v>18.93028701598659</v>
      </c>
      <c r="BE89" s="349">
        <f>+SUM(BE86:BE88)</f>
        <v>30.688211866241296</v>
      </c>
      <c r="BF89" s="408">
        <f>+SUM(BF86:BF88)</f>
        <v>26.182196144710915</v>
      </c>
      <c r="BG89" s="608">
        <f>+SUM(BC89:BF89)</f>
        <v>90.730470172022748</v>
      </c>
      <c r="BH89" s="407">
        <f>+SUM(BH86:BH88)</f>
        <v>28.136037448248338</v>
      </c>
      <c r="BI89" s="349">
        <f>+SUM(BI86:BI88)</f>
        <v>23.252192259418798</v>
      </c>
      <c r="BJ89" s="349">
        <f>+SUM(BJ86:BJ88)</f>
        <v>15.864467483020292</v>
      </c>
      <c r="BK89" s="408">
        <f>+SUM(BK86:BK88)</f>
        <v>14.681556086623349</v>
      </c>
      <c r="BL89" s="608">
        <f>+SUM(BH89:BK89)</f>
        <v>81.934253277310773</v>
      </c>
      <c r="BM89" s="407">
        <f>+SUM(BM86:BM88)</f>
        <v>15.449786258897163</v>
      </c>
      <c r="BN89" s="349">
        <f>+SUM(BN86:BN88)</f>
        <v>18.025475690642729</v>
      </c>
      <c r="BO89" s="349">
        <f>+SUM(BO86:BO88)</f>
        <v>20.507541105639241</v>
      </c>
      <c r="BP89" s="408">
        <f>+SUM(BP86:BP88)</f>
        <v>14.544887466745365</v>
      </c>
      <c r="BQ89" s="608">
        <f>+SUM(BM89:BP89)</f>
        <v>68.527690521924498</v>
      </c>
      <c r="CL89"/>
      <c r="CM89"/>
      <c r="CN89"/>
      <c r="CO89"/>
      <c r="CP89"/>
      <c r="CQ89"/>
    </row>
    <row r="90" spans="1:95" s="2" customFormat="1">
      <c r="A90" s="1523"/>
      <c r="C90" s="37"/>
      <c r="E90" s="367"/>
      <c r="F90" s="327"/>
      <c r="G90" s="327"/>
      <c r="H90" s="364"/>
      <c r="J90" s="367"/>
      <c r="K90" s="327"/>
      <c r="L90" s="327"/>
      <c r="M90" s="364"/>
      <c r="O90" s="367"/>
      <c r="P90" s="327"/>
      <c r="Q90" s="327"/>
      <c r="R90" s="364"/>
      <c r="T90" s="367"/>
      <c r="U90" s="327"/>
      <c r="V90" s="327"/>
      <c r="W90" s="364"/>
      <c r="Y90" s="367"/>
      <c r="Z90" s="327"/>
      <c r="AA90" s="327"/>
      <c r="AB90" s="364"/>
      <c r="AD90" s="367"/>
      <c r="AE90" s="327"/>
      <c r="AF90" s="327"/>
      <c r="AG90" s="364"/>
      <c r="AI90" s="367"/>
      <c r="AJ90" s="327"/>
      <c r="AK90" s="327"/>
      <c r="AL90" s="364"/>
      <c r="AN90" s="367"/>
      <c r="AO90" s="327"/>
      <c r="AP90" s="327"/>
      <c r="AQ90" s="364"/>
      <c r="AS90" s="367"/>
      <c r="AT90" s="327"/>
      <c r="AU90" s="327"/>
      <c r="AV90" s="364"/>
      <c r="AX90" s="367"/>
      <c r="AY90" s="327"/>
      <c r="AZ90" s="327"/>
      <c r="BA90" s="364"/>
      <c r="BC90" s="367"/>
      <c r="BD90" s="327"/>
      <c r="BE90" s="327"/>
      <c r="BF90" s="364"/>
      <c r="BH90" s="367"/>
      <c r="BI90" s="327"/>
      <c r="BJ90" s="327"/>
      <c r="BK90" s="364"/>
      <c r="BM90" s="367"/>
      <c r="BN90" s="327"/>
      <c r="BO90" s="327"/>
      <c r="BP90" s="364"/>
      <c r="CL90"/>
      <c r="CM90"/>
      <c r="CN90"/>
      <c r="CO90"/>
      <c r="CP90"/>
      <c r="CQ90"/>
    </row>
    <row r="91" spans="1:95" s="2" customFormat="1">
      <c r="A91" s="1523"/>
      <c r="C91" s="295" t="s">
        <v>319</v>
      </c>
      <c r="E91" s="380"/>
      <c r="F91" s="336"/>
      <c r="G91" s="336"/>
      <c r="H91" s="381"/>
      <c r="J91" s="380"/>
      <c r="K91" s="336"/>
      <c r="L91" s="336"/>
      <c r="M91" s="381"/>
      <c r="O91" s="380"/>
      <c r="P91" s="336"/>
      <c r="Q91" s="336"/>
      <c r="R91" s="381"/>
      <c r="T91" s="380"/>
      <c r="U91" s="336"/>
      <c r="V91" s="336"/>
      <c r="W91" s="381"/>
      <c r="Y91" s="1328"/>
      <c r="Z91" s="1329"/>
      <c r="AA91" s="1329"/>
      <c r="AB91" s="1330"/>
      <c r="AD91" s="1328"/>
      <c r="AE91" s="1329"/>
      <c r="AF91" s="1329"/>
      <c r="AG91" s="1330"/>
      <c r="AI91" s="1328"/>
      <c r="AJ91" s="336"/>
      <c r="AK91" s="336"/>
      <c r="AL91" s="381"/>
      <c r="AM91" s="801"/>
      <c r="AN91" s="1328"/>
      <c r="AO91" s="336"/>
      <c r="AP91" s="336"/>
      <c r="AQ91" s="381"/>
      <c r="AR91" s="801"/>
      <c r="AS91" s="1328"/>
      <c r="AT91" s="336"/>
      <c r="AU91" s="336"/>
      <c r="AV91" s="381"/>
      <c r="AW91" s="801"/>
      <c r="AX91" s="380">
        <v>0.02</v>
      </c>
      <c r="AY91" s="336">
        <v>0.02</v>
      </c>
      <c r="AZ91" s="336">
        <v>0.02</v>
      </c>
      <c r="BA91" s="381">
        <v>0.02</v>
      </c>
      <c r="BB91" s="801">
        <v>0.02</v>
      </c>
      <c r="BC91" s="380">
        <v>0.02</v>
      </c>
      <c r="BD91" s="336">
        <v>0.02</v>
      </c>
      <c r="BE91" s="336">
        <v>0.02</v>
      </c>
      <c r="BF91" s="381">
        <v>0.02</v>
      </c>
      <c r="BG91" s="801">
        <v>0.02</v>
      </c>
      <c r="BH91" s="380">
        <v>0.02</v>
      </c>
      <c r="BI91" s="336">
        <v>0.02</v>
      </c>
      <c r="BJ91" s="336">
        <v>0.02</v>
      </c>
      <c r="BK91" s="381">
        <v>0.02</v>
      </c>
      <c r="BL91" s="801">
        <v>0.02</v>
      </c>
      <c r="BM91" s="380">
        <v>0.02</v>
      </c>
      <c r="BN91" s="336">
        <v>0.02</v>
      </c>
      <c r="BO91" s="336">
        <v>0.02</v>
      </c>
      <c r="BP91" s="381">
        <v>0.02</v>
      </c>
      <c r="BQ91" s="801">
        <v>0.02</v>
      </c>
      <c r="CL91"/>
      <c r="CM91"/>
      <c r="CN91"/>
      <c r="CO91"/>
      <c r="CP91"/>
      <c r="CQ91"/>
    </row>
    <row r="92" spans="1:95" s="2" customFormat="1">
      <c r="A92" s="1523"/>
      <c r="C92" s="295"/>
      <c r="E92" s="382"/>
      <c r="F92" s="312"/>
      <c r="G92" s="312"/>
      <c r="H92" s="359"/>
      <c r="J92" s="358"/>
      <c r="K92" s="312"/>
      <c r="L92" s="312"/>
      <c r="M92" s="359"/>
      <c r="O92" s="358"/>
      <c r="P92" s="312"/>
      <c r="Q92" s="312"/>
      <c r="R92" s="359"/>
      <c r="T92" s="358"/>
      <c r="U92" s="312"/>
      <c r="V92" s="312"/>
      <c r="W92" s="359"/>
      <c r="Y92" s="358"/>
      <c r="Z92" s="312"/>
      <c r="AA92" s="312"/>
      <c r="AB92" s="359"/>
      <c r="AD92" s="358"/>
      <c r="AE92" s="312"/>
      <c r="AF92" s="312"/>
      <c r="AG92" s="359"/>
      <c r="AI92" s="358"/>
      <c r="AJ92" s="312"/>
      <c r="AK92" s="312"/>
      <c r="AL92" s="359"/>
      <c r="AN92" s="358"/>
      <c r="AO92" s="312"/>
      <c r="AP92" s="312"/>
      <c r="AQ92" s="359"/>
      <c r="AS92" s="358"/>
      <c r="AT92" s="312"/>
      <c r="AU92" s="312"/>
      <c r="AV92" s="359"/>
      <c r="AX92" s="358"/>
      <c r="AY92" s="312"/>
      <c r="AZ92" s="312"/>
      <c r="BA92" s="359"/>
      <c r="BC92" s="358"/>
      <c r="BD92" s="312"/>
      <c r="BE92" s="312"/>
      <c r="BF92" s="359"/>
      <c r="BH92" s="358"/>
      <c r="BI92" s="312"/>
      <c r="BJ92" s="312"/>
      <c r="BK92" s="359"/>
      <c r="BM92" s="358"/>
      <c r="BN92" s="312"/>
      <c r="BO92" s="312"/>
      <c r="BP92" s="359"/>
      <c r="CL92"/>
      <c r="CM92"/>
      <c r="CN92"/>
      <c r="CO92"/>
      <c r="CP92"/>
      <c r="CQ92"/>
    </row>
    <row r="93" spans="1:95" s="2" customFormat="1">
      <c r="A93" s="1523"/>
      <c r="C93" s="294" t="s">
        <v>322</v>
      </c>
      <c r="E93" s="382"/>
      <c r="F93" s="337"/>
      <c r="G93" s="337"/>
      <c r="H93" s="383"/>
      <c r="I93" s="44"/>
      <c r="J93" s="382"/>
      <c r="K93" s="337"/>
      <c r="L93" s="337"/>
      <c r="M93" s="383"/>
      <c r="N93" s="44"/>
      <c r="O93" s="382"/>
      <c r="P93" s="337"/>
      <c r="Q93" s="337"/>
      <c r="R93" s="383"/>
      <c r="S93" s="44"/>
      <c r="T93" s="382"/>
      <c r="U93" s="337"/>
      <c r="V93" s="337"/>
      <c r="W93" s="383"/>
      <c r="X93" s="1331"/>
      <c r="Y93" s="367"/>
      <c r="Z93" s="327"/>
      <c r="AA93" s="327"/>
      <c r="AB93" s="364"/>
      <c r="AC93" s="1331"/>
      <c r="AD93" s="367"/>
      <c r="AE93" s="327"/>
      <c r="AF93" s="337"/>
      <c r="AG93" s="364"/>
      <c r="AH93" s="1331"/>
      <c r="AI93" s="367"/>
      <c r="AJ93" s="337"/>
      <c r="AK93" s="337"/>
      <c r="AL93" s="383"/>
      <c r="AM93" s="44"/>
      <c r="AN93" s="367"/>
      <c r="AO93" s="337"/>
      <c r="AP93" s="337"/>
      <c r="AQ93" s="383"/>
      <c r="AR93" s="44"/>
      <c r="AS93" s="367"/>
      <c r="AT93" s="337"/>
      <c r="AU93" s="337"/>
      <c r="AV93" s="383"/>
      <c r="AW93" s="44"/>
      <c r="AX93" s="382"/>
      <c r="AY93" s="337"/>
      <c r="AZ93" s="337"/>
      <c r="BA93" s="383"/>
      <c r="BB93" s="44"/>
      <c r="BC93" s="382"/>
      <c r="BD93" s="337"/>
      <c r="BE93" s="337"/>
      <c r="BF93" s="383"/>
      <c r="BG93" s="44"/>
      <c r="BH93" s="382"/>
      <c r="BI93" s="337"/>
      <c r="BJ93" s="337"/>
      <c r="BK93" s="383"/>
      <c r="BL93" s="44"/>
      <c r="BM93" s="382"/>
      <c r="BN93" s="337"/>
      <c r="BO93" s="337"/>
      <c r="BP93" s="383"/>
      <c r="BQ93" s="44"/>
      <c r="CL93"/>
      <c r="CM93"/>
      <c r="CN93"/>
      <c r="CO93"/>
      <c r="CP93"/>
      <c r="CQ93"/>
    </row>
    <row r="94" spans="1:95" s="2" customFormat="1">
      <c r="A94" s="1523"/>
      <c r="C94" s="295" t="s">
        <v>312</v>
      </c>
      <c r="E94" s="386">
        <f t="shared" ref="E94:T94" si="96">E34/E32</f>
        <v>0.40641711229946526</v>
      </c>
      <c r="F94" s="316">
        <f t="shared" si="96"/>
        <v>0.43557168784029038</v>
      </c>
      <c r="G94" s="316">
        <f t="shared" si="96"/>
        <v>0.40848484848484851</v>
      </c>
      <c r="H94" s="387">
        <f t="shared" si="96"/>
        <v>0.318359375</v>
      </c>
      <c r="I94" s="32">
        <f t="shared" si="96"/>
        <v>0.39605462822458271</v>
      </c>
      <c r="J94" s="386">
        <f t="shared" si="96"/>
        <v>0.42018294482148127</v>
      </c>
      <c r="K94" s="316">
        <f t="shared" si="96"/>
        <v>0.36337828246983678</v>
      </c>
      <c r="L94" s="316">
        <f t="shared" si="96"/>
        <v>0.40252897787144365</v>
      </c>
      <c r="M94" s="387">
        <f t="shared" si="96"/>
        <v>0.41283422459893049</v>
      </c>
      <c r="N94" s="32">
        <f t="shared" si="96"/>
        <v>0.40481651376146788</v>
      </c>
      <c r="O94" s="386">
        <f t="shared" si="96"/>
        <v>0.41592920353982299</v>
      </c>
      <c r="P94" s="316">
        <f t="shared" si="96"/>
        <v>0.41499085923217549</v>
      </c>
      <c r="Q94" s="316">
        <f t="shared" si="96"/>
        <v>0.43133047210300429</v>
      </c>
      <c r="R94" s="387">
        <f t="shared" si="96"/>
        <v>0.38103448275862067</v>
      </c>
      <c r="S94" s="32">
        <f t="shared" si="96"/>
        <v>0.41023489932885904</v>
      </c>
      <c r="T94" s="386">
        <f t="shared" si="96"/>
        <v>0.30070921985815602</v>
      </c>
      <c r="U94" s="316">
        <f t="shared" ref="U94:Z94" si="97">U34/U32</f>
        <v>0.40896358543417366</v>
      </c>
      <c r="V94" s="316">
        <f t="shared" si="97"/>
        <v>0.4098639455782313</v>
      </c>
      <c r="W94" s="387">
        <f t="shared" si="97"/>
        <v>0.37950138504155123</v>
      </c>
      <c r="X94" s="32">
        <f t="shared" si="97"/>
        <v>0.36598707110890105</v>
      </c>
      <c r="Y94" s="386">
        <f t="shared" si="97"/>
        <v>0.40740740740740738</v>
      </c>
      <c r="Z94" s="316">
        <f t="shared" si="97"/>
        <v>0.39564428312159711</v>
      </c>
      <c r="AA94" s="316">
        <f t="shared" ref="AA94:AM94" si="98">AA34/AA32</f>
        <v>0.40909090909090912</v>
      </c>
      <c r="AB94" s="387">
        <f t="shared" si="98"/>
        <v>0.34210526315789475</v>
      </c>
      <c r="AC94" s="32">
        <f t="shared" si="98"/>
        <v>0.39513381995133817</v>
      </c>
      <c r="AD94" s="386">
        <f t="shared" si="98"/>
        <v>0.4024767801857585</v>
      </c>
      <c r="AE94" s="316">
        <f t="shared" si="98"/>
        <v>0.34567901234567899</v>
      </c>
      <c r="AF94" s="316">
        <f t="shared" si="98"/>
        <v>0.37021276595744679</v>
      </c>
      <c r="AG94" s="387">
        <f t="shared" si="98"/>
        <v>0.39052496798975672</v>
      </c>
      <c r="AH94" s="32">
        <f t="shared" si="98"/>
        <v>0.38192182410423453</v>
      </c>
      <c r="AI94" s="386">
        <f t="shared" si="98"/>
        <v>0.40447154471544716</v>
      </c>
      <c r="AJ94" s="316">
        <f t="shared" si="98"/>
        <v>0.35028248587570621</v>
      </c>
      <c r="AK94" s="316">
        <f t="shared" si="98"/>
        <v>0.39364640883977903</v>
      </c>
      <c r="AL94" s="387">
        <f t="shared" si="98"/>
        <v>0.29931972789115646</v>
      </c>
      <c r="AM94" s="32">
        <f t="shared" si="98"/>
        <v>0.37350746268656715</v>
      </c>
      <c r="AN94" s="386">
        <f t="shared" ref="AN94:AT94" si="99">AN34/AN32</f>
        <v>0.37533156498673742</v>
      </c>
      <c r="AO94" s="316">
        <f t="shared" si="99"/>
        <v>0.3273381294964029</v>
      </c>
      <c r="AP94" s="316">
        <f t="shared" si="99"/>
        <v>0.36504854368932038</v>
      </c>
      <c r="AQ94" s="387">
        <f t="shared" si="99"/>
        <v>0.60642570281124497</v>
      </c>
      <c r="AR94" s="32">
        <f t="shared" si="99"/>
        <v>0.31664098613251157</v>
      </c>
      <c r="AS94" s="386">
        <f t="shared" si="99"/>
        <v>0.20279720279720279</v>
      </c>
      <c r="AT94" s="316">
        <f t="shared" si="99"/>
        <v>0.35119047619047616</v>
      </c>
      <c r="AU94" s="316">
        <f>AU34/AU32</f>
        <v>0.38948995363214839</v>
      </c>
      <c r="AV94" s="387">
        <f>AV34/AV32</f>
        <v>-2.0838709677419356</v>
      </c>
      <c r="AW94" s="32">
        <f>AW34/AW32</f>
        <v>-0.24132492113564669</v>
      </c>
      <c r="AX94" s="386">
        <f>+AY94</f>
        <v>0.23</v>
      </c>
      <c r="AY94" s="316">
        <f>+AZ94</f>
        <v>0.23</v>
      </c>
      <c r="AZ94" s="316">
        <f>+BA94</f>
        <v>0.23</v>
      </c>
      <c r="BA94" s="387">
        <f>+BB94</f>
        <v>0.23</v>
      </c>
      <c r="BB94" s="801">
        <v>0.23</v>
      </c>
      <c r="BC94" s="386">
        <f>+BD94</f>
        <v>0.23</v>
      </c>
      <c r="BD94" s="316">
        <f>+BE94</f>
        <v>0.23</v>
      </c>
      <c r="BE94" s="316">
        <f>+BF94</f>
        <v>0.23</v>
      </c>
      <c r="BF94" s="387">
        <f>+BG94</f>
        <v>0.23</v>
      </c>
      <c r="BG94" s="801">
        <v>0.23</v>
      </c>
      <c r="BH94" s="386">
        <f>+BI94</f>
        <v>0.23</v>
      </c>
      <c r="BI94" s="316">
        <f>+BJ94</f>
        <v>0.23</v>
      </c>
      <c r="BJ94" s="316">
        <f>+BK94</f>
        <v>0.23</v>
      </c>
      <c r="BK94" s="387">
        <f>+BL94</f>
        <v>0.23</v>
      </c>
      <c r="BL94" s="801">
        <v>0.23</v>
      </c>
      <c r="BM94" s="386">
        <f>+BN94</f>
        <v>0.23</v>
      </c>
      <c r="BN94" s="316">
        <f>+BO94</f>
        <v>0.23</v>
      </c>
      <c r="BO94" s="316">
        <f>+BP94</f>
        <v>0.23</v>
      </c>
      <c r="BP94" s="387">
        <f>+BQ94</f>
        <v>0.23</v>
      </c>
      <c r="BQ94" s="801">
        <v>0.23</v>
      </c>
      <c r="CL94"/>
      <c r="CM94"/>
      <c r="CN94"/>
      <c r="CO94"/>
      <c r="CP94"/>
      <c r="CQ94"/>
    </row>
    <row r="95" spans="1:95" s="2" customFormat="1">
      <c r="A95" s="1523"/>
      <c r="C95" s="295"/>
      <c r="E95" s="422"/>
      <c r="F95" s="431"/>
      <c r="G95" s="431"/>
      <c r="H95" s="432"/>
      <c r="I95" s="489"/>
      <c r="J95" s="422"/>
      <c r="K95" s="431"/>
      <c r="L95" s="431"/>
      <c r="M95" s="432"/>
      <c r="N95" s="489"/>
      <c r="O95" s="422"/>
      <c r="P95" s="431"/>
      <c r="Q95" s="431"/>
      <c r="R95" s="432"/>
      <c r="S95" s="489"/>
      <c r="T95" s="422"/>
      <c r="U95" s="431"/>
      <c r="V95" s="431"/>
      <c r="W95" s="432"/>
      <c r="X95" s="489"/>
      <c r="Y95" s="422"/>
      <c r="Z95" s="431"/>
      <c r="AA95" s="431"/>
      <c r="AB95" s="432"/>
      <c r="AC95" s="489"/>
      <c r="AD95" s="422"/>
      <c r="AE95" s="431"/>
      <c r="AF95" s="431"/>
      <c r="AG95" s="432"/>
      <c r="AH95" s="489"/>
      <c r="AI95" s="422"/>
      <c r="AJ95" s="431"/>
      <c r="AK95" s="431"/>
      <c r="AL95" s="432"/>
      <c r="AM95" s="489"/>
      <c r="AN95" s="422"/>
      <c r="AO95" s="431"/>
      <c r="AP95" s="431"/>
      <c r="AQ95" s="432"/>
      <c r="AR95" s="489"/>
      <c r="AS95" s="422"/>
      <c r="AT95" s="431"/>
      <c r="AU95" s="431"/>
      <c r="AV95" s="432"/>
      <c r="AW95" s="489"/>
      <c r="AX95" s="422"/>
      <c r="AY95" s="431"/>
      <c r="AZ95" s="431"/>
      <c r="BA95" s="432"/>
      <c r="BB95" s="489"/>
      <c r="BC95" s="422"/>
      <c r="BD95" s="431"/>
      <c r="BE95" s="431"/>
      <c r="BF95" s="432"/>
      <c r="BG95" s="489"/>
      <c r="BH95" s="422"/>
      <c r="BI95" s="431"/>
      <c r="BJ95" s="431"/>
      <c r="BK95" s="432"/>
      <c r="BL95" s="489"/>
      <c r="BM95" s="422"/>
      <c r="BN95" s="431"/>
      <c r="BO95" s="431"/>
      <c r="BP95" s="432"/>
      <c r="BQ95" s="489"/>
      <c r="CL95"/>
      <c r="CM95"/>
      <c r="CN95"/>
      <c r="CO95"/>
      <c r="CP95"/>
      <c r="CQ95"/>
    </row>
    <row r="96" spans="1:95" s="2" customFormat="1">
      <c r="A96" s="1523"/>
      <c r="C96" s="295"/>
      <c r="E96" s="422"/>
      <c r="F96" s="431"/>
      <c r="G96" s="431"/>
      <c r="H96" s="432"/>
      <c r="I96" s="489"/>
      <c r="J96" s="422"/>
      <c r="K96" s="431"/>
      <c r="L96" s="431"/>
      <c r="M96" s="432"/>
      <c r="N96" s="489"/>
      <c r="O96" s="422"/>
      <c r="P96" s="431"/>
      <c r="Q96" s="431"/>
      <c r="R96" s="432"/>
      <c r="S96" s="489"/>
      <c r="T96" s="422"/>
      <c r="U96" s="431"/>
      <c r="V96" s="431"/>
      <c r="W96" s="432"/>
      <c r="X96" s="489"/>
      <c r="Y96" s="422"/>
      <c r="Z96" s="431"/>
      <c r="AA96" s="431"/>
      <c r="AB96" s="432"/>
      <c r="AC96" s="489"/>
      <c r="AD96" s="422"/>
      <c r="AE96" s="431"/>
      <c r="AF96" s="431"/>
      <c r="AG96" s="432"/>
      <c r="AH96" s="489"/>
      <c r="AI96" s="422"/>
      <c r="AJ96" s="431"/>
      <c r="AK96" s="431"/>
      <c r="AL96" s="432"/>
      <c r="AM96" s="489"/>
      <c r="AN96" s="422"/>
      <c r="AO96" s="431"/>
      <c r="AP96" s="431"/>
      <c r="AQ96" s="432"/>
      <c r="AR96" s="489"/>
      <c r="AS96" s="422"/>
      <c r="AT96" s="431"/>
      <c r="AU96" s="431"/>
      <c r="AV96" s="432"/>
      <c r="AW96" s="489"/>
      <c r="AX96" s="422"/>
      <c r="AY96" s="431"/>
      <c r="AZ96" s="431"/>
      <c r="BA96" s="432"/>
      <c r="BB96" s="489"/>
      <c r="BC96" s="422"/>
      <c r="BD96" s="431"/>
      <c r="BE96" s="431"/>
      <c r="BF96" s="432"/>
      <c r="BG96" s="489"/>
      <c r="BH96" s="422"/>
      <c r="BI96" s="431"/>
      <c r="BJ96" s="431"/>
      <c r="BK96" s="432"/>
      <c r="BL96" s="489"/>
      <c r="BM96" s="422"/>
      <c r="BN96" s="431"/>
      <c r="BO96" s="431"/>
      <c r="BP96" s="432"/>
      <c r="BQ96" s="489"/>
      <c r="CL96"/>
      <c r="CM96"/>
      <c r="CN96"/>
      <c r="CO96"/>
      <c r="CP96"/>
      <c r="CQ96"/>
    </row>
    <row r="97" spans="1:95" s="2" customFormat="1">
      <c r="A97" s="1523"/>
      <c r="B97" s="105" t="s">
        <v>82</v>
      </c>
      <c r="C97" s="277"/>
      <c r="D97" s="277"/>
      <c r="E97" s="365"/>
      <c r="F97" s="6"/>
      <c r="G97" s="6"/>
      <c r="H97" s="366"/>
      <c r="J97" s="365"/>
      <c r="K97" s="6"/>
      <c r="L97" s="6"/>
      <c r="M97" s="366"/>
      <c r="O97" s="365"/>
      <c r="P97" s="6"/>
      <c r="Q97" s="6"/>
      <c r="R97" s="366"/>
      <c r="T97" s="365"/>
      <c r="U97" s="6"/>
      <c r="V97" s="6"/>
      <c r="W97" s="366"/>
      <c r="Y97" s="365"/>
      <c r="Z97" s="6"/>
      <c r="AA97" s="6"/>
      <c r="AB97" s="366"/>
      <c r="AD97" s="365"/>
      <c r="AE97" s="6"/>
      <c r="AF97" s="6"/>
      <c r="AG97" s="366"/>
      <c r="AI97" s="365"/>
      <c r="AJ97" s="6"/>
      <c r="AK97" s="6"/>
      <c r="AL97" s="366"/>
      <c r="AN97" s="365"/>
      <c r="AO97" s="6"/>
      <c r="AP97" s="6"/>
      <c r="AQ97" s="366"/>
      <c r="AS97" s="365"/>
      <c r="AT97" s="6"/>
      <c r="AU97" s="6"/>
      <c r="AV97" s="366"/>
      <c r="AX97" s="365"/>
      <c r="AY97" s="6"/>
      <c r="AZ97" s="6"/>
      <c r="BA97" s="366"/>
      <c r="BC97" s="365"/>
      <c r="BD97" s="6"/>
      <c r="BE97" s="6"/>
      <c r="BF97" s="366"/>
      <c r="BH97" s="365"/>
      <c r="BI97" s="6"/>
      <c r="BJ97" s="6"/>
      <c r="BK97" s="366"/>
      <c r="BM97" s="365"/>
      <c r="BN97" s="6"/>
      <c r="BO97" s="6"/>
      <c r="BP97" s="366"/>
      <c r="CL97"/>
      <c r="CM97"/>
      <c r="CN97"/>
      <c r="CO97"/>
      <c r="CP97"/>
      <c r="CQ97"/>
    </row>
    <row r="98" spans="1:95" s="2" customFormat="1">
      <c r="A98" s="1523"/>
      <c r="C98" s="37" t="s">
        <v>324</v>
      </c>
      <c r="E98" s="392">
        <f>-'PSE&amp;G'!E204</f>
        <v>1</v>
      </c>
      <c r="F98" s="341">
        <f>-'PSE&amp;G'!F204</f>
        <v>-249</v>
      </c>
      <c r="G98" s="341">
        <f>-'PSE&amp;G'!G204</f>
        <v>1</v>
      </c>
      <c r="H98" s="393">
        <f>-'PSE&amp;G'!H204</f>
        <v>-3</v>
      </c>
      <c r="I98" s="296">
        <f t="shared" ref="I98:I105" si="100">+SUM(E98:H98)</f>
        <v>-250</v>
      </c>
      <c r="J98" s="392">
        <f>-'PSE&amp;G'!J204</f>
        <v>1</v>
      </c>
      <c r="K98" s="341">
        <f>-'PSE&amp;G'!K204</f>
        <v>0</v>
      </c>
      <c r="L98" s="341">
        <f>-'PSE&amp;G'!L204</f>
        <v>150</v>
      </c>
      <c r="M98" s="393">
        <f>-'PSE&amp;G'!M204</f>
        <v>-1</v>
      </c>
      <c r="N98" s="296">
        <f t="shared" ref="N98:N105" si="101">+SUM(J98:M98)</f>
        <v>150</v>
      </c>
      <c r="O98" s="392">
        <f>-'PSE&amp;G'!O204</f>
        <v>0</v>
      </c>
      <c r="P98" s="341">
        <f>-'PSE&amp;G'!P204</f>
        <v>0</v>
      </c>
      <c r="Q98" s="341">
        <f>-'PSE&amp;G'!Q204</f>
        <v>0</v>
      </c>
      <c r="R98" s="393">
        <f>-'PSE&amp;G'!R204</f>
        <v>300</v>
      </c>
      <c r="S98" s="296">
        <f t="shared" ref="S98:S105" si="102">+SUM(O98:R98)</f>
        <v>300</v>
      </c>
      <c r="T98" s="392">
        <f>-'PSE&amp;G'!T204</f>
        <v>0</v>
      </c>
      <c r="U98" s="341">
        <f>-'PSE&amp;G'!U204</f>
        <v>0</v>
      </c>
      <c r="V98" s="341">
        <f>-'PSE&amp;G'!V204</f>
        <v>0</v>
      </c>
      <c r="W98" s="393">
        <f>-'PSE&amp;G'!W204</f>
        <v>0</v>
      </c>
      <c r="X98" s="296">
        <f t="shared" ref="X98:X105" si="103">+SUM(T98:W98)</f>
        <v>0</v>
      </c>
      <c r="Y98" s="392">
        <f>-'PSE&amp;G'!Y204</f>
        <v>-100</v>
      </c>
      <c r="Z98" s="341">
        <f>-'PSE&amp;G'!Z204</f>
        <v>0</v>
      </c>
      <c r="AA98" s="341">
        <f>-'PSE&amp;G'!AA204</f>
        <v>0</v>
      </c>
      <c r="AB98" s="393">
        <f>-'PSE&amp;G'!AB204</f>
        <v>0</v>
      </c>
      <c r="AC98" s="296">
        <f>-'PSE&amp;G'!AC204</f>
        <v>-100</v>
      </c>
      <c r="AD98" s="392">
        <f>-'PSE&amp;G'!AD204</f>
        <v>-175</v>
      </c>
      <c r="AE98" s="341">
        <f>-'PSE&amp;G'!AE204</f>
        <v>0</v>
      </c>
      <c r="AF98" s="341">
        <f>-'PSE&amp;G'!AF204</f>
        <v>0</v>
      </c>
      <c r="AG98" s="393">
        <f>-'PSE&amp;G'!AG204</f>
        <v>0</v>
      </c>
      <c r="AH98" s="296">
        <f>-'PSE&amp;G'!AH204</f>
        <v>-175</v>
      </c>
      <c r="AI98" s="392">
        <f>-'PSE&amp;G'!AI204</f>
        <v>0</v>
      </c>
      <c r="AJ98" s="341">
        <f>-'PSE&amp;G'!AJ204</f>
        <v>0</v>
      </c>
      <c r="AK98" s="341">
        <f>-'PSE&amp;G'!AK204</f>
        <v>0</v>
      </c>
      <c r="AL98" s="393">
        <f>-'PSE&amp;G'!AL204</f>
        <v>0</v>
      </c>
      <c r="AM98" s="296">
        <f t="shared" ref="AM98:AM105" si="104">+SUM(AI98:AL98)</f>
        <v>0</v>
      </c>
      <c r="AN98" s="392">
        <f>-'PSE&amp;G'!AN204</f>
        <v>0</v>
      </c>
      <c r="AO98" s="341">
        <f>-'PSE&amp;G'!AO204</f>
        <v>0</v>
      </c>
      <c r="AP98" s="341">
        <f>-'PSE&amp;G'!AP204</f>
        <v>0</v>
      </c>
      <c r="AQ98" s="393">
        <f>-'PSE&amp;G'!AQ204</f>
        <v>-250</v>
      </c>
      <c r="AR98" s="296">
        <f t="shared" ref="AR98:AR105" si="105">+SUM(AN98:AQ98)</f>
        <v>-250</v>
      </c>
      <c r="AS98" s="392">
        <f>-'PSE&amp;G'!AS204</f>
        <v>0</v>
      </c>
      <c r="AT98" s="341">
        <f>-'PSE&amp;G'!AT204</f>
        <v>0</v>
      </c>
      <c r="AU98" s="341">
        <f>-'PSE&amp;G'!AU204</f>
        <v>0</v>
      </c>
      <c r="AV98" s="393">
        <f>-'PSE&amp;G'!AV204</f>
        <v>-150</v>
      </c>
      <c r="AW98" s="296">
        <f t="shared" ref="AW98:AW105" si="106">+SUM(AS98:AV98)</f>
        <v>-150</v>
      </c>
      <c r="AX98" s="392">
        <f>-'PSE&amp;G'!AX204</f>
        <v>75</v>
      </c>
      <c r="AY98" s="341">
        <f>-'PSE&amp;G'!AY204</f>
        <v>75</v>
      </c>
      <c r="AZ98" s="341">
        <f>-'PSE&amp;G'!AZ204</f>
        <v>-8.3333333333333339</v>
      </c>
      <c r="BA98" s="393">
        <f>-'PSE&amp;G'!BA204</f>
        <v>150</v>
      </c>
      <c r="BB98" s="296">
        <f t="shared" ref="BB98:BB105" si="107">+SUM(AX98:BA98)</f>
        <v>291.66666666666663</v>
      </c>
      <c r="BC98" s="392">
        <f>-'PSE&amp;G'!BC204</f>
        <v>50</v>
      </c>
      <c r="BD98" s="341">
        <f>-'PSE&amp;G'!BD204</f>
        <v>50</v>
      </c>
      <c r="BE98" s="341">
        <f>-'PSE&amp;G'!BE204</f>
        <v>50</v>
      </c>
      <c r="BF98" s="393">
        <f>-'PSE&amp;G'!BF204</f>
        <v>50</v>
      </c>
      <c r="BG98" s="296">
        <f t="shared" ref="BG98:BG105" si="108">+SUM(BC98:BF98)</f>
        <v>200</v>
      </c>
      <c r="BH98" s="392">
        <f>-'PSE&amp;G'!BH204</f>
        <v>37.5</v>
      </c>
      <c r="BI98" s="341">
        <f>-'PSE&amp;G'!BI204</f>
        <v>37.5</v>
      </c>
      <c r="BJ98" s="341">
        <f>-'PSE&amp;G'!BJ204</f>
        <v>37.5</v>
      </c>
      <c r="BK98" s="393">
        <f>-'PSE&amp;G'!BK204</f>
        <v>37.5</v>
      </c>
      <c r="BL98" s="296">
        <f t="shared" ref="BL98:BL105" si="109">+SUM(BH98:BK98)</f>
        <v>150</v>
      </c>
      <c r="BM98" s="392">
        <f>-'PSE&amp;G'!BM204</f>
        <v>112.5</v>
      </c>
      <c r="BN98" s="341">
        <f>-'PSE&amp;G'!BN204</f>
        <v>112.5</v>
      </c>
      <c r="BO98" s="341">
        <f>-'PSE&amp;G'!BO204</f>
        <v>112.5</v>
      </c>
      <c r="BP98" s="393">
        <f>-'PSE&amp;G'!BP204</f>
        <v>112.5</v>
      </c>
      <c r="BQ98" s="296">
        <f t="shared" ref="BQ98:BQ105" si="110">+SUM(BM98:BP98)</f>
        <v>450</v>
      </c>
      <c r="BR98" s="296"/>
      <c r="BS98" s="296"/>
      <c r="BT98" s="296"/>
      <c r="BU98" s="296"/>
      <c r="BV98" s="296"/>
      <c r="BW98" s="296"/>
      <c r="BX98" s="296"/>
      <c r="BY98" s="296"/>
      <c r="BZ98" s="296"/>
      <c r="CA98" s="296"/>
      <c r="CB98" s="296"/>
      <c r="CL98"/>
      <c r="CM98"/>
      <c r="CN98"/>
      <c r="CO98"/>
      <c r="CP98"/>
      <c r="CQ98"/>
    </row>
    <row r="99" spans="1:95" s="2" customFormat="1">
      <c r="A99" s="1523"/>
      <c r="C99" s="37" t="s">
        <v>634</v>
      </c>
      <c r="E99" s="392">
        <f>-Power!E519</f>
        <v>102</v>
      </c>
      <c r="F99" s="341">
        <f>-Power!F519</f>
        <v>355</v>
      </c>
      <c r="G99" s="341">
        <f>-Power!G519</f>
        <v>129</v>
      </c>
      <c r="H99" s="393">
        <f>-Power!H519</f>
        <v>124</v>
      </c>
      <c r="I99" s="296">
        <f t="shared" si="100"/>
        <v>710</v>
      </c>
      <c r="J99" s="392">
        <f>-Power!J519</f>
        <v>175</v>
      </c>
      <c r="K99" s="341">
        <f>-Power!K519</f>
        <v>175</v>
      </c>
      <c r="L99" s="341">
        <f>-Power!L519</f>
        <v>200</v>
      </c>
      <c r="M99" s="393">
        <f>-Power!M519</f>
        <v>-1</v>
      </c>
      <c r="N99" s="296">
        <f t="shared" si="101"/>
        <v>549</v>
      </c>
      <c r="O99" s="392">
        <f>-Power!O519</f>
        <v>175</v>
      </c>
      <c r="P99" s="341">
        <f>-Power!P519</f>
        <v>175</v>
      </c>
      <c r="Q99" s="341">
        <f>-Power!Q519</f>
        <v>0</v>
      </c>
      <c r="R99" s="393">
        <f>-Power!R519</f>
        <v>150</v>
      </c>
      <c r="S99" s="296">
        <f t="shared" si="102"/>
        <v>500</v>
      </c>
      <c r="T99" s="392">
        <f>-Power!T519</f>
        <v>300</v>
      </c>
      <c r="U99" s="341">
        <f>-Power!U519</f>
        <v>300</v>
      </c>
      <c r="V99" s="341">
        <f>-Power!V519</f>
        <v>0</v>
      </c>
      <c r="W99" s="393">
        <f>-Power!W519</f>
        <v>0</v>
      </c>
      <c r="X99" s="296">
        <f t="shared" si="103"/>
        <v>600</v>
      </c>
      <c r="Y99" s="392">
        <f>-Power!Y519</f>
        <v>250</v>
      </c>
      <c r="Z99" s="341">
        <f>-Power!Z519</f>
        <v>250</v>
      </c>
      <c r="AA99" s="341">
        <f>-Power!AA519</f>
        <v>190</v>
      </c>
      <c r="AB99" s="393">
        <f>-Power!AB519</f>
        <v>-9</v>
      </c>
      <c r="AC99" s="296">
        <f>-Power!AC519</f>
        <v>681</v>
      </c>
      <c r="AD99" s="392">
        <f>-Power!AD519</f>
        <v>375</v>
      </c>
      <c r="AE99" s="341">
        <f>-Power!AE519</f>
        <v>200</v>
      </c>
      <c r="AF99" s="341">
        <f>-Power!AF519</f>
        <v>200</v>
      </c>
      <c r="AG99" s="393">
        <f>-Power!AG519</f>
        <v>120</v>
      </c>
      <c r="AH99" s="296">
        <f>-Power!AH519</f>
        <v>895</v>
      </c>
      <c r="AI99" s="392">
        <f>-Power!AI519</f>
        <v>200</v>
      </c>
      <c r="AJ99" s="341">
        <f>-Power!AJ519</f>
        <v>200</v>
      </c>
      <c r="AK99" s="341">
        <f>-Power!AK519</f>
        <v>0</v>
      </c>
      <c r="AL99" s="393">
        <f>-Power!AL519</f>
        <v>0</v>
      </c>
      <c r="AM99" s="296">
        <f t="shared" si="104"/>
        <v>400</v>
      </c>
      <c r="AN99" s="392">
        <f>-Power!AN519</f>
        <v>0</v>
      </c>
      <c r="AO99" s="341">
        <f>-Power!AO519</f>
        <v>0</v>
      </c>
      <c r="AP99" s="341">
        <f>-Power!AP519</f>
        <v>250</v>
      </c>
      <c r="AQ99" s="393">
        <f>-Power!AQ519</f>
        <v>0</v>
      </c>
      <c r="AR99" s="296">
        <f t="shared" si="105"/>
        <v>250</v>
      </c>
      <c r="AS99" s="392">
        <f>-Power!AS519</f>
        <v>175</v>
      </c>
      <c r="AT99" s="341">
        <f>-Power!AT519</f>
        <v>0</v>
      </c>
      <c r="AU99" s="341">
        <f>-Power!AU519</f>
        <v>175</v>
      </c>
      <c r="AV99" s="393">
        <f>-Power!AV519</f>
        <v>0</v>
      </c>
      <c r="AW99" s="296">
        <f t="shared" si="106"/>
        <v>350</v>
      </c>
      <c r="AX99" s="392">
        <f>-Power!AX519</f>
        <v>75</v>
      </c>
      <c r="AY99" s="341">
        <f>-Power!AY519</f>
        <v>75</v>
      </c>
      <c r="AZ99" s="341">
        <f>-Power!AZ519</f>
        <v>16.666666666666668</v>
      </c>
      <c r="BA99" s="393">
        <f>-Power!BA519</f>
        <v>150</v>
      </c>
      <c r="BB99" s="296">
        <f t="shared" si="107"/>
        <v>316.66666666666663</v>
      </c>
      <c r="BC99" s="392">
        <f>-Power!BC519</f>
        <v>125</v>
      </c>
      <c r="BD99" s="341">
        <f>-Power!BD519</f>
        <v>125</v>
      </c>
      <c r="BE99" s="341">
        <f>-Power!BE519</f>
        <v>125</v>
      </c>
      <c r="BF99" s="393">
        <f>-Power!BF519</f>
        <v>125</v>
      </c>
      <c r="BG99" s="296">
        <f t="shared" si="108"/>
        <v>500</v>
      </c>
      <c r="BH99" s="392">
        <f>-Power!BH519</f>
        <v>75</v>
      </c>
      <c r="BI99" s="341">
        <f>-Power!BI519</f>
        <v>75</v>
      </c>
      <c r="BJ99" s="341">
        <f>-Power!BJ519</f>
        <v>75</v>
      </c>
      <c r="BK99" s="393">
        <f>-Power!BK519</f>
        <v>75</v>
      </c>
      <c r="BL99" s="296">
        <f t="shared" si="109"/>
        <v>300</v>
      </c>
      <c r="BM99" s="392">
        <f>-Power!BM519</f>
        <v>100</v>
      </c>
      <c r="BN99" s="341">
        <f>-Power!BN519</f>
        <v>100</v>
      </c>
      <c r="BO99" s="341">
        <f>-Power!BO519</f>
        <v>100</v>
      </c>
      <c r="BP99" s="393">
        <f>-Power!BP519</f>
        <v>100</v>
      </c>
      <c r="BQ99" s="296">
        <f t="shared" si="110"/>
        <v>400</v>
      </c>
      <c r="BR99" s="296"/>
      <c r="BS99" s="296"/>
      <c r="BT99" s="296"/>
      <c r="BU99" s="296"/>
      <c r="BV99" s="296"/>
      <c r="BW99" s="296"/>
      <c r="BX99" s="296"/>
      <c r="BY99" s="296"/>
      <c r="BZ99" s="296"/>
      <c r="CA99" s="296"/>
      <c r="CB99" s="296"/>
      <c r="CL99"/>
      <c r="CM99"/>
      <c r="CN99"/>
      <c r="CO99"/>
      <c r="CP99"/>
      <c r="CQ99"/>
    </row>
    <row r="100" spans="1:95" s="2" customFormat="1">
      <c r="A100" s="1523"/>
      <c r="C100" s="37" t="s">
        <v>528</v>
      </c>
      <c r="E100" s="392">
        <f>+E126</f>
        <v>0</v>
      </c>
      <c r="F100" s="341">
        <f>+F126</f>
        <v>0</v>
      </c>
      <c r="G100" s="341">
        <f>+G126</f>
        <v>0</v>
      </c>
      <c r="H100" s="393">
        <f>+H126</f>
        <v>0</v>
      </c>
      <c r="I100" s="296">
        <f t="shared" si="100"/>
        <v>0</v>
      </c>
      <c r="J100" s="392">
        <f>+J126</f>
        <v>0</v>
      </c>
      <c r="K100" s="341">
        <f>+K126</f>
        <v>0</v>
      </c>
      <c r="L100" s="341">
        <f>+L126</f>
        <v>0</v>
      </c>
      <c r="M100" s="393">
        <f>+M126</f>
        <v>0</v>
      </c>
      <c r="N100" s="296">
        <f t="shared" si="101"/>
        <v>0</v>
      </c>
      <c r="O100" s="392">
        <f>+O126</f>
        <v>0</v>
      </c>
      <c r="P100" s="341">
        <f>+P126</f>
        <v>0</v>
      </c>
      <c r="Q100" s="341">
        <f>+Q126</f>
        <v>0</v>
      </c>
      <c r="R100" s="393">
        <f>+R126</f>
        <v>0</v>
      </c>
      <c r="S100" s="296">
        <f t="shared" si="102"/>
        <v>0</v>
      </c>
      <c r="T100" s="392">
        <f>+T126</f>
        <v>0</v>
      </c>
      <c r="U100" s="341">
        <f>+U126</f>
        <v>0</v>
      </c>
      <c r="V100" s="341">
        <f>+V126</f>
        <v>0</v>
      </c>
      <c r="W100" s="393">
        <f>+W126</f>
        <v>0</v>
      </c>
      <c r="X100" s="296">
        <f t="shared" si="103"/>
        <v>0</v>
      </c>
      <c r="Y100" s="392">
        <f>+Y126</f>
        <v>0</v>
      </c>
      <c r="Z100" s="341">
        <f>+Z126</f>
        <v>0</v>
      </c>
      <c r="AA100" s="341">
        <f>+AA126</f>
        <v>0</v>
      </c>
      <c r="AB100" s="393">
        <f>+AB126</f>
        <v>0</v>
      </c>
      <c r="AC100" s="296">
        <f>+AC126</f>
        <v>0</v>
      </c>
      <c r="AD100" s="392">
        <f t="shared" ref="AD100:AL100" si="111">+AD126</f>
        <v>0</v>
      </c>
      <c r="AE100" s="341">
        <f t="shared" si="111"/>
        <v>0</v>
      </c>
      <c r="AF100" s="341">
        <f t="shared" si="111"/>
        <v>0</v>
      </c>
      <c r="AG100" s="393">
        <f t="shared" si="111"/>
        <v>0</v>
      </c>
      <c r="AH100" s="296">
        <f t="shared" si="111"/>
        <v>0</v>
      </c>
      <c r="AI100" s="392">
        <f>+AI126</f>
        <v>0</v>
      </c>
      <c r="AJ100" s="341">
        <f>+AJ126</f>
        <v>0</v>
      </c>
      <c r="AK100" s="341">
        <f>+AK126</f>
        <v>0</v>
      </c>
      <c r="AL100" s="393">
        <f t="shared" si="111"/>
        <v>0</v>
      </c>
      <c r="AM100" s="296">
        <f t="shared" si="104"/>
        <v>0</v>
      </c>
      <c r="AN100" s="392">
        <f>+AN126</f>
        <v>0</v>
      </c>
      <c r="AO100" s="341">
        <f>+AO126</f>
        <v>0</v>
      </c>
      <c r="AP100" s="341">
        <f>+AP126</f>
        <v>0</v>
      </c>
      <c r="AQ100" s="393">
        <f>+AQ126</f>
        <v>0</v>
      </c>
      <c r="AR100" s="296">
        <f t="shared" si="105"/>
        <v>0</v>
      </c>
      <c r="AS100" s="392">
        <f>+AS126</f>
        <v>0</v>
      </c>
      <c r="AT100" s="341">
        <f>+AT126</f>
        <v>0</v>
      </c>
      <c r="AU100" s="341">
        <f>+AU126</f>
        <v>0</v>
      </c>
      <c r="AV100" s="393">
        <f>+AV126</f>
        <v>0</v>
      </c>
      <c r="AW100" s="296">
        <f t="shared" si="106"/>
        <v>0</v>
      </c>
      <c r="AX100" s="392">
        <f>+AX126</f>
        <v>0</v>
      </c>
      <c r="AY100" s="341">
        <f>+AY126</f>
        <v>0</v>
      </c>
      <c r="AZ100" s="341">
        <f>+AZ126</f>
        <v>0</v>
      </c>
      <c r="BA100" s="393">
        <f>+BA126</f>
        <v>0</v>
      </c>
      <c r="BB100" s="296">
        <f t="shared" si="107"/>
        <v>0</v>
      </c>
      <c r="BC100" s="392">
        <f>+BC126</f>
        <v>0</v>
      </c>
      <c r="BD100" s="341">
        <f>+BD126</f>
        <v>0</v>
      </c>
      <c r="BE100" s="341">
        <f>+BE126</f>
        <v>0</v>
      </c>
      <c r="BF100" s="393">
        <f>+BF126</f>
        <v>0</v>
      </c>
      <c r="BG100" s="296">
        <f t="shared" si="108"/>
        <v>0</v>
      </c>
      <c r="BH100" s="392">
        <f>+BH126</f>
        <v>0</v>
      </c>
      <c r="BI100" s="341">
        <f>+BI126</f>
        <v>0</v>
      </c>
      <c r="BJ100" s="341">
        <f>+BJ126</f>
        <v>0</v>
      </c>
      <c r="BK100" s="393">
        <f>+BK126</f>
        <v>0</v>
      </c>
      <c r="BL100" s="296">
        <f t="shared" si="109"/>
        <v>0</v>
      </c>
      <c r="BM100" s="392">
        <f>+BM126</f>
        <v>0</v>
      </c>
      <c r="BN100" s="341">
        <f>+BN126</f>
        <v>0</v>
      </c>
      <c r="BO100" s="341">
        <f>+BO126</f>
        <v>0</v>
      </c>
      <c r="BP100" s="393">
        <f>+BP126</f>
        <v>0</v>
      </c>
      <c r="BQ100" s="296">
        <f t="shared" si="110"/>
        <v>0</v>
      </c>
      <c r="BR100" s="296"/>
      <c r="BS100" s="296"/>
      <c r="BT100" s="296"/>
      <c r="BU100" s="296"/>
      <c r="BV100" s="296"/>
      <c r="BW100" s="296"/>
      <c r="BX100" s="296"/>
      <c r="BY100" s="296"/>
      <c r="BZ100" s="296"/>
      <c r="CA100" s="296"/>
      <c r="CB100" s="296"/>
      <c r="CL100"/>
      <c r="CM100"/>
      <c r="CN100"/>
      <c r="CO100"/>
      <c r="CP100"/>
      <c r="CQ100"/>
    </row>
    <row r="101" spans="1:95" s="2" customFormat="1">
      <c r="A101" s="1523"/>
      <c r="C101" s="37" t="s">
        <v>124</v>
      </c>
      <c r="E101" s="392">
        <f>Parent!E53</f>
        <v>-67</v>
      </c>
      <c r="F101" s="341">
        <f>Parent!F53</f>
        <v>-234</v>
      </c>
      <c r="G101" s="341">
        <f>Parent!G53</f>
        <v>-209</v>
      </c>
      <c r="H101" s="393">
        <f>Parent!H53</f>
        <v>-250</v>
      </c>
      <c r="I101" s="296">
        <f t="shared" si="100"/>
        <v>-760</v>
      </c>
      <c r="J101" s="392">
        <f>Parent!J53</f>
        <v>-36</v>
      </c>
      <c r="K101" s="341">
        <f>Parent!K53</f>
        <v>-177</v>
      </c>
      <c r="L101" s="341">
        <f>Parent!L53</f>
        <v>-131</v>
      </c>
      <c r="M101" s="393">
        <f>Parent!M53</f>
        <v>-69</v>
      </c>
      <c r="N101" s="296">
        <f t="shared" si="101"/>
        <v>-413</v>
      </c>
      <c r="O101" s="392">
        <f>Parent!O53</f>
        <v>-18</v>
      </c>
      <c r="P101" s="341">
        <f>Parent!P53</f>
        <v>-12</v>
      </c>
      <c r="Q101" s="341">
        <f>Parent!Q53</f>
        <v>80</v>
      </c>
      <c r="R101" s="393">
        <f>Parent!R53</f>
        <v>-81</v>
      </c>
      <c r="S101" s="296">
        <f t="shared" si="102"/>
        <v>-31</v>
      </c>
      <c r="T101" s="392">
        <f>Parent!T53</f>
        <v>-9</v>
      </c>
      <c r="U101" s="341">
        <f>Parent!U53</f>
        <v>76</v>
      </c>
      <c r="V101" s="341">
        <f>Parent!V53</f>
        <v>31</v>
      </c>
      <c r="W101" s="393">
        <f>Parent!W53</f>
        <v>54</v>
      </c>
      <c r="X101" s="296">
        <f t="shared" si="103"/>
        <v>152</v>
      </c>
      <c r="Y101" s="392">
        <f>Parent!Y53</f>
        <v>-24</v>
      </c>
      <c r="Z101" s="341">
        <f>Parent!Z53</f>
        <v>92</v>
      </c>
      <c r="AA101" s="341">
        <f>Parent!AA53</f>
        <v>34</v>
      </c>
      <c r="AB101" s="393">
        <f>Parent!AB53</f>
        <v>64</v>
      </c>
      <c r="AC101" s="296">
        <f>Parent!AC53</f>
        <v>166</v>
      </c>
      <c r="AD101" s="392">
        <f>Parent!AD53</f>
        <v>-137</v>
      </c>
      <c r="AE101" s="341">
        <f>Parent!AE53</f>
        <v>34</v>
      </c>
      <c r="AF101" s="341">
        <f>Parent!AF53</f>
        <v>186</v>
      </c>
      <c r="AG101" s="393">
        <f>Parent!AG53</f>
        <v>-181</v>
      </c>
      <c r="AH101" s="296">
        <f>Parent!AH53</f>
        <v>-98</v>
      </c>
      <c r="AI101" s="392">
        <f>Parent!AI53</f>
        <v>152</v>
      </c>
      <c r="AJ101" s="341">
        <f>Parent!AJ53</f>
        <v>-119</v>
      </c>
      <c r="AK101" s="341">
        <f>Parent!AK53</f>
        <v>119</v>
      </c>
      <c r="AL101" s="393">
        <f>Parent!AL53</f>
        <v>-64</v>
      </c>
      <c r="AM101" s="296">
        <f t="shared" si="104"/>
        <v>88</v>
      </c>
      <c r="AN101" s="392">
        <f>Parent!AN53</f>
        <v>-17</v>
      </c>
      <c r="AO101" s="341">
        <f>Parent!AO53</f>
        <v>14</v>
      </c>
      <c r="AP101" s="341">
        <f>Parent!AP53</f>
        <v>103</v>
      </c>
      <c r="AQ101" s="393">
        <f>Parent!AQ53</f>
        <v>62</v>
      </c>
      <c r="AR101" s="296">
        <f t="shared" si="105"/>
        <v>162</v>
      </c>
      <c r="AS101" s="392">
        <f>Parent!AS53</f>
        <v>102</v>
      </c>
      <c r="AT101" s="341">
        <f>Parent!AT53</f>
        <v>-48</v>
      </c>
      <c r="AU101" s="341">
        <f>Parent!AU53</f>
        <v>38</v>
      </c>
      <c r="AV101" s="393">
        <f>Parent!AV53</f>
        <v>4</v>
      </c>
      <c r="AW101" s="296">
        <f t="shared" si="106"/>
        <v>96</v>
      </c>
      <c r="AX101" s="392">
        <f>Parent!AX53</f>
        <v>18.166847721505064</v>
      </c>
      <c r="AY101" s="341">
        <f>Parent!AY53</f>
        <v>12.091727390830187</v>
      </c>
      <c r="AZ101" s="341">
        <f>Parent!AZ53</f>
        <v>16.83238261787659</v>
      </c>
      <c r="BA101" s="393">
        <f>Parent!BA53</f>
        <v>-7.5610926989498068</v>
      </c>
      <c r="BB101" s="296">
        <f t="shared" si="107"/>
        <v>39.529865031262034</v>
      </c>
      <c r="BC101" s="392">
        <f>Parent!BC53</f>
        <v>24.533151671686369</v>
      </c>
      <c r="BD101" s="341">
        <f>Parent!BD53</f>
        <v>23.369011416389412</v>
      </c>
      <c r="BE101" s="341">
        <f>Parent!BE53</f>
        <v>9.9880528076894848</v>
      </c>
      <c r="BF101" s="393">
        <f>Parent!BF53</f>
        <v>-6.8494279627926744</v>
      </c>
      <c r="BG101" s="296">
        <f t="shared" si="108"/>
        <v>51.040787932972592</v>
      </c>
      <c r="BH101" s="392">
        <f>Parent!BH53</f>
        <v>16.176674675272238</v>
      </c>
      <c r="BI101" s="341">
        <f>Parent!BI53</f>
        <v>14.533088643797043</v>
      </c>
      <c r="BJ101" s="341">
        <f>Parent!BJ53</f>
        <v>10.063605302393682</v>
      </c>
      <c r="BK101" s="393">
        <f>Parent!BK53</f>
        <v>-7.4669917501551026</v>
      </c>
      <c r="BL101" s="296">
        <f t="shared" si="109"/>
        <v>33.306376871307862</v>
      </c>
      <c r="BM101" s="392">
        <f>Parent!BM53</f>
        <v>9.9481453730413705</v>
      </c>
      <c r="BN101" s="341">
        <f>Parent!BN53</f>
        <v>14.698502567591902</v>
      </c>
      <c r="BO101" s="341">
        <f>Parent!BO53</f>
        <v>7.4612683154874162</v>
      </c>
      <c r="BP101" s="393">
        <f>Parent!BP53</f>
        <v>8.2930120518261674</v>
      </c>
      <c r="BQ101" s="296">
        <f t="shared" si="110"/>
        <v>40.400928307946856</v>
      </c>
      <c r="BR101" s="296"/>
      <c r="BS101" s="296"/>
      <c r="BT101" s="296"/>
      <c r="BU101" s="296"/>
      <c r="BV101" s="296"/>
      <c r="BW101" s="296"/>
      <c r="BX101" s="296"/>
      <c r="BY101" s="296"/>
      <c r="BZ101" s="296"/>
      <c r="CA101" s="296"/>
      <c r="CB101" s="296"/>
      <c r="CL101"/>
      <c r="CM101"/>
      <c r="CN101"/>
      <c r="CO101"/>
      <c r="CP101"/>
      <c r="CQ101"/>
    </row>
    <row r="102" spans="1:95" s="2" customFormat="1">
      <c r="A102" s="1523"/>
      <c r="C102" s="37" t="s">
        <v>325</v>
      </c>
      <c r="E102" s="392">
        <f>+SUM(Parent!E42:E43)</f>
        <v>-11</v>
      </c>
      <c r="F102" s="341">
        <f>+SUM(Parent!F42:F43)</f>
        <v>-2</v>
      </c>
      <c r="G102" s="341">
        <f>+SUM(Parent!G42:G43)</f>
        <v>-301</v>
      </c>
      <c r="H102" s="393">
        <f>+SUM(Parent!H42:H43)</f>
        <v>-51</v>
      </c>
      <c r="I102" s="296">
        <f t="shared" si="100"/>
        <v>-365</v>
      </c>
      <c r="J102" s="392">
        <f>+SUM(Parent!J42:J43)</f>
        <v>-1</v>
      </c>
      <c r="K102" s="341">
        <f>+SUM(Parent!K42:K43)</f>
        <v>-1</v>
      </c>
      <c r="L102" s="341">
        <f>+SUM(Parent!L42:L43)</f>
        <v>-14</v>
      </c>
      <c r="M102" s="393">
        <f>+SUM(Parent!M42:M43)</f>
        <v>-141</v>
      </c>
      <c r="N102" s="296">
        <f t="shared" si="101"/>
        <v>-157</v>
      </c>
      <c r="O102" s="392">
        <f>+SUM(Parent!O42:O43)</f>
        <v>-1</v>
      </c>
      <c r="P102" s="341">
        <f>+SUM(Parent!P42:P43)</f>
        <v>0</v>
      </c>
      <c r="Q102" s="341">
        <f>+SUM(Parent!Q42:Q43)</f>
        <v>0</v>
      </c>
      <c r="R102" s="393">
        <f>+SUM(Parent!R42:R43)</f>
        <v>-17</v>
      </c>
      <c r="S102" s="296">
        <f t="shared" si="102"/>
        <v>-18</v>
      </c>
      <c r="T102" s="392">
        <f>+SUM(Parent!T42:T43)</f>
        <v>0</v>
      </c>
      <c r="U102" s="341">
        <f>+SUM(Parent!U42:U43)</f>
        <v>0</v>
      </c>
      <c r="V102" s="341">
        <f>+SUM(Parent!V42:V43)</f>
        <v>-1</v>
      </c>
      <c r="W102" s="393">
        <f>+SUM(Parent!W42:W43)</f>
        <v>0</v>
      </c>
      <c r="X102" s="296">
        <f t="shared" si="103"/>
        <v>-1</v>
      </c>
      <c r="Y102" s="392">
        <f>+SUM(Parent!Y42:Y43)</f>
        <v>-51</v>
      </c>
      <c r="Z102" s="341">
        <f>+SUM(Parent!Z42:Z43)</f>
        <v>51</v>
      </c>
      <c r="AA102" s="341">
        <f>+SUM(Parent!AA42:AA43)</f>
        <v>0</v>
      </c>
      <c r="AB102" s="393">
        <f>+SUM(Parent!AB42:AB43)</f>
        <v>0</v>
      </c>
      <c r="AC102" s="296">
        <f>+SUM(Parent!AC42:AC43)</f>
        <v>0</v>
      </c>
      <c r="AD102" s="392">
        <f>+SUM(Parent!AD42:AD43)</f>
        <v>-54</v>
      </c>
      <c r="AE102" s="341">
        <f>+SUM(Parent!AE42:AE43)</f>
        <v>-57</v>
      </c>
      <c r="AF102" s="341">
        <f>+SUM(Parent!AF42:AF43)</f>
        <v>111</v>
      </c>
      <c r="AG102" s="393">
        <f>+SUM(Parent!AG42:AG43)</f>
        <v>0</v>
      </c>
      <c r="AH102" s="296">
        <f>+SUM(Parent!AH42:AH43)</f>
        <v>0</v>
      </c>
      <c r="AI102" s="392">
        <f>+SUM(Parent!AI42:AI43)</f>
        <v>0</v>
      </c>
      <c r="AJ102" s="341">
        <f>+SUM(Parent!AJ42:AJ43)</f>
        <v>0</v>
      </c>
      <c r="AK102" s="341">
        <f>+SUM(Parent!AK42:AK43)</f>
        <v>0</v>
      </c>
      <c r="AL102" s="393">
        <f>+SUM(Parent!AL42:AL43)</f>
        <v>500</v>
      </c>
      <c r="AM102" s="296">
        <f t="shared" si="104"/>
        <v>500</v>
      </c>
      <c r="AN102" s="392">
        <f>+SUM(Parent!AN42:AN43)</f>
        <v>0</v>
      </c>
      <c r="AO102" s="341">
        <f>+SUM(Parent!AO42:AO43)</f>
        <v>0</v>
      </c>
      <c r="AP102" s="341">
        <f>+SUM(Parent!AP42:AP43)</f>
        <v>0</v>
      </c>
      <c r="AQ102" s="393">
        <f>+SUM(Parent!AQ42:AQ43)</f>
        <v>700</v>
      </c>
      <c r="AR102" s="296">
        <f t="shared" si="105"/>
        <v>700</v>
      </c>
      <c r="AS102" s="392">
        <f>+SUM(Parent!AS42:AS43)</f>
        <v>0</v>
      </c>
      <c r="AT102" s="341">
        <f>+SUM(Parent!AT42:AT43)</f>
        <v>700</v>
      </c>
      <c r="AU102" s="341">
        <f>+SUM(Parent!AU42:AU43)</f>
        <v>0</v>
      </c>
      <c r="AV102" s="393">
        <f>+SUM(Parent!AV42:AV43)</f>
        <v>200</v>
      </c>
      <c r="AW102" s="296">
        <f t="shared" si="106"/>
        <v>900</v>
      </c>
      <c r="AX102" s="392">
        <f>+SUM(Parent!AX42:AX43)</f>
        <v>1000</v>
      </c>
      <c r="AY102" s="341">
        <f>+SUM(Parent!AY42:AY43)</f>
        <v>0</v>
      </c>
      <c r="AZ102" s="341">
        <f>+SUM(Parent!AZ42:AZ43)</f>
        <v>0</v>
      </c>
      <c r="BA102" s="393">
        <f>+SUM(Parent!BA42:BA43)</f>
        <v>0</v>
      </c>
      <c r="BB102" s="296">
        <f t="shared" si="107"/>
        <v>1000</v>
      </c>
      <c r="BC102" s="392">
        <f>+SUM(Parent!BC42:BC43)</f>
        <v>0</v>
      </c>
      <c r="BD102" s="341">
        <f>+SUM(Parent!BD42:BD43)</f>
        <v>-700</v>
      </c>
      <c r="BE102" s="341">
        <f>+SUM(Parent!BE42:BE43)</f>
        <v>1300</v>
      </c>
      <c r="BF102" s="393">
        <f>+SUM(Parent!BF42:BF43)</f>
        <v>-400</v>
      </c>
      <c r="BG102" s="296">
        <f t="shared" si="108"/>
        <v>200</v>
      </c>
      <c r="BH102" s="392">
        <f>+SUM(Parent!BH42:BH43)</f>
        <v>0</v>
      </c>
      <c r="BI102" s="341">
        <f>+SUM(Parent!BI42:BI43)</f>
        <v>0</v>
      </c>
      <c r="BJ102" s="341">
        <f>+SUM(Parent!BJ42:BJ43)</f>
        <v>100</v>
      </c>
      <c r="BK102" s="393">
        <f>+SUM(Parent!BK42:BK43)</f>
        <v>0</v>
      </c>
      <c r="BL102" s="296">
        <f t="shared" si="109"/>
        <v>100</v>
      </c>
      <c r="BM102" s="392">
        <f>+SUM(Parent!BM42:BM43)</f>
        <v>0</v>
      </c>
      <c r="BN102" s="341">
        <f>+SUM(Parent!BN42:BN43)</f>
        <v>0</v>
      </c>
      <c r="BO102" s="341">
        <f>+SUM(Parent!BO42:BO43)</f>
        <v>0</v>
      </c>
      <c r="BP102" s="393">
        <f>+SUM(Parent!BP42:BP43)</f>
        <v>0</v>
      </c>
      <c r="BQ102" s="296">
        <f t="shared" si="110"/>
        <v>0</v>
      </c>
      <c r="BR102" s="296"/>
      <c r="BS102" s="296"/>
      <c r="BT102" s="296"/>
      <c r="BU102" s="296"/>
      <c r="BV102" s="296"/>
      <c r="BW102" s="296"/>
      <c r="BX102" s="296"/>
      <c r="BY102" s="296"/>
      <c r="BZ102" s="296"/>
      <c r="CA102" s="296"/>
      <c r="CB102" s="296"/>
      <c r="CL102"/>
      <c r="CM102"/>
      <c r="CN102"/>
      <c r="CO102"/>
      <c r="CP102"/>
      <c r="CQ102"/>
    </row>
    <row r="103" spans="1:95" s="2" customFormat="1">
      <c r="A103" s="1523"/>
      <c r="C103" s="37" t="s">
        <v>326</v>
      </c>
      <c r="E103" s="392">
        <f>E127</f>
        <v>-168</v>
      </c>
      <c r="F103" s="341">
        <f>F127</f>
        <v>-168</v>
      </c>
      <c r="G103" s="341">
        <f>G127</f>
        <v>-169</v>
      </c>
      <c r="H103" s="393">
        <f>H127</f>
        <v>-168</v>
      </c>
      <c r="I103" s="296">
        <f t="shared" si="100"/>
        <v>-673</v>
      </c>
      <c r="J103" s="392">
        <f>J127</f>
        <v>-173</v>
      </c>
      <c r="K103" s="341">
        <f>K127</f>
        <v>-174</v>
      </c>
      <c r="L103" s="341">
        <f>L127</f>
        <v>-173</v>
      </c>
      <c r="M103" s="393">
        <f>M127</f>
        <v>-173</v>
      </c>
      <c r="N103" s="296">
        <f t="shared" si="101"/>
        <v>-693</v>
      </c>
      <c r="O103" s="392">
        <f>O127</f>
        <v>-173</v>
      </c>
      <c r="P103" s="341">
        <f>P127</f>
        <v>-174</v>
      </c>
      <c r="Q103" s="341">
        <f>Q127</f>
        <v>-173</v>
      </c>
      <c r="R103" s="393">
        <f>R127</f>
        <v>-173</v>
      </c>
      <c r="S103" s="296">
        <f t="shared" si="102"/>
        <v>-693</v>
      </c>
      <c r="T103" s="392">
        <f>T127</f>
        <v>-179</v>
      </c>
      <c r="U103" s="341">
        <f>U127</f>
        <v>-180</v>
      </c>
      <c r="V103" s="341">
        <f>V127</f>
        <v>-179</v>
      </c>
      <c r="W103" s="393">
        <f>W127</f>
        <v>-180</v>
      </c>
      <c r="X103" s="296">
        <f t="shared" si="103"/>
        <v>-718</v>
      </c>
      <c r="Y103" s="392">
        <f>Y127</f>
        <v>-182</v>
      </c>
      <c r="Z103" s="341">
        <f>Z127</f>
        <v>-182</v>
      </c>
      <c r="AA103" s="341">
        <f>AA127</f>
        <v>-182</v>
      </c>
      <c r="AB103" s="393">
        <f>AB127</f>
        <v>-182</v>
      </c>
      <c r="AC103" s="296">
        <f>AC127</f>
        <v>-728</v>
      </c>
      <c r="AD103" s="392">
        <f t="shared" ref="AD103:AL103" si="112">AD127</f>
        <v>-187</v>
      </c>
      <c r="AE103" s="341">
        <f t="shared" si="112"/>
        <v>-187</v>
      </c>
      <c r="AF103" s="341">
        <f t="shared" si="112"/>
        <v>-187</v>
      </c>
      <c r="AG103" s="393">
        <f t="shared" si="112"/>
        <v>-187</v>
      </c>
      <c r="AH103" s="296">
        <f t="shared" si="112"/>
        <v>-748</v>
      </c>
      <c r="AI103" s="392">
        <f>AI127</f>
        <v>-197</v>
      </c>
      <c r="AJ103" s="341">
        <f>AJ127</f>
        <v>-197</v>
      </c>
      <c r="AK103" s="341">
        <f>AK127</f>
        <v>-198</v>
      </c>
      <c r="AL103" s="393">
        <f t="shared" si="112"/>
        <v>-197</v>
      </c>
      <c r="AM103" s="296">
        <f t="shared" si="104"/>
        <v>-789</v>
      </c>
      <c r="AN103" s="392">
        <f>AN127</f>
        <v>-207</v>
      </c>
      <c r="AO103" s="341">
        <f>AO127</f>
        <v>-208</v>
      </c>
      <c r="AP103" s="341">
        <f>AP127</f>
        <v>-207</v>
      </c>
      <c r="AQ103" s="393">
        <f>AQ127</f>
        <v>-208</v>
      </c>
      <c r="AR103" s="296">
        <f t="shared" si="105"/>
        <v>-830</v>
      </c>
      <c r="AS103" s="392">
        <f>AS127</f>
        <v>-218</v>
      </c>
      <c r="AT103" s="341">
        <f>AT127</f>
        <v>-217</v>
      </c>
      <c r="AU103" s="341">
        <f>AU127</f>
        <v>-217</v>
      </c>
      <c r="AV103" s="393">
        <f>AV127</f>
        <v>-218</v>
      </c>
      <c r="AW103" s="296">
        <f t="shared" si="106"/>
        <v>-870</v>
      </c>
      <c r="AX103" s="392">
        <f>AX127</f>
        <v>-226.92174999999997</v>
      </c>
      <c r="AY103" s="341">
        <f>AY127</f>
        <v>-226.92174999999997</v>
      </c>
      <c r="AZ103" s="341">
        <f>AZ127</f>
        <v>-226.92174999999997</v>
      </c>
      <c r="BA103" s="393">
        <f>BA127</f>
        <v>-226.92174999999997</v>
      </c>
      <c r="BB103" s="296">
        <f t="shared" si="107"/>
        <v>-907.6869999999999</v>
      </c>
      <c r="BC103" s="392">
        <f>BC127</f>
        <v>-237.13322874999997</v>
      </c>
      <c r="BD103" s="341">
        <f>BD127</f>
        <v>-237.13322874999997</v>
      </c>
      <c r="BE103" s="341">
        <f>BE127</f>
        <v>-237.13322874999997</v>
      </c>
      <c r="BF103" s="393">
        <f>BF127</f>
        <v>-237.13322874999997</v>
      </c>
      <c r="BG103" s="296">
        <f t="shared" si="108"/>
        <v>-948.53291499999989</v>
      </c>
      <c r="BH103" s="392">
        <f>BH127</f>
        <v>-247.80422404374997</v>
      </c>
      <c r="BI103" s="341">
        <f>BI127</f>
        <v>-247.80422404374997</v>
      </c>
      <c r="BJ103" s="341">
        <f>BJ127</f>
        <v>-247.80422404374997</v>
      </c>
      <c r="BK103" s="393">
        <f>BK127</f>
        <v>-247.80422404374997</v>
      </c>
      <c r="BL103" s="296">
        <f t="shared" si="109"/>
        <v>-991.21689617499987</v>
      </c>
      <c r="BM103" s="392">
        <f>BM127</f>
        <v>-258.95541412571868</v>
      </c>
      <c r="BN103" s="341">
        <f>BN127</f>
        <v>-258.95541412571868</v>
      </c>
      <c r="BO103" s="341">
        <f>BO127</f>
        <v>-258.95541412571868</v>
      </c>
      <c r="BP103" s="393">
        <f>BP127</f>
        <v>-258.95541412571868</v>
      </c>
      <c r="BQ103" s="296">
        <f t="shared" si="110"/>
        <v>-1035.8216565028747</v>
      </c>
      <c r="BR103" s="296"/>
      <c r="BS103" s="296"/>
      <c r="BT103" s="296"/>
      <c r="BU103" s="296"/>
      <c r="BV103" s="296"/>
      <c r="BW103" s="296"/>
      <c r="BX103" s="296"/>
      <c r="BY103" s="296"/>
      <c r="BZ103" s="296"/>
      <c r="CA103" s="296"/>
      <c r="CB103" s="296"/>
      <c r="CL103"/>
      <c r="CM103"/>
      <c r="CN103"/>
      <c r="CO103"/>
      <c r="CP103"/>
      <c r="CQ103"/>
    </row>
    <row r="104" spans="1:95" s="2" customFormat="1">
      <c r="A104" s="1523"/>
      <c r="C104" s="37" t="s">
        <v>71</v>
      </c>
      <c r="E104" s="398">
        <v>0</v>
      </c>
      <c r="F104" s="344">
        <v>0</v>
      </c>
      <c r="G104" s="344">
        <v>0</v>
      </c>
      <c r="H104" s="399">
        <v>0</v>
      </c>
      <c r="I104" s="296">
        <f t="shared" si="100"/>
        <v>0</v>
      </c>
      <c r="J104" s="398">
        <v>0</v>
      </c>
      <c r="K104" s="344">
        <v>0</v>
      </c>
      <c r="L104" s="344">
        <v>0</v>
      </c>
      <c r="M104" s="399">
        <v>0</v>
      </c>
      <c r="N104" s="296">
        <f t="shared" si="101"/>
        <v>0</v>
      </c>
      <c r="O104" s="398">
        <v>0</v>
      </c>
      <c r="P104" s="344">
        <v>0</v>
      </c>
      <c r="Q104" s="344">
        <v>0</v>
      </c>
      <c r="R104" s="399">
        <v>0</v>
      </c>
      <c r="S104" s="296">
        <f t="shared" si="102"/>
        <v>0</v>
      </c>
      <c r="T104" s="398">
        <v>0</v>
      </c>
      <c r="U104" s="344">
        <v>0</v>
      </c>
      <c r="V104" s="344">
        <v>0</v>
      </c>
      <c r="W104" s="399">
        <v>0</v>
      </c>
      <c r="X104" s="296">
        <f t="shared" si="103"/>
        <v>0</v>
      </c>
      <c r="Y104" s="398">
        <v>0</v>
      </c>
      <c r="Z104" s="344">
        <v>0</v>
      </c>
      <c r="AA104" s="344">
        <v>0</v>
      </c>
      <c r="AB104" s="399">
        <v>0</v>
      </c>
      <c r="AC104" s="296">
        <v>0</v>
      </c>
      <c r="AD104" s="398">
        <v>0</v>
      </c>
      <c r="AE104" s="344">
        <v>0</v>
      </c>
      <c r="AF104" s="344">
        <v>0</v>
      </c>
      <c r="AG104" s="399">
        <v>0</v>
      </c>
      <c r="AH104" s="296">
        <v>0</v>
      </c>
      <c r="AI104" s="398">
        <v>0</v>
      </c>
      <c r="AJ104" s="344">
        <v>0</v>
      </c>
      <c r="AK104" s="344">
        <v>0</v>
      </c>
      <c r="AL104" s="399">
        <v>0</v>
      </c>
      <c r="AM104" s="296">
        <f t="shared" si="104"/>
        <v>0</v>
      </c>
      <c r="AN104" s="398">
        <v>0</v>
      </c>
      <c r="AO104" s="344">
        <v>0</v>
      </c>
      <c r="AP104" s="344">
        <v>0</v>
      </c>
      <c r="AQ104" s="399">
        <v>0</v>
      </c>
      <c r="AR104" s="296">
        <f t="shared" si="105"/>
        <v>0</v>
      </c>
      <c r="AS104" s="398">
        <v>0</v>
      </c>
      <c r="AT104" s="344">
        <v>0</v>
      </c>
      <c r="AU104" s="344">
        <v>0</v>
      </c>
      <c r="AV104" s="399">
        <v>0</v>
      </c>
      <c r="AW104" s="296">
        <f t="shared" si="106"/>
        <v>0</v>
      </c>
      <c r="AX104" s="398">
        <v>0</v>
      </c>
      <c r="AY104" s="344">
        <v>0</v>
      </c>
      <c r="AZ104" s="344">
        <v>0</v>
      </c>
      <c r="BA104" s="399">
        <v>0</v>
      </c>
      <c r="BB104" s="296">
        <f t="shared" si="107"/>
        <v>0</v>
      </c>
      <c r="BC104" s="398">
        <v>0</v>
      </c>
      <c r="BD104" s="344">
        <v>0</v>
      </c>
      <c r="BE104" s="344">
        <v>0</v>
      </c>
      <c r="BF104" s="399">
        <v>0</v>
      </c>
      <c r="BG104" s="296">
        <f t="shared" si="108"/>
        <v>0</v>
      </c>
      <c r="BH104" s="398">
        <v>0</v>
      </c>
      <c r="BI104" s="344">
        <v>0</v>
      </c>
      <c r="BJ104" s="344">
        <v>0</v>
      </c>
      <c r="BK104" s="399">
        <v>0</v>
      </c>
      <c r="BL104" s="296">
        <f t="shared" si="109"/>
        <v>0</v>
      </c>
      <c r="BM104" s="398">
        <v>0</v>
      </c>
      <c r="BN104" s="344">
        <v>0</v>
      </c>
      <c r="BO104" s="344">
        <v>0</v>
      </c>
      <c r="BP104" s="399">
        <v>0</v>
      </c>
      <c r="BQ104" s="296">
        <f t="shared" si="110"/>
        <v>0</v>
      </c>
      <c r="BR104" s="296"/>
      <c r="BS104" s="296"/>
      <c r="BT104" s="296"/>
      <c r="BU104" s="296"/>
      <c r="BV104" s="296"/>
      <c r="BW104" s="296"/>
      <c r="BX104" s="296"/>
      <c r="BY104" s="296"/>
      <c r="BZ104" s="296"/>
      <c r="CA104" s="296"/>
      <c r="CB104" s="296"/>
      <c r="CL104"/>
      <c r="CM104"/>
      <c r="CN104"/>
      <c r="CO104"/>
      <c r="CP104"/>
      <c r="CQ104"/>
    </row>
    <row r="105" spans="1:95" s="2" customFormat="1">
      <c r="A105" s="1523"/>
      <c r="C105" s="49" t="s">
        <v>449</v>
      </c>
      <c r="E105" s="396">
        <f>+SUM(E98:E104)</f>
        <v>-143</v>
      </c>
      <c r="F105" s="343">
        <f>+SUM(F98:F104)</f>
        <v>-298</v>
      </c>
      <c r="G105" s="343">
        <f>+SUM(G98:G104)</f>
        <v>-549</v>
      </c>
      <c r="H105" s="397">
        <f>+SUM(H98:H104)</f>
        <v>-348</v>
      </c>
      <c r="I105" s="297">
        <f t="shared" si="100"/>
        <v>-1338</v>
      </c>
      <c r="J105" s="396">
        <f>+SUM(J98:J104)</f>
        <v>-34</v>
      </c>
      <c r="K105" s="343">
        <f>+SUM(K98:K104)</f>
        <v>-177</v>
      </c>
      <c r="L105" s="343">
        <f>+SUM(L98:L104)</f>
        <v>32</v>
      </c>
      <c r="M105" s="397">
        <f>+SUM(M98:M104)</f>
        <v>-385</v>
      </c>
      <c r="N105" s="297">
        <f t="shared" si="101"/>
        <v>-564</v>
      </c>
      <c r="O105" s="396">
        <f>+SUM(O98:O104)</f>
        <v>-17</v>
      </c>
      <c r="P105" s="343">
        <f>+SUM(P98:P104)</f>
        <v>-11</v>
      </c>
      <c r="Q105" s="343">
        <f>+SUM(Q98:Q104)</f>
        <v>-93</v>
      </c>
      <c r="R105" s="397">
        <f>+SUM(R98:R104)</f>
        <v>179</v>
      </c>
      <c r="S105" s="297">
        <f t="shared" si="102"/>
        <v>58</v>
      </c>
      <c r="T105" s="396">
        <f>+SUM(T98:T104)</f>
        <v>112</v>
      </c>
      <c r="U105" s="343">
        <f>+SUM(U98:U104)</f>
        <v>196</v>
      </c>
      <c r="V105" s="343">
        <f>+SUM(V98:V104)</f>
        <v>-149</v>
      </c>
      <c r="W105" s="397">
        <f>+SUM(W98:W104)</f>
        <v>-126</v>
      </c>
      <c r="X105" s="297">
        <f t="shared" si="103"/>
        <v>33</v>
      </c>
      <c r="Y105" s="396">
        <f>+SUM(Y98:Y104)</f>
        <v>-107</v>
      </c>
      <c r="Z105" s="343">
        <f>+SUM(Z98:Z104)</f>
        <v>211</v>
      </c>
      <c r="AA105" s="343">
        <f>+SUM(AA98:AA104)</f>
        <v>42</v>
      </c>
      <c r="AB105" s="397">
        <f>+SUM(AB98:AB104)</f>
        <v>-127</v>
      </c>
      <c r="AC105" s="297">
        <f>+SUM(Y105:AB105)</f>
        <v>19</v>
      </c>
      <c r="AD105" s="396">
        <f>+SUM(AD98:AD104)</f>
        <v>-178</v>
      </c>
      <c r="AE105" s="343">
        <f>+SUM(AE98:AE104)</f>
        <v>-10</v>
      </c>
      <c r="AF105" s="343">
        <f>+SUM(AF98:AF104)</f>
        <v>310</v>
      </c>
      <c r="AG105" s="397">
        <f>+SUM(AG98:AG104)</f>
        <v>-248</v>
      </c>
      <c r="AH105" s="297">
        <f>+SUM(AD105:AG105)</f>
        <v>-126</v>
      </c>
      <c r="AI105" s="396">
        <f>+SUM(AI98:AI104)</f>
        <v>155</v>
      </c>
      <c r="AJ105" s="343">
        <f>+SUM(AJ98:AJ104)</f>
        <v>-116</v>
      </c>
      <c r="AK105" s="343">
        <f>+SUM(AK98:AK104)</f>
        <v>-79</v>
      </c>
      <c r="AL105" s="397">
        <f>+SUM(AL98:AL104)</f>
        <v>239</v>
      </c>
      <c r="AM105" s="297">
        <f t="shared" si="104"/>
        <v>199</v>
      </c>
      <c r="AN105" s="396">
        <f>+SUM(AN98:AN104)</f>
        <v>-224</v>
      </c>
      <c r="AO105" s="343">
        <f>+SUM(AO98:AO104)</f>
        <v>-194</v>
      </c>
      <c r="AP105" s="343">
        <f>+SUM(AP98:AP104)</f>
        <v>146</v>
      </c>
      <c r="AQ105" s="397">
        <f>+SUM(AQ98:AQ104)</f>
        <v>304</v>
      </c>
      <c r="AR105" s="297">
        <f t="shared" si="105"/>
        <v>32</v>
      </c>
      <c r="AS105" s="396">
        <f>+SUM(AS98:AS104)</f>
        <v>59</v>
      </c>
      <c r="AT105" s="343">
        <f>+SUM(AT98:AT104)</f>
        <v>435</v>
      </c>
      <c r="AU105" s="343">
        <f>+SUM(AU98:AU104)</f>
        <v>-4</v>
      </c>
      <c r="AV105" s="397">
        <f>+SUM(AV98:AV104)</f>
        <v>-164</v>
      </c>
      <c r="AW105" s="297">
        <f t="shared" si="106"/>
        <v>326</v>
      </c>
      <c r="AX105" s="396">
        <f>+SUM(AX98:AX104)</f>
        <v>941.24509772150509</v>
      </c>
      <c r="AY105" s="343">
        <f>+SUM(AY98:AY104)</f>
        <v>-64.830022609169788</v>
      </c>
      <c r="AZ105" s="343">
        <f>+SUM(AZ98:AZ104)</f>
        <v>-201.75603404879004</v>
      </c>
      <c r="BA105" s="397">
        <f>+SUM(BA98:BA104)</f>
        <v>65.517157301050247</v>
      </c>
      <c r="BB105" s="297">
        <f t="shared" si="107"/>
        <v>740.17619836459551</v>
      </c>
      <c r="BC105" s="396">
        <f>+SUM(BC98:BC104)</f>
        <v>-37.600077078313603</v>
      </c>
      <c r="BD105" s="343">
        <f>+SUM(BD98:BD104)</f>
        <v>-738.76421733361053</v>
      </c>
      <c r="BE105" s="343">
        <f>+SUM(BE98:BE104)</f>
        <v>1247.8548240576895</v>
      </c>
      <c r="BF105" s="397">
        <f>+SUM(BF98:BF104)</f>
        <v>-468.98265671279262</v>
      </c>
      <c r="BG105" s="297">
        <f t="shared" si="108"/>
        <v>2.5078729329727594</v>
      </c>
      <c r="BH105" s="396">
        <f>+SUM(BH98:BH104)</f>
        <v>-119.12754936847773</v>
      </c>
      <c r="BI105" s="343">
        <f>+SUM(BI98:BI104)</f>
        <v>-120.77113539995293</v>
      </c>
      <c r="BJ105" s="343">
        <f>+SUM(BJ98:BJ104)</f>
        <v>-25.240618741356286</v>
      </c>
      <c r="BK105" s="397">
        <f>+SUM(BK98:BK104)</f>
        <v>-142.77121579390507</v>
      </c>
      <c r="BL105" s="297">
        <f t="shared" si="109"/>
        <v>-407.91051930369201</v>
      </c>
      <c r="BM105" s="396">
        <f>+SUM(BM98:BM104)</f>
        <v>-36.507268752677305</v>
      </c>
      <c r="BN105" s="343">
        <f>+SUM(BN98:BN104)</f>
        <v>-31.756911558126774</v>
      </c>
      <c r="BO105" s="343">
        <f>+SUM(BO98:BO104)</f>
        <v>-38.994145810231259</v>
      </c>
      <c r="BP105" s="397">
        <f>+SUM(BP98:BP104)</f>
        <v>-38.162402073892508</v>
      </c>
      <c r="BQ105" s="297">
        <f t="shared" si="110"/>
        <v>-145.42072819492785</v>
      </c>
      <c r="BR105" s="296"/>
      <c r="BS105" s="296"/>
      <c r="BT105" s="296"/>
      <c r="BU105" s="296"/>
      <c r="BV105" s="296"/>
      <c r="BW105" s="296"/>
      <c r="BX105" s="296"/>
      <c r="BY105" s="296"/>
      <c r="BZ105" s="296"/>
      <c r="CA105" s="296"/>
      <c r="CB105" s="296"/>
      <c r="CL105"/>
      <c r="CM105"/>
      <c r="CN105"/>
      <c r="CO105"/>
      <c r="CP105"/>
      <c r="CQ105"/>
    </row>
    <row r="106" spans="1:95" s="2" customFormat="1">
      <c r="A106" s="1523"/>
      <c r="C106" s="49"/>
      <c r="E106" s="396"/>
      <c r="F106" s="343"/>
      <c r="G106" s="343"/>
      <c r="H106" s="397"/>
      <c r="I106" s="297"/>
      <c r="J106" s="396"/>
      <c r="K106" s="343"/>
      <c r="L106" s="343"/>
      <c r="M106" s="397"/>
      <c r="N106" s="297"/>
      <c r="O106" s="396"/>
      <c r="P106" s="343"/>
      <c r="Q106" s="343"/>
      <c r="R106" s="397"/>
      <c r="S106" s="297"/>
      <c r="T106" s="396"/>
      <c r="U106" s="343"/>
      <c r="V106" s="343"/>
      <c r="W106" s="397"/>
      <c r="X106" s="297"/>
      <c r="Y106" s="396"/>
      <c r="Z106" s="343"/>
      <c r="AA106" s="343"/>
      <c r="AB106" s="397"/>
      <c r="AC106" s="297"/>
      <c r="AD106" s="396"/>
      <c r="AE106" s="343"/>
      <c r="AF106" s="343"/>
      <c r="AG106" s="397"/>
      <c r="AH106" s="297"/>
      <c r="AI106" s="396"/>
      <c r="AJ106" s="343"/>
      <c r="AK106" s="343"/>
      <c r="AL106" s="397"/>
      <c r="AM106" s="297"/>
      <c r="AN106" s="396"/>
      <c r="AO106" s="343"/>
      <c r="AP106" s="343"/>
      <c r="AQ106" s="397"/>
      <c r="AR106" s="297"/>
      <c r="AS106" s="396"/>
      <c r="AT106" s="343"/>
      <c r="AU106" s="343"/>
      <c r="AV106" s="397"/>
      <c r="AW106" s="297"/>
      <c r="AX106" s="396"/>
      <c r="AY106" s="343"/>
      <c r="AZ106" s="343"/>
      <c r="BA106" s="397"/>
      <c r="BB106" s="297"/>
      <c r="BC106" s="396"/>
      <c r="BD106" s="343"/>
      <c r="BE106" s="343"/>
      <c r="BF106" s="397"/>
      <c r="BG106" s="297"/>
      <c r="BH106" s="396"/>
      <c r="BI106" s="343"/>
      <c r="BJ106" s="343"/>
      <c r="BK106" s="397"/>
      <c r="BL106" s="297"/>
      <c r="BM106" s="396"/>
      <c r="BN106" s="343"/>
      <c r="BO106" s="343"/>
      <c r="BP106" s="397"/>
      <c r="BQ106" s="297"/>
      <c r="BR106" s="296"/>
      <c r="BS106" s="296"/>
      <c r="BT106" s="296"/>
      <c r="BU106" s="296"/>
      <c r="BV106" s="296"/>
      <c r="BW106" s="296"/>
      <c r="BX106" s="296"/>
      <c r="BY106" s="296"/>
      <c r="BZ106" s="296"/>
      <c r="CA106" s="296"/>
      <c r="CB106" s="296"/>
      <c r="CL106"/>
      <c r="CM106"/>
      <c r="CN106"/>
      <c r="CO106"/>
      <c r="CP106"/>
      <c r="CQ106"/>
    </row>
    <row r="107" spans="1:95" s="2" customFormat="1">
      <c r="A107" s="1523"/>
      <c r="C107" s="49"/>
      <c r="E107" s="396"/>
      <c r="F107" s="343"/>
      <c r="G107" s="343"/>
      <c r="H107" s="397"/>
      <c r="I107" s="297"/>
      <c r="J107" s="396"/>
      <c r="K107" s="343"/>
      <c r="L107" s="343"/>
      <c r="M107" s="397"/>
      <c r="N107" s="297"/>
      <c r="O107" s="396"/>
      <c r="P107" s="343"/>
      <c r="Q107" s="343"/>
      <c r="R107" s="397"/>
      <c r="S107" s="297"/>
      <c r="T107" s="396"/>
      <c r="U107" s="343"/>
      <c r="V107" s="343"/>
      <c r="W107" s="397"/>
      <c r="X107" s="297"/>
      <c r="Y107" s="396"/>
      <c r="Z107" s="343"/>
      <c r="AA107" s="343"/>
      <c r="AB107" s="397"/>
      <c r="AC107" s="297"/>
      <c r="AD107" s="396"/>
      <c r="AE107" s="343"/>
      <c r="AF107" s="343"/>
      <c r="AG107" s="397"/>
      <c r="AH107" s="297"/>
      <c r="AI107" s="396"/>
      <c r="AJ107" s="343"/>
      <c r="AK107" s="343"/>
      <c r="AL107" s="397"/>
      <c r="AM107" s="297"/>
      <c r="AN107" s="396"/>
      <c r="AO107" s="343"/>
      <c r="AP107" s="343"/>
      <c r="AQ107" s="397"/>
      <c r="AR107" s="297"/>
      <c r="AS107" s="396"/>
      <c r="AT107" s="343"/>
      <c r="AU107" s="343"/>
      <c r="AV107" s="397"/>
      <c r="AW107" s="297"/>
      <c r="AX107" s="396"/>
      <c r="AY107" s="343"/>
      <c r="AZ107" s="343"/>
      <c r="BA107" s="397"/>
      <c r="BB107" s="297"/>
      <c r="BC107" s="396"/>
      <c r="BD107" s="343"/>
      <c r="BE107" s="343"/>
      <c r="BF107" s="397"/>
      <c r="BG107" s="297"/>
      <c r="BH107" s="396"/>
      <c r="BI107" s="343"/>
      <c r="BJ107" s="343"/>
      <c r="BK107" s="397"/>
      <c r="BL107" s="297"/>
      <c r="BM107" s="396"/>
      <c r="BN107" s="343"/>
      <c r="BO107" s="343"/>
      <c r="BP107" s="397"/>
      <c r="BQ107" s="297"/>
      <c r="BR107" s="296"/>
      <c r="BS107" s="296"/>
      <c r="BT107" s="296"/>
      <c r="BU107" s="296"/>
      <c r="BV107" s="296"/>
      <c r="BW107" s="296"/>
      <c r="BX107" s="296"/>
      <c r="BY107" s="296"/>
      <c r="BZ107" s="296"/>
      <c r="CA107" s="296"/>
      <c r="CB107" s="296"/>
      <c r="CL107"/>
      <c r="CM107"/>
      <c r="CN107"/>
      <c r="CO107"/>
      <c r="CP107"/>
      <c r="CQ107"/>
    </row>
    <row r="108" spans="1:95" s="2" customFormat="1">
      <c r="A108" s="1523"/>
      <c r="B108" s="105" t="s">
        <v>344</v>
      </c>
      <c r="C108" s="277"/>
      <c r="D108" s="277"/>
      <c r="E108" s="356"/>
      <c r="F108" s="326"/>
      <c r="G108" s="326"/>
      <c r="H108" s="357"/>
      <c r="J108" s="356"/>
      <c r="K108" s="326"/>
      <c r="L108" s="326"/>
      <c r="M108" s="357"/>
      <c r="O108" s="356"/>
      <c r="P108" s="326"/>
      <c r="Q108" s="326"/>
      <c r="R108" s="357"/>
      <c r="T108" s="356"/>
      <c r="U108" s="326"/>
      <c r="V108" s="326"/>
      <c r="W108" s="357"/>
      <c r="Y108" s="1325"/>
      <c r="Z108" s="1326"/>
      <c r="AA108" s="1326"/>
      <c r="AB108" s="1327"/>
      <c r="AD108" s="1325"/>
      <c r="AE108" s="1326"/>
      <c r="AF108" s="326"/>
      <c r="AG108" s="357"/>
      <c r="AI108" s="356"/>
      <c r="AJ108" s="326"/>
      <c r="AK108" s="326"/>
      <c r="AL108" s="357"/>
      <c r="AN108" s="356"/>
      <c r="AO108" s="326"/>
      <c r="AP108" s="326"/>
      <c r="AQ108" s="357"/>
      <c r="AS108" s="356"/>
      <c r="AT108" s="326"/>
      <c r="AU108" s="326"/>
      <c r="AV108" s="357"/>
      <c r="AX108" s="356"/>
      <c r="AY108" s="326"/>
      <c r="AZ108" s="326"/>
      <c r="BA108" s="357"/>
      <c r="BC108" s="356"/>
      <c r="BD108" s="326"/>
      <c r="BE108" s="326"/>
      <c r="BF108" s="357"/>
      <c r="BH108" s="356"/>
      <c r="BI108" s="326"/>
      <c r="BJ108" s="326"/>
      <c r="BK108" s="357"/>
      <c r="BM108" s="356"/>
      <c r="BN108" s="326"/>
      <c r="BO108" s="326"/>
      <c r="BP108" s="357"/>
      <c r="BR108" s="3"/>
      <c r="CL108"/>
      <c r="CM108"/>
      <c r="CN108"/>
      <c r="CO108"/>
      <c r="CP108"/>
      <c r="CQ108"/>
    </row>
    <row r="109" spans="1:95" s="2" customFormat="1">
      <c r="A109" s="1523"/>
      <c r="E109" s="365"/>
      <c r="F109" s="6"/>
      <c r="G109" s="6"/>
      <c r="H109" s="366"/>
      <c r="I109" s="296"/>
      <c r="J109" s="392"/>
      <c r="K109" s="341"/>
      <c r="L109" s="341"/>
      <c r="M109" s="393"/>
      <c r="N109" s="296"/>
      <c r="O109" s="392"/>
      <c r="P109" s="341"/>
      <c r="Q109" s="6"/>
      <c r="R109" s="436"/>
      <c r="T109" s="365"/>
      <c r="U109" s="6"/>
      <c r="V109" s="6"/>
      <c r="W109" s="366"/>
      <c r="Y109" s="365"/>
      <c r="Z109" s="6"/>
      <c r="AA109" s="6"/>
      <c r="AB109" s="366"/>
      <c r="AD109" s="365"/>
      <c r="AE109" s="6"/>
      <c r="AF109" s="6"/>
      <c r="AG109" s="366"/>
      <c r="AI109" s="365"/>
      <c r="AJ109" s="6"/>
      <c r="AK109" s="6"/>
      <c r="AL109" s="366"/>
      <c r="AN109" s="365"/>
      <c r="AO109" s="6"/>
      <c r="AP109" s="6"/>
      <c r="AQ109" s="366"/>
      <c r="AS109" s="365"/>
      <c r="AT109" s="6"/>
      <c r="AU109" s="6"/>
      <c r="AV109" s="366"/>
      <c r="AX109" s="365"/>
      <c r="AY109" s="6"/>
      <c r="AZ109" s="6"/>
      <c r="BA109" s="366"/>
      <c r="BC109" s="365"/>
      <c r="BD109" s="6"/>
      <c r="BE109" s="6"/>
      <c r="BF109" s="366"/>
      <c r="BH109" s="365"/>
      <c r="BI109" s="6"/>
      <c r="BJ109" s="6"/>
      <c r="BK109" s="366"/>
      <c r="BM109" s="365"/>
      <c r="BN109" s="6"/>
      <c r="BO109" s="6"/>
      <c r="BP109" s="366"/>
      <c r="CL109"/>
      <c r="CM109"/>
      <c r="CN109"/>
      <c r="CO109"/>
      <c r="CP109"/>
      <c r="CQ109"/>
    </row>
    <row r="110" spans="1:95" s="37" customFormat="1">
      <c r="C110" s="37" t="s">
        <v>387</v>
      </c>
      <c r="E110" s="456">
        <v>444</v>
      </c>
      <c r="F110" s="457">
        <v>311</v>
      </c>
      <c r="G110" s="457">
        <v>488</v>
      </c>
      <c r="H110" s="458">
        <v>349</v>
      </c>
      <c r="I110" s="590">
        <v>1592</v>
      </c>
      <c r="J110" s="456">
        <v>491</v>
      </c>
      <c r="K110" s="457">
        <v>224</v>
      </c>
      <c r="L110" s="457">
        <v>567</v>
      </c>
      <c r="M110" s="458">
        <v>282</v>
      </c>
      <c r="N110" s="590">
        <v>1564</v>
      </c>
      <c r="O110" s="456">
        <v>526</v>
      </c>
      <c r="P110" s="457">
        <v>323</v>
      </c>
      <c r="Q110" s="457">
        <v>294</v>
      </c>
      <c r="R110" s="458">
        <f>1503-(O110+P110+Q110)</f>
        <v>360</v>
      </c>
      <c r="S110" s="77">
        <f>SUM(O110:R110)</f>
        <v>1503</v>
      </c>
      <c r="T110" s="456">
        <v>493</v>
      </c>
      <c r="U110" s="457">
        <f>704-T110</f>
        <v>211</v>
      </c>
      <c r="V110" s="457">
        <f>1051-SUM(T110:U110)</f>
        <v>347</v>
      </c>
      <c r="W110" s="458">
        <f>1275-(T110+U110+V110)</f>
        <v>224</v>
      </c>
      <c r="X110" s="77">
        <f>SUM(T110:W110)</f>
        <v>1275</v>
      </c>
      <c r="Y110" s="459">
        <v>320</v>
      </c>
      <c r="Z110" s="460">
        <f>653-Y110</f>
        <v>333</v>
      </c>
      <c r="AA110" s="460">
        <f>1043-SUM(Y110:Z110)</f>
        <v>390</v>
      </c>
      <c r="AB110" s="461">
        <f>1243-(Y110+Z110+AA110)</f>
        <v>200</v>
      </c>
      <c r="AC110" s="77">
        <f>SUM(Y110:AB110)</f>
        <v>1243</v>
      </c>
      <c r="AD110" s="459">
        <v>386</v>
      </c>
      <c r="AE110" s="460">
        <f>598-AD110</f>
        <v>212</v>
      </c>
      <c r="AF110" s="460">
        <f>1042-SUM(AD110:AE110)</f>
        <v>444</v>
      </c>
      <c r="AG110" s="461">
        <f>1518-AF110-AE110-AD110</f>
        <v>476</v>
      </c>
      <c r="AH110" s="77">
        <f>SUM(AD110:AG110)</f>
        <v>1518</v>
      </c>
      <c r="AI110" s="459">
        <v>586</v>
      </c>
      <c r="AJ110" s="460">
        <f>931-AI110</f>
        <v>345</v>
      </c>
      <c r="AK110" s="460">
        <f>1370-SUM(AI110:AJ110)</f>
        <v>439</v>
      </c>
      <c r="AL110" s="461">
        <f>1679-AK110-AJ110-AI110</f>
        <v>309</v>
      </c>
      <c r="AM110" s="77">
        <f>SUM(AI110:AL110)</f>
        <v>1679</v>
      </c>
      <c r="AN110" s="459">
        <v>471</v>
      </c>
      <c r="AO110" s="460">
        <f>658-AN110</f>
        <v>187</v>
      </c>
      <c r="AP110" s="460">
        <f>985-AO110-AN110</f>
        <v>327</v>
      </c>
      <c r="AQ110" s="461">
        <f>887-AP110-AO110-AN110</f>
        <v>-98</v>
      </c>
      <c r="AR110" s="77">
        <f>SUM(AN110:AQ110)</f>
        <v>887</v>
      </c>
      <c r="AS110" s="459">
        <v>114</v>
      </c>
      <c r="AT110" s="460">
        <f>223-AS110</f>
        <v>109</v>
      </c>
      <c r="AU110" s="460">
        <f>618-AT110-AS110</f>
        <v>395</v>
      </c>
      <c r="AV110" s="461">
        <f>1574-AU110-AT110-AS110</f>
        <v>956</v>
      </c>
      <c r="AW110" s="77">
        <f>SUM(AS110:AV110)</f>
        <v>1574</v>
      </c>
      <c r="AX110" s="394">
        <f>+AX40</f>
        <v>528.73146101279576</v>
      </c>
      <c r="AY110" s="342">
        <f>+AY40</f>
        <v>328.16323624980669</v>
      </c>
      <c r="AZ110" s="342">
        <f>+AZ40</f>
        <v>466.27863058793514</v>
      </c>
      <c r="BA110" s="395">
        <f>+BA40</f>
        <v>280.74678351909813</v>
      </c>
      <c r="BB110" s="77">
        <f>SUM(AX110:BA110)</f>
        <v>1603.9201113696358</v>
      </c>
      <c r="BC110" s="394">
        <f>+BC40</f>
        <v>593.11194095851079</v>
      </c>
      <c r="BD110" s="342">
        <f>+BD40</f>
        <v>412.88478869193801</v>
      </c>
      <c r="BE110" s="342">
        <f>+BE40</f>
        <v>376.46577083200509</v>
      </c>
      <c r="BF110" s="395">
        <f>+BF40</f>
        <v>245.67061684711507</v>
      </c>
      <c r="BG110" s="77">
        <f>SUM(BC110:BF110)</f>
        <v>1628.1331173295689</v>
      </c>
      <c r="BH110" s="394">
        <f>+BH40</f>
        <v>604.48024373129601</v>
      </c>
      <c r="BI110" s="342">
        <f>+BI40</f>
        <v>381.22772182326457</v>
      </c>
      <c r="BJ110" s="342">
        <f>+BJ40</f>
        <v>405.58900195227784</v>
      </c>
      <c r="BK110" s="395">
        <f>+BK40</f>
        <v>298.27009890523891</v>
      </c>
      <c r="BL110" s="77">
        <f>SUM(BH110:BK110)</f>
        <v>1689.5670664120773</v>
      </c>
      <c r="BM110" s="394">
        <f>+BM40</f>
        <v>621.7944916886313</v>
      </c>
      <c r="BN110" s="342">
        <f>+BN40</f>
        <v>441.6452056526432</v>
      </c>
      <c r="BO110" s="342">
        <f>+BO40</f>
        <v>440.40784630667468</v>
      </c>
      <c r="BP110" s="395">
        <f>+BP40</f>
        <v>382.70212498301419</v>
      </c>
      <c r="BQ110" s="77">
        <f>SUM(BM110:BP110)</f>
        <v>1886.5496686309634</v>
      </c>
      <c r="BR110" s="77"/>
      <c r="BS110" s="77"/>
      <c r="BT110" s="77"/>
      <c r="BU110" s="77"/>
      <c r="CL110"/>
      <c r="CM110"/>
      <c r="CN110"/>
      <c r="CO110"/>
      <c r="CP110"/>
      <c r="CQ110"/>
    </row>
    <row r="111" spans="1:95" s="2" customFormat="1">
      <c r="A111" s="1523"/>
      <c r="C111" s="263" t="s">
        <v>632</v>
      </c>
      <c r="E111" s="459">
        <v>207</v>
      </c>
      <c r="F111" s="460">
        <v>203</v>
      </c>
      <c r="G111" s="460">
        <v>224</v>
      </c>
      <c r="H111" s="461">
        <v>204</v>
      </c>
      <c r="I111" s="462">
        <v>838</v>
      </c>
      <c r="J111" s="459">
        <v>232</v>
      </c>
      <c r="K111" s="460">
        <v>233</v>
      </c>
      <c r="L111" s="460">
        <v>265</v>
      </c>
      <c r="M111" s="461">
        <v>244</v>
      </c>
      <c r="N111" s="462">
        <v>974</v>
      </c>
      <c r="O111" s="459">
        <v>245</v>
      </c>
      <c r="P111" s="460">
        <v>238</v>
      </c>
      <c r="Q111" s="460">
        <v>262</v>
      </c>
      <c r="R111" s="461">
        <f>982-(O111+P111+Q111)</f>
        <v>237</v>
      </c>
      <c r="S111" s="296">
        <f>SUM(O111:R111)</f>
        <v>982</v>
      </c>
      <c r="T111" s="459">
        <v>256</v>
      </c>
      <c r="U111" s="460">
        <f>511-T111</f>
        <v>255</v>
      </c>
      <c r="V111" s="460">
        <f>797-SUM(T111:U111)</f>
        <v>286</v>
      </c>
      <c r="W111" s="461">
        <f>1054-(T111+U111+V111)</f>
        <v>257</v>
      </c>
      <c r="X111" s="296">
        <f>SUM(T111:W111)</f>
        <v>1054</v>
      </c>
      <c r="Y111" s="459">
        <v>290</v>
      </c>
      <c r="Z111" s="460">
        <f>573-Y111</f>
        <v>283</v>
      </c>
      <c r="AA111" s="460">
        <f>886-SUM(Y111:Z111)</f>
        <v>313</v>
      </c>
      <c r="AB111" s="461">
        <f>1178-(Y111+Z111+AA111)</f>
        <v>292</v>
      </c>
      <c r="AC111" s="296">
        <f>SUM(Y111:AB111)</f>
        <v>1178</v>
      </c>
      <c r="AD111" s="459">
        <v>306</v>
      </c>
      <c r="AE111" s="460">
        <f>601-AD111</f>
        <v>295</v>
      </c>
      <c r="AF111" s="460">
        <f>919-SUM(AD111:AE111)</f>
        <v>318</v>
      </c>
      <c r="AG111" s="461">
        <f>1227-AF111-AE111-AD111</f>
        <v>308</v>
      </c>
      <c r="AH111" s="296">
        <f>SUM(AD111:AG111)</f>
        <v>1227</v>
      </c>
      <c r="AI111" s="459">
        <v>330</v>
      </c>
      <c r="AJ111" s="460">
        <f>647-AI111</f>
        <v>317</v>
      </c>
      <c r="AK111" s="460">
        <f>960-SUM(AI111:AJ111)</f>
        <v>313</v>
      </c>
      <c r="AL111" s="461">
        <f>1214-AK111-AJ111-AI111</f>
        <v>254</v>
      </c>
      <c r="AM111" s="296">
        <f>SUM(AI111:AL111)</f>
        <v>1214</v>
      </c>
      <c r="AN111" s="459">
        <v>224</v>
      </c>
      <c r="AO111" s="460">
        <f>448-AN111</f>
        <v>224</v>
      </c>
      <c r="AP111" s="460">
        <f>679-AO111-AN111</f>
        <v>231</v>
      </c>
      <c r="AQ111" s="461">
        <f>1476-AP111-AO111-AN111</f>
        <v>797</v>
      </c>
      <c r="AR111" s="296">
        <f>SUM(AN111:AQ111)</f>
        <v>1476</v>
      </c>
      <c r="AS111" s="459">
        <v>828</v>
      </c>
      <c r="AT111" s="460">
        <f>1469-AS111</f>
        <v>641</v>
      </c>
      <c r="AU111" s="460">
        <f>1721-AT111-AS111</f>
        <v>252</v>
      </c>
      <c r="AV111" s="461">
        <f>1986-AU111-AT111-AS111</f>
        <v>265</v>
      </c>
      <c r="AW111" s="296">
        <f>SUM(AS111:AV111)</f>
        <v>1986</v>
      </c>
      <c r="AX111" s="392">
        <f>+AX15</f>
        <v>233.42644824453185</v>
      </c>
      <c r="AY111" s="341">
        <f>+AY15</f>
        <v>238.38461056693114</v>
      </c>
      <c r="AZ111" s="341">
        <f>+AZ15</f>
        <v>243.09929885465692</v>
      </c>
      <c r="BA111" s="393">
        <f>+BA15</f>
        <v>243.09929885465692</v>
      </c>
      <c r="BB111" s="296">
        <f>SUM(AX111:BA111)</f>
        <v>958.00965652077684</v>
      </c>
      <c r="BC111" s="392">
        <f>+BC15</f>
        <v>246.81891140745864</v>
      </c>
      <c r="BD111" s="341">
        <f>+BD15</f>
        <v>250.61889146255876</v>
      </c>
      <c r="BE111" s="341">
        <f>+BE15</f>
        <v>254.28759167982847</v>
      </c>
      <c r="BF111" s="393">
        <f>+BF15</f>
        <v>257.9307722769355</v>
      </c>
      <c r="BG111" s="296">
        <f>SUM(BC111:BF111)</f>
        <v>1009.6561668267814</v>
      </c>
      <c r="BH111" s="392">
        <f>+BH15</f>
        <v>259.60878240905032</v>
      </c>
      <c r="BI111" s="341">
        <f>+BI15</f>
        <v>263.11987987505512</v>
      </c>
      <c r="BJ111" s="341">
        <f>+BJ15</f>
        <v>266.44127435763443</v>
      </c>
      <c r="BK111" s="393">
        <f>+BK15</f>
        <v>269.740191658914</v>
      </c>
      <c r="BL111" s="296">
        <f>SUM(BH111:BK111)</f>
        <v>1058.9101283006539</v>
      </c>
      <c r="BM111" s="392">
        <f>+BM15</f>
        <v>271.20667378967846</v>
      </c>
      <c r="BN111" s="341">
        <f>+BN15</f>
        <v>275.51015160685427</v>
      </c>
      <c r="BO111" s="341">
        <f>+BO15</f>
        <v>277.97688663452749</v>
      </c>
      <c r="BP111" s="393">
        <f>+BP15</f>
        <v>280.42721381266949</v>
      </c>
      <c r="BQ111" s="296">
        <f>SUM(BM111:BP111)</f>
        <v>1105.1209258437298</v>
      </c>
      <c r="BR111" s="296"/>
      <c r="BS111" s="296"/>
      <c r="BT111" s="296"/>
      <c r="BU111" s="296"/>
      <c r="CL111"/>
      <c r="CM111"/>
      <c r="CN111"/>
      <c r="CO111"/>
      <c r="CP111"/>
      <c r="CQ111"/>
    </row>
    <row r="112" spans="1:95" s="2" customFormat="1">
      <c r="A112" s="1523"/>
      <c r="C112" s="2" t="s">
        <v>84</v>
      </c>
      <c r="E112" s="459">
        <v>19</v>
      </c>
      <c r="F112" s="460">
        <v>120</v>
      </c>
      <c r="G112" s="460">
        <v>70</v>
      </c>
      <c r="H112" s="461">
        <v>117</v>
      </c>
      <c r="I112" s="462">
        <v>326</v>
      </c>
      <c r="J112" s="459">
        <v>41</v>
      </c>
      <c r="K112" s="460">
        <v>31</v>
      </c>
      <c r="L112" s="460">
        <v>133</v>
      </c>
      <c r="M112" s="461">
        <v>901</v>
      </c>
      <c r="N112" s="462">
        <v>1106</v>
      </c>
      <c r="O112" s="459">
        <v>-152</v>
      </c>
      <c r="P112" s="460">
        <v>124</v>
      </c>
      <c r="Q112" s="460">
        <v>657</v>
      </c>
      <c r="R112" s="461">
        <f>811-(O112+P112+Q112)</f>
        <v>182</v>
      </c>
      <c r="S112" s="296">
        <f>SUM(O112:R112)</f>
        <v>811</v>
      </c>
      <c r="T112" s="459">
        <v>12</v>
      </c>
      <c r="U112" s="460">
        <f>165-T112</f>
        <v>153</v>
      </c>
      <c r="V112" s="460">
        <f>221-SUM(T112:U112)</f>
        <v>56</v>
      </c>
      <c r="W112" s="461">
        <f>721-(T112+U112+V112)</f>
        <v>500</v>
      </c>
      <c r="X112" s="296">
        <f>SUM(T112:W112)</f>
        <v>721</v>
      </c>
      <c r="Y112" s="459">
        <v>-5</v>
      </c>
      <c r="Z112" s="460">
        <f>146-Y112</f>
        <v>151</v>
      </c>
      <c r="AA112" s="460">
        <f>242-SUM(Y112:Z112)</f>
        <v>96</v>
      </c>
      <c r="AB112" s="461">
        <f>270-(Y112+Z112+AA112)</f>
        <v>28</v>
      </c>
      <c r="AC112" s="296">
        <f>SUM(Y112:AB112)</f>
        <v>270</v>
      </c>
      <c r="AD112" s="459">
        <v>-39</v>
      </c>
      <c r="AE112" s="460">
        <f>70-AD112</f>
        <v>109</v>
      </c>
      <c r="AF112" s="460">
        <f>103-SUM(AD112:AE112)</f>
        <v>33</v>
      </c>
      <c r="AG112" s="461">
        <f>515-AF112-AE112-AD112</f>
        <v>412</v>
      </c>
      <c r="AH112" s="296">
        <f>SUM(AD112:AG112)</f>
        <v>515</v>
      </c>
      <c r="AI112" s="459">
        <v>63</v>
      </c>
      <c r="AJ112" s="460">
        <f>170-AI112</f>
        <v>107</v>
      </c>
      <c r="AK112" s="460">
        <f>230-SUM(AI112:AJ112)</f>
        <v>60</v>
      </c>
      <c r="AL112" s="461">
        <f>685-AK112-AJ112-AI112</f>
        <v>455</v>
      </c>
      <c r="AM112" s="296">
        <f>SUM(AI112:AL112)</f>
        <v>685</v>
      </c>
      <c r="AN112" s="459">
        <v>182</v>
      </c>
      <c r="AO112" s="460">
        <f>334-AN112</f>
        <v>152</v>
      </c>
      <c r="AP112" s="460">
        <f>445-AO112-AN112</f>
        <v>111</v>
      </c>
      <c r="AQ112" s="461">
        <f>474-AP112-AO112-AN112</f>
        <v>29</v>
      </c>
      <c r="AR112" s="296">
        <f>SUM(AN112:AQ112)</f>
        <v>474</v>
      </c>
      <c r="AS112" s="459">
        <v>-85</v>
      </c>
      <c r="AT112" s="460">
        <f>91-AS112</f>
        <v>176</v>
      </c>
      <c r="AU112" s="460">
        <f>227-AT112-AS112</f>
        <v>136</v>
      </c>
      <c r="AV112" s="461">
        <f>-167-AU112-AT112-AS112</f>
        <v>-394</v>
      </c>
      <c r="AW112" s="296">
        <f>SUM(AS112:AV112)</f>
        <v>-167</v>
      </c>
      <c r="AX112" s="392">
        <f>+Power!AX505+'PSE&amp;G'!AX191</f>
        <v>103</v>
      </c>
      <c r="AY112" s="341">
        <f>+Power!AY505+'PSE&amp;G'!AY191</f>
        <v>103</v>
      </c>
      <c r="AZ112" s="341">
        <f>+Power!AZ505+'PSE&amp;G'!AZ191</f>
        <v>51</v>
      </c>
      <c r="BA112" s="393">
        <f>+Power!BA505+'PSE&amp;G'!BA191</f>
        <v>151</v>
      </c>
      <c r="BB112" s="296">
        <f>SUM(AX112:BA112)</f>
        <v>408</v>
      </c>
      <c r="BC112" s="392">
        <f>+Power!BC505+'PSE&amp;G'!BC191</f>
        <v>62.25</v>
      </c>
      <c r="BD112" s="341">
        <f>+Power!BD505+'PSE&amp;G'!BD191</f>
        <v>62.25</v>
      </c>
      <c r="BE112" s="341">
        <f>+Power!BE505+'PSE&amp;G'!BE191</f>
        <v>62.25</v>
      </c>
      <c r="BF112" s="393">
        <f>+Power!BF505+'PSE&amp;G'!BF191</f>
        <v>62.25</v>
      </c>
      <c r="BG112" s="296">
        <f>SUM(BC112:BF112)</f>
        <v>249</v>
      </c>
      <c r="BH112" s="392">
        <f>+Power!BH505+'PSE&amp;G'!BH191</f>
        <v>0</v>
      </c>
      <c r="BI112" s="341">
        <f>+Power!BI505+'PSE&amp;G'!BI191</f>
        <v>0</v>
      </c>
      <c r="BJ112" s="341">
        <f>+Power!BJ505+'PSE&amp;G'!BJ191</f>
        <v>0</v>
      </c>
      <c r="BK112" s="393">
        <f>+Power!BK505+'PSE&amp;G'!BK191</f>
        <v>0</v>
      </c>
      <c r="BL112" s="296">
        <f>SUM(BH112:BK112)</f>
        <v>0</v>
      </c>
      <c r="BM112" s="392">
        <f>+Power!BM505+'PSE&amp;G'!BM191</f>
        <v>0</v>
      </c>
      <c r="BN112" s="341">
        <f>+Power!BN505+'PSE&amp;G'!BN191</f>
        <v>0</v>
      </c>
      <c r="BO112" s="341">
        <f>+Power!BO505+'PSE&amp;G'!BO191</f>
        <v>0</v>
      </c>
      <c r="BP112" s="393">
        <f>+Power!BP505+'PSE&amp;G'!BP191</f>
        <v>0</v>
      </c>
      <c r="BQ112" s="296">
        <f>SUM(BM112:BP112)</f>
        <v>0</v>
      </c>
      <c r="BR112" s="296"/>
      <c r="BS112" s="296"/>
      <c r="BT112" s="296"/>
      <c r="BU112" s="296"/>
      <c r="CL112"/>
      <c r="CM112"/>
      <c r="CN112"/>
      <c r="CO112"/>
      <c r="CP112"/>
      <c r="CQ112"/>
    </row>
    <row r="113" spans="1:95" s="2" customFormat="1">
      <c r="A113" s="1523"/>
      <c r="C113" s="2" t="s">
        <v>485</v>
      </c>
      <c r="E113" s="459">
        <v>-208</v>
      </c>
      <c r="F113" s="460">
        <v>-614</v>
      </c>
      <c r="G113" s="460">
        <v>-175</v>
      </c>
      <c r="H113" s="461">
        <v>-125</v>
      </c>
      <c r="I113" s="462">
        <v>-1122</v>
      </c>
      <c r="J113" s="459">
        <v>-419</v>
      </c>
      <c r="K113" s="460">
        <v>51</v>
      </c>
      <c r="L113" s="460">
        <v>-273</v>
      </c>
      <c r="M113" s="461">
        <v>71</v>
      </c>
      <c r="N113" s="462">
        <v>-570</v>
      </c>
      <c r="O113" s="459">
        <v>-473</v>
      </c>
      <c r="P113" s="460">
        <v>-27</v>
      </c>
      <c r="Q113" s="460">
        <f>39+85</f>
        <v>124</v>
      </c>
      <c r="R113" s="461">
        <f>(-122+153+175+170-55-55-165+43-96-61-62-117-508+41)-(O113+P113+Q113)</f>
        <v>-283</v>
      </c>
      <c r="S113" s="296">
        <f>SUM(O113:R113)</f>
        <v>-659</v>
      </c>
      <c r="T113" s="459">
        <f>0+43+68+140+21-20-15</f>
        <v>237</v>
      </c>
      <c r="U113" s="460">
        <f>84+134-98-86+8-30-23-44-26-T113</f>
        <v>-318</v>
      </c>
      <c r="V113" s="460">
        <f>129+203-81+116+46-51-23-71-107+16-SUM(T113:U113)</f>
        <v>258</v>
      </c>
      <c r="W113" s="461">
        <f>(173+271+93-49+63-90-132-116-118-314+70)-(T113+U113+V113)</f>
        <v>-326</v>
      </c>
      <c r="X113" s="296">
        <f>SUM(T113:W113)</f>
        <v>-149</v>
      </c>
      <c r="Y113" s="459">
        <f>50+61-6+165-46+80-24-24+1</f>
        <v>257</v>
      </c>
      <c r="Z113" s="460">
        <f>95+122-26+20-81+62-46-47+42-Y113</f>
        <v>-116</v>
      </c>
      <c r="AA113" s="460">
        <f>145+182-7+3-87+134-66-76+2+71-SUM(Y113:Z113)</f>
        <v>160</v>
      </c>
      <c r="AB113" s="461">
        <f>(192+243+31+2+79-90+2-93-104-231+118)-(Y113+Z113+AA113)</f>
        <v>-152</v>
      </c>
      <c r="AC113" s="296">
        <f>SUM(Y113:AB113)</f>
        <v>149</v>
      </c>
      <c r="AD113" s="459">
        <f>54+11-22+224-1+177-25-23+20</f>
        <v>415</v>
      </c>
      <c r="AE113" s="460">
        <f>98+24-44+297-3+192-50-59+61-AD113</f>
        <v>101</v>
      </c>
      <c r="AF113" s="460">
        <f>36-30+237-3+276-68-99-173+102+151-SUM(AD113:AE113)</f>
        <v>-87</v>
      </c>
      <c r="AG113" s="461">
        <f>47-4-3-93-3+190-98-166-95+104+200-AF113-AE113-AD113</f>
        <v>-350</v>
      </c>
      <c r="AH113" s="296">
        <f>SUM(AD113:AG113)</f>
        <v>79</v>
      </c>
      <c r="AI113" s="459">
        <f>55+41+4+37+7-29-26-12-47+45</f>
        <v>75</v>
      </c>
      <c r="AJ113" s="460">
        <f>106+81-22-9+15-53-58-21-67+88-AI113</f>
        <v>-15</v>
      </c>
      <c r="AK113" s="460">
        <f>162+121+6-87+15+26-82-2-87+106-SUM(AI113:AJ113)</f>
        <v>118</v>
      </c>
      <c r="AL113" s="461">
        <f>213+161+26-143+12-60-120-38-109+174-AK113-AJ113-AI113</f>
        <v>-62</v>
      </c>
      <c r="AM113" s="296">
        <f>SUM(AI113:AL113)</f>
        <v>116</v>
      </c>
      <c r="AN113" s="459">
        <f>58+32-15-21-1-104-35+3-56+8</f>
        <v>-131</v>
      </c>
      <c r="AO113" s="460">
        <f>105+63-30+153-1-124-74-2-78+41-AN113</f>
        <v>184</v>
      </c>
      <c r="AP113" s="460">
        <f>154+102+95-12+86+96-6-66-109-12-81+154-AO113-AN113</f>
        <v>348</v>
      </c>
      <c r="AQ113" s="461">
        <f>203+109+102+127-6+92+183-138-131-26-AP113-AO113-AN113</f>
        <v>114</v>
      </c>
      <c r="AR113" s="296">
        <f>SUM(AN113:AQ113)</f>
        <v>515</v>
      </c>
      <c r="AS113" s="459">
        <f>54+26+23-15+32-5-60-24-23</f>
        <v>8</v>
      </c>
      <c r="AT113" s="460">
        <f>101+51+45-30+45-42-124-47-58-AS113</f>
        <v>-67</v>
      </c>
      <c r="AU113" s="460">
        <f>152+79+67-7+48+8-121-72-86-AT113-AS113</f>
        <v>127</v>
      </c>
      <c r="AV113" s="461">
        <f>199+103+89-159+48+188-188-107-156-AU113-AT113-AS113</f>
        <v>-51</v>
      </c>
      <c r="AW113" s="296">
        <f>SUM(AS113:AV113)</f>
        <v>17</v>
      </c>
      <c r="AX113" s="392">
        <f>+Power!AX506+'PSE&amp;G'!AX192</f>
        <v>0</v>
      </c>
      <c r="AY113" s="341">
        <f>+Power!AY506+'PSE&amp;G'!AY192</f>
        <v>0</v>
      </c>
      <c r="AZ113" s="341">
        <f>+Power!AZ506+'PSE&amp;G'!AZ192</f>
        <v>0</v>
      </c>
      <c r="BA113" s="393">
        <f>+Power!BA506+'PSE&amp;G'!BA192</f>
        <v>0</v>
      </c>
      <c r="BB113" s="296">
        <f>SUM(AX113:BA113)</f>
        <v>0</v>
      </c>
      <c r="BC113" s="392">
        <f>+Power!BC506+'PSE&amp;G'!BC192</f>
        <v>0</v>
      </c>
      <c r="BD113" s="341">
        <f>+Power!BD506+'PSE&amp;G'!BD192</f>
        <v>0</v>
      </c>
      <c r="BE113" s="341">
        <f>+Power!BE506+'PSE&amp;G'!BE192</f>
        <v>0</v>
      </c>
      <c r="BF113" s="393">
        <f>+Power!BF506+'PSE&amp;G'!BF192</f>
        <v>0</v>
      </c>
      <c r="BG113" s="296">
        <f>SUM(BC113:BF113)</f>
        <v>0</v>
      </c>
      <c r="BH113" s="392">
        <f>+Power!BH506+'PSE&amp;G'!BH192</f>
        <v>0</v>
      </c>
      <c r="BI113" s="341">
        <f>+Power!BI506+'PSE&amp;G'!BI192</f>
        <v>0</v>
      </c>
      <c r="BJ113" s="341">
        <f>+Power!BJ506+'PSE&amp;G'!BJ192</f>
        <v>0</v>
      </c>
      <c r="BK113" s="393">
        <f>+Power!BK506+'PSE&amp;G'!BK192</f>
        <v>0</v>
      </c>
      <c r="BL113" s="296">
        <f>SUM(BH113:BK113)</f>
        <v>0</v>
      </c>
      <c r="BM113" s="392">
        <f>+Power!BM506+'PSE&amp;G'!BM192</f>
        <v>0</v>
      </c>
      <c r="BN113" s="341">
        <f>+Power!BN506+'PSE&amp;G'!BN192</f>
        <v>0</v>
      </c>
      <c r="BO113" s="341">
        <f>+Power!BO506+'PSE&amp;G'!BO192</f>
        <v>0</v>
      </c>
      <c r="BP113" s="393">
        <f>+Power!BP506+'PSE&amp;G'!BP192</f>
        <v>0</v>
      </c>
      <c r="BQ113" s="296">
        <f>SUM(BM113:BP113)</f>
        <v>0</v>
      </c>
      <c r="BR113" s="296"/>
      <c r="BS113" s="296"/>
      <c r="BT113" s="296"/>
      <c r="BU113" s="296"/>
      <c r="CL113"/>
      <c r="CM113"/>
      <c r="CN113"/>
      <c r="CO113"/>
      <c r="CP113"/>
      <c r="CQ113"/>
    </row>
    <row r="114" spans="1:95" s="2" customFormat="1">
      <c r="A114" s="1523"/>
      <c r="C114" s="2" t="s">
        <v>315</v>
      </c>
      <c r="E114" s="459">
        <v>927</v>
      </c>
      <c r="F114" s="460">
        <v>-620</v>
      </c>
      <c r="G114" s="460">
        <v>-55</v>
      </c>
      <c r="H114" s="461">
        <v>-31</v>
      </c>
      <c r="I114" s="462">
        <v>221</v>
      </c>
      <c r="J114" s="459">
        <v>727</v>
      </c>
      <c r="K114" s="460">
        <v>-1091</v>
      </c>
      <c r="L114" s="460">
        <v>127</v>
      </c>
      <c r="M114" s="461">
        <v>-673</v>
      </c>
      <c r="N114" s="462">
        <v>-910</v>
      </c>
      <c r="O114" s="459">
        <v>896</v>
      </c>
      <c r="P114" s="460">
        <v>-305</v>
      </c>
      <c r="Q114" s="460">
        <v>-323</v>
      </c>
      <c r="R114" s="461">
        <f>(673+247)-(O114+P114+Q114)</f>
        <v>652</v>
      </c>
      <c r="S114" s="296">
        <f>+SUM(O114:R114)</f>
        <v>920</v>
      </c>
      <c r="T114" s="459">
        <f>279-154-35</f>
        <v>90</v>
      </c>
      <c r="U114" s="460">
        <f>278-175-24-T114</f>
        <v>-11</v>
      </c>
      <c r="V114" s="460">
        <f>305-193-47-SUM(T114:U114)</f>
        <v>-14</v>
      </c>
      <c r="W114" s="461">
        <f>(-211+97)-(T114+U114+V114)</f>
        <v>-179</v>
      </c>
      <c r="X114" s="296">
        <f>+SUM(T114:W114)</f>
        <v>-114</v>
      </c>
      <c r="Y114" s="459">
        <f>207-192</f>
        <v>15</v>
      </c>
      <c r="Z114" s="460">
        <f>24-194-Y114</f>
        <v>-185</v>
      </c>
      <c r="AA114" s="460">
        <f>173-210-SUM(Y114:Z114)</f>
        <v>133</v>
      </c>
      <c r="AB114" s="461">
        <f>(19+299)-(Y114+Z114+AA114)</f>
        <v>355</v>
      </c>
      <c r="AC114" s="296">
        <f>+SUM(Y114:AB114)</f>
        <v>318</v>
      </c>
      <c r="AD114" s="459">
        <f>-32+80</f>
        <v>48</v>
      </c>
      <c r="AE114" s="460">
        <f>-50-53-234-AD114</f>
        <v>-385</v>
      </c>
      <c r="AF114" s="460">
        <f>119-76-SUM(AD114:AE114)</f>
        <v>380</v>
      </c>
      <c r="AG114" s="461">
        <f>30-209-AF114-AE114-AD114</f>
        <v>-222</v>
      </c>
      <c r="AH114" s="296">
        <f>+SUM(AD114:AG114)</f>
        <v>-179</v>
      </c>
      <c r="AI114" s="459">
        <f>180+322+14+109</f>
        <v>625</v>
      </c>
      <c r="AJ114" s="460">
        <f>188+71+69+98-AI114</f>
        <v>-199</v>
      </c>
      <c r="AK114" s="460">
        <f>206+127+142+15-SUM(AI114:AJ114)</f>
        <v>64</v>
      </c>
      <c r="AL114" s="461">
        <f>-94-91+122+288-AK114-AJ114-AI114</f>
        <v>-265</v>
      </c>
      <c r="AM114" s="296">
        <f>+SUM(AI114:AL114)</f>
        <v>225</v>
      </c>
      <c r="AN114" s="459">
        <f>301+144-4+27</f>
        <v>468</v>
      </c>
      <c r="AO114" s="460">
        <f>301+94-46-120-AN114</f>
        <v>-239</v>
      </c>
      <c r="AP114" s="460">
        <f>202+282-4-229-AO114-AN114</f>
        <v>22</v>
      </c>
      <c r="AQ114" s="461">
        <f>303+3-76-180-103+12-AP114-AO114-AN114</f>
        <v>-292</v>
      </c>
      <c r="AR114" s="296">
        <f>+SUM(AN114:AQ114)</f>
        <v>-41</v>
      </c>
      <c r="AS114" s="459">
        <f>69+143-4+163-28-12</f>
        <v>331</v>
      </c>
      <c r="AT114" s="460">
        <f>69+15+59-56-49-6-AS114</f>
        <v>-299</v>
      </c>
      <c r="AU114" s="460">
        <f>64+115+64-69-64-10-AT114-AS114</f>
        <v>68</v>
      </c>
      <c r="AV114" s="461">
        <f>65+16-90-70-81+11-AU114-AT114-AS114</f>
        <v>-249</v>
      </c>
      <c r="AW114" s="296">
        <f>+SUM(AS114:AV114)</f>
        <v>-149</v>
      </c>
      <c r="AX114" s="392">
        <f>+Power!AX507+'PSE&amp;G'!AX193</f>
        <v>0</v>
      </c>
      <c r="AY114" s="341">
        <f>+Power!AY507+'PSE&amp;G'!AY193</f>
        <v>0</v>
      </c>
      <c r="AZ114" s="341">
        <f>+Power!AZ507+'PSE&amp;G'!AZ193</f>
        <v>0</v>
      </c>
      <c r="BA114" s="393">
        <f>+Power!BA507+'PSE&amp;G'!BA193</f>
        <v>0</v>
      </c>
      <c r="BB114" s="296">
        <f>+SUM(AX114:BA114)</f>
        <v>0</v>
      </c>
      <c r="BC114" s="392">
        <f>+Power!BC507+'PSE&amp;G'!BC193</f>
        <v>0</v>
      </c>
      <c r="BD114" s="341">
        <f>+Power!BD507+'PSE&amp;G'!BD193</f>
        <v>0</v>
      </c>
      <c r="BE114" s="341">
        <f>+Power!BE507+'PSE&amp;G'!BE193</f>
        <v>0</v>
      </c>
      <c r="BF114" s="393">
        <f>+Power!BF507+'PSE&amp;G'!BF193</f>
        <v>0</v>
      </c>
      <c r="BG114" s="296">
        <f>+SUM(BC114:BF114)</f>
        <v>0</v>
      </c>
      <c r="BH114" s="392">
        <f>+Power!BH507+'PSE&amp;G'!BH193</f>
        <v>0</v>
      </c>
      <c r="BI114" s="341">
        <f>+Power!BI507+'PSE&amp;G'!BI193</f>
        <v>0</v>
      </c>
      <c r="BJ114" s="341">
        <f>+Power!BJ507+'PSE&amp;G'!BJ193</f>
        <v>0</v>
      </c>
      <c r="BK114" s="393">
        <f>+Power!BK507+'PSE&amp;G'!BK193</f>
        <v>0</v>
      </c>
      <c r="BL114" s="296">
        <f>+SUM(BH114:BK114)</f>
        <v>0</v>
      </c>
      <c r="BM114" s="392">
        <f>+Power!BM507+'PSE&amp;G'!BM193</f>
        <v>0</v>
      </c>
      <c r="BN114" s="341">
        <f>+Power!BN507+'PSE&amp;G'!BN193</f>
        <v>0</v>
      </c>
      <c r="BO114" s="341">
        <f>+Power!BO507+'PSE&amp;G'!BO193</f>
        <v>0</v>
      </c>
      <c r="BP114" s="393">
        <f>+Power!BP507+'PSE&amp;G'!BP193</f>
        <v>0</v>
      </c>
      <c r="BQ114" s="296">
        <f>+SUM(BM114:BP114)</f>
        <v>0</v>
      </c>
      <c r="BR114" s="296"/>
      <c r="BS114" s="296"/>
      <c r="BT114" s="296"/>
      <c r="BU114" s="296"/>
      <c r="CL114"/>
      <c r="CM114"/>
      <c r="CN114"/>
      <c r="CO114"/>
      <c r="CP114"/>
      <c r="CQ114"/>
    </row>
    <row r="115" spans="1:95" s="2" customFormat="1">
      <c r="A115" s="1523"/>
      <c r="C115" s="49" t="s">
        <v>85</v>
      </c>
      <c r="E115" s="396">
        <f t="shared" ref="E115:AA115" si="113">SUM(E110:E114)</f>
        <v>1389</v>
      </c>
      <c r="F115" s="343">
        <f t="shared" si="113"/>
        <v>-600</v>
      </c>
      <c r="G115" s="343">
        <f t="shared" si="113"/>
        <v>552</v>
      </c>
      <c r="H115" s="397">
        <f t="shared" si="113"/>
        <v>514</v>
      </c>
      <c r="I115" s="297">
        <f t="shared" si="113"/>
        <v>1855</v>
      </c>
      <c r="J115" s="396">
        <f t="shared" si="113"/>
        <v>1072</v>
      </c>
      <c r="K115" s="343">
        <f t="shared" si="113"/>
        <v>-552</v>
      </c>
      <c r="L115" s="343">
        <f t="shared" si="113"/>
        <v>819</v>
      </c>
      <c r="M115" s="397">
        <f t="shared" si="113"/>
        <v>825</v>
      </c>
      <c r="N115" s="297">
        <f t="shared" si="113"/>
        <v>2164</v>
      </c>
      <c r="O115" s="396">
        <f t="shared" si="113"/>
        <v>1042</v>
      </c>
      <c r="P115" s="343">
        <f t="shared" si="113"/>
        <v>353</v>
      </c>
      <c r="Q115" s="343">
        <f t="shared" si="113"/>
        <v>1014</v>
      </c>
      <c r="R115" s="397">
        <f t="shared" si="113"/>
        <v>1148</v>
      </c>
      <c r="S115" s="297">
        <f t="shared" si="113"/>
        <v>3557</v>
      </c>
      <c r="T115" s="396">
        <f t="shared" si="113"/>
        <v>1088</v>
      </c>
      <c r="U115" s="343">
        <f t="shared" si="113"/>
        <v>290</v>
      </c>
      <c r="V115" s="343">
        <f t="shared" si="113"/>
        <v>933</v>
      </c>
      <c r="W115" s="397">
        <f t="shared" si="113"/>
        <v>476</v>
      </c>
      <c r="X115" s="297">
        <f t="shared" si="113"/>
        <v>2787</v>
      </c>
      <c r="Y115" s="396">
        <f t="shared" si="113"/>
        <v>877</v>
      </c>
      <c r="Z115" s="343">
        <f t="shared" si="113"/>
        <v>466</v>
      </c>
      <c r="AA115" s="343">
        <f t="shared" si="113"/>
        <v>1092</v>
      </c>
      <c r="AB115" s="397">
        <f t="shared" ref="AB115:AI115" si="114">SUM(AB110:AB114)</f>
        <v>723</v>
      </c>
      <c r="AC115" s="297">
        <f t="shared" si="114"/>
        <v>3158</v>
      </c>
      <c r="AD115" s="396">
        <f t="shared" si="114"/>
        <v>1116</v>
      </c>
      <c r="AE115" s="343">
        <f t="shared" si="114"/>
        <v>332</v>
      </c>
      <c r="AF115" s="343">
        <f t="shared" si="114"/>
        <v>1088</v>
      </c>
      <c r="AG115" s="397">
        <f t="shared" si="114"/>
        <v>624</v>
      </c>
      <c r="AH115" s="297">
        <f t="shared" si="114"/>
        <v>3160</v>
      </c>
      <c r="AI115" s="396">
        <f t="shared" si="114"/>
        <v>1679</v>
      </c>
      <c r="AJ115" s="343">
        <f t="shared" ref="AJ115:AR115" si="115">SUM(AJ110:AJ114)</f>
        <v>555</v>
      </c>
      <c r="AK115" s="343">
        <f t="shared" si="115"/>
        <v>994</v>
      </c>
      <c r="AL115" s="397">
        <f t="shared" si="115"/>
        <v>691</v>
      </c>
      <c r="AM115" s="297">
        <f t="shared" si="115"/>
        <v>3919</v>
      </c>
      <c r="AN115" s="396">
        <f t="shared" si="115"/>
        <v>1214</v>
      </c>
      <c r="AO115" s="343">
        <f t="shared" si="115"/>
        <v>508</v>
      </c>
      <c r="AP115" s="343">
        <f t="shared" si="115"/>
        <v>1039</v>
      </c>
      <c r="AQ115" s="397">
        <f t="shared" si="115"/>
        <v>550</v>
      </c>
      <c r="AR115" s="297">
        <f t="shared" si="115"/>
        <v>3311</v>
      </c>
      <c r="AS115" s="396">
        <f t="shared" ref="AS115:BB115" si="116">SUM(AS110:AS114)</f>
        <v>1196</v>
      </c>
      <c r="AT115" s="343">
        <f t="shared" si="116"/>
        <v>560</v>
      </c>
      <c r="AU115" s="343">
        <f t="shared" si="116"/>
        <v>978</v>
      </c>
      <c r="AV115" s="397">
        <f t="shared" si="116"/>
        <v>527</v>
      </c>
      <c r="AW115" s="297">
        <f t="shared" si="116"/>
        <v>3261</v>
      </c>
      <c r="AX115" s="396">
        <f t="shared" si="116"/>
        <v>865.15790925732767</v>
      </c>
      <c r="AY115" s="343">
        <f t="shared" si="116"/>
        <v>669.54784681673777</v>
      </c>
      <c r="AZ115" s="343">
        <f t="shared" si="116"/>
        <v>760.37792944259206</v>
      </c>
      <c r="BA115" s="397">
        <f t="shared" si="116"/>
        <v>674.84608237375505</v>
      </c>
      <c r="BB115" s="297">
        <f t="shared" si="116"/>
        <v>2969.9297678904127</v>
      </c>
      <c r="BC115" s="396">
        <f t="shared" ref="BC115:BL115" si="117">SUM(BC110:BC114)</f>
        <v>902.18085236596949</v>
      </c>
      <c r="BD115" s="343">
        <f t="shared" si="117"/>
        <v>725.75368015449681</v>
      </c>
      <c r="BE115" s="343">
        <f t="shared" si="117"/>
        <v>693.00336251183353</v>
      </c>
      <c r="BF115" s="397">
        <f t="shared" si="117"/>
        <v>565.85138912405057</v>
      </c>
      <c r="BG115" s="297">
        <f t="shared" si="117"/>
        <v>2886.7892841563503</v>
      </c>
      <c r="BH115" s="396">
        <f t="shared" si="117"/>
        <v>864.08902614034628</v>
      </c>
      <c r="BI115" s="343">
        <f t="shared" si="117"/>
        <v>644.34760169831975</v>
      </c>
      <c r="BJ115" s="343">
        <f t="shared" si="117"/>
        <v>672.03027630991232</v>
      </c>
      <c r="BK115" s="397">
        <f t="shared" si="117"/>
        <v>568.01029056415291</v>
      </c>
      <c r="BL115" s="297">
        <f t="shared" si="117"/>
        <v>2748.477194712731</v>
      </c>
      <c r="BM115" s="396">
        <f>SUM(BM110:BM114)</f>
        <v>893.00116547830976</v>
      </c>
      <c r="BN115" s="343">
        <f>SUM(BN110:BN114)</f>
        <v>717.15535725949746</v>
      </c>
      <c r="BO115" s="343">
        <f>SUM(BO110:BO114)</f>
        <v>718.38473294120217</v>
      </c>
      <c r="BP115" s="397">
        <f>SUM(BP110:BP114)</f>
        <v>663.12933879568368</v>
      </c>
      <c r="BQ115" s="297">
        <f>SUM(BQ110:BQ114)</f>
        <v>2991.6705944746932</v>
      </c>
      <c r="BR115" s="296"/>
      <c r="BS115" s="296"/>
      <c r="BT115" s="296"/>
      <c r="BU115" s="296"/>
      <c r="CL115"/>
      <c r="CM115"/>
      <c r="CN115"/>
      <c r="CO115"/>
      <c r="CP115"/>
      <c r="CQ115"/>
    </row>
    <row r="116" spans="1:95" s="2" customFormat="1">
      <c r="A116" s="1523"/>
      <c r="E116" s="392"/>
      <c r="F116" s="341"/>
      <c r="G116" s="341"/>
      <c r="H116" s="393"/>
      <c r="I116" s="296"/>
      <c r="J116" s="392"/>
      <c r="K116" s="341"/>
      <c r="L116" s="341"/>
      <c r="M116" s="393"/>
      <c r="N116" s="296"/>
      <c r="O116" s="392"/>
      <c r="P116" s="341"/>
      <c r="Q116" s="341"/>
      <c r="R116" s="393"/>
      <c r="S116" s="296"/>
      <c r="T116" s="392"/>
      <c r="U116" s="341"/>
      <c r="V116" s="341"/>
      <c r="W116" s="393"/>
      <c r="X116" s="296"/>
      <c r="Y116" s="392"/>
      <c r="Z116" s="341"/>
      <c r="AA116" s="341"/>
      <c r="AB116" s="393"/>
      <c r="AC116" s="296"/>
      <c r="AD116" s="392"/>
      <c r="AE116" s="341"/>
      <c r="AF116" s="341"/>
      <c r="AG116" s="393"/>
      <c r="AH116" s="296"/>
      <c r="AI116" s="392"/>
      <c r="AJ116" s="341"/>
      <c r="AK116" s="341"/>
      <c r="AL116" s="393"/>
      <c r="AM116" s="296"/>
      <c r="AN116" s="392"/>
      <c r="AO116" s="341"/>
      <c r="AP116" s="341"/>
      <c r="AQ116" s="393"/>
      <c r="AR116" s="296"/>
      <c r="AS116" s="392"/>
      <c r="AT116" s="341"/>
      <c r="AU116" s="341"/>
      <c r="AV116" s="393"/>
      <c r="AW116" s="296"/>
      <c r="AX116" s="392"/>
      <c r="AY116" s="341"/>
      <c r="AZ116" s="341"/>
      <c r="BA116" s="393"/>
      <c r="BB116" s="296"/>
      <c r="BC116" s="392"/>
      <c r="BD116" s="341"/>
      <c r="BE116" s="341"/>
      <c r="BF116" s="393"/>
      <c r="BG116" s="296"/>
      <c r="BH116" s="392"/>
      <c r="BI116" s="341"/>
      <c r="BJ116" s="341"/>
      <c r="BK116" s="393"/>
      <c r="BL116" s="296"/>
      <c r="BM116" s="392"/>
      <c r="BN116" s="341"/>
      <c r="BO116" s="341"/>
      <c r="BP116" s="393"/>
      <c r="BQ116" s="296"/>
      <c r="BR116" s="296"/>
      <c r="BS116" s="296"/>
      <c r="BT116" s="296"/>
      <c r="BU116" s="296"/>
      <c r="CL116"/>
      <c r="CM116"/>
      <c r="CN116"/>
      <c r="CO116"/>
      <c r="CP116"/>
      <c r="CQ116"/>
    </row>
    <row r="117" spans="1:95" s="2" customFormat="1">
      <c r="A117" s="1523"/>
      <c r="C117" s="263" t="s">
        <v>484</v>
      </c>
      <c r="E117" s="459">
        <v>-402</v>
      </c>
      <c r="F117" s="460">
        <v>-414</v>
      </c>
      <c r="G117" s="460">
        <v>-416</v>
      </c>
      <c r="H117" s="461">
        <v>-562</v>
      </c>
      <c r="I117" s="462">
        <v>-1794</v>
      </c>
      <c r="J117" s="459">
        <v>-427</v>
      </c>
      <c r="K117" s="460">
        <v>-484</v>
      </c>
      <c r="L117" s="460">
        <v>-606</v>
      </c>
      <c r="M117" s="461">
        <v>-643</v>
      </c>
      <c r="N117" s="462">
        <v>-2160</v>
      </c>
      <c r="O117" s="459">
        <v>-497</v>
      </c>
      <c r="P117" s="460">
        <v>-505</v>
      </c>
      <c r="Q117" s="460">
        <v>-477</v>
      </c>
      <c r="R117" s="461">
        <f>-2083-(O117+P117+Q117)</f>
        <v>-604</v>
      </c>
      <c r="S117" s="296">
        <f>SUM(O117:R117)</f>
        <v>-2083</v>
      </c>
      <c r="T117" s="459">
        <v>-687</v>
      </c>
      <c r="U117" s="460">
        <f>-1280-T117</f>
        <v>-593</v>
      </c>
      <c r="V117" s="460">
        <f>-1969-SUM(T117:U117)</f>
        <v>-689</v>
      </c>
      <c r="W117" s="461">
        <f>-2574-(T117+U117+V117)</f>
        <v>-605</v>
      </c>
      <c r="X117" s="296">
        <f>SUM(T117:W117)</f>
        <v>-2574</v>
      </c>
      <c r="Y117" s="459">
        <v>-724</v>
      </c>
      <c r="Z117" s="460">
        <f>-1406-Y117</f>
        <v>-682</v>
      </c>
      <c r="AA117" s="460">
        <f>-2102-SUM(Y117:Z117)</f>
        <v>-696</v>
      </c>
      <c r="AB117" s="461">
        <f>-2811-(Y117+Z117+AA117)</f>
        <v>-709</v>
      </c>
      <c r="AC117" s="296">
        <f>SUM(Y117:AB117)</f>
        <v>-2811</v>
      </c>
      <c r="AD117" s="459">
        <v>-609</v>
      </c>
      <c r="AE117" s="460">
        <f>-1229-AD117</f>
        <v>-620</v>
      </c>
      <c r="AF117" s="460">
        <f>-1922-SUM(AD117:AE117)</f>
        <v>-693</v>
      </c>
      <c r="AG117" s="461">
        <f>-2820-AF117-AE117-AD117</f>
        <v>-898</v>
      </c>
      <c r="AH117" s="296">
        <f>SUM(AD117:AG117)</f>
        <v>-2820</v>
      </c>
      <c r="AI117" s="459">
        <v>-747</v>
      </c>
      <c r="AJ117" s="460">
        <f>-1743-AI117</f>
        <v>-996</v>
      </c>
      <c r="AK117" s="460">
        <f>-2782-SUM(AI117:AJ117)</f>
        <v>-1039</v>
      </c>
      <c r="AL117" s="461">
        <f>-3863-AK117-AJ117-AI117</f>
        <v>-1081</v>
      </c>
      <c r="AM117" s="296">
        <f>SUM(AI117:AL117)</f>
        <v>-3863</v>
      </c>
      <c r="AN117" s="459">
        <v>-1065</v>
      </c>
      <c r="AO117" s="460">
        <f>-1971-AN117</f>
        <v>-906</v>
      </c>
      <c r="AP117" s="460">
        <f>-2985-AO117-AN117</f>
        <v>-1014</v>
      </c>
      <c r="AQ117" s="461">
        <f>-4199-AP117-AO117-AN117</f>
        <v>-1214</v>
      </c>
      <c r="AR117" s="296">
        <f>SUM(AN117:AQ117)</f>
        <v>-4199</v>
      </c>
      <c r="AS117" s="459">
        <v>-1062</v>
      </c>
      <c r="AT117" s="460">
        <f>-1981-AS117</f>
        <v>-919</v>
      </c>
      <c r="AU117" s="460">
        <f>-3046-AT117-AS117</f>
        <v>-1065</v>
      </c>
      <c r="AV117" s="461">
        <f>-4190-AU117-AT117-AS117</f>
        <v>-1144</v>
      </c>
      <c r="AW117" s="296">
        <f>SUM(AS117:AV117)</f>
        <v>-4190</v>
      </c>
      <c r="AX117" s="392">
        <f>+-AX77</f>
        <v>-888.75</v>
      </c>
      <c r="AY117" s="341">
        <f>+-AY77</f>
        <v>-888.75</v>
      </c>
      <c r="AZ117" s="341">
        <f>+-AZ77</f>
        <v>-877.91666666666663</v>
      </c>
      <c r="BA117" s="393">
        <f>+-BA77</f>
        <v>-898.75</v>
      </c>
      <c r="BB117" s="296">
        <f>SUM(AX117:BA117)</f>
        <v>-3554.1666666666665</v>
      </c>
      <c r="BC117" s="392">
        <f>+-BC77</f>
        <v>-783.75</v>
      </c>
      <c r="BD117" s="341">
        <f>+-BD77</f>
        <v>-783.75</v>
      </c>
      <c r="BE117" s="341">
        <f>+-BE77</f>
        <v>-783.75</v>
      </c>
      <c r="BF117" s="393">
        <f>+-BF77</f>
        <v>-783.75</v>
      </c>
      <c r="BG117" s="296">
        <f>SUM(BC117:BF117)</f>
        <v>-3135</v>
      </c>
      <c r="BH117" s="392">
        <f>+-BH77</f>
        <v>-755</v>
      </c>
      <c r="BI117" s="341">
        <f>+-BI77</f>
        <v>-755</v>
      </c>
      <c r="BJ117" s="341">
        <f>+-BJ77</f>
        <v>-755</v>
      </c>
      <c r="BK117" s="393">
        <f>+-BK77</f>
        <v>-755</v>
      </c>
      <c r="BL117" s="296">
        <f>SUM(BH117:BK117)</f>
        <v>-3020</v>
      </c>
      <c r="BM117" s="392">
        <f>+-BM77</f>
        <v>-651.25</v>
      </c>
      <c r="BN117" s="341">
        <f>+-BN77</f>
        <v>-651.25</v>
      </c>
      <c r="BO117" s="341">
        <f>+-BO77</f>
        <v>-651.25</v>
      </c>
      <c r="BP117" s="393">
        <f>+-BP77</f>
        <v>-651.25</v>
      </c>
      <c r="BQ117" s="296">
        <f>SUM(BM117:BP117)</f>
        <v>-2605</v>
      </c>
      <c r="BR117" s="296"/>
      <c r="BS117" s="296"/>
      <c r="BT117" s="296"/>
      <c r="BU117" s="296"/>
      <c r="CL117"/>
      <c r="CM117"/>
      <c r="CN117"/>
      <c r="CO117"/>
      <c r="CP117"/>
      <c r="CQ117"/>
    </row>
    <row r="118" spans="1:95" s="2" customFormat="1">
      <c r="A118" s="1523"/>
      <c r="C118" s="263" t="s">
        <v>328</v>
      </c>
      <c r="E118" s="459">
        <v>141</v>
      </c>
      <c r="F118" s="460">
        <v>374</v>
      </c>
      <c r="G118" s="460">
        <v>204</v>
      </c>
      <c r="H118" s="461">
        <f>+I118-SUM(E118:G118)</f>
        <v>132</v>
      </c>
      <c r="I118" s="462">
        <f>880+1769-1798</f>
        <v>851</v>
      </c>
      <c r="J118" s="459">
        <v>98</v>
      </c>
      <c r="K118" s="460">
        <v>50</v>
      </c>
      <c r="L118" s="460">
        <v>260</v>
      </c>
      <c r="M118" s="405">
        <f>+N118-SUM(J118:L118)</f>
        <v>64</v>
      </c>
      <c r="N118" s="462">
        <f>496+1116-1140</f>
        <v>472</v>
      </c>
      <c r="O118" s="459">
        <v>335</v>
      </c>
      <c r="P118" s="460">
        <v>-2</v>
      </c>
      <c r="Q118" s="460">
        <v>335</v>
      </c>
      <c r="R118" s="461">
        <f>(179+1355-1386+687)-(O118+P118+Q118)</f>
        <v>167</v>
      </c>
      <c r="S118" s="296">
        <f>SUM(O118:R118)</f>
        <v>835</v>
      </c>
      <c r="T118" s="459">
        <f>499-511</f>
        <v>-12</v>
      </c>
      <c r="U118" s="460">
        <f>850-867-T118</f>
        <v>-5</v>
      </c>
      <c r="V118" s="460">
        <f>1473-1497-SUM(T118:U118)</f>
        <v>-7</v>
      </c>
      <c r="W118" s="461">
        <f>(58+1666-1700)-(T118+U118+V118)</f>
        <v>48</v>
      </c>
      <c r="X118" s="296">
        <f>SUM(T118:W118)</f>
        <v>24</v>
      </c>
      <c r="Y118" s="459">
        <f>258-271</f>
        <v>-13</v>
      </c>
      <c r="Z118" s="460">
        <f>681-684-Y118</f>
        <v>10</v>
      </c>
      <c r="AA118" s="460">
        <f>914-922-SUM(Y118:Z118)</f>
        <v>-5</v>
      </c>
      <c r="AB118" s="461">
        <f>(1159-1170)-(Y118+Z118+AA118)</f>
        <v>-3</v>
      </c>
      <c r="AC118" s="296">
        <f>SUM(Y118:AB118)</f>
        <v>-11</v>
      </c>
      <c r="AD118" s="459">
        <f>-269+257</f>
        <v>-12</v>
      </c>
      <c r="AE118" s="460">
        <f>-599+584-AD118</f>
        <v>-3</v>
      </c>
      <c r="AF118" s="460">
        <f>1224-1241-SUM(AD118:AE118)</f>
        <v>-2</v>
      </c>
      <c r="AG118" s="461">
        <f>1915-1934-AF118-AE118-AD118</f>
        <v>-2</v>
      </c>
      <c r="AH118" s="296">
        <f>SUM(AD118:AG118)</f>
        <v>-19</v>
      </c>
      <c r="AI118" s="459">
        <f>609-638</f>
        <v>-29</v>
      </c>
      <c r="AJ118" s="460">
        <f>885-918-AI118</f>
        <v>-4</v>
      </c>
      <c r="AK118" s="460">
        <f>1120-1163-SUM(AI118:AJ118)</f>
        <v>-10</v>
      </c>
      <c r="AL118" s="461">
        <f>1501-1552-AK118-AJ118-AI118</f>
        <v>-8</v>
      </c>
      <c r="AM118" s="296">
        <f>SUM(AI118:AL118)</f>
        <v>-51</v>
      </c>
      <c r="AN118" s="459">
        <f>202-207</f>
        <v>-5</v>
      </c>
      <c r="AO118" s="460">
        <f>392-407-AN118</f>
        <v>-10</v>
      </c>
      <c r="AP118" s="460">
        <f>551-576-AO118-AN118</f>
        <v>-10</v>
      </c>
      <c r="AQ118" s="461">
        <f>824-856-AP118-AO118-AN118</f>
        <v>-7</v>
      </c>
      <c r="AR118" s="296">
        <f>SUM(AN118:AQ118)</f>
        <v>-32</v>
      </c>
      <c r="AS118" s="459">
        <f>298-307</f>
        <v>-9</v>
      </c>
      <c r="AT118" s="460">
        <f>711-726-AS118</f>
        <v>-6</v>
      </c>
      <c r="AU118" s="460">
        <f>1013-1029-AT118-AS118</f>
        <v>-1</v>
      </c>
      <c r="AV118" s="461">
        <f>2319-2340-AU118-AT118-AS118</f>
        <v>-5</v>
      </c>
      <c r="AW118" s="296">
        <f>SUM(AS118:AV118)</f>
        <v>-21</v>
      </c>
      <c r="AX118" s="418">
        <v>0</v>
      </c>
      <c r="AY118" s="353">
        <v>0</v>
      </c>
      <c r="AZ118" s="353">
        <v>0</v>
      </c>
      <c r="BA118" s="419">
        <v>0</v>
      </c>
      <c r="BB118" s="77">
        <f>SUM(AX118:BA118)</f>
        <v>0</v>
      </c>
      <c r="BC118" s="418">
        <v>0</v>
      </c>
      <c r="BD118" s="353">
        <v>0</v>
      </c>
      <c r="BE118" s="353">
        <v>0</v>
      </c>
      <c r="BF118" s="419">
        <v>0</v>
      </c>
      <c r="BG118" s="77">
        <f>SUM(BC118:BF118)</f>
        <v>0</v>
      </c>
      <c r="BH118" s="418">
        <v>0</v>
      </c>
      <c r="BI118" s="353">
        <v>0</v>
      </c>
      <c r="BJ118" s="353">
        <v>0</v>
      </c>
      <c r="BK118" s="419">
        <v>0</v>
      </c>
      <c r="BL118" s="77">
        <f>SUM(BH118:BK118)</f>
        <v>0</v>
      </c>
      <c r="BM118" s="418">
        <v>0</v>
      </c>
      <c r="BN118" s="353">
        <v>0</v>
      </c>
      <c r="BO118" s="353">
        <v>0</v>
      </c>
      <c r="BP118" s="419">
        <v>0</v>
      </c>
      <c r="BQ118" s="77">
        <f>SUM(BM118:BP118)</f>
        <v>0</v>
      </c>
      <c r="BR118" s="296"/>
      <c r="BS118" s="296"/>
      <c r="BT118" s="296"/>
      <c r="BU118" s="296"/>
      <c r="CL118"/>
      <c r="CM118"/>
      <c r="CN118"/>
      <c r="CO118"/>
      <c r="CP118"/>
      <c r="CQ118"/>
    </row>
    <row r="119" spans="1:95" s="2" customFormat="1">
      <c r="A119" s="1523"/>
      <c r="C119" s="2" t="s">
        <v>86</v>
      </c>
      <c r="E119" s="459">
        <v>96</v>
      </c>
      <c r="F119" s="460">
        <v>-5</v>
      </c>
      <c r="G119" s="460">
        <v>3</v>
      </c>
      <c r="H119" s="461">
        <f>+I119-SUM(E119:G119)</f>
        <v>57</v>
      </c>
      <c r="I119" s="462">
        <f>116+35</f>
        <v>151</v>
      </c>
      <c r="J119" s="459">
        <v>11</v>
      </c>
      <c r="K119" s="460">
        <v>-3</v>
      </c>
      <c r="L119" s="460">
        <v>5</v>
      </c>
      <c r="M119" s="405">
        <f>+N119-SUM(J119:L119)</f>
        <v>6</v>
      </c>
      <c r="N119" s="462">
        <v>19</v>
      </c>
      <c r="O119" s="459">
        <v>7</v>
      </c>
      <c r="P119" s="460">
        <v>-11</v>
      </c>
      <c r="Q119" s="460">
        <v>-12</v>
      </c>
      <c r="R119" s="461">
        <f>(-21)-(O119+P119+Q119)</f>
        <v>-5</v>
      </c>
      <c r="S119" s="296">
        <f>SUM(O119:R119)</f>
        <v>-21</v>
      </c>
      <c r="T119" s="459">
        <v>-7</v>
      </c>
      <c r="U119" s="460">
        <f>-42-T119</f>
        <v>-35</v>
      </c>
      <c r="V119" s="460">
        <f>-58-SUM(T119:U119)</f>
        <v>-16</v>
      </c>
      <c r="W119" s="461">
        <f>(-75)-(T119+U119+V119)</f>
        <v>-17</v>
      </c>
      <c r="X119" s="296">
        <f>SUM(T119:W119)</f>
        <v>-75</v>
      </c>
      <c r="Y119" s="459">
        <v>4</v>
      </c>
      <c r="Z119" s="460">
        <f>42-12-Y119</f>
        <v>26</v>
      </c>
      <c r="AA119" s="460">
        <f>-20+42-SUM(Y119:Z119)</f>
        <v>-8</v>
      </c>
      <c r="AB119" s="461">
        <f>(-29+50)-(Y119+Z119+AA119)</f>
        <v>-1</v>
      </c>
      <c r="AC119" s="296">
        <f>SUM(Y119:AB119)</f>
        <v>21</v>
      </c>
      <c r="AD119" s="459">
        <v>-8</v>
      </c>
      <c r="AE119" s="460">
        <f>-49+11-AD119</f>
        <v>-30</v>
      </c>
      <c r="AF119" s="460">
        <f>-60+11-SUM(AD119:AE119)</f>
        <v>-11</v>
      </c>
      <c r="AG119" s="461">
        <f>25-78-AF119-AE119-AD119</f>
        <v>-4</v>
      </c>
      <c r="AH119" s="296">
        <f>SUM(AD119:AG119)</f>
        <v>-53</v>
      </c>
      <c r="AI119" s="459">
        <v>-3</v>
      </c>
      <c r="AJ119" s="460">
        <f>5-2-AI119</f>
        <v>6</v>
      </c>
      <c r="AK119" s="460">
        <f>12-28-SUM(AI119:AJ119)</f>
        <v>-19</v>
      </c>
      <c r="AL119" s="461">
        <f>14-42-AK119-AJ119-AI119</f>
        <v>-12</v>
      </c>
      <c r="AM119" s="296">
        <f>SUM(AI119:AL119)</f>
        <v>-28</v>
      </c>
      <c r="AN119" s="459">
        <v>-11</v>
      </c>
      <c r="AO119" s="460">
        <f>-18-AN119</f>
        <v>-7</v>
      </c>
      <c r="AP119" s="460">
        <f>-44-AO119-AN119</f>
        <v>-26</v>
      </c>
      <c r="AQ119" s="461">
        <f>-99+82-AP119-AO119-AN119</f>
        <v>27</v>
      </c>
      <c r="AR119" s="296">
        <f>SUM(AN119:AQ119)</f>
        <v>-17</v>
      </c>
      <c r="AS119" s="459">
        <f>-15+7</f>
        <v>-8</v>
      </c>
      <c r="AT119" s="460">
        <f>-29+36-AS119</f>
        <v>15</v>
      </c>
      <c r="AU119" s="460">
        <f>-90+48-AT119-AS119</f>
        <v>-49</v>
      </c>
      <c r="AV119" s="461">
        <f>-117+72-AU119-AT119-AS119</f>
        <v>-3</v>
      </c>
      <c r="AW119" s="296">
        <f>SUM(AS119:AV119)</f>
        <v>-45</v>
      </c>
      <c r="AX119" s="418">
        <v>0</v>
      </c>
      <c r="AY119" s="353">
        <v>0</v>
      </c>
      <c r="AZ119" s="353">
        <v>0</v>
      </c>
      <c r="BA119" s="419">
        <v>0</v>
      </c>
      <c r="BB119" s="77">
        <f>SUM(AX119:BA119)</f>
        <v>0</v>
      </c>
      <c r="BC119" s="418">
        <v>0</v>
      </c>
      <c r="BD119" s="353">
        <v>0</v>
      </c>
      <c r="BE119" s="353">
        <v>0</v>
      </c>
      <c r="BF119" s="419">
        <v>0</v>
      </c>
      <c r="BG119" s="77">
        <f>SUM(BC119:BF119)</f>
        <v>0</v>
      </c>
      <c r="BH119" s="418">
        <v>0</v>
      </c>
      <c r="BI119" s="353">
        <v>0</v>
      </c>
      <c r="BJ119" s="353">
        <v>0</v>
      </c>
      <c r="BK119" s="419">
        <v>0</v>
      </c>
      <c r="BL119" s="77">
        <f>SUM(BH119:BK119)</f>
        <v>0</v>
      </c>
      <c r="BM119" s="418">
        <v>0</v>
      </c>
      <c r="BN119" s="353">
        <v>0</v>
      </c>
      <c r="BO119" s="353">
        <v>0</v>
      </c>
      <c r="BP119" s="419">
        <v>0</v>
      </c>
      <c r="BQ119" s="77">
        <f>SUM(BM119:BP119)</f>
        <v>0</v>
      </c>
      <c r="BR119" s="296"/>
      <c r="BS119" s="296"/>
      <c r="BT119" s="296"/>
      <c r="BU119" s="296"/>
      <c r="CL119"/>
      <c r="CM119"/>
      <c r="CN119"/>
      <c r="CO119"/>
      <c r="CP119"/>
      <c r="CQ119"/>
    </row>
    <row r="120" spans="1:95" s="2" customFormat="1">
      <c r="A120" s="1523"/>
      <c r="C120" s="49" t="s">
        <v>87</v>
      </c>
      <c r="E120" s="396">
        <f t="shared" ref="E120:N120" si="118">SUM(E117:E119)</f>
        <v>-165</v>
      </c>
      <c r="F120" s="343">
        <f t="shared" si="118"/>
        <v>-45</v>
      </c>
      <c r="G120" s="343">
        <f t="shared" si="118"/>
        <v>-209</v>
      </c>
      <c r="H120" s="397">
        <f t="shared" si="118"/>
        <v>-373</v>
      </c>
      <c r="I120" s="297">
        <f t="shared" si="118"/>
        <v>-792</v>
      </c>
      <c r="J120" s="396">
        <f>SUM(J117:J119)</f>
        <v>-318</v>
      </c>
      <c r="K120" s="343">
        <f>SUM(K117:K119)</f>
        <v>-437</v>
      </c>
      <c r="L120" s="343">
        <f t="shared" si="118"/>
        <v>-341</v>
      </c>
      <c r="M120" s="397">
        <f t="shared" si="118"/>
        <v>-573</v>
      </c>
      <c r="N120" s="297">
        <f t="shared" si="118"/>
        <v>-1669</v>
      </c>
      <c r="O120" s="396">
        <f t="shared" ref="O120:AT120" si="119">SUM(O117:O119)</f>
        <v>-155</v>
      </c>
      <c r="P120" s="343">
        <f t="shared" si="119"/>
        <v>-518</v>
      </c>
      <c r="Q120" s="343">
        <f t="shared" si="119"/>
        <v>-154</v>
      </c>
      <c r="R120" s="397">
        <f t="shared" si="119"/>
        <v>-442</v>
      </c>
      <c r="S120" s="297">
        <f t="shared" si="119"/>
        <v>-1269</v>
      </c>
      <c r="T120" s="396">
        <f t="shared" si="119"/>
        <v>-706</v>
      </c>
      <c r="U120" s="343">
        <f t="shared" si="119"/>
        <v>-633</v>
      </c>
      <c r="V120" s="343">
        <f t="shared" si="119"/>
        <v>-712</v>
      </c>
      <c r="W120" s="397">
        <f t="shared" si="119"/>
        <v>-574</v>
      </c>
      <c r="X120" s="297">
        <f t="shared" si="119"/>
        <v>-2625</v>
      </c>
      <c r="Y120" s="396">
        <f t="shared" si="119"/>
        <v>-733</v>
      </c>
      <c r="Z120" s="343">
        <f t="shared" si="119"/>
        <v>-646</v>
      </c>
      <c r="AA120" s="343">
        <f t="shared" si="119"/>
        <v>-709</v>
      </c>
      <c r="AB120" s="397">
        <f t="shared" ref="AB120:AI120" si="120">SUM(AB117:AB119)</f>
        <v>-713</v>
      </c>
      <c r="AC120" s="297">
        <f t="shared" si="120"/>
        <v>-2801</v>
      </c>
      <c r="AD120" s="396">
        <f t="shared" si="120"/>
        <v>-629</v>
      </c>
      <c r="AE120" s="343">
        <f t="shared" si="120"/>
        <v>-653</v>
      </c>
      <c r="AF120" s="343">
        <f t="shared" si="120"/>
        <v>-706</v>
      </c>
      <c r="AG120" s="397">
        <f t="shared" si="120"/>
        <v>-904</v>
      </c>
      <c r="AH120" s="297">
        <f t="shared" si="120"/>
        <v>-2892</v>
      </c>
      <c r="AI120" s="396">
        <f t="shared" si="120"/>
        <v>-779</v>
      </c>
      <c r="AJ120" s="343">
        <f t="shared" ref="AJ120:AO120" si="121">SUM(AJ117:AJ119)</f>
        <v>-994</v>
      </c>
      <c r="AK120" s="343">
        <f t="shared" si="121"/>
        <v>-1068</v>
      </c>
      <c r="AL120" s="397">
        <f t="shared" si="121"/>
        <v>-1101</v>
      </c>
      <c r="AM120" s="297">
        <f t="shared" si="121"/>
        <v>-3942</v>
      </c>
      <c r="AN120" s="396">
        <f t="shared" si="121"/>
        <v>-1081</v>
      </c>
      <c r="AO120" s="343">
        <f t="shared" si="121"/>
        <v>-923</v>
      </c>
      <c r="AP120" s="343">
        <f t="shared" si="119"/>
        <v>-1050</v>
      </c>
      <c r="AQ120" s="397">
        <f t="shared" si="119"/>
        <v>-1194</v>
      </c>
      <c r="AR120" s="297">
        <f t="shared" si="119"/>
        <v>-4248</v>
      </c>
      <c r="AS120" s="396">
        <f t="shared" si="119"/>
        <v>-1079</v>
      </c>
      <c r="AT120" s="343">
        <f t="shared" si="119"/>
        <v>-910</v>
      </c>
      <c r="AU120" s="343">
        <f t="shared" ref="AU120:BB120" si="122">SUM(AU117:AU119)</f>
        <v>-1115</v>
      </c>
      <c r="AV120" s="397">
        <f t="shared" si="122"/>
        <v>-1152</v>
      </c>
      <c r="AW120" s="297">
        <f t="shared" si="122"/>
        <v>-4256</v>
      </c>
      <c r="AX120" s="396">
        <f t="shared" si="122"/>
        <v>-888.75</v>
      </c>
      <c r="AY120" s="343">
        <f t="shared" si="122"/>
        <v>-888.75</v>
      </c>
      <c r="AZ120" s="343">
        <f t="shared" si="122"/>
        <v>-877.91666666666663</v>
      </c>
      <c r="BA120" s="397">
        <f t="shared" si="122"/>
        <v>-898.75</v>
      </c>
      <c r="BB120" s="297">
        <f t="shared" si="122"/>
        <v>-3554.1666666666665</v>
      </c>
      <c r="BC120" s="396">
        <f t="shared" ref="BC120:BL120" si="123">SUM(BC117:BC119)</f>
        <v>-783.75</v>
      </c>
      <c r="BD120" s="343">
        <f t="shared" si="123"/>
        <v>-783.75</v>
      </c>
      <c r="BE120" s="343">
        <f t="shared" si="123"/>
        <v>-783.75</v>
      </c>
      <c r="BF120" s="397">
        <f t="shared" si="123"/>
        <v>-783.75</v>
      </c>
      <c r="BG120" s="297">
        <f t="shared" si="123"/>
        <v>-3135</v>
      </c>
      <c r="BH120" s="396">
        <f t="shared" si="123"/>
        <v>-755</v>
      </c>
      <c r="BI120" s="343">
        <f t="shared" si="123"/>
        <v>-755</v>
      </c>
      <c r="BJ120" s="343">
        <f t="shared" si="123"/>
        <v>-755</v>
      </c>
      <c r="BK120" s="397">
        <f t="shared" si="123"/>
        <v>-755</v>
      </c>
      <c r="BL120" s="297">
        <f t="shared" si="123"/>
        <v>-3020</v>
      </c>
      <c r="BM120" s="396">
        <f>SUM(BM117:BM119)</f>
        <v>-651.25</v>
      </c>
      <c r="BN120" s="343">
        <f>SUM(BN117:BN119)</f>
        <v>-651.25</v>
      </c>
      <c r="BO120" s="343">
        <f>SUM(BO117:BO119)</f>
        <v>-651.25</v>
      </c>
      <c r="BP120" s="397">
        <f>SUM(BP117:BP119)</f>
        <v>-651.25</v>
      </c>
      <c r="BQ120" s="297">
        <f>SUM(BQ117:BQ119)</f>
        <v>-2605</v>
      </c>
      <c r="BR120" s="296"/>
      <c r="BS120" s="296"/>
      <c r="BT120" s="296"/>
      <c r="BU120" s="296"/>
      <c r="CL120"/>
      <c r="CM120"/>
      <c r="CN120"/>
      <c r="CO120"/>
      <c r="CP120"/>
      <c r="CQ120"/>
    </row>
    <row r="121" spans="1:95" s="2" customFormat="1">
      <c r="A121" s="1523"/>
      <c r="E121" s="392"/>
      <c r="F121" s="341"/>
      <c r="G121" s="341"/>
      <c r="H121" s="393"/>
      <c r="I121" s="296"/>
      <c r="J121" s="392"/>
      <c r="K121" s="341"/>
      <c r="L121" s="341"/>
      <c r="M121" s="393"/>
      <c r="N121" s="296"/>
      <c r="O121" s="392"/>
      <c r="P121" s="341"/>
      <c r="Q121" s="341"/>
      <c r="R121" s="393"/>
      <c r="S121" s="296"/>
      <c r="T121" s="392"/>
      <c r="U121" s="341"/>
      <c r="V121" s="341"/>
      <c r="W121" s="393"/>
      <c r="X121" s="296"/>
      <c r="Y121" s="392"/>
      <c r="Z121" s="341"/>
      <c r="AA121" s="341"/>
      <c r="AB121" s="393"/>
      <c r="AC121" s="296"/>
      <c r="AD121" s="392"/>
      <c r="AE121" s="341"/>
      <c r="AF121" s="341"/>
      <c r="AG121" s="393"/>
      <c r="AH121" s="296"/>
      <c r="AI121" s="392"/>
      <c r="AJ121" s="341"/>
      <c r="AK121" s="341"/>
      <c r="AL121" s="393"/>
      <c r="AM121" s="296"/>
      <c r="AN121" s="392"/>
      <c r="AO121" s="341"/>
      <c r="AP121" s="341"/>
      <c r="AQ121" s="393"/>
      <c r="AR121" s="296"/>
      <c r="AS121" s="392"/>
      <c r="AT121" s="341"/>
      <c r="AU121" s="341"/>
      <c r="AV121" s="393"/>
      <c r="AW121" s="296"/>
      <c r="AX121" s="392"/>
      <c r="AY121" s="341"/>
      <c r="AZ121" s="341"/>
      <c r="BA121" s="393"/>
      <c r="BB121" s="296"/>
      <c r="BC121" s="392"/>
      <c r="BD121" s="341"/>
      <c r="BE121" s="341"/>
      <c r="BF121" s="393"/>
      <c r="BG121" s="296"/>
      <c r="BH121" s="392"/>
      <c r="BI121" s="341"/>
      <c r="BJ121" s="341"/>
      <c r="BK121" s="393"/>
      <c r="BL121" s="296"/>
      <c r="BM121" s="392"/>
      <c r="BN121" s="341"/>
      <c r="BO121" s="341"/>
      <c r="BP121" s="393"/>
      <c r="BQ121" s="296"/>
      <c r="BR121" s="296"/>
      <c r="BS121" s="296"/>
      <c r="BT121" s="296"/>
      <c r="BU121" s="296"/>
      <c r="CL121"/>
      <c r="CM121"/>
      <c r="CN121"/>
      <c r="CO121"/>
      <c r="CP121"/>
      <c r="CQ121"/>
    </row>
    <row r="122" spans="1:95" s="2" customFormat="1">
      <c r="A122" s="1523"/>
      <c r="C122" s="2" t="s">
        <v>320</v>
      </c>
      <c r="E122" s="459">
        <v>209</v>
      </c>
      <c r="F122" s="460">
        <v>0</v>
      </c>
      <c r="G122" s="460">
        <v>0</v>
      </c>
      <c r="H122" s="461">
        <v>250</v>
      </c>
      <c r="I122" s="462">
        <v>459</v>
      </c>
      <c r="J122" s="459">
        <v>344</v>
      </c>
      <c r="K122" s="460">
        <v>850</v>
      </c>
      <c r="L122" s="460">
        <v>414</v>
      </c>
      <c r="M122" s="461">
        <v>120</v>
      </c>
      <c r="N122" s="462">
        <v>1728</v>
      </c>
      <c r="O122" s="459">
        <v>0</v>
      </c>
      <c r="P122" s="460">
        <v>0</v>
      </c>
      <c r="Q122" s="460">
        <v>750</v>
      </c>
      <c r="R122" s="461">
        <f>794-(O122+P122+Q122)</f>
        <v>44</v>
      </c>
      <c r="S122" s="296">
        <f>SUM(O122:R122)</f>
        <v>794</v>
      </c>
      <c r="T122" s="459">
        <v>0</v>
      </c>
      <c r="U122" s="460">
        <f>500-T122</f>
        <v>500</v>
      </c>
      <c r="V122" s="460">
        <f>850-SUM(T122:U122)</f>
        <v>350</v>
      </c>
      <c r="W122" s="461">
        <f>900-(T122+U122+V122)</f>
        <v>50</v>
      </c>
      <c r="X122" s="296">
        <f>SUM(T122:W122)</f>
        <v>900</v>
      </c>
      <c r="Y122" s="459">
        <v>400</v>
      </c>
      <c r="Z122" s="460">
        <f>900-Y122</f>
        <v>500</v>
      </c>
      <c r="AA122" s="460">
        <f>1500-SUM(Y122:Z122)</f>
        <v>600</v>
      </c>
      <c r="AB122" s="461">
        <f>2000-(Y122+Z122+AA122)</f>
        <v>500</v>
      </c>
      <c r="AC122" s="296">
        <f t="shared" ref="AC122:AC129" si="124">SUM(Y122:AB122)</f>
        <v>2000</v>
      </c>
      <c r="AD122" s="459">
        <v>0</v>
      </c>
      <c r="AE122" s="460">
        <f>500-AD122</f>
        <v>500</v>
      </c>
      <c r="AF122" s="460">
        <f>1000-SUM(AD122:AE122)</f>
        <v>500</v>
      </c>
      <c r="AG122" s="461">
        <f>1250-AF122-AE122-AD122</f>
        <v>250</v>
      </c>
      <c r="AH122" s="296">
        <f t="shared" ref="AH122:AH129" si="125">SUM(AD122:AG122)</f>
        <v>1250</v>
      </c>
      <c r="AI122" s="459">
        <v>0</v>
      </c>
      <c r="AJ122" s="460">
        <f>600-AI122</f>
        <v>600</v>
      </c>
      <c r="AK122" s="460">
        <f>600-SUM(AI122:AJ122)</f>
        <v>0</v>
      </c>
      <c r="AL122" s="461">
        <f>1350-AK122-AJ122-AI122</f>
        <v>750</v>
      </c>
      <c r="AM122" s="296">
        <f t="shared" ref="AM122:AM129" si="126">SUM(AI122:AL122)</f>
        <v>1350</v>
      </c>
      <c r="AN122" s="459">
        <v>850</v>
      </c>
      <c r="AO122" s="460">
        <f>1550-AN122</f>
        <v>700</v>
      </c>
      <c r="AP122" s="460">
        <f>1975-AO122-AN122</f>
        <v>425</v>
      </c>
      <c r="AQ122" s="461">
        <f>2675-AP122-AO122-AN122</f>
        <v>700</v>
      </c>
      <c r="AR122" s="296">
        <f t="shared" ref="AR122:AR129" si="127">SUM(AN122:AQ122)</f>
        <v>2675</v>
      </c>
      <c r="AS122" s="459">
        <v>0</v>
      </c>
      <c r="AT122" s="460">
        <f>1125-AS122</f>
        <v>1125</v>
      </c>
      <c r="AU122" s="460">
        <f>1125-AT122-AS122</f>
        <v>0</v>
      </c>
      <c r="AV122" s="461">
        <f>2175-AU122-AT122-AS122</f>
        <v>1050</v>
      </c>
      <c r="AW122" s="296">
        <f t="shared" ref="AW122:AW129" si="128">SUM(AS122:AV122)</f>
        <v>2175</v>
      </c>
      <c r="AX122" s="392">
        <f t="shared" ref="AX122:BA123" si="129">+AX82</f>
        <v>1000</v>
      </c>
      <c r="AY122" s="341">
        <f t="shared" si="129"/>
        <v>1600</v>
      </c>
      <c r="AZ122" s="341">
        <f t="shared" si="129"/>
        <v>250</v>
      </c>
      <c r="BA122" s="393">
        <f t="shared" si="129"/>
        <v>0</v>
      </c>
      <c r="BB122" s="296">
        <f t="shared" ref="BB122:BB129" si="130">SUM(AX122:BA122)</f>
        <v>2850</v>
      </c>
      <c r="BC122" s="392">
        <f t="shared" ref="BC122:BF123" si="131">+BC82</f>
        <v>0</v>
      </c>
      <c r="BD122" s="341">
        <f t="shared" si="131"/>
        <v>1500</v>
      </c>
      <c r="BE122" s="341">
        <f t="shared" si="131"/>
        <v>1400</v>
      </c>
      <c r="BF122" s="393">
        <f t="shared" si="131"/>
        <v>0</v>
      </c>
      <c r="BG122" s="296">
        <f t="shared" ref="BG122:BG129" si="132">SUM(BC122:BF122)</f>
        <v>2900</v>
      </c>
      <c r="BH122" s="392">
        <f t="shared" ref="BH122:BK123" si="133">+BH82</f>
        <v>0</v>
      </c>
      <c r="BI122" s="341">
        <f t="shared" si="133"/>
        <v>1400</v>
      </c>
      <c r="BJ122" s="341">
        <f t="shared" si="133"/>
        <v>500</v>
      </c>
      <c r="BK122" s="393">
        <f t="shared" si="133"/>
        <v>0</v>
      </c>
      <c r="BL122" s="296">
        <f t="shared" ref="BL122:BL129" si="134">SUM(BH122:BK122)</f>
        <v>1900</v>
      </c>
      <c r="BM122" s="392">
        <f t="shared" ref="BM122:BP123" si="135">+BM82</f>
        <v>0</v>
      </c>
      <c r="BN122" s="341">
        <f t="shared" si="135"/>
        <v>1100</v>
      </c>
      <c r="BO122" s="341">
        <f t="shared" si="135"/>
        <v>1250</v>
      </c>
      <c r="BP122" s="393">
        <f t="shared" si="135"/>
        <v>0</v>
      </c>
      <c r="BQ122" s="296">
        <f t="shared" ref="BQ122:BQ129" si="136">SUM(BM122:BP122)</f>
        <v>2350</v>
      </c>
      <c r="BR122" s="296"/>
      <c r="BS122" s="296"/>
      <c r="BT122" s="296"/>
      <c r="BU122" s="296"/>
      <c r="CL122"/>
      <c r="CM122"/>
      <c r="CN122"/>
      <c r="CO122"/>
      <c r="CP122"/>
      <c r="CQ122"/>
    </row>
    <row r="123" spans="1:95" s="2" customFormat="1">
      <c r="A123" s="1523"/>
      <c r="C123" s="2" t="s">
        <v>329</v>
      </c>
      <c r="E123" s="459">
        <v>-333</v>
      </c>
      <c r="F123" s="460">
        <v>-357</v>
      </c>
      <c r="G123" s="460">
        <v>-347</v>
      </c>
      <c r="H123" s="461">
        <v>-292</v>
      </c>
      <c r="I123" s="462">
        <v>-1329</v>
      </c>
      <c r="J123" s="459">
        <v>-345</v>
      </c>
      <c r="K123" s="460">
        <v>-296</v>
      </c>
      <c r="L123" s="460">
        <v>-63</v>
      </c>
      <c r="M123" s="461">
        <v>-318</v>
      </c>
      <c r="N123" s="462">
        <v>-1022</v>
      </c>
      <c r="O123" s="459">
        <v>-47</v>
      </c>
      <c r="P123" s="460">
        <v>-656</v>
      </c>
      <c r="Q123" s="460">
        <v>-51</v>
      </c>
      <c r="R123" s="461">
        <f>(-1514-1-206-17)-(O123+P123+Q123)</f>
        <v>-984</v>
      </c>
      <c r="S123" s="296">
        <f t="shared" ref="S123:S129" si="137">SUM(O123:R123)</f>
        <v>-1738</v>
      </c>
      <c r="T123" s="459">
        <f>-66-49</f>
        <v>-115</v>
      </c>
      <c r="U123" s="460">
        <f>-139-101-T123</f>
        <v>-125</v>
      </c>
      <c r="V123" s="460">
        <f>-439-154-1-SUM(T123:U123)</f>
        <v>-354</v>
      </c>
      <c r="W123" s="461">
        <f>(-1003-1)-(T123+U123+V123)</f>
        <v>-410</v>
      </c>
      <c r="X123" s="296">
        <f t="shared" ref="X123:X129" si="138">SUM(T123:W123)</f>
        <v>-1004</v>
      </c>
      <c r="Y123" s="459">
        <v>-201</v>
      </c>
      <c r="Z123" s="460">
        <f>-556-Y123</f>
        <v>-355</v>
      </c>
      <c r="AA123" s="460">
        <f>-750-162-SUM(Y123:Z123)</f>
        <v>-356</v>
      </c>
      <c r="AB123" s="461">
        <f>(-1025-226)-(Y123+Z123+AA123)</f>
        <v>-339</v>
      </c>
      <c r="AC123" s="296">
        <f t="shared" si="124"/>
        <v>-1251</v>
      </c>
      <c r="AD123" s="459">
        <v>-54</v>
      </c>
      <c r="AE123" s="460">
        <f>-111-AD123</f>
        <v>-57</v>
      </c>
      <c r="AF123" s="460">
        <f>-500-170-SUM(AD123:AE123)</f>
        <v>-559</v>
      </c>
      <c r="AG123" s="461">
        <f>-500-237-AF123-AE123-AD123</f>
        <v>-67</v>
      </c>
      <c r="AH123" s="296">
        <f t="shared" si="125"/>
        <v>-737</v>
      </c>
      <c r="AI123" s="459">
        <v>-58</v>
      </c>
      <c r="AJ123" s="460">
        <f>-125-300-AI123</f>
        <v>-367</v>
      </c>
      <c r="AK123" s="460">
        <f>-300-191-SUM(AI123:AJ123)</f>
        <v>-66</v>
      </c>
      <c r="AL123" s="461">
        <f>-600-259-AK123-AJ123-AI123</f>
        <v>-368</v>
      </c>
      <c r="AM123" s="296">
        <f t="shared" si="126"/>
        <v>-859</v>
      </c>
      <c r="AN123" s="459">
        <v>-171</v>
      </c>
      <c r="AO123" s="460">
        <f>-171-AN123</f>
        <v>0</v>
      </c>
      <c r="AP123" s="460">
        <f>-824-AO123-AN123</f>
        <v>-653</v>
      </c>
      <c r="AQ123" s="461">
        <f>-824-AP123-AO123-AN123</f>
        <v>0</v>
      </c>
      <c r="AR123" s="296">
        <f t="shared" si="127"/>
        <v>-824</v>
      </c>
      <c r="AS123" s="459">
        <v>0</v>
      </c>
      <c r="AT123" s="460">
        <f>0-AS123</f>
        <v>0</v>
      </c>
      <c r="AU123" s="460">
        <f>0-AT123-AS123</f>
        <v>0</v>
      </c>
      <c r="AV123" s="461">
        <f>-500-AU123-AT123-AS123</f>
        <v>-500</v>
      </c>
      <c r="AW123" s="296">
        <f t="shared" si="128"/>
        <v>-500</v>
      </c>
      <c r="AX123" s="392">
        <f t="shared" si="129"/>
        <v>0</v>
      </c>
      <c r="AY123" s="341">
        <f t="shared" si="129"/>
        <v>-750</v>
      </c>
      <c r="AZ123" s="341">
        <f t="shared" si="129"/>
        <v>0</v>
      </c>
      <c r="BA123" s="393">
        <f t="shared" si="129"/>
        <v>-250</v>
      </c>
      <c r="BB123" s="296">
        <f t="shared" si="130"/>
        <v>-1000</v>
      </c>
      <c r="BC123" s="392">
        <f t="shared" si="131"/>
        <v>-44</v>
      </c>
      <c r="BD123" s="341">
        <f t="shared" si="131"/>
        <v>-950</v>
      </c>
      <c r="BE123" s="341">
        <f t="shared" si="131"/>
        <v>-250</v>
      </c>
      <c r="BF123" s="393">
        <f t="shared" si="131"/>
        <v>-400</v>
      </c>
      <c r="BG123" s="296">
        <f t="shared" si="132"/>
        <v>-1644</v>
      </c>
      <c r="BH123" s="392">
        <f t="shared" si="133"/>
        <v>0</v>
      </c>
      <c r="BI123" s="341">
        <f t="shared" si="133"/>
        <v>-656</v>
      </c>
      <c r="BJ123" s="341">
        <f t="shared" si="133"/>
        <v>0</v>
      </c>
      <c r="BK123" s="393">
        <f t="shared" si="133"/>
        <v>-9</v>
      </c>
      <c r="BL123" s="296">
        <f t="shared" si="134"/>
        <v>-665</v>
      </c>
      <c r="BM123" s="392">
        <f t="shared" si="135"/>
        <v>-300</v>
      </c>
      <c r="BN123" s="341">
        <f t="shared" si="135"/>
        <v>-834</v>
      </c>
      <c r="BO123" s="341">
        <f t="shared" si="135"/>
        <v>-250</v>
      </c>
      <c r="BP123" s="393">
        <f t="shared" si="135"/>
        <v>-300</v>
      </c>
      <c r="BQ123" s="296">
        <f t="shared" si="136"/>
        <v>-1684</v>
      </c>
      <c r="BR123" s="296"/>
      <c r="BS123" s="296"/>
      <c r="BT123" s="296"/>
      <c r="BU123" s="296"/>
      <c r="CL123"/>
      <c r="CM123"/>
      <c r="CN123"/>
      <c r="CO123"/>
      <c r="CP123"/>
      <c r="CQ123"/>
    </row>
    <row r="124" spans="1:95" s="2" customFormat="1">
      <c r="A124" s="1523"/>
      <c r="C124" s="2" t="s">
        <v>330</v>
      </c>
      <c r="E124" s="459">
        <v>-19</v>
      </c>
      <c r="F124" s="460">
        <v>333</v>
      </c>
      <c r="G124" s="460">
        <v>-90</v>
      </c>
      <c r="H124" s="461">
        <v>287</v>
      </c>
      <c r="I124" s="462">
        <v>511</v>
      </c>
      <c r="J124" s="459">
        <v>-530</v>
      </c>
      <c r="K124" s="460">
        <v>389</v>
      </c>
      <c r="L124" s="460">
        <v>-389</v>
      </c>
      <c r="M124" s="461">
        <v>64</v>
      </c>
      <c r="N124" s="462">
        <v>-466</v>
      </c>
      <c r="O124" s="459">
        <v>-43</v>
      </c>
      <c r="P124" s="460">
        <v>277</v>
      </c>
      <c r="Q124" s="460">
        <v>-298</v>
      </c>
      <c r="R124" s="461">
        <f>-64-(O124+P124+Q124)</f>
        <v>0</v>
      </c>
      <c r="S124" s="296">
        <f t="shared" si="137"/>
        <v>-64</v>
      </c>
      <c r="T124" s="459">
        <v>29</v>
      </c>
      <c r="U124" s="460">
        <f>16-T124</f>
        <v>-13</v>
      </c>
      <c r="V124" s="460">
        <f>0-SUM(T124:U124)</f>
        <v>-16</v>
      </c>
      <c r="W124" s="461">
        <f>263-(T124+U124+V124)</f>
        <v>263</v>
      </c>
      <c r="X124" s="296">
        <f t="shared" si="138"/>
        <v>263</v>
      </c>
      <c r="Y124" s="459">
        <v>-98</v>
      </c>
      <c r="Z124" s="460">
        <f>-106-Y124</f>
        <v>-8</v>
      </c>
      <c r="AA124" s="460">
        <f>-263-SUM(Y124:Z124)</f>
        <v>-157</v>
      </c>
      <c r="AB124" s="461">
        <f>-203-(Y124+Z124+AA124)</f>
        <v>60</v>
      </c>
      <c r="AC124" s="296">
        <f t="shared" si="124"/>
        <v>-203</v>
      </c>
      <c r="AD124" s="459">
        <v>-60</v>
      </c>
      <c r="AE124" s="460">
        <f>-60-AD124</f>
        <v>0</v>
      </c>
      <c r="AF124" s="460">
        <f>-60-SUM(AD124:AE124)</f>
        <v>0</v>
      </c>
      <c r="AG124" s="461">
        <f>-60-AF124-AE124-AD124</f>
        <v>0</v>
      </c>
      <c r="AH124" s="296">
        <f t="shared" si="125"/>
        <v>-60</v>
      </c>
      <c r="AI124" s="459">
        <v>0</v>
      </c>
      <c r="AJ124" s="460">
        <f>0-AI124</f>
        <v>0</v>
      </c>
      <c r="AK124" s="460">
        <f>20-SUM(AI124:AJ124)</f>
        <v>20</v>
      </c>
      <c r="AL124" s="461">
        <f>364-AK124-AJ124-AI124</f>
        <v>344</v>
      </c>
      <c r="AM124" s="296">
        <f t="shared" si="126"/>
        <v>364</v>
      </c>
      <c r="AN124" s="459">
        <v>-352</v>
      </c>
      <c r="AO124" s="460">
        <f>-364-AN124</f>
        <v>-12</v>
      </c>
      <c r="AP124" s="460">
        <f>-109-AO124-AN124</f>
        <v>255</v>
      </c>
      <c r="AQ124" s="461">
        <f>24-AP124-AO124-AN124</f>
        <v>133</v>
      </c>
      <c r="AR124" s="296">
        <f t="shared" si="127"/>
        <v>24</v>
      </c>
      <c r="AS124" s="459">
        <v>-73</v>
      </c>
      <c r="AT124" s="460">
        <f>-388-AS124</f>
        <v>-315</v>
      </c>
      <c r="AU124" s="460">
        <f>-186-AT124-AS124</f>
        <v>202</v>
      </c>
      <c r="AV124" s="461">
        <f>154-AU124-AT124-AS124</f>
        <v>340</v>
      </c>
      <c r="AW124" s="296">
        <f t="shared" si="128"/>
        <v>154</v>
      </c>
      <c r="AX124" s="418">
        <v>0</v>
      </c>
      <c r="AY124" s="353">
        <v>0</v>
      </c>
      <c r="AZ124" s="353">
        <v>0</v>
      </c>
      <c r="BA124" s="419">
        <v>0</v>
      </c>
      <c r="BB124" s="77">
        <f t="shared" si="130"/>
        <v>0</v>
      </c>
      <c r="BC124" s="418">
        <v>0</v>
      </c>
      <c r="BD124" s="353">
        <v>0</v>
      </c>
      <c r="BE124" s="353">
        <v>0</v>
      </c>
      <c r="BF124" s="419">
        <v>0</v>
      </c>
      <c r="BG124" s="77">
        <f t="shared" si="132"/>
        <v>0</v>
      </c>
      <c r="BH124" s="418">
        <v>0</v>
      </c>
      <c r="BI124" s="353">
        <v>0</v>
      </c>
      <c r="BJ124" s="353">
        <v>0</v>
      </c>
      <c r="BK124" s="419">
        <v>0</v>
      </c>
      <c r="BL124" s="77">
        <f t="shared" si="134"/>
        <v>0</v>
      </c>
      <c r="BM124" s="418">
        <v>0</v>
      </c>
      <c r="BN124" s="353">
        <v>0</v>
      </c>
      <c r="BO124" s="353">
        <v>0</v>
      </c>
      <c r="BP124" s="419">
        <v>0</v>
      </c>
      <c r="BQ124" s="77">
        <f t="shared" si="136"/>
        <v>0</v>
      </c>
      <c r="BR124" s="296"/>
      <c r="BS124" s="296"/>
      <c r="BT124" s="296"/>
      <c r="BU124" s="296"/>
      <c r="CL124"/>
      <c r="CM124"/>
      <c r="CN124"/>
      <c r="CO124"/>
      <c r="CP124"/>
      <c r="CQ124"/>
    </row>
    <row r="125" spans="1:95" s="2" customFormat="1">
      <c r="A125" s="1523"/>
      <c r="C125" s="2" t="s">
        <v>321</v>
      </c>
      <c r="E125" s="459">
        <v>0</v>
      </c>
      <c r="F125" s="460">
        <v>0</v>
      </c>
      <c r="G125" s="460">
        <v>0</v>
      </c>
      <c r="H125" s="461">
        <v>0</v>
      </c>
      <c r="I125" s="462">
        <v>0</v>
      </c>
      <c r="J125" s="459">
        <v>-80</v>
      </c>
      <c r="K125" s="460">
        <v>0</v>
      </c>
      <c r="L125" s="460">
        <v>0</v>
      </c>
      <c r="M125" s="461">
        <v>0</v>
      </c>
      <c r="N125" s="462">
        <v>-80</v>
      </c>
      <c r="O125" s="459">
        <v>0</v>
      </c>
      <c r="P125" s="460">
        <v>0</v>
      </c>
      <c r="Q125" s="460">
        <v>0</v>
      </c>
      <c r="R125" s="461">
        <f>0-(O125+P125+Q125)</f>
        <v>0</v>
      </c>
      <c r="S125" s="296">
        <f t="shared" si="137"/>
        <v>0</v>
      </c>
      <c r="T125" s="459">
        <v>0</v>
      </c>
      <c r="U125" s="460">
        <f>0-T125</f>
        <v>0</v>
      </c>
      <c r="V125" s="460">
        <f>0-SUM(T125:U125)</f>
        <v>0</v>
      </c>
      <c r="W125" s="461">
        <f>0-(T125+U125+V125)</f>
        <v>0</v>
      </c>
      <c r="X125" s="296">
        <f t="shared" si="138"/>
        <v>0</v>
      </c>
      <c r="Y125" s="459">
        <v>0</v>
      </c>
      <c r="Z125" s="460">
        <f>0-Y125</f>
        <v>0</v>
      </c>
      <c r="AA125" s="460">
        <f>0-SUM(Y125:Z125)</f>
        <v>0</v>
      </c>
      <c r="AB125" s="461">
        <f>0-(Y125+Z125+AA125)</f>
        <v>0</v>
      </c>
      <c r="AC125" s="296">
        <f t="shared" si="124"/>
        <v>0</v>
      </c>
      <c r="AD125" s="459">
        <v>0</v>
      </c>
      <c r="AE125" s="460">
        <v>0</v>
      </c>
      <c r="AF125" s="460">
        <f>0-SUM(AD125:AE125)</f>
        <v>0</v>
      </c>
      <c r="AG125" s="461">
        <f>0-AF125-AE125-AD125</f>
        <v>0</v>
      </c>
      <c r="AH125" s="296">
        <f t="shared" si="125"/>
        <v>0</v>
      </c>
      <c r="AI125" s="459">
        <v>0</v>
      </c>
      <c r="AJ125" s="460">
        <v>0</v>
      </c>
      <c r="AK125" s="460">
        <f>0-SUM(AI125:AJ125)</f>
        <v>0</v>
      </c>
      <c r="AL125" s="461">
        <f>0-AK125-AJ125-AI125</f>
        <v>0</v>
      </c>
      <c r="AM125" s="296">
        <f t="shared" si="126"/>
        <v>0</v>
      </c>
      <c r="AN125" s="459">
        <v>0</v>
      </c>
      <c r="AO125" s="460">
        <f>0-AN125</f>
        <v>0</v>
      </c>
      <c r="AP125" s="460">
        <f>0-SUM(AN125:AO125)</f>
        <v>0</v>
      </c>
      <c r="AQ125" s="461">
        <f>0-AP125-AO125-AN125</f>
        <v>0</v>
      </c>
      <c r="AR125" s="296">
        <f t="shared" si="127"/>
        <v>0</v>
      </c>
      <c r="AS125" s="459">
        <v>0</v>
      </c>
      <c r="AT125" s="460">
        <f>0-AS125</f>
        <v>0</v>
      </c>
      <c r="AU125" s="460">
        <f>0-SUM(AS125:AT125)</f>
        <v>0</v>
      </c>
      <c r="AV125" s="461">
        <f>0-AU125-AT125-AS125</f>
        <v>0</v>
      </c>
      <c r="AW125" s="296">
        <f t="shared" si="128"/>
        <v>0</v>
      </c>
      <c r="AX125" s="418">
        <v>0</v>
      </c>
      <c r="AY125" s="353">
        <v>0</v>
      </c>
      <c r="AZ125" s="353">
        <v>0</v>
      </c>
      <c r="BA125" s="419">
        <v>0</v>
      </c>
      <c r="BB125" s="77">
        <f t="shared" si="130"/>
        <v>0</v>
      </c>
      <c r="BC125" s="418">
        <v>0</v>
      </c>
      <c r="BD125" s="353">
        <v>0</v>
      </c>
      <c r="BE125" s="353">
        <v>0</v>
      </c>
      <c r="BF125" s="419">
        <v>0</v>
      </c>
      <c r="BG125" s="77">
        <f t="shared" si="132"/>
        <v>0</v>
      </c>
      <c r="BH125" s="418">
        <v>0</v>
      </c>
      <c r="BI125" s="353">
        <v>0</v>
      </c>
      <c r="BJ125" s="353">
        <v>0</v>
      </c>
      <c r="BK125" s="419">
        <v>0</v>
      </c>
      <c r="BL125" s="77">
        <f t="shared" si="134"/>
        <v>0</v>
      </c>
      <c r="BM125" s="418">
        <v>0</v>
      </c>
      <c r="BN125" s="353">
        <v>0</v>
      </c>
      <c r="BO125" s="353">
        <v>0</v>
      </c>
      <c r="BP125" s="419">
        <v>0</v>
      </c>
      <c r="BQ125" s="77">
        <f t="shared" si="136"/>
        <v>0</v>
      </c>
      <c r="BR125" s="296"/>
      <c r="BS125" s="296"/>
      <c r="BT125" s="296"/>
      <c r="BU125" s="296"/>
      <c r="CL125"/>
      <c r="CM125"/>
      <c r="CN125"/>
      <c r="CO125"/>
      <c r="CP125"/>
      <c r="CQ125"/>
    </row>
    <row r="126" spans="1:95" s="2" customFormat="1">
      <c r="A126" s="1523"/>
      <c r="C126" s="2" t="s">
        <v>331</v>
      </c>
      <c r="E126" s="459">
        <v>0</v>
      </c>
      <c r="F126" s="460">
        <v>0</v>
      </c>
      <c r="G126" s="460">
        <v>0</v>
      </c>
      <c r="H126" s="461">
        <v>0</v>
      </c>
      <c r="I126" s="462">
        <v>0</v>
      </c>
      <c r="J126" s="459">
        <v>0</v>
      </c>
      <c r="K126" s="460">
        <v>0</v>
      </c>
      <c r="L126" s="460">
        <v>0</v>
      </c>
      <c r="M126" s="461">
        <v>0</v>
      </c>
      <c r="N126" s="462">
        <v>0</v>
      </c>
      <c r="O126" s="459">
        <v>0</v>
      </c>
      <c r="P126" s="460">
        <v>0</v>
      </c>
      <c r="Q126" s="460">
        <v>0</v>
      </c>
      <c r="R126" s="461">
        <f>0-(O126+P126+Q126)</f>
        <v>0</v>
      </c>
      <c r="S126" s="296">
        <f>SUM(O126:R126)</f>
        <v>0</v>
      </c>
      <c r="T126" s="459">
        <v>0</v>
      </c>
      <c r="U126" s="460">
        <f>0-T126</f>
        <v>0</v>
      </c>
      <c r="V126" s="460">
        <f>0-SUM(T126:U126)</f>
        <v>0</v>
      </c>
      <c r="W126" s="461">
        <f>0-(T126+U126+V126)</f>
        <v>0</v>
      </c>
      <c r="X126" s="296">
        <f>SUM(T126:W126)</f>
        <v>0</v>
      </c>
      <c r="Y126" s="459">
        <v>0</v>
      </c>
      <c r="Z126" s="460">
        <f>0-Y126</f>
        <v>0</v>
      </c>
      <c r="AA126" s="460">
        <f>0-SUM(Y126:Z126)</f>
        <v>0</v>
      </c>
      <c r="AB126" s="461">
        <f>0-(Y126+Z126+AA126)</f>
        <v>0</v>
      </c>
      <c r="AC126" s="296">
        <f t="shared" si="124"/>
        <v>0</v>
      </c>
      <c r="AD126" s="459">
        <v>0</v>
      </c>
      <c r="AE126" s="460">
        <v>0</v>
      </c>
      <c r="AF126" s="460">
        <f>0-SUM(AD126:AE126)</f>
        <v>0</v>
      </c>
      <c r="AG126" s="461">
        <f>0-AF126-AE126-AD126</f>
        <v>0</v>
      </c>
      <c r="AH126" s="296">
        <f t="shared" si="125"/>
        <v>0</v>
      </c>
      <c r="AI126" s="459">
        <v>0</v>
      </c>
      <c r="AJ126" s="460">
        <v>0</v>
      </c>
      <c r="AK126" s="460">
        <f>0-SUM(AI126:AJ126)</f>
        <v>0</v>
      </c>
      <c r="AL126" s="461">
        <f>0-AK126-AJ126-AI126</f>
        <v>0</v>
      </c>
      <c r="AM126" s="296">
        <f t="shared" si="126"/>
        <v>0</v>
      </c>
      <c r="AN126" s="459">
        <v>0</v>
      </c>
      <c r="AO126" s="460">
        <f>0-AN126</f>
        <v>0</v>
      </c>
      <c r="AP126" s="460">
        <f>0-SUM(AN126:AO126)</f>
        <v>0</v>
      </c>
      <c r="AQ126" s="461">
        <f>0-AP126-AO126-AN126</f>
        <v>0</v>
      </c>
      <c r="AR126" s="296">
        <f t="shared" si="127"/>
        <v>0</v>
      </c>
      <c r="AS126" s="459">
        <v>0</v>
      </c>
      <c r="AT126" s="460">
        <f>0-AS126</f>
        <v>0</v>
      </c>
      <c r="AU126" s="460">
        <f>0-SUM(AS126:AT126)</f>
        <v>0</v>
      </c>
      <c r="AV126" s="461">
        <f>0-AU126-AT126-AS126</f>
        <v>0</v>
      </c>
      <c r="AW126" s="296">
        <f t="shared" si="128"/>
        <v>0</v>
      </c>
      <c r="AX126" s="392">
        <f>+AX63</f>
        <v>0</v>
      </c>
      <c r="AY126" s="341">
        <f>+AY63</f>
        <v>0</v>
      </c>
      <c r="AZ126" s="341">
        <f>+AZ63</f>
        <v>0</v>
      </c>
      <c r="BA126" s="393">
        <f>+BA63</f>
        <v>0</v>
      </c>
      <c r="BB126" s="296">
        <f t="shared" si="130"/>
        <v>0</v>
      </c>
      <c r="BC126" s="392">
        <f>+BC63</f>
        <v>0</v>
      </c>
      <c r="BD126" s="341">
        <f>+BD63</f>
        <v>0</v>
      </c>
      <c r="BE126" s="341">
        <f>+BE63</f>
        <v>0</v>
      </c>
      <c r="BF126" s="393">
        <f>+BF63</f>
        <v>0</v>
      </c>
      <c r="BG126" s="296">
        <f t="shared" si="132"/>
        <v>0</v>
      </c>
      <c r="BH126" s="392">
        <f>+BH63</f>
        <v>0</v>
      </c>
      <c r="BI126" s="341">
        <f>+BI63</f>
        <v>0</v>
      </c>
      <c r="BJ126" s="341">
        <f>+BJ63</f>
        <v>0</v>
      </c>
      <c r="BK126" s="393">
        <f>+BK63</f>
        <v>0</v>
      </c>
      <c r="BL126" s="296">
        <f t="shared" si="134"/>
        <v>0</v>
      </c>
      <c r="BM126" s="392">
        <f>+BM63</f>
        <v>0</v>
      </c>
      <c r="BN126" s="341">
        <f>+BN63</f>
        <v>0</v>
      </c>
      <c r="BO126" s="341">
        <f>+BO63</f>
        <v>0</v>
      </c>
      <c r="BP126" s="393">
        <f>+BP63</f>
        <v>0</v>
      </c>
      <c r="BQ126" s="296">
        <f t="shared" si="136"/>
        <v>0</v>
      </c>
      <c r="BR126" s="296"/>
      <c r="BS126" s="296"/>
      <c r="BT126" s="296"/>
      <c r="BU126" s="296"/>
      <c r="CL126"/>
      <c r="CM126"/>
      <c r="CN126"/>
      <c r="CO126"/>
      <c r="CP126"/>
      <c r="CQ126"/>
    </row>
    <row r="127" spans="1:95" s="2" customFormat="1">
      <c r="A127" s="1523"/>
      <c r="C127" s="2" t="s">
        <v>323</v>
      </c>
      <c r="E127" s="459">
        <v>-168</v>
      </c>
      <c r="F127" s="460">
        <v>-168</v>
      </c>
      <c r="G127" s="460">
        <v>-169</v>
      </c>
      <c r="H127" s="461">
        <v>-168</v>
      </c>
      <c r="I127" s="462">
        <v>-673</v>
      </c>
      <c r="J127" s="459">
        <v>-173</v>
      </c>
      <c r="K127" s="460">
        <v>-174</v>
      </c>
      <c r="L127" s="460">
        <v>-173</v>
      </c>
      <c r="M127" s="461">
        <v>-173</v>
      </c>
      <c r="N127" s="462">
        <v>-693</v>
      </c>
      <c r="O127" s="459">
        <v>-173</v>
      </c>
      <c r="P127" s="460">
        <v>-174</v>
      </c>
      <c r="Q127" s="460">
        <v>-173</v>
      </c>
      <c r="R127" s="461">
        <f>-693-(O127+P127+Q127)</f>
        <v>-173</v>
      </c>
      <c r="S127" s="296">
        <f t="shared" si="137"/>
        <v>-693</v>
      </c>
      <c r="T127" s="459">
        <v>-179</v>
      </c>
      <c r="U127" s="460">
        <f>-359-T127</f>
        <v>-180</v>
      </c>
      <c r="V127" s="460">
        <f>-538-SUM(T127:U127)</f>
        <v>-179</v>
      </c>
      <c r="W127" s="461">
        <f>-718-(T127+U127+V127)</f>
        <v>-180</v>
      </c>
      <c r="X127" s="296">
        <f t="shared" si="138"/>
        <v>-718</v>
      </c>
      <c r="Y127" s="459">
        <v>-182</v>
      </c>
      <c r="Z127" s="460">
        <f>-364-Y127</f>
        <v>-182</v>
      </c>
      <c r="AA127" s="460">
        <f>-546-SUM(Y127:Z127)</f>
        <v>-182</v>
      </c>
      <c r="AB127" s="461">
        <f>-728-(Y127+Z127+AA127)</f>
        <v>-182</v>
      </c>
      <c r="AC127" s="296">
        <f t="shared" si="124"/>
        <v>-728</v>
      </c>
      <c r="AD127" s="459">
        <v>-187</v>
      </c>
      <c r="AE127" s="460">
        <f>-374-AD127</f>
        <v>-187</v>
      </c>
      <c r="AF127" s="460">
        <f>-561-SUM(AD127:AE127)</f>
        <v>-187</v>
      </c>
      <c r="AG127" s="461">
        <f>-748-AF127-AE127-AD127</f>
        <v>-187</v>
      </c>
      <c r="AH127" s="296">
        <f t="shared" si="125"/>
        <v>-748</v>
      </c>
      <c r="AI127" s="459">
        <v>-197</v>
      </c>
      <c r="AJ127" s="460">
        <f>-394-AI127</f>
        <v>-197</v>
      </c>
      <c r="AK127" s="460">
        <f>-592-SUM(AI127:AJ127)</f>
        <v>-198</v>
      </c>
      <c r="AL127" s="461">
        <f>-789-AK127-AJ127-AI127</f>
        <v>-197</v>
      </c>
      <c r="AM127" s="296">
        <f t="shared" si="126"/>
        <v>-789</v>
      </c>
      <c r="AN127" s="459">
        <v>-207</v>
      </c>
      <c r="AO127" s="460">
        <f>-415-AN127</f>
        <v>-208</v>
      </c>
      <c r="AP127" s="460">
        <f>-622-AO127-AN127</f>
        <v>-207</v>
      </c>
      <c r="AQ127" s="461">
        <f>-830-AP127-AO127-AN127</f>
        <v>-208</v>
      </c>
      <c r="AR127" s="296">
        <f t="shared" si="127"/>
        <v>-830</v>
      </c>
      <c r="AS127" s="459">
        <v>-218</v>
      </c>
      <c r="AT127" s="460">
        <f>-435-AS127</f>
        <v>-217</v>
      </c>
      <c r="AU127" s="460">
        <f>-652-AT127-AS127</f>
        <v>-217</v>
      </c>
      <c r="AV127" s="461">
        <f>-870-AU127-AT127-AS127</f>
        <v>-218</v>
      </c>
      <c r="AW127" s="296">
        <f t="shared" si="128"/>
        <v>-870</v>
      </c>
      <c r="AX127" s="392">
        <f>-AX54*AX45</f>
        <v>-226.92174999999997</v>
      </c>
      <c r="AY127" s="341">
        <f>-AY54*AY45</f>
        <v>-226.92174999999997</v>
      </c>
      <c r="AZ127" s="341">
        <f>-AZ54*AZ45</f>
        <v>-226.92174999999997</v>
      </c>
      <c r="BA127" s="393">
        <f>-BA54*BA45</f>
        <v>-226.92174999999997</v>
      </c>
      <c r="BB127" s="296">
        <f t="shared" si="130"/>
        <v>-907.6869999999999</v>
      </c>
      <c r="BC127" s="392">
        <f>-BC54*BC45</f>
        <v>-237.13322874999997</v>
      </c>
      <c r="BD127" s="341">
        <f>-BD54*BD45</f>
        <v>-237.13322874999997</v>
      </c>
      <c r="BE127" s="341">
        <f>-BE54*BE45</f>
        <v>-237.13322874999997</v>
      </c>
      <c r="BF127" s="393">
        <f>-BF54*BF45</f>
        <v>-237.13322874999997</v>
      </c>
      <c r="BG127" s="296">
        <f t="shared" si="132"/>
        <v>-948.53291499999989</v>
      </c>
      <c r="BH127" s="392">
        <f>-BH54*BH45</f>
        <v>-247.80422404374997</v>
      </c>
      <c r="BI127" s="341">
        <f>-BI54*BI45</f>
        <v>-247.80422404374997</v>
      </c>
      <c r="BJ127" s="341">
        <f>-BJ54*BJ45</f>
        <v>-247.80422404374997</v>
      </c>
      <c r="BK127" s="393">
        <f>-BK54*BK45</f>
        <v>-247.80422404374997</v>
      </c>
      <c r="BL127" s="296">
        <f t="shared" si="134"/>
        <v>-991.21689617499987</v>
      </c>
      <c r="BM127" s="392">
        <f>-BM54*BM45</f>
        <v>-258.95541412571868</v>
      </c>
      <c r="BN127" s="341">
        <f>-BN54*BN45</f>
        <v>-258.95541412571868</v>
      </c>
      <c r="BO127" s="341">
        <f>-BO54*BO45</f>
        <v>-258.95541412571868</v>
      </c>
      <c r="BP127" s="393">
        <f>-BP54*BP45</f>
        <v>-258.95541412571868</v>
      </c>
      <c r="BQ127" s="296">
        <f t="shared" si="136"/>
        <v>-1035.8216565028747</v>
      </c>
      <c r="BR127" s="296"/>
      <c r="BS127" s="296"/>
      <c r="BT127" s="296"/>
      <c r="BU127" s="296"/>
      <c r="CL127"/>
      <c r="CM127"/>
      <c r="CN127"/>
      <c r="CO127"/>
      <c r="CP127"/>
      <c r="CQ127"/>
    </row>
    <row r="128" spans="1:95" s="2" customFormat="1">
      <c r="A128" s="1523"/>
      <c r="C128" s="2" t="s">
        <v>199</v>
      </c>
      <c r="E128" s="459">
        <v>-2</v>
      </c>
      <c r="F128" s="460">
        <v>-2</v>
      </c>
      <c r="G128" s="460">
        <v>0</v>
      </c>
      <c r="H128" s="461">
        <v>2</v>
      </c>
      <c r="I128" s="462">
        <v>-2</v>
      </c>
      <c r="J128" s="459">
        <v>-8</v>
      </c>
      <c r="K128" s="460">
        <v>-35</v>
      </c>
      <c r="L128" s="460">
        <v>8</v>
      </c>
      <c r="M128" s="461">
        <v>3</v>
      </c>
      <c r="N128" s="462">
        <v>-32</v>
      </c>
      <c r="O128" s="459">
        <v>-4</v>
      </c>
      <c r="P128" s="460">
        <v>-23</v>
      </c>
      <c r="Q128" s="460">
        <v>-5</v>
      </c>
      <c r="R128" s="461">
        <f>-33-(O128+P128+Q128)</f>
        <v>-1</v>
      </c>
      <c r="S128" s="296">
        <f t="shared" si="137"/>
        <v>-33</v>
      </c>
      <c r="T128" s="459">
        <v>-20</v>
      </c>
      <c r="U128" s="460">
        <f>-25-T128</f>
        <v>-5</v>
      </c>
      <c r="V128" s="460">
        <f>-32-SUM(T128:U128)</f>
        <v>-7</v>
      </c>
      <c r="W128" s="461">
        <f>-58-(T128+U128+V128)</f>
        <v>-26</v>
      </c>
      <c r="X128" s="296">
        <f t="shared" si="138"/>
        <v>-58</v>
      </c>
      <c r="Y128" s="459">
        <v>-22</v>
      </c>
      <c r="Z128" s="460">
        <f>-53-Y128</f>
        <v>-31</v>
      </c>
      <c r="AA128" s="460">
        <f>-57-SUM(Y128:Z128)</f>
        <v>-4</v>
      </c>
      <c r="AB128" s="461">
        <f>-61-(Y128+Z128+AA128)</f>
        <v>-4</v>
      </c>
      <c r="AC128" s="296">
        <f t="shared" si="124"/>
        <v>-61</v>
      </c>
      <c r="AD128" s="459">
        <v>-24</v>
      </c>
      <c r="AE128" s="460">
        <f>-44-AD128:AD128</f>
        <v>-20</v>
      </c>
      <c r="AF128" s="460">
        <f>-47-SUM(AD128:AE128)</f>
        <v>-3</v>
      </c>
      <c r="AG128" s="461">
        <f>-64-AF128-AE128-AD128</f>
        <v>-17</v>
      </c>
      <c r="AH128" s="296">
        <f t="shared" si="125"/>
        <v>-64</v>
      </c>
      <c r="AI128" s="459">
        <v>-39</v>
      </c>
      <c r="AJ128" s="460">
        <f>-47-AI128</f>
        <v>-8</v>
      </c>
      <c r="AK128" s="460">
        <f>-55-SUM(AI128:AJ128)</f>
        <v>-8</v>
      </c>
      <c r="AL128" s="461">
        <f>-51-AK128-AJ128-AI128</f>
        <v>4</v>
      </c>
      <c r="AM128" s="296">
        <f t="shared" si="126"/>
        <v>-51</v>
      </c>
      <c r="AN128" s="459">
        <v>-55</v>
      </c>
      <c r="AO128" s="460">
        <f>-64-AN128</f>
        <v>-9</v>
      </c>
      <c r="AP128" s="460">
        <f>-71-AO128-AN128</f>
        <v>-7</v>
      </c>
      <c r="AQ128" s="461">
        <f>-79-AP128-AO128-AN128</f>
        <v>-8</v>
      </c>
      <c r="AR128" s="296">
        <f t="shared" si="127"/>
        <v>-79</v>
      </c>
      <c r="AS128" s="459">
        <v>-56</v>
      </c>
      <c r="AT128" s="460">
        <f>-62-AS128</f>
        <v>-6</v>
      </c>
      <c r="AU128" s="460">
        <f>-62-AT128-AS128</f>
        <v>0</v>
      </c>
      <c r="AV128" s="461">
        <f>-74-AU128-AT128-AS128</f>
        <v>-12</v>
      </c>
      <c r="AW128" s="296">
        <f t="shared" si="128"/>
        <v>-74</v>
      </c>
      <c r="AX128" s="398">
        <v>0</v>
      </c>
      <c r="AY128" s="344">
        <v>0</v>
      </c>
      <c r="AZ128" s="344">
        <v>0</v>
      </c>
      <c r="BA128" s="399">
        <v>0</v>
      </c>
      <c r="BB128" s="296">
        <f t="shared" si="130"/>
        <v>0</v>
      </c>
      <c r="BC128" s="398">
        <v>0</v>
      </c>
      <c r="BD128" s="344">
        <v>0</v>
      </c>
      <c r="BE128" s="344">
        <v>0</v>
      </c>
      <c r="BF128" s="399">
        <v>0</v>
      </c>
      <c r="BG128" s="296">
        <f t="shared" si="132"/>
        <v>0</v>
      </c>
      <c r="BH128" s="398">
        <v>0</v>
      </c>
      <c r="BI128" s="344">
        <v>0</v>
      </c>
      <c r="BJ128" s="344">
        <v>0</v>
      </c>
      <c r="BK128" s="399">
        <v>0</v>
      </c>
      <c r="BL128" s="296">
        <f t="shared" si="134"/>
        <v>0</v>
      </c>
      <c r="BM128" s="398">
        <v>0</v>
      </c>
      <c r="BN128" s="344">
        <v>0</v>
      </c>
      <c r="BO128" s="344">
        <v>0</v>
      </c>
      <c r="BP128" s="399">
        <v>0</v>
      </c>
      <c r="BQ128" s="296">
        <f t="shared" si="136"/>
        <v>0</v>
      </c>
      <c r="BR128" s="296"/>
      <c r="BS128" s="296"/>
      <c r="BT128" s="296"/>
      <c r="BU128" s="296"/>
      <c r="CL128"/>
      <c r="CM128"/>
      <c r="CN128"/>
      <c r="CO128"/>
      <c r="CP128"/>
      <c r="CQ128"/>
    </row>
    <row r="129" spans="1:95" s="2" customFormat="1">
      <c r="A129" s="1523"/>
      <c r="C129" s="49" t="s">
        <v>200</v>
      </c>
      <c r="E129" s="396">
        <f>SUM(E122:E128)</f>
        <v>-313</v>
      </c>
      <c r="F129" s="343">
        <f>SUM(F122:F128)</f>
        <v>-194</v>
      </c>
      <c r="G129" s="343">
        <f>SUM(G122:G128)</f>
        <v>-606</v>
      </c>
      <c r="H129" s="397">
        <f>SUM(H122:H128)</f>
        <v>79</v>
      </c>
      <c r="I129" s="297">
        <f>SUM(E129:H129)</f>
        <v>-1034</v>
      </c>
      <c r="J129" s="396">
        <f>SUM(J122:J128)</f>
        <v>-792</v>
      </c>
      <c r="K129" s="343">
        <f>SUM(K122:K128)</f>
        <v>734</v>
      </c>
      <c r="L129" s="343">
        <f>SUM(L122:L128)</f>
        <v>-203</v>
      </c>
      <c r="M129" s="397">
        <f>SUM(M122:M128)</f>
        <v>-304</v>
      </c>
      <c r="N129" s="297">
        <f>SUM(J129:M129)</f>
        <v>-565</v>
      </c>
      <c r="O129" s="396">
        <f>SUM(O122:O128)</f>
        <v>-267</v>
      </c>
      <c r="P129" s="343">
        <f>SUM(P122:P128)</f>
        <v>-576</v>
      </c>
      <c r="Q129" s="343">
        <f>SUM(Q122:Q128)</f>
        <v>223</v>
      </c>
      <c r="R129" s="397">
        <f>SUM(R122:R128)</f>
        <v>-1114</v>
      </c>
      <c r="S129" s="297">
        <f t="shared" si="137"/>
        <v>-1734</v>
      </c>
      <c r="T129" s="396">
        <f>SUM(T122:T128)</f>
        <v>-285</v>
      </c>
      <c r="U129" s="343">
        <f>SUM(U122:U128)</f>
        <v>177</v>
      </c>
      <c r="V129" s="343">
        <f>SUM(V122:V128)</f>
        <v>-206</v>
      </c>
      <c r="W129" s="397">
        <f>SUM(W122:W128)</f>
        <v>-303</v>
      </c>
      <c r="X129" s="297">
        <f t="shared" si="138"/>
        <v>-617</v>
      </c>
      <c r="Y129" s="396">
        <f>SUM(Y122:Y128)</f>
        <v>-103</v>
      </c>
      <c r="Z129" s="343">
        <f>SUM(Z122:Z128)</f>
        <v>-76</v>
      </c>
      <c r="AA129" s="343">
        <f>SUM(AA122:AA128)</f>
        <v>-99</v>
      </c>
      <c r="AB129" s="397">
        <f>SUM(AB122:AB128)</f>
        <v>35</v>
      </c>
      <c r="AC129" s="297">
        <f t="shared" si="124"/>
        <v>-243</v>
      </c>
      <c r="AD129" s="396">
        <f>SUM(AD122:AD128)</f>
        <v>-325</v>
      </c>
      <c r="AE129" s="343">
        <f>SUM(AE122:AE128)</f>
        <v>236</v>
      </c>
      <c r="AF129" s="343">
        <f>SUM(AF122:AF128)</f>
        <v>-249</v>
      </c>
      <c r="AG129" s="397">
        <f>SUM(AG122:AG128)</f>
        <v>-21</v>
      </c>
      <c r="AH129" s="297">
        <f t="shared" si="125"/>
        <v>-359</v>
      </c>
      <c r="AI129" s="396">
        <f>SUM(AI122:AI128)</f>
        <v>-294</v>
      </c>
      <c r="AJ129" s="343">
        <f>SUM(AJ122:AJ128)</f>
        <v>28</v>
      </c>
      <c r="AK129" s="343">
        <f>SUM(AK122:AK128)</f>
        <v>-252</v>
      </c>
      <c r="AL129" s="397">
        <f>SUM(AL122:AL128)</f>
        <v>533</v>
      </c>
      <c r="AM129" s="297">
        <f t="shared" si="126"/>
        <v>15</v>
      </c>
      <c r="AN129" s="396">
        <f>SUM(AN122:AN128)</f>
        <v>65</v>
      </c>
      <c r="AO129" s="343">
        <f>SUM(AO122:AO128)</f>
        <v>471</v>
      </c>
      <c r="AP129" s="343">
        <f>SUM(AP122:AP128)</f>
        <v>-187</v>
      </c>
      <c r="AQ129" s="397">
        <f>SUM(AQ122:AQ128)</f>
        <v>617</v>
      </c>
      <c r="AR129" s="297">
        <f t="shared" si="127"/>
        <v>966</v>
      </c>
      <c r="AS129" s="396">
        <f>SUM(AS122:AS128)</f>
        <v>-347</v>
      </c>
      <c r="AT129" s="343">
        <f>SUM(AT122:AT128)</f>
        <v>587</v>
      </c>
      <c r="AU129" s="343">
        <f>SUM(AU122:AU128)</f>
        <v>-15</v>
      </c>
      <c r="AV129" s="397">
        <f>SUM(AV122:AV128)</f>
        <v>660</v>
      </c>
      <c r="AW129" s="297">
        <f t="shared" si="128"/>
        <v>885</v>
      </c>
      <c r="AX129" s="396">
        <f>SUM(AX122:AX128)</f>
        <v>773.07825000000003</v>
      </c>
      <c r="AY129" s="343">
        <f>SUM(AY122:AY128)</f>
        <v>623.07825000000003</v>
      </c>
      <c r="AZ129" s="343">
        <f>SUM(AZ122:AZ128)</f>
        <v>23.078250000000025</v>
      </c>
      <c r="BA129" s="397">
        <f>SUM(BA122:BA128)</f>
        <v>-476.92174999999997</v>
      </c>
      <c r="BB129" s="297">
        <f t="shared" si="130"/>
        <v>942.3130000000001</v>
      </c>
      <c r="BC129" s="396">
        <f>SUM(BC122:BC128)</f>
        <v>-281.13322874999994</v>
      </c>
      <c r="BD129" s="343">
        <f>SUM(BD122:BD128)</f>
        <v>312.86677125000006</v>
      </c>
      <c r="BE129" s="343">
        <f>SUM(BE122:BE128)</f>
        <v>912.86677125000006</v>
      </c>
      <c r="BF129" s="397">
        <f>SUM(BF122:BF128)</f>
        <v>-637.13322874999994</v>
      </c>
      <c r="BG129" s="297">
        <f t="shared" si="132"/>
        <v>307.46708500000022</v>
      </c>
      <c r="BH129" s="396">
        <f>SUM(BH122:BH128)</f>
        <v>-247.80422404374997</v>
      </c>
      <c r="BI129" s="343">
        <f>SUM(BI122:BI128)</f>
        <v>496.19577595625003</v>
      </c>
      <c r="BJ129" s="343">
        <f>SUM(BJ122:BJ128)</f>
        <v>252.19577595625003</v>
      </c>
      <c r="BK129" s="397">
        <f>SUM(BK122:BK128)</f>
        <v>-256.80422404374997</v>
      </c>
      <c r="BL129" s="297">
        <f t="shared" si="134"/>
        <v>243.78310382500013</v>
      </c>
      <c r="BM129" s="396">
        <f>SUM(BM122:BM128)</f>
        <v>-558.95541412571868</v>
      </c>
      <c r="BN129" s="343">
        <f>SUM(BN122:BN128)</f>
        <v>7.0445858742813243</v>
      </c>
      <c r="BO129" s="343">
        <f>SUM(BO122:BO128)</f>
        <v>741.04458587428132</v>
      </c>
      <c r="BP129" s="397">
        <f>SUM(BP122:BP128)</f>
        <v>-558.95541412571868</v>
      </c>
      <c r="BQ129" s="297">
        <f t="shared" si="136"/>
        <v>-369.8216565028747</v>
      </c>
      <c r="BR129" s="296"/>
      <c r="BS129" s="296"/>
      <c r="BT129" s="296"/>
      <c r="BU129" s="296"/>
      <c r="CL129"/>
      <c r="CM129"/>
      <c r="CN129"/>
      <c r="CO129"/>
      <c r="CP129"/>
      <c r="CQ129"/>
    </row>
    <row r="130" spans="1:95" s="2" customFormat="1">
      <c r="A130" s="1523"/>
      <c r="C130" s="49"/>
      <c r="E130" s="400"/>
      <c r="F130" s="343"/>
      <c r="G130" s="343"/>
      <c r="H130" s="397"/>
      <c r="I130" s="297"/>
      <c r="J130" s="400"/>
      <c r="K130" s="343"/>
      <c r="L130" s="343"/>
      <c r="M130" s="397"/>
      <c r="N130" s="297"/>
      <c r="O130" s="396"/>
      <c r="P130" s="343"/>
      <c r="Q130" s="343"/>
      <c r="R130" s="397"/>
      <c r="S130" s="297"/>
      <c r="T130" s="396"/>
      <c r="U130" s="343"/>
      <c r="V130" s="343"/>
      <c r="W130" s="397"/>
      <c r="X130" s="297"/>
      <c r="Y130" s="396"/>
      <c r="Z130" s="343"/>
      <c r="AA130" s="343"/>
      <c r="AB130" s="397"/>
      <c r="AC130" s="297"/>
      <c r="AD130" s="396"/>
      <c r="AE130" s="343"/>
      <c r="AF130" s="343"/>
      <c r="AG130" s="397"/>
      <c r="AH130" s="297"/>
      <c r="AI130" s="396"/>
      <c r="AJ130" s="343"/>
      <c r="AK130" s="343"/>
      <c r="AL130" s="397"/>
      <c r="AM130" s="297"/>
      <c r="AN130" s="396"/>
      <c r="AO130" s="343"/>
      <c r="AP130" s="343"/>
      <c r="AQ130" s="397"/>
      <c r="AR130" s="297"/>
      <c r="AS130" s="396"/>
      <c r="AT130" s="343"/>
      <c r="AU130" s="343"/>
      <c r="AV130" s="397"/>
      <c r="AW130" s="297"/>
      <c r="AX130" s="396"/>
      <c r="AY130" s="343"/>
      <c r="AZ130" s="343"/>
      <c r="BA130" s="397"/>
      <c r="BB130" s="297"/>
      <c r="BC130" s="396"/>
      <c r="BD130" s="343"/>
      <c r="BE130" s="343"/>
      <c r="BF130" s="397"/>
      <c r="BG130" s="297"/>
      <c r="BH130" s="396"/>
      <c r="BI130" s="343"/>
      <c r="BJ130" s="343"/>
      <c r="BK130" s="397"/>
      <c r="BL130" s="297"/>
      <c r="BM130" s="396"/>
      <c r="BN130" s="343"/>
      <c r="BO130" s="343"/>
      <c r="BP130" s="397"/>
      <c r="BQ130" s="297"/>
      <c r="BR130" s="296"/>
      <c r="BS130" s="296"/>
      <c r="BT130" s="296"/>
      <c r="BU130" s="296"/>
      <c r="CL130"/>
      <c r="CM130"/>
      <c r="CN130"/>
      <c r="CO130"/>
      <c r="CP130"/>
      <c r="CQ130"/>
    </row>
    <row r="131" spans="1:95" s="2" customFormat="1">
      <c r="A131" s="1523"/>
      <c r="C131" s="49" t="s">
        <v>201</v>
      </c>
      <c r="E131" s="477">
        <f>E115+E120+E129</f>
        <v>911</v>
      </c>
      <c r="F131" s="478">
        <f t="shared" ref="F131:W131" si="139">F115+F120+F129</f>
        <v>-839</v>
      </c>
      <c r="G131" s="478">
        <f t="shared" si="139"/>
        <v>-263</v>
      </c>
      <c r="H131" s="479">
        <f t="shared" si="139"/>
        <v>220</v>
      </c>
      <c r="I131" s="297">
        <f t="shared" si="139"/>
        <v>29</v>
      </c>
      <c r="J131" s="396">
        <f t="shared" si="139"/>
        <v>-38</v>
      </c>
      <c r="K131" s="343">
        <f t="shared" si="139"/>
        <v>-255</v>
      </c>
      <c r="L131" s="343">
        <f t="shared" si="139"/>
        <v>275</v>
      </c>
      <c r="M131" s="397">
        <f t="shared" si="139"/>
        <v>-52</v>
      </c>
      <c r="N131" s="297">
        <f t="shared" si="139"/>
        <v>-70</v>
      </c>
      <c r="O131" s="396">
        <f t="shared" si="139"/>
        <v>620</v>
      </c>
      <c r="P131" s="343">
        <f t="shared" si="139"/>
        <v>-741</v>
      </c>
      <c r="Q131" s="343">
        <f t="shared" si="139"/>
        <v>1083</v>
      </c>
      <c r="R131" s="397">
        <f t="shared" si="139"/>
        <v>-408</v>
      </c>
      <c r="S131" s="297">
        <f t="shared" si="139"/>
        <v>554</v>
      </c>
      <c r="T131" s="396">
        <f t="shared" si="139"/>
        <v>97</v>
      </c>
      <c r="U131" s="343">
        <f t="shared" si="139"/>
        <v>-166</v>
      </c>
      <c r="V131" s="343">
        <f t="shared" si="139"/>
        <v>15</v>
      </c>
      <c r="W131" s="397">
        <f t="shared" si="139"/>
        <v>-401</v>
      </c>
      <c r="X131" s="297">
        <f t="shared" ref="X131:AC131" si="140">X115+X120+X129</f>
        <v>-455</v>
      </c>
      <c r="Y131" s="396">
        <f t="shared" si="140"/>
        <v>41</v>
      </c>
      <c r="Z131" s="343">
        <f t="shared" si="140"/>
        <v>-256</v>
      </c>
      <c r="AA131" s="343">
        <f t="shared" si="140"/>
        <v>284</v>
      </c>
      <c r="AB131" s="397">
        <f t="shared" si="140"/>
        <v>45</v>
      </c>
      <c r="AC131" s="297">
        <f t="shared" si="140"/>
        <v>114</v>
      </c>
      <c r="AD131" s="396">
        <f t="shared" ref="AD131:AI131" si="141">AD115+AD120+AD129</f>
        <v>162</v>
      </c>
      <c r="AE131" s="343">
        <f t="shared" si="141"/>
        <v>-85</v>
      </c>
      <c r="AF131" s="343">
        <f t="shared" si="141"/>
        <v>133</v>
      </c>
      <c r="AG131" s="397">
        <f t="shared" si="141"/>
        <v>-301</v>
      </c>
      <c r="AH131" s="297">
        <f t="shared" si="141"/>
        <v>-91</v>
      </c>
      <c r="AI131" s="396">
        <f t="shared" si="141"/>
        <v>606</v>
      </c>
      <c r="AJ131" s="343">
        <f t="shared" ref="AJ131:AP131" si="142">AJ115+AJ120+AJ129</f>
        <v>-411</v>
      </c>
      <c r="AK131" s="343">
        <f t="shared" si="142"/>
        <v>-326</v>
      </c>
      <c r="AL131" s="397">
        <f t="shared" si="142"/>
        <v>123</v>
      </c>
      <c r="AM131" s="297">
        <f t="shared" si="142"/>
        <v>-8</v>
      </c>
      <c r="AN131" s="396">
        <f t="shared" si="142"/>
        <v>198</v>
      </c>
      <c r="AO131" s="343">
        <f>AO115+AO120+AO129</f>
        <v>56</v>
      </c>
      <c r="AP131" s="343">
        <f t="shared" si="142"/>
        <v>-198</v>
      </c>
      <c r="AQ131" s="397">
        <f t="shared" ref="AQ131:BB131" si="143">AQ115+AQ120+AQ129</f>
        <v>-27</v>
      </c>
      <c r="AR131" s="297">
        <f t="shared" si="143"/>
        <v>29</v>
      </c>
      <c r="AS131" s="396">
        <f t="shared" si="143"/>
        <v>-230</v>
      </c>
      <c r="AT131" s="343">
        <f t="shared" si="143"/>
        <v>237</v>
      </c>
      <c r="AU131" s="343">
        <f t="shared" si="143"/>
        <v>-152</v>
      </c>
      <c r="AV131" s="397">
        <f t="shared" si="143"/>
        <v>35</v>
      </c>
      <c r="AW131" s="297">
        <f t="shared" si="143"/>
        <v>-110</v>
      </c>
      <c r="AX131" s="396">
        <f t="shared" si="143"/>
        <v>749.4861592573277</v>
      </c>
      <c r="AY131" s="343">
        <f t="shared" si="143"/>
        <v>403.8760968167378</v>
      </c>
      <c r="AZ131" s="343">
        <f t="shared" si="143"/>
        <v>-94.460487224074541</v>
      </c>
      <c r="BA131" s="397">
        <f t="shared" si="143"/>
        <v>-700.82566762624492</v>
      </c>
      <c r="BB131" s="297">
        <f t="shared" si="143"/>
        <v>358.07610122374626</v>
      </c>
      <c r="BC131" s="396">
        <f t="shared" ref="BC131:BL131" si="144">BC115+BC120+BC129</f>
        <v>-162.70237638403046</v>
      </c>
      <c r="BD131" s="343">
        <f t="shared" si="144"/>
        <v>254.87045140449686</v>
      </c>
      <c r="BE131" s="343">
        <f t="shared" si="144"/>
        <v>822.12013376183359</v>
      </c>
      <c r="BF131" s="397">
        <f t="shared" si="144"/>
        <v>-855.03183962594937</v>
      </c>
      <c r="BG131" s="297">
        <f t="shared" si="144"/>
        <v>59.256369156350502</v>
      </c>
      <c r="BH131" s="396">
        <f t="shared" si="144"/>
        <v>-138.71519790340369</v>
      </c>
      <c r="BI131" s="343">
        <f t="shared" si="144"/>
        <v>385.54337765456978</v>
      </c>
      <c r="BJ131" s="343">
        <f t="shared" si="144"/>
        <v>169.22605226616236</v>
      </c>
      <c r="BK131" s="397">
        <f t="shared" si="144"/>
        <v>-443.79393347959706</v>
      </c>
      <c r="BL131" s="297">
        <f t="shared" si="144"/>
        <v>-27.73970146226884</v>
      </c>
      <c r="BM131" s="396">
        <f>BM115+BM120+BM129</f>
        <v>-317.20424864740892</v>
      </c>
      <c r="BN131" s="343">
        <f>BN115+BN120+BN129</f>
        <v>72.949943133778788</v>
      </c>
      <c r="BO131" s="343">
        <f>BO115+BO120+BO129</f>
        <v>808.1793188154835</v>
      </c>
      <c r="BP131" s="397">
        <f>BP115+BP120+BP129</f>
        <v>-547.076075330035</v>
      </c>
      <c r="BQ131" s="297">
        <f>BQ115+BQ120+BQ129</f>
        <v>16.848937971818486</v>
      </c>
      <c r="BR131" s="296"/>
      <c r="BS131" s="296"/>
      <c r="BT131" s="296"/>
      <c r="BU131" s="296"/>
      <c r="CL131"/>
      <c r="CM131"/>
      <c r="CN131"/>
      <c r="CO131"/>
      <c r="CP131"/>
      <c r="CQ131"/>
    </row>
    <row r="132" spans="1:95" s="2" customFormat="1">
      <c r="A132" s="1523"/>
      <c r="E132" s="434"/>
      <c r="F132" s="435"/>
      <c r="G132" s="435"/>
      <c r="H132" s="436"/>
      <c r="I132" s="296"/>
      <c r="J132" s="392"/>
      <c r="K132" s="341"/>
      <c r="L132" s="341"/>
      <c r="M132" s="393"/>
      <c r="N132" s="296"/>
      <c r="O132" s="392"/>
      <c r="P132" s="341"/>
      <c r="Q132" s="341"/>
      <c r="R132" s="393"/>
      <c r="S132" s="296"/>
      <c r="T132" s="392"/>
      <c r="U132" s="341"/>
      <c r="V132" s="341"/>
      <c r="W132" s="393"/>
      <c r="X132" s="296"/>
      <c r="Y132" s="392"/>
      <c r="Z132" s="341"/>
      <c r="AA132" s="341"/>
      <c r="AB132" s="393"/>
      <c r="AC132" s="296"/>
      <c r="AD132" s="392"/>
      <c r="AE132" s="341"/>
      <c r="AF132" s="341"/>
      <c r="AG132" s="393"/>
      <c r="AH132" s="296"/>
      <c r="AI132" s="392"/>
      <c r="AJ132" s="341"/>
      <c r="AK132" s="341"/>
      <c r="AL132" s="393"/>
      <c r="AM132" s="296"/>
      <c r="AN132" s="392"/>
      <c r="AO132" s="341"/>
      <c r="AP132" s="341"/>
      <c r="AQ132" s="393"/>
      <c r="AR132" s="296"/>
      <c r="AS132" s="392"/>
      <c r="AT132" s="341"/>
      <c r="AU132" s="341"/>
      <c r="AV132" s="393"/>
      <c r="AW132" s="296"/>
      <c r="AX132" s="392"/>
      <c r="AY132" s="341"/>
      <c r="AZ132" s="341"/>
      <c r="BA132" s="393"/>
      <c r="BB132" s="296"/>
      <c r="BC132" s="392"/>
      <c r="BD132" s="341"/>
      <c r="BE132" s="341"/>
      <c r="BF132" s="393"/>
      <c r="BG132" s="296"/>
      <c r="BH132" s="392"/>
      <c r="BI132" s="341"/>
      <c r="BJ132" s="341"/>
      <c r="BK132" s="393"/>
      <c r="BL132" s="296"/>
      <c r="BM132" s="392"/>
      <c r="BN132" s="341"/>
      <c r="BO132" s="341"/>
      <c r="BP132" s="393"/>
      <c r="BQ132" s="296"/>
      <c r="BR132" s="296"/>
      <c r="BS132" s="296"/>
      <c r="BT132" s="296"/>
      <c r="BU132" s="296"/>
      <c r="CL132"/>
      <c r="CM132"/>
      <c r="CN132"/>
      <c r="CO132"/>
      <c r="CP132"/>
      <c r="CQ132"/>
    </row>
    <row r="133" spans="1:95" s="2" customFormat="1">
      <c r="A133" s="1523"/>
      <c r="C133" s="2" t="s">
        <v>332</v>
      </c>
      <c r="E133" s="459">
        <v>321</v>
      </c>
      <c r="F133" s="341">
        <f>+E135</f>
        <v>1232</v>
      </c>
      <c r="G133" s="341">
        <f>+F135</f>
        <v>393</v>
      </c>
      <c r="H133" s="393">
        <f>+G135</f>
        <v>130</v>
      </c>
      <c r="I133" s="296">
        <f>+E133</f>
        <v>321</v>
      </c>
      <c r="J133" s="406">
        <f>I135</f>
        <v>350</v>
      </c>
      <c r="K133" s="341">
        <f>+J135</f>
        <v>312</v>
      </c>
      <c r="L133" s="341">
        <f>+K135</f>
        <v>57</v>
      </c>
      <c r="M133" s="393">
        <f>+L135</f>
        <v>332</v>
      </c>
      <c r="N133" s="296">
        <f>+J133</f>
        <v>350</v>
      </c>
      <c r="O133" s="406">
        <f>N135</f>
        <v>280</v>
      </c>
      <c r="P133" s="341">
        <f>+O135</f>
        <v>900</v>
      </c>
      <c r="Q133" s="341">
        <f>+P135</f>
        <v>159</v>
      </c>
      <c r="R133" s="393">
        <f>+Q135</f>
        <v>1242</v>
      </c>
      <c r="S133" s="296">
        <f>+O133</f>
        <v>280</v>
      </c>
      <c r="T133" s="406">
        <f>+S135</f>
        <v>834</v>
      </c>
      <c r="U133" s="341">
        <f>+T135</f>
        <v>931</v>
      </c>
      <c r="V133" s="341">
        <f>+U135</f>
        <v>765</v>
      </c>
      <c r="W133" s="393">
        <f>+V135</f>
        <v>780</v>
      </c>
      <c r="X133" s="296">
        <f>+T133</f>
        <v>834</v>
      </c>
      <c r="Y133" s="392">
        <f>+X135</f>
        <v>379</v>
      </c>
      <c r="Z133" s="341">
        <f>+Y135</f>
        <v>420</v>
      </c>
      <c r="AA133" s="341">
        <f>+Z135</f>
        <v>164</v>
      </c>
      <c r="AB133" s="393">
        <f>+AA135</f>
        <v>448</v>
      </c>
      <c r="AC133" s="296">
        <f>+Y133</f>
        <v>379</v>
      </c>
      <c r="AD133" s="392">
        <f>+AC135</f>
        <v>493</v>
      </c>
      <c r="AE133" s="341">
        <f>+AD135</f>
        <v>655</v>
      </c>
      <c r="AF133" s="341">
        <f>+AE135</f>
        <v>570</v>
      </c>
      <c r="AG133" s="393">
        <f>+AF135</f>
        <v>703</v>
      </c>
      <c r="AH133" s="296">
        <f>+AD133</f>
        <v>493</v>
      </c>
      <c r="AI133" s="392">
        <f>+AH135</f>
        <v>402</v>
      </c>
      <c r="AJ133" s="341">
        <f>+AI135</f>
        <v>1008</v>
      </c>
      <c r="AK133" s="341">
        <f>+AJ135</f>
        <v>597</v>
      </c>
      <c r="AL133" s="393">
        <f>+AK135</f>
        <v>271</v>
      </c>
      <c r="AM133" s="296">
        <f>+AI133</f>
        <v>402</v>
      </c>
      <c r="AN133" s="392">
        <f>+AM135</f>
        <v>394</v>
      </c>
      <c r="AO133" s="341">
        <f>+AN135</f>
        <v>592</v>
      </c>
      <c r="AP133" s="341">
        <f>+AO135</f>
        <v>648</v>
      </c>
      <c r="AQ133" s="393">
        <f>+AP135</f>
        <v>450</v>
      </c>
      <c r="AR133" s="296">
        <f>+AN133</f>
        <v>394</v>
      </c>
      <c r="AS133" s="392">
        <f>+AR135</f>
        <v>423</v>
      </c>
      <c r="AT133" s="341">
        <f>+AS135</f>
        <v>193</v>
      </c>
      <c r="AU133" s="341">
        <f>+AT135</f>
        <v>430</v>
      </c>
      <c r="AV133" s="393">
        <f>+AU135</f>
        <v>278</v>
      </c>
      <c r="AW133" s="296">
        <f>+AS133</f>
        <v>423</v>
      </c>
      <c r="AX133" s="392">
        <f>+AW135</f>
        <v>313</v>
      </c>
      <c r="AY133" s="341">
        <f>+AX135</f>
        <v>520.4861592573277</v>
      </c>
      <c r="AZ133" s="341">
        <f>+AY135</f>
        <v>924.3622560740655</v>
      </c>
      <c r="BA133" s="393">
        <f>+AZ135</f>
        <v>829.90176884999096</v>
      </c>
      <c r="BB133" s="296">
        <f>+AX133</f>
        <v>313</v>
      </c>
      <c r="BC133" s="392">
        <f>+BB135</f>
        <v>129.07610122374604</v>
      </c>
      <c r="BD133" s="341">
        <f>+BC135</f>
        <v>0</v>
      </c>
      <c r="BE133" s="341">
        <f>+BD135</f>
        <v>221.24417624421244</v>
      </c>
      <c r="BF133" s="393">
        <f>+BE135</f>
        <v>1043.364310006046</v>
      </c>
      <c r="BG133" s="296">
        <f>+BC133</f>
        <v>129.07610122374604</v>
      </c>
      <c r="BH133" s="392">
        <f>+BG135</f>
        <v>188.33247038009665</v>
      </c>
      <c r="BI133" s="341">
        <f>+BH135</f>
        <v>49.61727247669296</v>
      </c>
      <c r="BJ133" s="341">
        <f>+BI135</f>
        <v>435.16065013126274</v>
      </c>
      <c r="BK133" s="393">
        <f>+BJ135</f>
        <v>604.3867023974251</v>
      </c>
      <c r="BL133" s="296">
        <f>+BH133</f>
        <v>188.33247038009665</v>
      </c>
      <c r="BM133" s="392">
        <f>+BL135</f>
        <v>160.59276891782804</v>
      </c>
      <c r="BN133" s="341">
        <f>+BM135</f>
        <v>0</v>
      </c>
      <c r="BO133" s="341">
        <f>+BN135</f>
        <v>0</v>
      </c>
      <c r="BP133" s="393">
        <f>+BO135</f>
        <v>724.51778221968141</v>
      </c>
      <c r="BQ133" s="296">
        <f>+BM133</f>
        <v>160.59276891782804</v>
      </c>
      <c r="BR133" s="296"/>
      <c r="BS133" s="296"/>
      <c r="BT133" s="296"/>
      <c r="BU133" s="296"/>
      <c r="CL133"/>
      <c r="CM133"/>
      <c r="CN133"/>
      <c r="CO133"/>
      <c r="CP133"/>
      <c r="CQ133"/>
    </row>
    <row r="134" spans="1:95" s="17" customFormat="1">
      <c r="C134" s="17" t="s">
        <v>330</v>
      </c>
      <c r="E134" s="406">
        <v>0</v>
      </c>
      <c r="F134" s="348">
        <v>0</v>
      </c>
      <c r="G134" s="348">
        <v>0</v>
      </c>
      <c r="H134" s="405">
        <v>0</v>
      </c>
      <c r="I134" s="451">
        <f>+SUM(E134:H134)</f>
        <v>0</v>
      </c>
      <c r="J134" s="406">
        <v>0</v>
      </c>
      <c r="K134" s="348">
        <v>0</v>
      </c>
      <c r="L134" s="348">
        <v>0</v>
      </c>
      <c r="M134" s="405">
        <v>0</v>
      </c>
      <c r="N134" s="451">
        <f>+SUM(J134:M134)</f>
        <v>0</v>
      </c>
      <c r="O134" s="459">
        <v>0</v>
      </c>
      <c r="P134" s="460">
        <v>0</v>
      </c>
      <c r="Q134" s="460">
        <v>0</v>
      </c>
      <c r="R134" s="461">
        <v>0</v>
      </c>
      <c r="S134" s="451">
        <f>+SUM(O134:R134)</f>
        <v>0</v>
      </c>
      <c r="T134" s="459">
        <v>0</v>
      </c>
      <c r="U134" s="460">
        <v>0</v>
      </c>
      <c r="V134" s="460">
        <v>0</v>
      </c>
      <c r="W134" s="461">
        <v>0</v>
      </c>
      <c r="X134" s="77">
        <f>+SUM(T134:W134)</f>
        <v>0</v>
      </c>
      <c r="Y134" s="459">
        <v>0</v>
      </c>
      <c r="Z134" s="460">
        <v>0</v>
      </c>
      <c r="AA134" s="460">
        <v>0</v>
      </c>
      <c r="AB134" s="461">
        <v>0</v>
      </c>
      <c r="AC134" s="77">
        <f>+SUM(Y134:AB134)</f>
        <v>0</v>
      </c>
      <c r="AD134" s="459">
        <v>0</v>
      </c>
      <c r="AE134" s="460">
        <v>0</v>
      </c>
      <c r="AF134" s="460">
        <v>0</v>
      </c>
      <c r="AG134" s="461">
        <v>0</v>
      </c>
      <c r="AH134" s="77">
        <f>+SUM(AD134:AG134)</f>
        <v>0</v>
      </c>
      <c r="AI134" s="459">
        <v>0</v>
      </c>
      <c r="AJ134" s="460">
        <v>0</v>
      </c>
      <c r="AK134" s="460">
        <v>0</v>
      </c>
      <c r="AL134" s="461">
        <v>0</v>
      </c>
      <c r="AM134" s="77">
        <f>+SUM(AI134:AL134)</f>
        <v>0</v>
      </c>
      <c r="AN134" s="459">
        <v>0</v>
      </c>
      <c r="AO134" s="460">
        <v>0</v>
      </c>
      <c r="AP134" s="460">
        <f>IF((AP131+AP133)&gt;=AO189,-AO189,-(AP131+AP133))</f>
        <v>0</v>
      </c>
      <c r="AQ134" s="461">
        <v>0</v>
      </c>
      <c r="AR134" s="77">
        <f>+SUM(AN134:AQ134)</f>
        <v>0</v>
      </c>
      <c r="AS134" s="459">
        <v>0</v>
      </c>
      <c r="AT134" s="460">
        <v>0</v>
      </c>
      <c r="AU134" s="460">
        <f>IF((AU131+AU133)&gt;=AT189,-AT189,-(AU131+AU133))</f>
        <v>0</v>
      </c>
      <c r="AV134" s="461">
        <v>0</v>
      </c>
      <c r="AW134" s="77">
        <f>+SUM(AS134:AV134)</f>
        <v>0</v>
      </c>
      <c r="AX134" s="406">
        <f>IF((AX131+AX133)&gt;=AW189,-AW189,-(AX131+AX133))</f>
        <v>-542</v>
      </c>
      <c r="AY134" s="348">
        <f>IF((AY131+AY133)&gt;=AX189,-AX189,-(AY131+AY133))</f>
        <v>0</v>
      </c>
      <c r="AZ134" s="348">
        <f>IF((AZ131+AZ133)&gt;=AY189,-AY189,-(AZ131+AZ133))</f>
        <v>0</v>
      </c>
      <c r="BA134" s="405">
        <f>IF((BA131+BA133)&gt;=AZ189,-AZ189,-(BA131+BA133))</f>
        <v>0</v>
      </c>
      <c r="BB134" s="451">
        <f>+SUM(AX134:BA134)</f>
        <v>-542</v>
      </c>
      <c r="BC134" s="406">
        <f>IF((BC131+BC133)&gt;=BB189,-BB189,-(BC131+BC133))</f>
        <v>33.626275160284422</v>
      </c>
      <c r="BD134" s="348">
        <f>IF((BD131+BD133)&gt;=BC189,-BC189,-(BD131+BD133))</f>
        <v>-33.626275160284422</v>
      </c>
      <c r="BE134" s="348">
        <f>IF((BE131+BE133)&gt;=BD189,-BD189,-(BE131+BE133))</f>
        <v>0</v>
      </c>
      <c r="BF134" s="405">
        <f>IF((BF131+BF133)&gt;=BE189,-BE189,-(BF131+BF133))</f>
        <v>0</v>
      </c>
      <c r="BG134" s="451">
        <f>+SUM(BC134:BF134)</f>
        <v>0</v>
      </c>
      <c r="BH134" s="406">
        <f>IF((BH131+BH133)&gt;=BG189,-BG189,-(BH131+BH133))</f>
        <v>0</v>
      </c>
      <c r="BI134" s="348">
        <f>IF((BI131+BI133)&gt;=BH189,-BH189,-(BI131+BI133))</f>
        <v>0</v>
      </c>
      <c r="BJ134" s="348">
        <f>IF((BJ131+BJ133)&gt;=BI189,-BI189,-(BJ131+BJ133))</f>
        <v>0</v>
      </c>
      <c r="BK134" s="405">
        <f>IF((BK131+BK133)&gt;=BJ189,-BJ189,-(BK131+BK133))</f>
        <v>0</v>
      </c>
      <c r="BL134" s="451">
        <f>+SUM(BH134:BK134)</f>
        <v>0</v>
      </c>
      <c r="BM134" s="406">
        <f>IF((BM131+BM133)&gt;=BL189,-BL189,-(BM131+BM133))</f>
        <v>156.61147972958088</v>
      </c>
      <c r="BN134" s="348">
        <f>IF((BN131+BN133)&gt;=BM189,-BM189,-(BN131+BN133))</f>
        <v>-72.949943133778788</v>
      </c>
      <c r="BO134" s="348">
        <f>IF((BO131+BO133)&gt;=BN189,-BN189,-(BO131+BO133))</f>
        <v>-83.66153659580209</v>
      </c>
      <c r="BP134" s="405">
        <f>IF((BP131+BP133)&gt;=BO189,-BO189,-(BP131+BP133))</f>
        <v>0</v>
      </c>
      <c r="BQ134" s="451">
        <f>+SUM(BM134:BP134)</f>
        <v>0</v>
      </c>
      <c r="BR134" s="451"/>
      <c r="BS134" s="451"/>
      <c r="BT134" s="451"/>
      <c r="BU134" s="451"/>
      <c r="CL134"/>
      <c r="CM134"/>
      <c r="CN134"/>
      <c r="CO134"/>
      <c r="CP134"/>
      <c r="CQ134"/>
    </row>
    <row r="135" spans="1:95" s="2" customFormat="1">
      <c r="A135" s="1523"/>
      <c r="C135" s="49" t="s">
        <v>304</v>
      </c>
      <c r="E135" s="396">
        <f t="shared" ref="E135:S135" si="145">+E134+E133+E131</f>
        <v>1232</v>
      </c>
      <c r="F135" s="343">
        <f t="shared" si="145"/>
        <v>393</v>
      </c>
      <c r="G135" s="343">
        <f t="shared" si="145"/>
        <v>130</v>
      </c>
      <c r="H135" s="397">
        <f t="shared" si="145"/>
        <v>350</v>
      </c>
      <c r="I135" s="297">
        <f t="shared" si="145"/>
        <v>350</v>
      </c>
      <c r="J135" s="396">
        <f t="shared" si="145"/>
        <v>312</v>
      </c>
      <c r="K135" s="343">
        <f t="shared" si="145"/>
        <v>57</v>
      </c>
      <c r="L135" s="343">
        <f t="shared" si="145"/>
        <v>332</v>
      </c>
      <c r="M135" s="397">
        <f t="shared" si="145"/>
        <v>280</v>
      </c>
      <c r="N135" s="297">
        <f t="shared" si="145"/>
        <v>280</v>
      </c>
      <c r="O135" s="396">
        <f t="shared" si="145"/>
        <v>900</v>
      </c>
      <c r="P135" s="343">
        <f t="shared" si="145"/>
        <v>159</v>
      </c>
      <c r="Q135" s="343">
        <f t="shared" si="145"/>
        <v>1242</v>
      </c>
      <c r="R135" s="397">
        <f t="shared" si="145"/>
        <v>834</v>
      </c>
      <c r="S135" s="297">
        <f t="shared" si="145"/>
        <v>834</v>
      </c>
      <c r="T135" s="396">
        <f t="shared" ref="T135:AC135" si="146">+T134+T133+T131</f>
        <v>931</v>
      </c>
      <c r="U135" s="343">
        <f t="shared" si="146"/>
        <v>765</v>
      </c>
      <c r="V135" s="343">
        <f t="shared" si="146"/>
        <v>780</v>
      </c>
      <c r="W135" s="397">
        <f t="shared" si="146"/>
        <v>379</v>
      </c>
      <c r="X135" s="297">
        <f t="shared" si="146"/>
        <v>379</v>
      </c>
      <c r="Y135" s="396">
        <f t="shared" si="146"/>
        <v>420</v>
      </c>
      <c r="Z135" s="343">
        <f t="shared" si="146"/>
        <v>164</v>
      </c>
      <c r="AA135" s="343">
        <f t="shared" si="146"/>
        <v>448</v>
      </c>
      <c r="AB135" s="397">
        <f t="shared" si="146"/>
        <v>493</v>
      </c>
      <c r="AC135" s="297">
        <f t="shared" si="146"/>
        <v>493</v>
      </c>
      <c r="AD135" s="396">
        <f t="shared" ref="AD135:AI135" si="147">+AD134+AD133+AD131</f>
        <v>655</v>
      </c>
      <c r="AE135" s="343">
        <f t="shared" si="147"/>
        <v>570</v>
      </c>
      <c r="AF135" s="343">
        <f t="shared" si="147"/>
        <v>703</v>
      </c>
      <c r="AG135" s="397">
        <f t="shared" si="147"/>
        <v>402</v>
      </c>
      <c r="AH135" s="297">
        <f t="shared" si="147"/>
        <v>402</v>
      </c>
      <c r="AI135" s="396">
        <f t="shared" si="147"/>
        <v>1008</v>
      </c>
      <c r="AJ135" s="343">
        <f t="shared" ref="AJ135:AP135" si="148">+AJ134+AJ133+AJ131</f>
        <v>597</v>
      </c>
      <c r="AK135" s="343">
        <f t="shared" si="148"/>
        <v>271</v>
      </c>
      <c r="AL135" s="397">
        <f t="shared" si="148"/>
        <v>394</v>
      </c>
      <c r="AM135" s="297">
        <f t="shared" si="148"/>
        <v>394</v>
      </c>
      <c r="AN135" s="396">
        <f t="shared" si="148"/>
        <v>592</v>
      </c>
      <c r="AO135" s="343">
        <f>+AO134+AO133+AO131</f>
        <v>648</v>
      </c>
      <c r="AP135" s="343">
        <f t="shared" si="148"/>
        <v>450</v>
      </c>
      <c r="AQ135" s="397">
        <f t="shared" ref="AQ135:BA135" si="149">+AQ134+AQ133+AQ131</f>
        <v>423</v>
      </c>
      <c r="AR135" s="297">
        <f t="shared" si="149"/>
        <v>423</v>
      </c>
      <c r="AS135" s="396">
        <f t="shared" si="149"/>
        <v>193</v>
      </c>
      <c r="AT135" s="343">
        <f t="shared" si="149"/>
        <v>430</v>
      </c>
      <c r="AU135" s="343">
        <f t="shared" si="149"/>
        <v>278</v>
      </c>
      <c r="AV135" s="397">
        <f t="shared" si="149"/>
        <v>313</v>
      </c>
      <c r="AW135" s="297">
        <f t="shared" si="149"/>
        <v>313</v>
      </c>
      <c r="AX135" s="396">
        <f t="shared" si="149"/>
        <v>520.4861592573277</v>
      </c>
      <c r="AY135" s="343">
        <f t="shared" si="149"/>
        <v>924.3622560740655</v>
      </c>
      <c r="AZ135" s="343">
        <f t="shared" si="149"/>
        <v>829.90176884999096</v>
      </c>
      <c r="BA135" s="397">
        <f t="shared" si="149"/>
        <v>129.07610122374604</v>
      </c>
      <c r="BB135" s="297">
        <f>+BA135</f>
        <v>129.07610122374604</v>
      </c>
      <c r="BC135" s="396">
        <f>+BC134+BC133+BC131</f>
        <v>0</v>
      </c>
      <c r="BD135" s="343">
        <f>+BD134+BD133+BD131</f>
        <v>221.24417624421244</v>
      </c>
      <c r="BE135" s="343">
        <f>+BE134+BE133+BE131</f>
        <v>1043.364310006046</v>
      </c>
      <c r="BF135" s="397">
        <f>+BF134+BF133+BF131</f>
        <v>188.33247038009665</v>
      </c>
      <c r="BG135" s="297">
        <f>+BF135</f>
        <v>188.33247038009665</v>
      </c>
      <c r="BH135" s="396">
        <f>+BH134+BH133+BH131</f>
        <v>49.61727247669296</v>
      </c>
      <c r="BI135" s="343">
        <f>+BI134+BI133+BI131</f>
        <v>435.16065013126274</v>
      </c>
      <c r="BJ135" s="343">
        <f>+BJ134+BJ133+BJ131</f>
        <v>604.3867023974251</v>
      </c>
      <c r="BK135" s="397">
        <f>+BK134+BK133+BK131</f>
        <v>160.59276891782804</v>
      </c>
      <c r="BL135" s="297">
        <f>+BK135</f>
        <v>160.59276891782804</v>
      </c>
      <c r="BM135" s="396">
        <f>+BM134+BM133+BM131</f>
        <v>0</v>
      </c>
      <c r="BN135" s="343">
        <f>+BN134+BN133+BN131</f>
        <v>0</v>
      </c>
      <c r="BO135" s="343">
        <f>+BO134+BO133+BO131</f>
        <v>724.51778221968141</v>
      </c>
      <c r="BP135" s="397">
        <f>+BP134+BP133+BP131</f>
        <v>177.44170688964641</v>
      </c>
      <c r="BQ135" s="297">
        <f>+BP135</f>
        <v>177.44170688964641</v>
      </c>
      <c r="BR135" s="296"/>
      <c r="BS135" s="296"/>
      <c r="BT135" s="296"/>
      <c r="BU135" s="296"/>
      <c r="CL135"/>
      <c r="CM135"/>
      <c r="CN135"/>
      <c r="CO135"/>
      <c r="CP135"/>
      <c r="CQ135"/>
    </row>
    <row r="136" spans="1:95" s="2" customFormat="1">
      <c r="A136" s="1523"/>
      <c r="E136" s="406"/>
      <c r="F136" s="348"/>
      <c r="G136" s="348"/>
      <c r="H136" s="405"/>
      <c r="I136" s="451"/>
      <c r="J136" s="406"/>
      <c r="K136" s="341"/>
      <c r="L136" s="341"/>
      <c r="M136" s="393"/>
      <c r="N136" s="296"/>
      <c r="O136" s="392"/>
      <c r="P136" s="341"/>
      <c r="Q136" s="348"/>
      <c r="R136" s="393"/>
      <c r="S136" s="296"/>
      <c r="T136" s="392"/>
      <c r="U136" s="341"/>
      <c r="V136" s="341"/>
      <c r="W136" s="393"/>
      <c r="X136" s="296"/>
      <c r="Y136" s="392"/>
      <c r="Z136" s="341"/>
      <c r="AA136" s="341"/>
      <c r="AB136" s="393"/>
      <c r="AC136" s="296"/>
      <c r="AD136" s="392"/>
      <c r="AE136" s="341"/>
      <c r="AF136" s="341"/>
      <c r="AG136" s="393"/>
      <c r="AH136" s="296"/>
      <c r="AI136" s="392"/>
      <c r="AJ136" s="341"/>
      <c r="AK136" s="341"/>
      <c r="AL136" s="393"/>
      <c r="AM136" s="296"/>
      <c r="AN136" s="392"/>
      <c r="AO136" s="341"/>
      <c r="AP136" s="341"/>
      <c r="AQ136" s="393"/>
      <c r="AR136" s="296"/>
      <c r="AS136" s="392"/>
      <c r="AT136" s="341"/>
      <c r="AU136" s="341"/>
      <c r="AV136" s="393"/>
      <c r="AW136" s="296"/>
      <c r="AX136" s="392"/>
      <c r="AY136" s="341"/>
      <c r="AZ136" s="341"/>
      <c r="BA136" s="393"/>
      <c r="BB136" s="296"/>
      <c r="BC136" s="392"/>
      <c r="BD136" s="341"/>
      <c r="BE136" s="341"/>
      <c r="BF136" s="393"/>
      <c r="BG136" s="296"/>
      <c r="BH136" s="392"/>
      <c r="BI136" s="341"/>
      <c r="BJ136" s="341"/>
      <c r="BK136" s="393"/>
      <c r="BL136" s="296"/>
      <c r="BM136" s="392"/>
      <c r="BN136" s="341"/>
      <c r="BO136" s="341"/>
      <c r="BP136" s="393"/>
      <c r="BQ136" s="296"/>
      <c r="BR136" s="296"/>
      <c r="BS136" s="296"/>
      <c r="BT136" s="296"/>
      <c r="BU136" s="296"/>
      <c r="CL136"/>
      <c r="CM136"/>
      <c r="CN136"/>
      <c r="CO136"/>
      <c r="CP136"/>
      <c r="CQ136"/>
    </row>
    <row r="137" spans="1:95" s="2" customFormat="1">
      <c r="A137" s="1523"/>
      <c r="E137" s="360"/>
      <c r="F137" s="20"/>
      <c r="G137" s="20"/>
      <c r="H137" s="361"/>
      <c r="I137" s="296"/>
      <c r="J137" s="392"/>
      <c r="K137" s="341"/>
      <c r="L137" s="341"/>
      <c r="M137" s="393"/>
      <c r="N137" s="296"/>
      <c r="O137" s="392"/>
      <c r="P137" s="341"/>
      <c r="Q137" s="347"/>
      <c r="R137" s="404"/>
      <c r="S137" s="296"/>
      <c r="T137" s="392"/>
      <c r="U137" s="341"/>
      <c r="V137" s="341"/>
      <c r="W137" s="393"/>
      <c r="X137" s="296"/>
      <c r="Y137" s="392"/>
      <c r="Z137" s="341"/>
      <c r="AA137" s="341"/>
      <c r="AB137" s="393"/>
      <c r="AC137" s="296"/>
      <c r="AD137" s="392"/>
      <c r="AE137" s="341"/>
      <c r="AF137" s="341"/>
      <c r="AG137" s="393"/>
      <c r="AH137" s="296"/>
      <c r="AI137" s="392"/>
      <c r="AJ137" s="341"/>
      <c r="AK137" s="341"/>
      <c r="AL137" s="393"/>
      <c r="AM137" s="296"/>
      <c r="AN137" s="392"/>
      <c r="AO137" s="341"/>
      <c r="AP137" s="341"/>
      <c r="AQ137" s="393"/>
      <c r="AR137" s="296"/>
      <c r="AS137" s="392"/>
      <c r="AT137" s="341"/>
      <c r="AU137" s="341"/>
      <c r="AV137" s="393"/>
      <c r="AW137" s="296"/>
      <c r="AX137" s="392"/>
      <c r="AY137" s="341"/>
      <c r="AZ137" s="341"/>
      <c r="BA137" s="393"/>
      <c r="BB137" s="296"/>
      <c r="BC137" s="392"/>
      <c r="BD137" s="341"/>
      <c r="BE137" s="341"/>
      <c r="BF137" s="393"/>
      <c r="BG137" s="296"/>
      <c r="BH137" s="392"/>
      <c r="BI137" s="341"/>
      <c r="BJ137" s="341"/>
      <c r="BK137" s="393"/>
      <c r="BL137" s="296"/>
      <c r="BM137" s="392"/>
      <c r="BN137" s="341"/>
      <c r="BO137" s="341"/>
      <c r="BP137" s="393"/>
      <c r="BQ137" s="296"/>
      <c r="BR137" s="296"/>
      <c r="BS137" s="296"/>
      <c r="BT137" s="296"/>
      <c r="BU137" s="296"/>
      <c r="CL137"/>
      <c r="CM137"/>
      <c r="CN137"/>
      <c r="CO137"/>
      <c r="CP137"/>
      <c r="CQ137"/>
    </row>
    <row r="138" spans="1:95" s="2" customFormat="1">
      <c r="A138" s="1523"/>
      <c r="B138" s="105" t="s">
        <v>374</v>
      </c>
      <c r="C138" s="277"/>
      <c r="D138" s="277"/>
      <c r="E138" s="438"/>
      <c r="F138" s="439"/>
      <c r="G138" s="439"/>
      <c r="H138" s="440"/>
      <c r="I138" s="441"/>
      <c r="J138" s="438"/>
      <c r="K138" s="439"/>
      <c r="L138" s="439"/>
      <c r="M138" s="440"/>
      <c r="N138" s="441"/>
      <c r="O138" s="438"/>
      <c r="P138" s="439"/>
      <c r="Q138" s="439"/>
      <c r="R138" s="440"/>
      <c r="S138" s="441"/>
      <c r="T138" s="401"/>
      <c r="U138" s="346"/>
      <c r="V138" s="346"/>
      <c r="W138" s="402"/>
      <c r="X138" s="296"/>
      <c r="Y138" s="1332"/>
      <c r="Z138" s="1333"/>
      <c r="AA138" s="1333"/>
      <c r="AB138" s="1334"/>
      <c r="AC138" s="296"/>
      <c r="AD138" s="1332"/>
      <c r="AE138" s="1333"/>
      <c r="AF138" s="346"/>
      <c r="AG138" s="402"/>
      <c r="AH138" s="296"/>
      <c r="AI138" s="401"/>
      <c r="AJ138" s="346"/>
      <c r="AK138" s="346"/>
      <c r="AL138" s="402"/>
      <c r="AM138" s="296"/>
      <c r="AN138" s="401"/>
      <c r="AO138" s="346"/>
      <c r="AP138" s="346"/>
      <c r="AQ138" s="402"/>
      <c r="AR138" s="296"/>
      <c r="AS138" s="401"/>
      <c r="AT138" s="346"/>
      <c r="AU138" s="346"/>
      <c r="AV138" s="402"/>
      <c r="AW138" s="296"/>
      <c r="AX138" s="401"/>
      <c r="AY138" s="346"/>
      <c r="AZ138" s="346"/>
      <c r="BA138" s="402"/>
      <c r="BB138" s="296"/>
      <c r="BC138" s="401"/>
      <c r="BD138" s="346"/>
      <c r="BE138" s="346"/>
      <c r="BF138" s="402"/>
      <c r="BG138" s="296"/>
      <c r="BH138" s="401"/>
      <c r="BI138" s="346"/>
      <c r="BJ138" s="346"/>
      <c r="BK138" s="402"/>
      <c r="BL138" s="296"/>
      <c r="BM138" s="401"/>
      <c r="BN138" s="346"/>
      <c r="BO138" s="346"/>
      <c r="BP138" s="402"/>
      <c r="BQ138" s="296"/>
      <c r="BR138" s="296"/>
      <c r="BS138" s="296"/>
      <c r="BT138" s="296"/>
      <c r="BU138" s="296"/>
      <c r="CL138"/>
      <c r="CM138"/>
      <c r="CN138"/>
      <c r="CO138"/>
      <c r="CP138"/>
      <c r="CQ138"/>
    </row>
    <row r="139" spans="1:95" s="2" customFormat="1">
      <c r="A139" s="1523"/>
      <c r="E139" s="360"/>
      <c r="F139" s="20"/>
      <c r="G139" s="20"/>
      <c r="H139" s="361"/>
      <c r="I139" s="296"/>
      <c r="J139" s="392"/>
      <c r="K139" s="341"/>
      <c r="L139" s="341"/>
      <c r="M139" s="393"/>
      <c r="N139" s="296"/>
      <c r="O139" s="392"/>
      <c r="P139" s="341"/>
      <c r="Q139" s="347"/>
      <c r="R139" s="404"/>
      <c r="S139" s="296"/>
      <c r="T139" s="392"/>
      <c r="U139" s="341"/>
      <c r="V139" s="341"/>
      <c r="W139" s="393"/>
      <c r="X139" s="296"/>
      <c r="Y139" s="392"/>
      <c r="Z139" s="341"/>
      <c r="AA139" s="341"/>
      <c r="AB139" s="393"/>
      <c r="AC139" s="296"/>
      <c r="AD139" s="392"/>
      <c r="AE139" s="341"/>
      <c r="AF139" s="341"/>
      <c r="AG139" s="393"/>
      <c r="AH139" s="296"/>
      <c r="AI139" s="392"/>
      <c r="AJ139" s="341"/>
      <c r="AK139" s="341"/>
      <c r="AL139" s="393"/>
      <c r="AM139" s="296"/>
      <c r="AN139" s="392"/>
      <c r="AO139" s="341"/>
      <c r="AP139" s="460"/>
      <c r="AQ139" s="393"/>
      <c r="AR139" s="296"/>
      <c r="AS139" s="392"/>
      <c r="AT139" s="341"/>
      <c r="AU139" s="341"/>
      <c r="AV139" s="393"/>
      <c r="AW139" s="296"/>
      <c r="AX139" s="392"/>
      <c r="AY139" s="341"/>
      <c r="AZ139" s="341"/>
      <c r="BA139" s="393"/>
      <c r="BB139" s="296"/>
      <c r="BC139" s="392"/>
      <c r="BD139" s="341"/>
      <c r="BE139" s="341"/>
      <c r="BF139" s="393"/>
      <c r="BG139" s="296"/>
      <c r="BH139" s="392"/>
      <c r="BI139" s="341"/>
      <c r="BJ139" s="341"/>
      <c r="BK139" s="393"/>
      <c r="BL139" s="296"/>
      <c r="BM139" s="392"/>
      <c r="BN139" s="341"/>
      <c r="BO139" s="341"/>
      <c r="BP139" s="393"/>
      <c r="BQ139" s="296"/>
      <c r="BR139" s="296"/>
      <c r="BS139" s="296"/>
      <c r="BT139" s="296"/>
      <c r="BU139" s="296"/>
      <c r="CL139"/>
      <c r="CM139"/>
      <c r="CN139"/>
      <c r="CO139"/>
      <c r="CP139"/>
      <c r="CQ139"/>
    </row>
    <row r="140" spans="1:95" s="2" customFormat="1">
      <c r="A140" s="1523"/>
      <c r="C140" s="37" t="s">
        <v>125</v>
      </c>
      <c r="E140" s="506">
        <v>1232</v>
      </c>
      <c r="F140" s="507">
        <v>393</v>
      </c>
      <c r="G140" s="507">
        <v>130</v>
      </c>
      <c r="H140" s="508">
        <v>350</v>
      </c>
      <c r="I140" s="451">
        <f>H140</f>
        <v>350</v>
      </c>
      <c r="J140" s="459">
        <v>312</v>
      </c>
      <c r="K140" s="460">
        <v>57</v>
      </c>
      <c r="L140" s="460">
        <v>332</v>
      </c>
      <c r="M140" s="461">
        <v>280</v>
      </c>
      <c r="N140" s="451">
        <f>M140</f>
        <v>280</v>
      </c>
      <c r="O140" s="459">
        <v>900</v>
      </c>
      <c r="P140" s="460">
        <v>159</v>
      </c>
      <c r="Q140" s="460">
        <v>1242</v>
      </c>
      <c r="R140" s="461">
        <v>834</v>
      </c>
      <c r="S140" s="451">
        <f>R140</f>
        <v>834</v>
      </c>
      <c r="T140" s="459">
        <v>931</v>
      </c>
      <c r="U140" s="460">
        <v>765</v>
      </c>
      <c r="V140" s="460">
        <v>780</v>
      </c>
      <c r="W140" s="461">
        <v>379</v>
      </c>
      <c r="X140" s="77">
        <f>W140</f>
        <v>379</v>
      </c>
      <c r="Y140" s="459">
        <v>420</v>
      </c>
      <c r="Z140" s="460">
        <v>164</v>
      </c>
      <c r="AA140" s="460">
        <v>448</v>
      </c>
      <c r="AB140" s="461">
        <v>493</v>
      </c>
      <c r="AC140" s="77">
        <f>AB140</f>
        <v>493</v>
      </c>
      <c r="AD140" s="459">
        <v>655</v>
      </c>
      <c r="AE140" s="460">
        <v>570</v>
      </c>
      <c r="AF140" s="460">
        <v>703</v>
      </c>
      <c r="AG140" s="461">
        <v>402</v>
      </c>
      <c r="AH140" s="77">
        <f>AG140</f>
        <v>402</v>
      </c>
      <c r="AI140" s="459">
        <v>1008</v>
      </c>
      <c r="AJ140" s="460">
        <v>597</v>
      </c>
      <c r="AK140" s="460">
        <v>271</v>
      </c>
      <c r="AL140" s="461">
        <v>394</v>
      </c>
      <c r="AM140" s="77">
        <f>AL140</f>
        <v>394</v>
      </c>
      <c r="AN140" s="459">
        <v>592</v>
      </c>
      <c r="AO140" s="460">
        <v>648</v>
      </c>
      <c r="AP140" s="460">
        <v>450</v>
      </c>
      <c r="AQ140" s="461">
        <v>423</v>
      </c>
      <c r="AR140" s="77">
        <f>AQ140</f>
        <v>423</v>
      </c>
      <c r="AS140" s="459">
        <v>193</v>
      </c>
      <c r="AT140" s="460">
        <v>430</v>
      </c>
      <c r="AU140" s="460">
        <v>278</v>
      </c>
      <c r="AV140" s="461">
        <v>313</v>
      </c>
      <c r="AW140" s="77">
        <f>AV140</f>
        <v>313</v>
      </c>
      <c r="AX140" s="406">
        <f>+AX135</f>
        <v>520.4861592573277</v>
      </c>
      <c r="AY140" s="348">
        <f>+AY135</f>
        <v>924.3622560740655</v>
      </c>
      <c r="AZ140" s="348">
        <f>+AZ135</f>
        <v>829.90176884999096</v>
      </c>
      <c r="BA140" s="405">
        <f>+BA135</f>
        <v>129.07610122374604</v>
      </c>
      <c r="BB140" s="451">
        <f>BA140</f>
        <v>129.07610122374604</v>
      </c>
      <c r="BC140" s="406">
        <f>+BC135</f>
        <v>0</v>
      </c>
      <c r="BD140" s="348">
        <f>+BD135</f>
        <v>221.24417624421244</v>
      </c>
      <c r="BE140" s="348">
        <f>+BE135</f>
        <v>1043.364310006046</v>
      </c>
      <c r="BF140" s="405">
        <f>+BF135</f>
        <v>188.33247038009665</v>
      </c>
      <c r="BG140" s="451">
        <f>BF140</f>
        <v>188.33247038009665</v>
      </c>
      <c r="BH140" s="406">
        <f>+BH135</f>
        <v>49.61727247669296</v>
      </c>
      <c r="BI140" s="348">
        <f>+BI135</f>
        <v>435.16065013126274</v>
      </c>
      <c r="BJ140" s="348">
        <f>+BJ135</f>
        <v>604.3867023974251</v>
      </c>
      <c r="BK140" s="405">
        <f>+BK135</f>
        <v>160.59276891782804</v>
      </c>
      <c r="BL140" s="451">
        <f>BK140</f>
        <v>160.59276891782804</v>
      </c>
      <c r="BM140" s="406">
        <f>+BM135</f>
        <v>0</v>
      </c>
      <c r="BN140" s="348">
        <f>+BN135</f>
        <v>0</v>
      </c>
      <c r="BO140" s="348">
        <f>+BO135</f>
        <v>724.51778221968141</v>
      </c>
      <c r="BP140" s="405">
        <f>+BP135</f>
        <v>177.44170688964641</v>
      </c>
      <c r="BQ140" s="451">
        <f>BP140</f>
        <v>177.44170688964641</v>
      </c>
      <c r="BR140" s="296"/>
      <c r="BS140" s="296"/>
      <c r="BT140" s="296"/>
      <c r="BU140" s="296"/>
      <c r="CA140" s="3"/>
      <c r="CL140"/>
      <c r="CM140"/>
      <c r="CN140"/>
      <c r="CO140"/>
      <c r="CP140"/>
      <c r="CQ140"/>
    </row>
    <row r="141" spans="1:95" s="2" customFormat="1">
      <c r="A141" s="1523"/>
      <c r="C141" s="2" t="s">
        <v>422</v>
      </c>
      <c r="E141" s="506">
        <v>1285</v>
      </c>
      <c r="F141" s="507">
        <v>1271</v>
      </c>
      <c r="G141" s="507">
        <v>1242</v>
      </c>
      <c r="H141" s="508">
        <v>1224</v>
      </c>
      <c r="I141" s="451">
        <f>H141</f>
        <v>1224</v>
      </c>
      <c r="J141" s="459">
        <v>1492</v>
      </c>
      <c r="K141" s="460">
        <v>1251</v>
      </c>
      <c r="L141" s="460">
        <v>1211</v>
      </c>
      <c r="M141" s="461">
        <v>2076</v>
      </c>
      <c r="N141" s="451">
        <f>M141</f>
        <v>2076</v>
      </c>
      <c r="O141" s="459">
        <v>1667</v>
      </c>
      <c r="P141" s="460">
        <v>1224</v>
      </c>
      <c r="Q141" s="460">
        <v>1164</v>
      </c>
      <c r="R141" s="461">
        <f>967+16</f>
        <v>983</v>
      </c>
      <c r="S141" s="451">
        <f>R141</f>
        <v>983</v>
      </c>
      <c r="T141" s="459">
        <f>992+16</f>
        <v>1008</v>
      </c>
      <c r="U141" s="460">
        <v>896</v>
      </c>
      <c r="V141" s="460">
        <v>1044</v>
      </c>
      <c r="W141" s="461">
        <f>1069+227</f>
        <v>1296</v>
      </c>
      <c r="X141" s="77">
        <f>W141</f>
        <v>1296</v>
      </c>
      <c r="Y141" s="459">
        <f>1457+226</f>
        <v>1683</v>
      </c>
      <c r="Z141" s="460">
        <f>1133+226</f>
        <v>1359</v>
      </c>
      <c r="AA141" s="460">
        <f>1069+225</f>
        <v>1294</v>
      </c>
      <c r="AB141" s="461">
        <f>1203+109</f>
        <v>1312</v>
      </c>
      <c r="AC141" s="77">
        <f>AB141</f>
        <v>1312</v>
      </c>
      <c r="AD141" s="459">
        <f>1710+111</f>
        <v>1821</v>
      </c>
      <c r="AE141" s="460">
        <f>1294+101</f>
        <v>1395</v>
      </c>
      <c r="AF141" s="460">
        <f>1267+14</f>
        <v>1281</v>
      </c>
      <c r="AG141" s="461">
        <f>1254+211</f>
        <v>1465</v>
      </c>
      <c r="AH141" s="77">
        <f>AG141</f>
        <v>1465</v>
      </c>
      <c r="AI141" s="459">
        <f>1437+31</f>
        <v>1468</v>
      </c>
      <c r="AJ141" s="460">
        <f>1126+23</f>
        <v>1149</v>
      </c>
      <c r="AK141" s="460">
        <f>1199+5</f>
        <v>1204</v>
      </c>
      <c r="AL141" s="461">
        <f>1068+305</f>
        <v>1373</v>
      </c>
      <c r="AM141" s="77">
        <f>AL141</f>
        <v>1373</v>
      </c>
      <c r="AN141" s="459">
        <f>1107+4</f>
        <v>1111</v>
      </c>
      <c r="AO141" s="460">
        <f>988+4</f>
        <v>992</v>
      </c>
      <c r="AP141" s="460">
        <f>1031+23</f>
        <v>1054</v>
      </c>
      <c r="AQ141" s="461">
        <f>1161+78</f>
        <v>1239</v>
      </c>
      <c r="AR141" s="77">
        <f>AQ141</f>
        <v>1239</v>
      </c>
      <c r="AS141" s="459">
        <f>1212+9</f>
        <v>1221</v>
      </c>
      <c r="AT141" s="460">
        <f>1021+9</f>
        <v>1030</v>
      </c>
      <c r="AU141" s="460">
        <f>1022+127</f>
        <v>1149</v>
      </c>
      <c r="AV141" s="461">
        <f>1348+127</f>
        <v>1475</v>
      </c>
      <c r="AW141" s="77">
        <f>AV141</f>
        <v>1475</v>
      </c>
      <c r="AX141" s="406">
        <f t="shared" ref="AX141:BC143" si="150">+AW141</f>
        <v>1475</v>
      </c>
      <c r="AY141" s="348">
        <f t="shared" si="150"/>
        <v>1475</v>
      </c>
      <c r="AZ141" s="348">
        <f t="shared" si="150"/>
        <v>1475</v>
      </c>
      <c r="BA141" s="405">
        <f t="shared" si="150"/>
        <v>1475</v>
      </c>
      <c r="BB141" s="451">
        <f t="shared" si="150"/>
        <v>1475</v>
      </c>
      <c r="BC141" s="406">
        <f t="shared" si="150"/>
        <v>1475</v>
      </c>
      <c r="BD141" s="348">
        <f t="shared" ref="BD141:BL141" si="151">+BC141</f>
        <v>1475</v>
      </c>
      <c r="BE141" s="348">
        <f t="shared" si="151"/>
        <v>1475</v>
      </c>
      <c r="BF141" s="405">
        <f t="shared" si="151"/>
        <v>1475</v>
      </c>
      <c r="BG141" s="451">
        <f t="shared" si="151"/>
        <v>1475</v>
      </c>
      <c r="BH141" s="406">
        <f t="shared" si="151"/>
        <v>1475</v>
      </c>
      <c r="BI141" s="348">
        <f t="shared" si="151"/>
        <v>1475</v>
      </c>
      <c r="BJ141" s="348">
        <f t="shared" si="151"/>
        <v>1475</v>
      </c>
      <c r="BK141" s="405">
        <f t="shared" si="151"/>
        <v>1475</v>
      </c>
      <c r="BL141" s="451">
        <f t="shared" si="151"/>
        <v>1475</v>
      </c>
      <c r="BM141" s="406">
        <f t="shared" ref="BM141:BQ143" si="152">+BL141</f>
        <v>1475</v>
      </c>
      <c r="BN141" s="348">
        <f t="shared" si="152"/>
        <v>1475</v>
      </c>
      <c r="BO141" s="348">
        <f t="shared" si="152"/>
        <v>1475</v>
      </c>
      <c r="BP141" s="405">
        <f t="shared" si="152"/>
        <v>1475</v>
      </c>
      <c r="BQ141" s="451">
        <f t="shared" si="152"/>
        <v>1475</v>
      </c>
      <c r="BR141" s="296"/>
      <c r="BS141" s="296"/>
      <c r="BT141" s="296"/>
      <c r="BU141" s="296"/>
      <c r="CA141" s="3"/>
      <c r="CL141"/>
      <c r="CM141"/>
      <c r="CN141"/>
      <c r="CO141"/>
      <c r="CP141"/>
      <c r="CQ141"/>
    </row>
    <row r="142" spans="1:95" s="2" customFormat="1">
      <c r="A142" s="1523"/>
      <c r="C142" s="2" t="s">
        <v>423</v>
      </c>
      <c r="E142" s="506">
        <v>846</v>
      </c>
      <c r="F142" s="507">
        <v>1073</v>
      </c>
      <c r="G142" s="507">
        <v>1302</v>
      </c>
      <c r="H142" s="508">
        <v>1141</v>
      </c>
      <c r="I142" s="451">
        <f>H142</f>
        <v>1141</v>
      </c>
      <c r="J142" s="459">
        <v>862</v>
      </c>
      <c r="K142" s="460">
        <v>1044</v>
      </c>
      <c r="L142" s="460">
        <v>1185</v>
      </c>
      <c r="M142" s="461">
        <v>1025</v>
      </c>
      <c r="N142" s="451">
        <f>M142</f>
        <v>1025</v>
      </c>
      <c r="O142" s="459">
        <v>741</v>
      </c>
      <c r="P142" s="460">
        <v>924</v>
      </c>
      <c r="Q142" s="460">
        <f>740+365</f>
        <v>1105</v>
      </c>
      <c r="R142" s="461">
        <f>685+367</f>
        <v>1052</v>
      </c>
      <c r="S142" s="451">
        <f>R142</f>
        <v>1052</v>
      </c>
      <c r="T142" s="459">
        <f>491+375</f>
        <v>866</v>
      </c>
      <c r="U142" s="460">
        <f>562+403</f>
        <v>965</v>
      </c>
      <c r="V142" s="460">
        <f>657+416</f>
        <v>1073</v>
      </c>
      <c r="W142" s="461">
        <f>583+422</f>
        <v>1005</v>
      </c>
      <c r="X142" s="77">
        <f>W142</f>
        <v>1005</v>
      </c>
      <c r="Y142" s="459">
        <f>318+436</f>
        <v>754</v>
      </c>
      <c r="Z142" s="460">
        <f>481+435</f>
        <v>916</v>
      </c>
      <c r="AA142" s="460">
        <f>599+450</f>
        <v>1049</v>
      </c>
      <c r="AB142" s="461">
        <f>545+479</f>
        <v>1024</v>
      </c>
      <c r="AC142" s="77">
        <f>AB142</f>
        <v>1024</v>
      </c>
      <c r="AD142" s="459">
        <f>271+475</f>
        <v>746</v>
      </c>
      <c r="AE142" s="460">
        <f>426+476</f>
        <v>902</v>
      </c>
      <c r="AF142" s="460">
        <f>530+495</f>
        <v>1025</v>
      </c>
      <c r="AG142" s="461">
        <f>538+484</f>
        <v>1022</v>
      </c>
      <c r="AH142" s="77">
        <f>AG142</f>
        <v>1022</v>
      </c>
      <c r="AI142" s="459">
        <f>266+483</f>
        <v>749</v>
      </c>
      <c r="AJ142" s="460">
        <f>358+466</f>
        <v>824</v>
      </c>
      <c r="AK142" s="460">
        <f>451+472</f>
        <v>923</v>
      </c>
      <c r="AL142" s="461">
        <f>463+513</f>
        <v>976</v>
      </c>
      <c r="AM142" s="77">
        <f>AL142</f>
        <v>976</v>
      </c>
      <c r="AN142" s="459">
        <f>306+533</f>
        <v>839</v>
      </c>
      <c r="AO142" s="460">
        <f>351+554</f>
        <v>905</v>
      </c>
      <c r="AP142" s="460">
        <f>366+591</f>
        <v>957</v>
      </c>
      <c r="AQ142" s="461">
        <f>326+561</f>
        <v>887</v>
      </c>
      <c r="AR142" s="77">
        <f>AQ142</f>
        <v>887</v>
      </c>
      <c r="AS142" s="459">
        <f>173+566</f>
        <v>739</v>
      </c>
      <c r="AT142" s="460">
        <f>270+577</f>
        <v>847</v>
      </c>
      <c r="AU142" s="460">
        <f>348+588</f>
        <v>936</v>
      </c>
      <c r="AV142" s="461">
        <f>289+577</f>
        <v>866</v>
      </c>
      <c r="AW142" s="77">
        <f>AV142</f>
        <v>866</v>
      </c>
      <c r="AX142" s="406">
        <f t="shared" si="150"/>
        <v>866</v>
      </c>
      <c r="AY142" s="348">
        <f t="shared" si="150"/>
        <v>866</v>
      </c>
      <c r="AZ142" s="348">
        <f t="shared" si="150"/>
        <v>866</v>
      </c>
      <c r="BA142" s="405">
        <f t="shared" si="150"/>
        <v>866</v>
      </c>
      <c r="BB142" s="451">
        <f t="shared" si="150"/>
        <v>866</v>
      </c>
      <c r="BC142" s="406">
        <f t="shared" si="150"/>
        <v>866</v>
      </c>
      <c r="BD142" s="348">
        <f t="shared" ref="BD142:BL142" si="153">+BC142</f>
        <v>866</v>
      </c>
      <c r="BE142" s="348">
        <f t="shared" si="153"/>
        <v>866</v>
      </c>
      <c r="BF142" s="405">
        <f t="shared" si="153"/>
        <v>866</v>
      </c>
      <c r="BG142" s="451">
        <f t="shared" si="153"/>
        <v>866</v>
      </c>
      <c r="BH142" s="406">
        <f t="shared" si="153"/>
        <v>866</v>
      </c>
      <c r="BI142" s="348">
        <f t="shared" si="153"/>
        <v>866</v>
      </c>
      <c r="BJ142" s="348">
        <f t="shared" si="153"/>
        <v>866</v>
      </c>
      <c r="BK142" s="405">
        <f t="shared" si="153"/>
        <v>866</v>
      </c>
      <c r="BL142" s="451">
        <f t="shared" si="153"/>
        <v>866</v>
      </c>
      <c r="BM142" s="406">
        <f t="shared" si="152"/>
        <v>866</v>
      </c>
      <c r="BN142" s="348">
        <f t="shared" si="152"/>
        <v>866</v>
      </c>
      <c r="BO142" s="348">
        <f t="shared" si="152"/>
        <v>866</v>
      </c>
      <c r="BP142" s="405">
        <f t="shared" si="152"/>
        <v>866</v>
      </c>
      <c r="BQ142" s="451">
        <f t="shared" si="152"/>
        <v>866</v>
      </c>
      <c r="BR142" s="296"/>
      <c r="BS142" s="296"/>
      <c r="BT142" s="296"/>
      <c r="BU142" s="296"/>
      <c r="CA142" s="3"/>
      <c r="CL142"/>
      <c r="CM142"/>
      <c r="CN142"/>
      <c r="CO142"/>
      <c r="CP142"/>
      <c r="CQ142"/>
    </row>
    <row r="143" spans="1:95" s="2" customFormat="1">
      <c r="A143" s="1523"/>
      <c r="C143" s="2" t="s">
        <v>471</v>
      </c>
      <c r="E143" s="506">
        <v>915</v>
      </c>
      <c r="F143" s="507">
        <v>1097</v>
      </c>
      <c r="G143" s="507">
        <v>867</v>
      </c>
      <c r="H143" s="508">
        <v>1575</v>
      </c>
      <c r="I143" s="451">
        <f>H143</f>
        <v>1575</v>
      </c>
      <c r="J143" s="459">
        <v>803</v>
      </c>
      <c r="K143" s="460">
        <v>1133</v>
      </c>
      <c r="L143" s="460">
        <v>943</v>
      </c>
      <c r="M143" s="461">
        <v>1670</v>
      </c>
      <c r="N143" s="451">
        <f>M143</f>
        <v>1670</v>
      </c>
      <c r="O143" s="459">
        <v>1158</v>
      </c>
      <c r="P143" s="460">
        <v>1479</v>
      </c>
      <c r="Q143" s="460">
        <f>377+416+113+96+86+120+251</f>
        <v>1459</v>
      </c>
      <c r="R143" s="461">
        <f>289+308+156+167+122</f>
        <v>1042</v>
      </c>
      <c r="S143" s="451">
        <f>R143</f>
        <v>1042</v>
      </c>
      <c r="T143" s="459">
        <f>230+315+202+381+28</f>
        <v>1156</v>
      </c>
      <c r="U143" s="460">
        <f>16+255+397+165+90+359+32</f>
        <v>1314</v>
      </c>
      <c r="V143" s="460">
        <f>215+274+123+148+280+41</f>
        <v>1081</v>
      </c>
      <c r="W143" s="461">
        <f>314+283+138+349+56+49</f>
        <v>1189</v>
      </c>
      <c r="X143" s="77">
        <f>W143</f>
        <v>1189</v>
      </c>
      <c r="Y143" s="459">
        <f>265+87+77+38+282+50</f>
        <v>799</v>
      </c>
      <c r="Z143" s="460">
        <f>257+312+142+32+396+37</f>
        <v>1176</v>
      </c>
      <c r="AA143" s="460">
        <f>211+210+107+31+348+43</f>
        <v>950</v>
      </c>
      <c r="AB143" s="461">
        <f>300+89+98+24+243+31</f>
        <v>785</v>
      </c>
      <c r="AC143" s="77">
        <f>AB143</f>
        <v>785</v>
      </c>
      <c r="AD143" s="459">
        <f>261+55+43+114+125+33</f>
        <v>631</v>
      </c>
      <c r="AE143" s="460">
        <f>238+249+73+104+229+34</f>
        <v>927</v>
      </c>
      <c r="AF143" s="460">
        <f>228+175+71+128+211+24</f>
        <v>837</v>
      </c>
      <c r="AG143" s="461">
        <f>284+108+240+11+323+249+15</f>
        <v>1230</v>
      </c>
      <c r="AH143" s="77">
        <f>AG143</f>
        <v>1230</v>
      </c>
      <c r="AI143" s="459">
        <f>252+80+87+258+187+70</f>
        <v>934</v>
      </c>
      <c r="AJ143" s="460">
        <f>247+272+155+235+123+25</f>
        <v>1057</v>
      </c>
      <c r="AK143" s="460">
        <f>203+180+162+23+189+26+23</f>
        <v>806</v>
      </c>
      <c r="AL143" s="461">
        <f>197+135+242+164+13</f>
        <v>751</v>
      </c>
      <c r="AM143" s="77">
        <f>AL143</f>
        <v>751</v>
      </c>
      <c r="AN143" s="459">
        <f>178+89+230+217+7</f>
        <v>721</v>
      </c>
      <c r="AO143" s="460">
        <f>202+271+152+310+9</f>
        <v>944</v>
      </c>
      <c r="AP143" s="460">
        <f>180+145+149+253+21</f>
        <v>748</v>
      </c>
      <c r="AQ143" s="461">
        <f>76+163+199+7+260</f>
        <v>705</v>
      </c>
      <c r="AR143" s="77">
        <f>AQ143</f>
        <v>705</v>
      </c>
      <c r="AS143" s="459">
        <f>209+56+114+176+8</f>
        <v>563</v>
      </c>
      <c r="AT143" s="460">
        <f>210+273+113+276+9</f>
        <v>881</v>
      </c>
      <c r="AU143" s="460">
        <f>176+200+84+239+19</f>
        <v>718</v>
      </c>
      <c r="AV143" s="461">
        <f>296+118+29+211+4</f>
        <v>658</v>
      </c>
      <c r="AW143" s="77">
        <f>AV143</f>
        <v>658</v>
      </c>
      <c r="AX143" s="406">
        <f t="shared" si="150"/>
        <v>658</v>
      </c>
      <c r="AY143" s="348">
        <f t="shared" si="150"/>
        <v>658</v>
      </c>
      <c r="AZ143" s="348">
        <f t="shared" si="150"/>
        <v>658</v>
      </c>
      <c r="BA143" s="405">
        <f t="shared" si="150"/>
        <v>658</v>
      </c>
      <c r="BB143" s="451">
        <f t="shared" si="150"/>
        <v>658</v>
      </c>
      <c r="BC143" s="406">
        <f t="shared" si="150"/>
        <v>658</v>
      </c>
      <c r="BD143" s="348">
        <f t="shared" ref="BD143:BL143" si="154">+BC143</f>
        <v>658</v>
      </c>
      <c r="BE143" s="348">
        <f t="shared" si="154"/>
        <v>658</v>
      </c>
      <c r="BF143" s="405">
        <f t="shared" si="154"/>
        <v>658</v>
      </c>
      <c r="BG143" s="451">
        <f t="shared" si="154"/>
        <v>658</v>
      </c>
      <c r="BH143" s="406">
        <f t="shared" si="154"/>
        <v>658</v>
      </c>
      <c r="BI143" s="348">
        <f t="shared" si="154"/>
        <v>658</v>
      </c>
      <c r="BJ143" s="348">
        <f t="shared" si="154"/>
        <v>658</v>
      </c>
      <c r="BK143" s="405">
        <f t="shared" si="154"/>
        <v>658</v>
      </c>
      <c r="BL143" s="451">
        <f t="shared" si="154"/>
        <v>658</v>
      </c>
      <c r="BM143" s="406">
        <f t="shared" si="152"/>
        <v>658</v>
      </c>
      <c r="BN143" s="348">
        <f t="shared" si="152"/>
        <v>658</v>
      </c>
      <c r="BO143" s="348">
        <f t="shared" si="152"/>
        <v>658</v>
      </c>
      <c r="BP143" s="405">
        <f t="shared" si="152"/>
        <v>658</v>
      </c>
      <c r="BQ143" s="451">
        <f t="shared" si="152"/>
        <v>658</v>
      </c>
      <c r="BR143" s="296"/>
      <c r="BS143" s="296"/>
      <c r="BT143" s="296"/>
      <c r="BU143" s="296"/>
      <c r="CA143" s="3"/>
      <c r="CL143"/>
      <c r="CM143"/>
      <c r="CN143"/>
      <c r="CO143"/>
      <c r="CP143"/>
      <c r="CQ143"/>
    </row>
    <row r="144" spans="1:95" s="2" customFormat="1">
      <c r="A144" s="1523"/>
      <c r="C144" s="49" t="s">
        <v>424</v>
      </c>
      <c r="E144" s="477">
        <f>+SUM(E140:E143)</f>
        <v>4278</v>
      </c>
      <c r="F144" s="478">
        <f t="shared" ref="F144:P144" si="155">SUM(F140:F143)</f>
        <v>3834</v>
      </c>
      <c r="G144" s="478">
        <f t="shared" si="155"/>
        <v>3541</v>
      </c>
      <c r="H144" s="479">
        <f t="shared" si="155"/>
        <v>4290</v>
      </c>
      <c r="I144" s="464">
        <f>SUM(I140:I143)</f>
        <v>4290</v>
      </c>
      <c r="J144" s="396">
        <f t="shared" si="155"/>
        <v>3469</v>
      </c>
      <c r="K144" s="343">
        <f t="shared" si="155"/>
        <v>3485</v>
      </c>
      <c r="L144" s="343">
        <f t="shared" si="155"/>
        <v>3671</v>
      </c>
      <c r="M144" s="397">
        <f t="shared" si="155"/>
        <v>5051</v>
      </c>
      <c r="N144" s="464">
        <f>SUM(N140:N143)</f>
        <v>5051</v>
      </c>
      <c r="O144" s="396">
        <f t="shared" si="155"/>
        <v>4466</v>
      </c>
      <c r="P144" s="343">
        <f t="shared" si="155"/>
        <v>3786</v>
      </c>
      <c r="Q144" s="343">
        <f t="shared" ref="Q144:AA144" si="156">SUM(Q140:Q143)</f>
        <v>4970</v>
      </c>
      <c r="R144" s="397">
        <f t="shared" si="156"/>
        <v>3911</v>
      </c>
      <c r="S144" s="464">
        <f>SUM(S140:S143)</f>
        <v>3911</v>
      </c>
      <c r="T144" s="396">
        <f t="shared" si="156"/>
        <v>3961</v>
      </c>
      <c r="U144" s="343">
        <f t="shared" si="156"/>
        <v>3940</v>
      </c>
      <c r="V144" s="343">
        <f t="shared" si="156"/>
        <v>3978</v>
      </c>
      <c r="W144" s="397">
        <f t="shared" si="156"/>
        <v>3869</v>
      </c>
      <c r="X144" s="297">
        <f t="shared" si="156"/>
        <v>3869</v>
      </c>
      <c r="Y144" s="396">
        <f t="shared" si="156"/>
        <v>3656</v>
      </c>
      <c r="Z144" s="343">
        <f t="shared" si="156"/>
        <v>3615</v>
      </c>
      <c r="AA144" s="343">
        <f t="shared" si="156"/>
        <v>3741</v>
      </c>
      <c r="AB144" s="397">
        <f t="shared" ref="AB144:AI144" si="157">SUM(AB140:AB143)</f>
        <v>3614</v>
      </c>
      <c r="AC144" s="297">
        <f t="shared" si="157"/>
        <v>3614</v>
      </c>
      <c r="AD144" s="396">
        <f t="shared" si="157"/>
        <v>3853</v>
      </c>
      <c r="AE144" s="343">
        <f t="shared" si="157"/>
        <v>3794</v>
      </c>
      <c r="AF144" s="343">
        <f t="shared" si="157"/>
        <v>3846</v>
      </c>
      <c r="AG144" s="397">
        <f t="shared" si="157"/>
        <v>4119</v>
      </c>
      <c r="AH144" s="297">
        <f t="shared" si="157"/>
        <v>4119</v>
      </c>
      <c r="AI144" s="396">
        <f t="shared" si="157"/>
        <v>4159</v>
      </c>
      <c r="AJ144" s="343">
        <f t="shared" ref="AJ144:AP144" si="158">SUM(AJ140:AJ143)</f>
        <v>3627</v>
      </c>
      <c r="AK144" s="343">
        <f t="shared" si="158"/>
        <v>3204</v>
      </c>
      <c r="AL144" s="397">
        <f t="shared" si="158"/>
        <v>3494</v>
      </c>
      <c r="AM144" s="297">
        <f t="shared" si="158"/>
        <v>3494</v>
      </c>
      <c r="AN144" s="396">
        <f t="shared" si="158"/>
        <v>3263</v>
      </c>
      <c r="AO144" s="343">
        <f>SUM(AO140:AO143)</f>
        <v>3489</v>
      </c>
      <c r="AP144" s="343">
        <f t="shared" si="158"/>
        <v>3209</v>
      </c>
      <c r="AQ144" s="397">
        <f t="shared" ref="AQ144:BB144" si="159">SUM(AQ140:AQ143)</f>
        <v>3254</v>
      </c>
      <c r="AR144" s="297">
        <f t="shared" si="159"/>
        <v>3254</v>
      </c>
      <c r="AS144" s="396">
        <f t="shared" si="159"/>
        <v>2716</v>
      </c>
      <c r="AT144" s="343">
        <f t="shared" si="159"/>
        <v>3188</v>
      </c>
      <c r="AU144" s="343">
        <f t="shared" si="159"/>
        <v>3081</v>
      </c>
      <c r="AV144" s="397">
        <f t="shared" si="159"/>
        <v>3312</v>
      </c>
      <c r="AW144" s="297">
        <f t="shared" si="159"/>
        <v>3312</v>
      </c>
      <c r="AX144" s="390">
        <f t="shared" si="159"/>
        <v>3519.4861592573279</v>
      </c>
      <c r="AY144" s="340">
        <f t="shared" si="159"/>
        <v>3923.3622560740655</v>
      </c>
      <c r="AZ144" s="340">
        <f t="shared" si="159"/>
        <v>3828.9017688499907</v>
      </c>
      <c r="BA144" s="391">
        <f t="shared" si="159"/>
        <v>3128.0761012237463</v>
      </c>
      <c r="BB144" s="464">
        <f t="shared" si="159"/>
        <v>3128.0761012237463</v>
      </c>
      <c r="BC144" s="390">
        <f t="shared" ref="BC144:BL144" si="160">SUM(BC140:BC143)</f>
        <v>2999</v>
      </c>
      <c r="BD144" s="340">
        <f t="shared" si="160"/>
        <v>3220.2441762442122</v>
      </c>
      <c r="BE144" s="340">
        <f t="shared" si="160"/>
        <v>4042.3643100060463</v>
      </c>
      <c r="BF144" s="391">
        <f t="shared" si="160"/>
        <v>3187.3324703800968</v>
      </c>
      <c r="BG144" s="464">
        <f t="shared" si="160"/>
        <v>3187.3324703800968</v>
      </c>
      <c r="BH144" s="390">
        <f t="shared" si="160"/>
        <v>3048.617272476693</v>
      </c>
      <c r="BI144" s="340">
        <f t="shared" si="160"/>
        <v>3434.1606501312626</v>
      </c>
      <c r="BJ144" s="340">
        <f t="shared" si="160"/>
        <v>3603.3867023974253</v>
      </c>
      <c r="BK144" s="391">
        <f t="shared" si="160"/>
        <v>3159.5927689178279</v>
      </c>
      <c r="BL144" s="464">
        <f t="shared" si="160"/>
        <v>3159.5927689178279</v>
      </c>
      <c r="BM144" s="390">
        <f>SUM(BM140:BM143)</f>
        <v>2999</v>
      </c>
      <c r="BN144" s="340">
        <f>SUM(BN140:BN143)</f>
        <v>2999</v>
      </c>
      <c r="BO144" s="340">
        <f>SUM(BO140:BO143)</f>
        <v>3723.5177822196815</v>
      </c>
      <c r="BP144" s="391">
        <f>SUM(BP140:BP143)</f>
        <v>3176.4417068896464</v>
      </c>
      <c r="BQ144" s="464">
        <f>SUM(BQ140:BQ143)</f>
        <v>3176.4417068896464</v>
      </c>
      <c r="BR144" s="296"/>
      <c r="BS144" s="296"/>
      <c r="BT144" s="296"/>
      <c r="BU144" s="296"/>
      <c r="CA144" s="3"/>
      <c r="CL144"/>
      <c r="CM144"/>
      <c r="CN144"/>
      <c r="CO144"/>
      <c r="CP144"/>
      <c r="CQ144"/>
    </row>
    <row r="145" spans="1:95" s="2" customFormat="1">
      <c r="A145" s="1523"/>
      <c r="E145" s="434"/>
      <c r="F145" s="435"/>
      <c r="G145" s="435"/>
      <c r="H145" s="436"/>
      <c r="I145" s="463"/>
      <c r="J145" s="392"/>
      <c r="K145" s="341"/>
      <c r="L145" s="341"/>
      <c r="M145" s="393"/>
      <c r="N145" s="463"/>
      <c r="O145" s="392"/>
      <c r="P145" s="341"/>
      <c r="Q145" s="341"/>
      <c r="R145" s="393"/>
      <c r="S145" s="463"/>
      <c r="T145" s="392"/>
      <c r="U145" s="341"/>
      <c r="V145" s="341"/>
      <c r="W145" s="393"/>
      <c r="X145" s="77"/>
      <c r="Y145" s="392"/>
      <c r="Z145" s="341"/>
      <c r="AA145" s="341"/>
      <c r="AB145" s="393"/>
      <c r="AC145" s="77"/>
      <c r="AD145" s="392"/>
      <c r="AE145" s="341"/>
      <c r="AF145" s="341"/>
      <c r="AG145" s="393"/>
      <c r="AH145" s="77"/>
      <c r="AI145" s="392"/>
      <c r="AJ145" s="341"/>
      <c r="AK145" s="341"/>
      <c r="AL145" s="393"/>
      <c r="AM145" s="77"/>
      <c r="AN145" s="392"/>
      <c r="AO145" s="341"/>
      <c r="AP145" s="341"/>
      <c r="AQ145" s="393"/>
      <c r="AR145" s="77"/>
      <c r="AS145" s="392"/>
      <c r="AT145" s="341"/>
      <c r="AU145" s="341"/>
      <c r="AV145" s="393"/>
      <c r="AW145" s="77"/>
      <c r="AX145" s="509"/>
      <c r="AY145" s="480"/>
      <c r="AZ145" s="480"/>
      <c r="BA145" s="481"/>
      <c r="BB145" s="463"/>
      <c r="BC145" s="509"/>
      <c r="BD145" s="480"/>
      <c r="BE145" s="480"/>
      <c r="BF145" s="481"/>
      <c r="BG145" s="463"/>
      <c r="BH145" s="509"/>
      <c r="BI145" s="480"/>
      <c r="BJ145" s="480"/>
      <c r="BK145" s="481"/>
      <c r="BL145" s="463"/>
      <c r="BM145" s="509"/>
      <c r="BN145" s="480"/>
      <c r="BO145" s="480"/>
      <c r="BP145" s="481"/>
      <c r="BQ145" s="463"/>
      <c r="BR145" s="296"/>
      <c r="BS145" s="296"/>
      <c r="BT145" s="296"/>
      <c r="BU145" s="296"/>
      <c r="CA145" s="3"/>
      <c r="CL145"/>
      <c r="CM145"/>
      <c r="CN145"/>
      <c r="CO145"/>
      <c r="CP145"/>
      <c r="CQ145"/>
    </row>
    <row r="146" spans="1:95" s="2" customFormat="1">
      <c r="A146" s="1523"/>
      <c r="C146" s="2" t="s">
        <v>593</v>
      </c>
      <c r="E146" s="506">
        <v>21172</v>
      </c>
      <c r="F146" s="507">
        <v>21519</v>
      </c>
      <c r="G146" s="507">
        <v>21920</v>
      </c>
      <c r="H146" s="508">
        <v>21416</v>
      </c>
      <c r="I146" s="463">
        <f>H146</f>
        <v>21416</v>
      </c>
      <c r="J146" s="459">
        <v>22455</v>
      </c>
      <c r="K146" s="460">
        <v>22833</v>
      </c>
      <c r="L146" s="460">
        <v>23458</v>
      </c>
      <c r="M146" s="461">
        <v>23272</v>
      </c>
      <c r="N146" s="463">
        <f>M146</f>
        <v>23272</v>
      </c>
      <c r="O146" s="459">
        <v>23698</v>
      </c>
      <c r="P146" s="460">
        <v>24056</v>
      </c>
      <c r="Q146" s="460">
        <v>24618</v>
      </c>
      <c r="R146" s="461">
        <v>25080</v>
      </c>
      <c r="S146" s="463">
        <f>R146</f>
        <v>25080</v>
      </c>
      <c r="T146" s="459">
        <v>25596</v>
      </c>
      <c r="U146" s="460">
        <v>26045</v>
      </c>
      <c r="V146" s="460">
        <v>26731</v>
      </c>
      <c r="W146" s="461">
        <v>27402</v>
      </c>
      <c r="X146" s="77">
        <f>W146</f>
        <v>27402</v>
      </c>
      <c r="Y146" s="459">
        <v>27932</v>
      </c>
      <c r="Z146" s="460">
        <v>28515</v>
      </c>
      <c r="AA146" s="460">
        <v>29206</v>
      </c>
      <c r="AB146" s="461">
        <v>29713</v>
      </c>
      <c r="AC146" s="77">
        <f>AB146</f>
        <v>29713</v>
      </c>
      <c r="AD146" s="459">
        <v>30152</v>
      </c>
      <c r="AE146" s="460">
        <v>30709</v>
      </c>
      <c r="AF146" s="460">
        <v>31328</v>
      </c>
      <c r="AG146" s="461">
        <v>32196</v>
      </c>
      <c r="AH146" s="77">
        <f>AG146</f>
        <v>32196</v>
      </c>
      <c r="AI146" s="459">
        <v>32805</v>
      </c>
      <c r="AJ146" s="460">
        <v>33603</v>
      </c>
      <c r="AK146" s="460">
        <v>34625</v>
      </c>
      <c r="AL146" s="461">
        <v>35494</v>
      </c>
      <c r="AM146" s="77">
        <f>AL146</f>
        <v>35494</v>
      </c>
      <c r="AN146" s="459">
        <v>36393</v>
      </c>
      <c r="AO146" s="460">
        <v>37285</v>
      </c>
      <c r="AP146" s="460">
        <v>38225</v>
      </c>
      <c r="AQ146" s="461">
        <v>39337</v>
      </c>
      <c r="AR146" s="77">
        <f>AQ146</f>
        <v>39337</v>
      </c>
      <c r="AS146" s="459">
        <v>40195</v>
      </c>
      <c r="AT146" s="460">
        <v>38794</v>
      </c>
      <c r="AU146" s="460">
        <v>39916</v>
      </c>
      <c r="AV146" s="461">
        <v>41231</v>
      </c>
      <c r="AW146" s="77">
        <f>AV146</f>
        <v>41231</v>
      </c>
      <c r="AX146" s="509">
        <f>+AW146-AX117</f>
        <v>42119.75</v>
      </c>
      <c r="AY146" s="480">
        <f>+AX146-AY117</f>
        <v>43008.5</v>
      </c>
      <c r="AZ146" s="480">
        <f>+AY146-AZ117</f>
        <v>43886.416666666664</v>
      </c>
      <c r="BA146" s="481">
        <f>+AZ146-BA117</f>
        <v>44785.166666666664</v>
      </c>
      <c r="BB146" s="463">
        <f>BA146</f>
        <v>44785.166666666664</v>
      </c>
      <c r="BC146" s="509">
        <f>+BB146-BC117</f>
        <v>45568.916666666664</v>
      </c>
      <c r="BD146" s="480">
        <f>+BC146-BD117</f>
        <v>46352.666666666664</v>
      </c>
      <c r="BE146" s="480">
        <f>+BD146-BE117</f>
        <v>47136.416666666664</v>
      </c>
      <c r="BF146" s="481">
        <f>+BE146-BF117</f>
        <v>47920.166666666664</v>
      </c>
      <c r="BG146" s="463">
        <f>BF146</f>
        <v>47920.166666666664</v>
      </c>
      <c r="BH146" s="509">
        <f>+BG146-BH117</f>
        <v>48675.166666666664</v>
      </c>
      <c r="BI146" s="480">
        <f>+BH146-BI117</f>
        <v>49430.166666666664</v>
      </c>
      <c r="BJ146" s="480">
        <f>+BI146-BJ117</f>
        <v>50185.166666666664</v>
      </c>
      <c r="BK146" s="481">
        <f>+BJ146-BK117</f>
        <v>50940.166666666664</v>
      </c>
      <c r="BL146" s="463">
        <f>BK146</f>
        <v>50940.166666666664</v>
      </c>
      <c r="BM146" s="509">
        <f>+BL146-BM117</f>
        <v>51591.416666666664</v>
      </c>
      <c r="BN146" s="480">
        <f>+BM146-BN117</f>
        <v>52242.666666666664</v>
      </c>
      <c r="BO146" s="480">
        <f>+BN146-BO117</f>
        <v>52893.916666666664</v>
      </c>
      <c r="BP146" s="481">
        <f>+BO146-BP117</f>
        <v>53545.166666666664</v>
      </c>
      <c r="BQ146" s="463">
        <f>BP146</f>
        <v>53545.166666666664</v>
      </c>
      <c r="BR146" s="296"/>
      <c r="BS146" s="296"/>
      <c r="BT146" s="296"/>
      <c r="BU146" s="296"/>
      <c r="CA146" s="3"/>
      <c r="CF146" s="3"/>
      <c r="CL146"/>
      <c r="CM146"/>
      <c r="CN146"/>
      <c r="CO146"/>
      <c r="CP146"/>
      <c r="CQ146"/>
    </row>
    <row r="147" spans="1:95" s="2" customFormat="1">
      <c r="A147" s="1523"/>
      <c r="C147" s="2" t="s">
        <v>446</v>
      </c>
      <c r="E147" s="506">
        <v>-6531</v>
      </c>
      <c r="F147" s="507">
        <v>-6620</v>
      </c>
      <c r="G147" s="507">
        <v>-6777</v>
      </c>
      <c r="H147" s="508">
        <v>-6530</v>
      </c>
      <c r="I147" s="463">
        <f>H147</f>
        <v>-6530</v>
      </c>
      <c r="J147" s="459">
        <v>-6772</v>
      </c>
      <c r="K147" s="460">
        <v>-6876</v>
      </c>
      <c r="L147" s="460">
        <v>-6995</v>
      </c>
      <c r="M147" s="461">
        <v>-6882</v>
      </c>
      <c r="N147" s="463">
        <f>M147</f>
        <v>-6882</v>
      </c>
      <c r="O147" s="459">
        <v>-7050</v>
      </c>
      <c r="P147" s="460">
        <v>-7162</v>
      </c>
      <c r="Q147" s="460">
        <v>-7336</v>
      </c>
      <c r="R147" s="461">
        <v>-7231</v>
      </c>
      <c r="S147" s="463">
        <f>R147</f>
        <v>-7231</v>
      </c>
      <c r="T147" s="459">
        <v>-7363</v>
      </c>
      <c r="U147" s="460">
        <v>-7455</v>
      </c>
      <c r="V147" s="460">
        <v>-7628</v>
      </c>
      <c r="W147" s="461">
        <v>-7666</v>
      </c>
      <c r="X147" s="77">
        <f>W147</f>
        <v>-7666</v>
      </c>
      <c r="Y147" s="459">
        <v>-7807</v>
      </c>
      <c r="Z147" s="460">
        <v>-7954</v>
      </c>
      <c r="AA147" s="460">
        <v>-8127</v>
      </c>
      <c r="AB147" s="461">
        <v>-8068</v>
      </c>
      <c r="AC147" s="77">
        <f>AB147</f>
        <v>-8068</v>
      </c>
      <c r="AD147" s="459">
        <v>-8219</v>
      </c>
      <c r="AE147" s="460">
        <v>-8399</v>
      </c>
      <c r="AF147" s="460">
        <v>-8492</v>
      </c>
      <c r="AG147" s="461">
        <v>-8607</v>
      </c>
      <c r="AH147" s="77">
        <f>AG147</f>
        <v>-8607</v>
      </c>
      <c r="AI147" s="459">
        <v>-8827</v>
      </c>
      <c r="AJ147" s="460">
        <v>-8796</v>
      </c>
      <c r="AK147" s="460">
        <v>-9020</v>
      </c>
      <c r="AL147" s="461">
        <v>-8955</v>
      </c>
      <c r="AM147" s="77">
        <f>AL147</f>
        <v>-8955</v>
      </c>
      <c r="AN147" s="459">
        <v>-9119</v>
      </c>
      <c r="AO147" s="460">
        <v>-9271</v>
      </c>
      <c r="AP147" s="460">
        <v>-9421</v>
      </c>
      <c r="AQ147" s="461">
        <v>-10051</v>
      </c>
      <c r="AR147" s="77">
        <f>AQ147</f>
        <v>-10051</v>
      </c>
      <c r="AS147" s="459">
        <v>-10850</v>
      </c>
      <c r="AT147" s="460">
        <v>-9157</v>
      </c>
      <c r="AU147" s="460">
        <v>-9383</v>
      </c>
      <c r="AV147" s="461">
        <v>-9434</v>
      </c>
      <c r="AW147" s="77">
        <f>AV147</f>
        <v>-9434</v>
      </c>
      <c r="AX147" s="509">
        <f>+AW147-AX15</f>
        <v>-9667.4264482445324</v>
      </c>
      <c r="AY147" s="480">
        <f>+AX147-AY15</f>
        <v>-9905.8110588114632</v>
      </c>
      <c r="AZ147" s="480">
        <f>+AY147-AZ15</f>
        <v>-10148.91035766612</v>
      </c>
      <c r="BA147" s="481">
        <f>+AZ147-BA15</f>
        <v>-10392.009656520777</v>
      </c>
      <c r="BB147" s="463">
        <f>BA147</f>
        <v>-10392.009656520777</v>
      </c>
      <c r="BC147" s="509">
        <f>+BB147-BC15</f>
        <v>-10638.828567928236</v>
      </c>
      <c r="BD147" s="480">
        <f>+BC147-BD15</f>
        <v>-10889.447459390794</v>
      </c>
      <c r="BE147" s="480">
        <f>+BD147-BE15</f>
        <v>-11143.735051070624</v>
      </c>
      <c r="BF147" s="481">
        <f>+BE147-BF15</f>
        <v>-11401.665823347559</v>
      </c>
      <c r="BG147" s="463">
        <f>BF147</f>
        <v>-11401.665823347559</v>
      </c>
      <c r="BH147" s="509">
        <f>+BG147-BH15</f>
        <v>-11661.274605756609</v>
      </c>
      <c r="BI147" s="480">
        <f>+BH147-BI15</f>
        <v>-11924.394485631665</v>
      </c>
      <c r="BJ147" s="480">
        <f>+BI147-BJ15</f>
        <v>-12190.835759989299</v>
      </c>
      <c r="BK147" s="481">
        <f>+BJ147-BK15</f>
        <v>-12460.575951648212</v>
      </c>
      <c r="BL147" s="463">
        <f>BK147</f>
        <v>-12460.575951648212</v>
      </c>
      <c r="BM147" s="509">
        <f>+BL147-BM15</f>
        <v>-12731.782625437891</v>
      </c>
      <c r="BN147" s="480">
        <f>+BM147-BN15</f>
        <v>-13007.292777044744</v>
      </c>
      <c r="BO147" s="480">
        <f>+BN147-BO15</f>
        <v>-13285.269663679272</v>
      </c>
      <c r="BP147" s="481">
        <f>+BO147-BP15</f>
        <v>-13565.696877491941</v>
      </c>
      <c r="BQ147" s="463">
        <f>BP147</f>
        <v>-13565.696877491941</v>
      </c>
      <c r="BR147" s="296"/>
      <c r="BS147" s="296"/>
      <c r="BT147" s="296"/>
      <c r="BU147" s="296"/>
      <c r="BZ147" s="3"/>
      <c r="CA147" s="3"/>
      <c r="CL147"/>
      <c r="CM147"/>
      <c r="CN147"/>
      <c r="CO147"/>
      <c r="CP147"/>
      <c r="CQ147"/>
    </row>
    <row r="148" spans="1:95" s="2" customFormat="1">
      <c r="A148" s="1523"/>
      <c r="C148" s="49" t="s">
        <v>453</v>
      </c>
      <c r="E148" s="477">
        <f t="shared" ref="E148:AR148" si="161">+SUM(E146:E147)</f>
        <v>14641</v>
      </c>
      <c r="F148" s="478">
        <f t="shared" si="161"/>
        <v>14899</v>
      </c>
      <c r="G148" s="478">
        <f t="shared" si="161"/>
        <v>15143</v>
      </c>
      <c r="H148" s="479">
        <f t="shared" si="161"/>
        <v>14886</v>
      </c>
      <c r="I148" s="464">
        <f t="shared" si="161"/>
        <v>14886</v>
      </c>
      <c r="J148" s="396">
        <f t="shared" si="161"/>
        <v>15683</v>
      </c>
      <c r="K148" s="343">
        <f t="shared" si="161"/>
        <v>15957</v>
      </c>
      <c r="L148" s="343">
        <f t="shared" si="161"/>
        <v>16463</v>
      </c>
      <c r="M148" s="397">
        <f t="shared" si="161"/>
        <v>16390</v>
      </c>
      <c r="N148" s="464">
        <f t="shared" si="161"/>
        <v>16390</v>
      </c>
      <c r="O148" s="396">
        <f t="shared" si="161"/>
        <v>16648</v>
      </c>
      <c r="P148" s="343">
        <f t="shared" si="161"/>
        <v>16894</v>
      </c>
      <c r="Q148" s="343">
        <f t="shared" si="161"/>
        <v>17282</v>
      </c>
      <c r="R148" s="397">
        <f t="shared" si="161"/>
        <v>17849</v>
      </c>
      <c r="S148" s="464">
        <f t="shared" si="161"/>
        <v>17849</v>
      </c>
      <c r="T148" s="396">
        <f t="shared" si="161"/>
        <v>18233</v>
      </c>
      <c r="U148" s="343">
        <f t="shared" si="161"/>
        <v>18590</v>
      </c>
      <c r="V148" s="343">
        <f t="shared" si="161"/>
        <v>19103</v>
      </c>
      <c r="W148" s="397">
        <f t="shared" si="161"/>
        <v>19736</v>
      </c>
      <c r="X148" s="297">
        <f t="shared" si="161"/>
        <v>19736</v>
      </c>
      <c r="Y148" s="396">
        <f t="shared" si="161"/>
        <v>20125</v>
      </c>
      <c r="Z148" s="343">
        <f t="shared" si="161"/>
        <v>20561</v>
      </c>
      <c r="AA148" s="343">
        <f t="shared" si="161"/>
        <v>21079</v>
      </c>
      <c r="AB148" s="397">
        <f t="shared" ref="AB148:AI148" si="162">+SUM(AB146:AB147)</f>
        <v>21645</v>
      </c>
      <c r="AC148" s="297">
        <f t="shared" si="162"/>
        <v>21645</v>
      </c>
      <c r="AD148" s="396">
        <f t="shared" si="162"/>
        <v>21933</v>
      </c>
      <c r="AE148" s="343">
        <f t="shared" si="162"/>
        <v>22310</v>
      </c>
      <c r="AF148" s="343">
        <f t="shared" si="162"/>
        <v>22836</v>
      </c>
      <c r="AG148" s="397">
        <f t="shared" si="162"/>
        <v>23589</v>
      </c>
      <c r="AH148" s="297">
        <f t="shared" si="162"/>
        <v>23589</v>
      </c>
      <c r="AI148" s="396">
        <f t="shared" si="162"/>
        <v>23978</v>
      </c>
      <c r="AJ148" s="343">
        <f t="shared" ref="AJ148:AO148" si="163">+SUM(AJ146:AJ147)</f>
        <v>24807</v>
      </c>
      <c r="AK148" s="343">
        <f t="shared" si="163"/>
        <v>25605</v>
      </c>
      <c r="AL148" s="397">
        <f t="shared" si="163"/>
        <v>26539</v>
      </c>
      <c r="AM148" s="297">
        <f t="shared" si="163"/>
        <v>26539</v>
      </c>
      <c r="AN148" s="396">
        <f t="shared" si="163"/>
        <v>27274</v>
      </c>
      <c r="AO148" s="343">
        <f t="shared" si="163"/>
        <v>28014</v>
      </c>
      <c r="AP148" s="343">
        <f t="shared" si="161"/>
        <v>28804</v>
      </c>
      <c r="AQ148" s="397">
        <f t="shared" si="161"/>
        <v>29286</v>
      </c>
      <c r="AR148" s="297">
        <f t="shared" si="161"/>
        <v>29286</v>
      </c>
      <c r="AS148" s="396">
        <f t="shared" ref="AS148:BB148" si="164">+SUM(AS146:AS147)</f>
        <v>29345</v>
      </c>
      <c r="AT148" s="343">
        <f t="shared" si="164"/>
        <v>29637</v>
      </c>
      <c r="AU148" s="343">
        <f t="shared" si="164"/>
        <v>30533</v>
      </c>
      <c r="AV148" s="397">
        <f t="shared" si="164"/>
        <v>31797</v>
      </c>
      <c r="AW148" s="297">
        <f t="shared" si="164"/>
        <v>31797</v>
      </c>
      <c r="AX148" s="390">
        <f t="shared" si="164"/>
        <v>32452.323551755468</v>
      </c>
      <c r="AY148" s="340">
        <f t="shared" si="164"/>
        <v>33102.688941188535</v>
      </c>
      <c r="AZ148" s="340">
        <f t="shared" si="164"/>
        <v>33737.506309000542</v>
      </c>
      <c r="BA148" s="391">
        <f t="shared" si="164"/>
        <v>34393.157010145886</v>
      </c>
      <c r="BB148" s="464">
        <f t="shared" si="164"/>
        <v>34393.157010145886</v>
      </c>
      <c r="BC148" s="390">
        <f t="shared" ref="BC148:BL148" si="165">+SUM(BC146:BC147)</f>
        <v>34930.08809873843</v>
      </c>
      <c r="BD148" s="340">
        <f t="shared" si="165"/>
        <v>35463.21920727587</v>
      </c>
      <c r="BE148" s="340">
        <f t="shared" si="165"/>
        <v>35992.681615596041</v>
      </c>
      <c r="BF148" s="391">
        <f t="shared" si="165"/>
        <v>36518.500843319103</v>
      </c>
      <c r="BG148" s="464">
        <f t="shared" si="165"/>
        <v>36518.500843319103</v>
      </c>
      <c r="BH148" s="390">
        <f t="shared" si="165"/>
        <v>37013.892060910053</v>
      </c>
      <c r="BI148" s="340">
        <f t="shared" si="165"/>
        <v>37505.772181034998</v>
      </c>
      <c r="BJ148" s="340">
        <f t="shared" si="165"/>
        <v>37994.330906677365</v>
      </c>
      <c r="BK148" s="391">
        <f t="shared" si="165"/>
        <v>38479.59071501845</v>
      </c>
      <c r="BL148" s="464">
        <f t="shared" si="165"/>
        <v>38479.59071501845</v>
      </c>
      <c r="BM148" s="390">
        <f>+SUM(BM146:BM147)</f>
        <v>38859.634041228775</v>
      </c>
      <c r="BN148" s="340">
        <f>+SUM(BN146:BN147)</f>
        <v>39235.373889621922</v>
      </c>
      <c r="BO148" s="340">
        <f>+SUM(BO146:BO147)</f>
        <v>39608.647002987389</v>
      </c>
      <c r="BP148" s="391">
        <f>+SUM(BP146:BP147)</f>
        <v>39979.46978917472</v>
      </c>
      <c r="BQ148" s="464">
        <f>+SUM(BQ146:BQ147)</f>
        <v>39979.46978917472</v>
      </c>
      <c r="BR148" s="296"/>
      <c r="BS148" s="296"/>
      <c r="BT148" s="296"/>
      <c r="BU148" s="296"/>
      <c r="CA148" s="3"/>
      <c r="CL148"/>
      <c r="CM148"/>
      <c r="CN148"/>
      <c r="CO148"/>
      <c r="CP148"/>
      <c r="CQ148"/>
    </row>
    <row r="149" spans="1:95" s="2" customFormat="1">
      <c r="A149" s="1523"/>
      <c r="C149" s="37"/>
      <c r="E149" s="434"/>
      <c r="F149" s="435"/>
      <c r="G149" s="435"/>
      <c r="H149" s="436"/>
      <c r="I149" s="463"/>
      <c r="J149" s="392"/>
      <c r="K149" s="341"/>
      <c r="L149" s="341"/>
      <c r="M149" s="393"/>
      <c r="N149" s="463"/>
      <c r="O149" s="392"/>
      <c r="P149" s="341"/>
      <c r="Q149" s="341"/>
      <c r="R149" s="393"/>
      <c r="S149" s="463"/>
      <c r="T149" s="392"/>
      <c r="U149" s="341"/>
      <c r="V149" s="341"/>
      <c r="W149" s="393"/>
      <c r="X149" s="77"/>
      <c r="Y149" s="392"/>
      <c r="Z149" s="341"/>
      <c r="AA149" s="341"/>
      <c r="AB149" s="393"/>
      <c r="AC149" s="77"/>
      <c r="AD149" s="392"/>
      <c r="AE149" s="341"/>
      <c r="AF149" s="341"/>
      <c r="AG149" s="393"/>
      <c r="AH149" s="77"/>
      <c r="AI149" s="392"/>
      <c r="AJ149" s="341"/>
      <c r="AK149" s="341"/>
      <c r="AL149" s="393"/>
      <c r="AM149" s="77"/>
      <c r="AN149" s="392"/>
      <c r="AO149" s="341"/>
      <c r="AP149" s="341"/>
      <c r="AQ149" s="393"/>
      <c r="AR149" s="77"/>
      <c r="AS149" s="392"/>
      <c r="AT149" s="341"/>
      <c r="AU149" s="341"/>
      <c r="AV149" s="393"/>
      <c r="AW149" s="77"/>
      <c r="AX149" s="509"/>
      <c r="AY149" s="480"/>
      <c r="AZ149" s="480"/>
      <c r="BA149" s="481"/>
      <c r="BB149" s="463"/>
      <c r="BC149" s="509"/>
      <c r="BD149" s="480"/>
      <c r="BE149" s="480"/>
      <c r="BF149" s="481"/>
      <c r="BG149" s="463"/>
      <c r="BH149" s="509"/>
      <c r="BI149" s="480"/>
      <c r="BJ149" s="480"/>
      <c r="BK149" s="481"/>
      <c r="BL149" s="463"/>
      <c r="BM149" s="509"/>
      <c r="BN149" s="480"/>
      <c r="BO149" s="480"/>
      <c r="BP149" s="481"/>
      <c r="BQ149" s="463"/>
      <c r="BR149" s="296"/>
      <c r="BS149" s="296"/>
      <c r="BT149" s="296"/>
      <c r="BU149" s="296"/>
      <c r="CA149" s="3"/>
      <c r="CL149"/>
      <c r="CM149"/>
      <c r="CN149"/>
      <c r="CO149"/>
      <c r="CP149"/>
      <c r="CQ149"/>
    </row>
    <row r="150" spans="1:95" s="2" customFormat="1">
      <c r="A150" s="1523"/>
      <c r="C150" s="2" t="s">
        <v>425</v>
      </c>
      <c r="E150" s="506">
        <v>3524</v>
      </c>
      <c r="F150" s="507">
        <v>3368</v>
      </c>
      <c r="G150" s="507">
        <v>3341</v>
      </c>
      <c r="H150" s="508">
        <v>3231</v>
      </c>
      <c r="I150" s="463">
        <f t="shared" ref="I150:I155" si="166">H150</f>
        <v>3231</v>
      </c>
      <c r="J150" s="459">
        <v>3216</v>
      </c>
      <c r="K150" s="460">
        <v>3114</v>
      </c>
      <c r="L150" s="460">
        <v>2968</v>
      </c>
      <c r="M150" s="461">
        <v>2986</v>
      </c>
      <c r="N150" s="463">
        <f t="shared" ref="N150:N155" si="167">M150</f>
        <v>2986</v>
      </c>
      <c r="O150" s="459">
        <v>2996</v>
      </c>
      <c r="P150" s="460">
        <v>3095</v>
      </c>
      <c r="Q150" s="460">
        <f>1280+1406</f>
        <v>2686</v>
      </c>
      <c r="R150" s="461">
        <f>1303+1349</f>
        <v>2652</v>
      </c>
      <c r="S150" s="463">
        <f t="shared" ref="S150:S155" si="168">R150</f>
        <v>2652</v>
      </c>
      <c r="T150" s="459">
        <f>1276+1449</f>
        <v>2725</v>
      </c>
      <c r="U150" s="460">
        <f>1294+1417</f>
        <v>2711</v>
      </c>
      <c r="V150" s="460">
        <f>1314+1501</f>
        <v>2815</v>
      </c>
      <c r="W150" s="461">
        <f>1324+1540</f>
        <v>2864</v>
      </c>
      <c r="X150" s="77">
        <f t="shared" ref="X150:X155" si="169">W150</f>
        <v>2864</v>
      </c>
      <c r="Y150" s="459">
        <f>1320+1602</f>
        <v>2922</v>
      </c>
      <c r="Z150" s="460">
        <f>1323+1580</f>
        <v>2903</v>
      </c>
      <c r="AA150" s="460">
        <f>1320+1635</f>
        <v>2955</v>
      </c>
      <c r="AB150" s="461">
        <f>1313+1701</f>
        <v>3014</v>
      </c>
      <c r="AC150" s="77">
        <f t="shared" ref="AC150:AC155" si="170">AB150</f>
        <v>3014</v>
      </c>
      <c r="AD150" s="459">
        <f>1321+1734</f>
        <v>3055</v>
      </c>
      <c r="AE150" s="460">
        <f>1315+1777</f>
        <v>3092</v>
      </c>
      <c r="AF150" s="460">
        <f>1309+1739</f>
        <v>3048</v>
      </c>
      <c r="AG150" s="461">
        <f>1307+1780</f>
        <v>3087</v>
      </c>
      <c r="AH150" s="77">
        <f t="shared" ref="AH150:AH155" si="171">AG150</f>
        <v>3087</v>
      </c>
      <c r="AI150" s="459">
        <f>1287+1821</f>
        <v>3108</v>
      </c>
      <c r="AJ150" s="460">
        <f>1273+1792</f>
        <v>3065</v>
      </c>
      <c r="AK150" s="460">
        <f>1235+1715</f>
        <v>2950</v>
      </c>
      <c r="AL150" s="461">
        <f>1233+1754</f>
        <v>2987</v>
      </c>
      <c r="AM150" s="77">
        <f t="shared" ref="AM150:AM155" si="172">AL150</f>
        <v>2987</v>
      </c>
      <c r="AN150" s="459">
        <f>1234+1778</f>
        <v>3012</v>
      </c>
      <c r="AO150" s="460">
        <f>1218+1797</f>
        <v>3015</v>
      </c>
      <c r="AP150" s="460">
        <f>1066+1857</f>
        <v>2923</v>
      </c>
      <c r="AQ150" s="461">
        <f>1050+1859</f>
        <v>2909</v>
      </c>
      <c r="AR150" s="77">
        <f t="shared" ref="AR150:AR155" si="173">AQ150</f>
        <v>2909</v>
      </c>
      <c r="AS150" s="459">
        <f>1001+1913</f>
        <v>2914</v>
      </c>
      <c r="AT150" s="460">
        <f>961+1968</f>
        <v>2929</v>
      </c>
      <c r="AU150" s="460">
        <f>936+2012</f>
        <v>2948</v>
      </c>
      <c r="AV150" s="461">
        <f>932+2133</f>
        <v>3065</v>
      </c>
      <c r="AW150" s="77">
        <f t="shared" ref="AW150:AW155" si="174">AV150</f>
        <v>3065</v>
      </c>
      <c r="AX150" s="509">
        <f>+AW150-AX118</f>
        <v>3065</v>
      </c>
      <c r="AY150" s="480">
        <f>+AX150-AY118</f>
        <v>3065</v>
      </c>
      <c r="AZ150" s="480">
        <f>+AY150-AZ118</f>
        <v>3065</v>
      </c>
      <c r="BA150" s="481">
        <f>+AZ150-BA118</f>
        <v>3065</v>
      </c>
      <c r="BB150" s="463">
        <f>BA150</f>
        <v>3065</v>
      </c>
      <c r="BC150" s="509">
        <f>+BB150-BC118</f>
        <v>3065</v>
      </c>
      <c r="BD150" s="480">
        <f>+BC150-BD118</f>
        <v>3065</v>
      </c>
      <c r="BE150" s="480">
        <f>+BD150-BE118</f>
        <v>3065</v>
      </c>
      <c r="BF150" s="481">
        <f>+BE150-BF118</f>
        <v>3065</v>
      </c>
      <c r="BG150" s="463">
        <f>BF150</f>
        <v>3065</v>
      </c>
      <c r="BH150" s="509">
        <f>+BG150-BH118</f>
        <v>3065</v>
      </c>
      <c r="BI150" s="480">
        <f>+BH150-BI118</f>
        <v>3065</v>
      </c>
      <c r="BJ150" s="480">
        <f>+BI150-BJ118</f>
        <v>3065</v>
      </c>
      <c r="BK150" s="481">
        <f>+BJ150-BK118</f>
        <v>3065</v>
      </c>
      <c r="BL150" s="463">
        <f>BK150</f>
        <v>3065</v>
      </c>
      <c r="BM150" s="509">
        <f>+BL150-BM118</f>
        <v>3065</v>
      </c>
      <c r="BN150" s="480">
        <f>+BM150-BN118</f>
        <v>3065</v>
      </c>
      <c r="BO150" s="480">
        <f>+BN150-BO118</f>
        <v>3065</v>
      </c>
      <c r="BP150" s="481">
        <f>+BO150-BP118</f>
        <v>3065</v>
      </c>
      <c r="BQ150" s="463">
        <f>BP150</f>
        <v>3065</v>
      </c>
      <c r="BR150" s="296"/>
      <c r="BS150" s="296"/>
      <c r="BT150" s="296"/>
      <c r="BU150" s="296"/>
      <c r="CA150" s="3"/>
      <c r="CL150"/>
      <c r="CM150"/>
      <c r="CN150"/>
      <c r="CO150"/>
      <c r="CP150"/>
      <c r="CQ150"/>
    </row>
    <row r="151" spans="1:95" s="2" customFormat="1">
      <c r="A151" s="1523"/>
      <c r="C151" s="2" t="s">
        <v>426</v>
      </c>
      <c r="E151" s="506">
        <v>104</v>
      </c>
      <c r="F151" s="507">
        <v>124</v>
      </c>
      <c r="G151" s="507">
        <v>126</v>
      </c>
      <c r="H151" s="508">
        <v>139</v>
      </c>
      <c r="I151" s="463">
        <f t="shared" si="166"/>
        <v>139</v>
      </c>
      <c r="J151" s="459">
        <v>149</v>
      </c>
      <c r="K151" s="460">
        <v>148</v>
      </c>
      <c r="L151" s="460">
        <v>145</v>
      </c>
      <c r="M151" s="461">
        <v>152</v>
      </c>
      <c r="N151" s="463">
        <f t="shared" si="167"/>
        <v>152</v>
      </c>
      <c r="O151" s="459">
        <v>151</v>
      </c>
      <c r="P151" s="460">
        <v>158</v>
      </c>
      <c r="Q151" s="460">
        <v>16</v>
      </c>
      <c r="R151" s="461">
        <f>16+131</f>
        <v>147</v>
      </c>
      <c r="S151" s="463">
        <f t="shared" si="168"/>
        <v>147</v>
      </c>
      <c r="T151" s="459">
        <f>16+136</f>
        <v>152</v>
      </c>
      <c r="U151" s="460">
        <f>16+52</f>
        <v>68</v>
      </c>
      <c r="V151" s="460">
        <f>16+57</f>
        <v>73</v>
      </c>
      <c r="W151" s="461">
        <f>16+34</f>
        <v>50</v>
      </c>
      <c r="X151" s="77">
        <f t="shared" si="169"/>
        <v>50</v>
      </c>
      <c r="Y151" s="459">
        <f>16+37</f>
        <v>53</v>
      </c>
      <c r="Z151" s="460">
        <f>16+41</f>
        <v>57</v>
      </c>
      <c r="AA151" s="460">
        <f>16+52</f>
        <v>68</v>
      </c>
      <c r="AB151" s="461">
        <f>16+33</f>
        <v>49</v>
      </c>
      <c r="AC151" s="77">
        <f t="shared" si="170"/>
        <v>49</v>
      </c>
      <c r="AD151" s="459">
        <f>48+16</f>
        <v>64</v>
      </c>
      <c r="AE151" s="460">
        <f>90+16</f>
        <v>106</v>
      </c>
      <c r="AF151" s="460">
        <f>16+102</f>
        <v>118</v>
      </c>
      <c r="AG151" s="461">
        <f>16+84</f>
        <v>100</v>
      </c>
      <c r="AH151" s="77">
        <f t="shared" si="171"/>
        <v>100</v>
      </c>
      <c r="AI151" s="459">
        <f>16+87</f>
        <v>103</v>
      </c>
      <c r="AJ151" s="460">
        <f>16+101</f>
        <v>117</v>
      </c>
      <c r="AK151" s="460">
        <f>16+122</f>
        <v>138</v>
      </c>
      <c r="AL151" s="461">
        <f>16+102</f>
        <v>118</v>
      </c>
      <c r="AM151" s="77">
        <f t="shared" si="172"/>
        <v>118</v>
      </c>
      <c r="AN151" s="459">
        <f>16+112</f>
        <v>128</v>
      </c>
      <c r="AO151" s="460">
        <f>16+131</f>
        <v>147</v>
      </c>
      <c r="AP151" s="460">
        <f>16+154</f>
        <v>170</v>
      </c>
      <c r="AQ151" s="461">
        <f>16+98</f>
        <v>114</v>
      </c>
      <c r="AR151" s="77">
        <f t="shared" si="173"/>
        <v>114</v>
      </c>
      <c r="AS151" s="459">
        <f>16+106</f>
        <v>122</v>
      </c>
      <c r="AT151" s="460">
        <f>16+120</f>
        <v>136</v>
      </c>
      <c r="AU151" s="460">
        <f>16+88</f>
        <v>104</v>
      </c>
      <c r="AV151" s="461">
        <f>16+114</f>
        <v>130</v>
      </c>
      <c r="AW151" s="77">
        <f t="shared" si="174"/>
        <v>130</v>
      </c>
      <c r="AX151" s="406">
        <f t="shared" ref="AX151:BC154" si="175">+AW151</f>
        <v>130</v>
      </c>
      <c r="AY151" s="348">
        <f t="shared" si="175"/>
        <v>130</v>
      </c>
      <c r="AZ151" s="348">
        <f t="shared" si="175"/>
        <v>130</v>
      </c>
      <c r="BA151" s="405">
        <f t="shared" si="175"/>
        <v>130</v>
      </c>
      <c r="BB151" s="451">
        <f t="shared" si="175"/>
        <v>130</v>
      </c>
      <c r="BC151" s="406">
        <f t="shared" si="175"/>
        <v>130</v>
      </c>
      <c r="BD151" s="348">
        <f t="shared" ref="BD151:BL151" si="176">+BC151</f>
        <v>130</v>
      </c>
      <c r="BE151" s="348">
        <f t="shared" si="176"/>
        <v>130</v>
      </c>
      <c r="BF151" s="405">
        <f t="shared" si="176"/>
        <v>130</v>
      </c>
      <c r="BG151" s="451">
        <f t="shared" si="176"/>
        <v>130</v>
      </c>
      <c r="BH151" s="406">
        <f t="shared" si="176"/>
        <v>130</v>
      </c>
      <c r="BI151" s="348">
        <f t="shared" si="176"/>
        <v>130</v>
      </c>
      <c r="BJ151" s="348">
        <f t="shared" si="176"/>
        <v>130</v>
      </c>
      <c r="BK151" s="405">
        <f t="shared" si="176"/>
        <v>130</v>
      </c>
      <c r="BL151" s="451">
        <f t="shared" si="176"/>
        <v>130</v>
      </c>
      <c r="BM151" s="406">
        <f t="shared" ref="BM151:BQ154" si="177">+BL151</f>
        <v>130</v>
      </c>
      <c r="BN151" s="348">
        <f t="shared" si="177"/>
        <v>130</v>
      </c>
      <c r="BO151" s="348">
        <f t="shared" si="177"/>
        <v>130</v>
      </c>
      <c r="BP151" s="405">
        <f t="shared" si="177"/>
        <v>130</v>
      </c>
      <c r="BQ151" s="451">
        <f t="shared" si="177"/>
        <v>130</v>
      </c>
      <c r="BR151" s="296"/>
      <c r="BS151" s="296"/>
      <c r="BT151" s="296"/>
      <c r="BU151" s="296"/>
      <c r="CA151" s="3"/>
      <c r="CL151"/>
      <c r="CM151"/>
      <c r="CN151"/>
      <c r="CO151"/>
      <c r="CP151"/>
      <c r="CQ151"/>
    </row>
    <row r="152" spans="1:95" s="2" customFormat="1">
      <c r="A152" s="1523"/>
      <c r="C152" s="2" t="s">
        <v>539</v>
      </c>
      <c r="E152" s="506">
        <v>6236</v>
      </c>
      <c r="F152" s="507">
        <v>6022</v>
      </c>
      <c r="G152" s="507">
        <v>5806</v>
      </c>
      <c r="H152" s="508">
        <v>5627</v>
      </c>
      <c r="I152" s="463">
        <f t="shared" si="166"/>
        <v>5627</v>
      </c>
      <c r="J152" s="459">
        <v>5660</v>
      </c>
      <c r="K152" s="460">
        <v>5477</v>
      </c>
      <c r="L152" s="460">
        <v>5286</v>
      </c>
      <c r="M152" s="461">
        <v>4864</v>
      </c>
      <c r="N152" s="463">
        <f t="shared" si="167"/>
        <v>4864</v>
      </c>
      <c r="O152" s="459">
        <v>4670</v>
      </c>
      <c r="P152" s="460">
        <v>4403</v>
      </c>
      <c r="Q152" s="460">
        <f>3354+968</f>
        <v>4322</v>
      </c>
      <c r="R152" s="461">
        <f>3805+925</f>
        <v>4730</v>
      </c>
      <c r="S152" s="463">
        <f t="shared" si="168"/>
        <v>4730</v>
      </c>
      <c r="T152" s="459">
        <f>3437+877</f>
        <v>4314</v>
      </c>
      <c r="U152" s="460">
        <f>3417+827</f>
        <v>4244</v>
      </c>
      <c r="V152" s="460">
        <f>3336+760</f>
        <v>4096</v>
      </c>
      <c r="W152" s="461">
        <f>3830+713</f>
        <v>4543</v>
      </c>
      <c r="X152" s="77">
        <f t="shared" si="169"/>
        <v>4543</v>
      </c>
      <c r="Y152" s="459">
        <f>3643+658</f>
        <v>4301</v>
      </c>
      <c r="Z152" s="460">
        <f>3628+603</f>
        <v>4231</v>
      </c>
      <c r="AA152" s="460">
        <f>3519+532</f>
        <v>4051</v>
      </c>
      <c r="AB152" s="461">
        <f>2612+476</f>
        <v>3088</v>
      </c>
      <c r="AC152" s="77">
        <f t="shared" si="170"/>
        <v>3088</v>
      </c>
      <c r="AD152" s="459">
        <f>2570+414</f>
        <v>2984</v>
      </c>
      <c r="AE152" s="460">
        <f>2584+355</f>
        <v>2939</v>
      </c>
      <c r="AF152" s="460">
        <f>2569+270</f>
        <v>2839</v>
      </c>
      <c r="AG152" s="461">
        <v>3192</v>
      </c>
      <c r="AH152" s="77">
        <f t="shared" si="171"/>
        <v>3192</v>
      </c>
      <c r="AI152" s="459">
        <v>3164</v>
      </c>
      <c r="AJ152" s="460">
        <v>3170</v>
      </c>
      <c r="AK152" s="460">
        <v>3161</v>
      </c>
      <c r="AL152" s="461">
        <v>3196</v>
      </c>
      <c r="AM152" s="77">
        <f t="shared" si="172"/>
        <v>3196</v>
      </c>
      <c r="AN152" s="459">
        <v>3150</v>
      </c>
      <c r="AO152" s="460">
        <v>3120</v>
      </c>
      <c r="AP152" s="460">
        <v>3124</v>
      </c>
      <c r="AQ152" s="461">
        <v>3319</v>
      </c>
      <c r="AR152" s="77">
        <f t="shared" si="173"/>
        <v>3319</v>
      </c>
      <c r="AS152" s="459">
        <v>3287</v>
      </c>
      <c r="AT152" s="460">
        <v>3349</v>
      </c>
      <c r="AU152" s="460">
        <v>3336</v>
      </c>
      <c r="AV152" s="461">
        <v>3222</v>
      </c>
      <c r="AW152" s="77">
        <f t="shared" si="174"/>
        <v>3222</v>
      </c>
      <c r="AX152" s="406">
        <f t="shared" si="175"/>
        <v>3222</v>
      </c>
      <c r="AY152" s="348">
        <f t="shared" si="175"/>
        <v>3222</v>
      </c>
      <c r="AZ152" s="348">
        <f t="shared" si="175"/>
        <v>3222</v>
      </c>
      <c r="BA152" s="405">
        <f t="shared" si="175"/>
        <v>3222</v>
      </c>
      <c r="BB152" s="451">
        <f t="shared" si="175"/>
        <v>3222</v>
      </c>
      <c r="BC152" s="406">
        <f t="shared" si="175"/>
        <v>3222</v>
      </c>
      <c r="BD152" s="348">
        <f t="shared" ref="BD152:BL152" si="178">+BC152</f>
        <v>3222</v>
      </c>
      <c r="BE152" s="348">
        <f t="shared" si="178"/>
        <v>3222</v>
      </c>
      <c r="BF152" s="405">
        <f t="shared" si="178"/>
        <v>3222</v>
      </c>
      <c r="BG152" s="451">
        <f t="shared" si="178"/>
        <v>3222</v>
      </c>
      <c r="BH152" s="406">
        <f t="shared" si="178"/>
        <v>3222</v>
      </c>
      <c r="BI152" s="348">
        <f t="shared" si="178"/>
        <v>3222</v>
      </c>
      <c r="BJ152" s="348">
        <f t="shared" si="178"/>
        <v>3222</v>
      </c>
      <c r="BK152" s="405">
        <f t="shared" si="178"/>
        <v>3222</v>
      </c>
      <c r="BL152" s="451">
        <f t="shared" si="178"/>
        <v>3222</v>
      </c>
      <c r="BM152" s="406">
        <f t="shared" si="177"/>
        <v>3222</v>
      </c>
      <c r="BN152" s="348">
        <f t="shared" si="177"/>
        <v>3222</v>
      </c>
      <c r="BO152" s="348">
        <f t="shared" si="177"/>
        <v>3222</v>
      </c>
      <c r="BP152" s="405">
        <f t="shared" si="177"/>
        <v>3222</v>
      </c>
      <c r="BQ152" s="451">
        <f t="shared" si="177"/>
        <v>3222</v>
      </c>
      <c r="BR152" s="296"/>
      <c r="BS152" s="296"/>
      <c r="BT152" s="296"/>
      <c r="BU152" s="296"/>
      <c r="CA152" s="3"/>
      <c r="CL152"/>
      <c r="CM152"/>
      <c r="CN152"/>
      <c r="CO152"/>
      <c r="CP152"/>
      <c r="CQ152"/>
    </row>
    <row r="153" spans="1:95" s="2" customFormat="1">
      <c r="A153" s="1523"/>
      <c r="C153" s="2" t="s">
        <v>427</v>
      </c>
      <c r="E153" s="506">
        <v>0</v>
      </c>
      <c r="F153" s="507">
        <v>0</v>
      </c>
      <c r="G153" s="507">
        <v>0</v>
      </c>
      <c r="H153" s="508">
        <v>0</v>
      </c>
      <c r="I153" s="463">
        <f t="shared" si="166"/>
        <v>0</v>
      </c>
      <c r="J153" s="459">
        <v>0</v>
      </c>
      <c r="K153" s="460">
        <v>0</v>
      </c>
      <c r="L153" s="460">
        <v>0</v>
      </c>
      <c r="M153" s="461">
        <v>0</v>
      </c>
      <c r="N153" s="463">
        <f t="shared" si="167"/>
        <v>0</v>
      </c>
      <c r="O153" s="459">
        <v>0</v>
      </c>
      <c r="P153" s="460">
        <v>0</v>
      </c>
      <c r="Q153" s="460">
        <v>0</v>
      </c>
      <c r="R153" s="461">
        <v>0</v>
      </c>
      <c r="S153" s="463">
        <f t="shared" si="168"/>
        <v>0</v>
      </c>
      <c r="T153" s="459">
        <v>0</v>
      </c>
      <c r="U153" s="460">
        <v>0</v>
      </c>
      <c r="V153" s="460">
        <v>0</v>
      </c>
      <c r="W153" s="461">
        <v>0</v>
      </c>
      <c r="X153" s="77">
        <f t="shared" si="169"/>
        <v>0</v>
      </c>
      <c r="Y153" s="459">
        <v>0</v>
      </c>
      <c r="Z153" s="460">
        <v>0</v>
      </c>
      <c r="AA153" s="460">
        <v>0</v>
      </c>
      <c r="AB153" s="461">
        <v>0</v>
      </c>
      <c r="AC153" s="77">
        <f t="shared" si="170"/>
        <v>0</v>
      </c>
      <c r="AD153" s="459">
        <v>0</v>
      </c>
      <c r="AE153" s="460">
        <v>0</v>
      </c>
      <c r="AF153" s="460">
        <v>0</v>
      </c>
      <c r="AG153" s="461">
        <v>0</v>
      </c>
      <c r="AH153" s="77">
        <f t="shared" si="171"/>
        <v>0</v>
      </c>
      <c r="AI153" s="459">
        <v>0</v>
      </c>
      <c r="AJ153" s="460">
        <v>0</v>
      </c>
      <c r="AK153" s="460">
        <v>0</v>
      </c>
      <c r="AL153" s="461">
        <v>0</v>
      </c>
      <c r="AM153" s="77">
        <f t="shared" si="172"/>
        <v>0</v>
      </c>
      <c r="AN153" s="459">
        <v>0</v>
      </c>
      <c r="AO153" s="460">
        <v>0</v>
      </c>
      <c r="AP153" s="460">
        <v>0</v>
      </c>
      <c r="AQ153" s="461">
        <v>0</v>
      </c>
      <c r="AR153" s="77">
        <f t="shared" si="173"/>
        <v>0</v>
      </c>
      <c r="AS153" s="459">
        <v>0</v>
      </c>
      <c r="AT153" s="460">
        <v>0</v>
      </c>
      <c r="AU153" s="460">
        <v>0</v>
      </c>
      <c r="AV153" s="461">
        <v>0</v>
      </c>
      <c r="AW153" s="77">
        <f t="shared" si="174"/>
        <v>0</v>
      </c>
      <c r="AX153" s="406">
        <f t="shared" si="175"/>
        <v>0</v>
      </c>
      <c r="AY153" s="348">
        <f t="shared" si="175"/>
        <v>0</v>
      </c>
      <c r="AZ153" s="348">
        <f t="shared" si="175"/>
        <v>0</v>
      </c>
      <c r="BA153" s="405">
        <f t="shared" si="175"/>
        <v>0</v>
      </c>
      <c r="BB153" s="451">
        <f t="shared" si="175"/>
        <v>0</v>
      </c>
      <c r="BC153" s="406">
        <f t="shared" si="175"/>
        <v>0</v>
      </c>
      <c r="BD153" s="348">
        <f t="shared" ref="BD153:BL153" si="179">+BC153</f>
        <v>0</v>
      </c>
      <c r="BE153" s="348">
        <f t="shared" si="179"/>
        <v>0</v>
      </c>
      <c r="BF153" s="405">
        <f t="shared" si="179"/>
        <v>0</v>
      </c>
      <c r="BG153" s="451">
        <f t="shared" si="179"/>
        <v>0</v>
      </c>
      <c r="BH153" s="406">
        <f t="shared" si="179"/>
        <v>0</v>
      </c>
      <c r="BI153" s="348">
        <f t="shared" si="179"/>
        <v>0</v>
      </c>
      <c r="BJ153" s="348">
        <f t="shared" si="179"/>
        <v>0</v>
      </c>
      <c r="BK153" s="405">
        <f t="shared" si="179"/>
        <v>0</v>
      </c>
      <c r="BL153" s="451">
        <f t="shared" si="179"/>
        <v>0</v>
      </c>
      <c r="BM153" s="406">
        <f t="shared" si="177"/>
        <v>0</v>
      </c>
      <c r="BN153" s="348">
        <f t="shared" si="177"/>
        <v>0</v>
      </c>
      <c r="BO153" s="348">
        <f t="shared" si="177"/>
        <v>0</v>
      </c>
      <c r="BP153" s="405">
        <f t="shared" si="177"/>
        <v>0</v>
      </c>
      <c r="BQ153" s="451">
        <f t="shared" si="177"/>
        <v>0</v>
      </c>
      <c r="BR153" s="296"/>
      <c r="BS153" s="296"/>
      <c r="BT153" s="296"/>
      <c r="BU153" s="296"/>
      <c r="CA153" s="3"/>
      <c r="CL153"/>
      <c r="CM153"/>
      <c r="CN153"/>
      <c r="CO153"/>
      <c r="CP153"/>
      <c r="CQ153"/>
    </row>
    <row r="154" spans="1:95" s="2" customFormat="1">
      <c r="A154" s="1523"/>
      <c r="C154" s="2" t="s">
        <v>251</v>
      </c>
      <c r="E154" s="506">
        <v>155</v>
      </c>
      <c r="F154" s="507">
        <v>154</v>
      </c>
      <c r="G154" s="507">
        <v>125</v>
      </c>
      <c r="H154" s="508">
        <v>123</v>
      </c>
      <c r="I154" s="463">
        <f t="shared" si="166"/>
        <v>123</v>
      </c>
      <c r="J154" s="459">
        <v>214</v>
      </c>
      <c r="K154" s="460">
        <v>169</v>
      </c>
      <c r="L154" s="460">
        <v>172</v>
      </c>
      <c r="M154" s="461">
        <v>79</v>
      </c>
      <c r="N154" s="463">
        <f t="shared" si="167"/>
        <v>79</v>
      </c>
      <c r="O154" s="459">
        <v>50</v>
      </c>
      <c r="P154" s="460">
        <v>63</v>
      </c>
      <c r="Q154" s="460">
        <v>22</v>
      </c>
      <c r="R154" s="461">
        <v>106</v>
      </c>
      <c r="S154" s="463">
        <f t="shared" si="168"/>
        <v>106</v>
      </c>
      <c r="T154" s="459">
        <v>131</v>
      </c>
      <c r="U154" s="460">
        <v>133</v>
      </c>
      <c r="V154" s="460">
        <v>144</v>
      </c>
      <c r="W154" s="461">
        <v>153</v>
      </c>
      <c r="X154" s="77">
        <f t="shared" si="169"/>
        <v>153</v>
      </c>
      <c r="Y154" s="459">
        <v>102</v>
      </c>
      <c r="Z154" s="460">
        <v>161</v>
      </c>
      <c r="AA154" s="460">
        <v>184</v>
      </c>
      <c r="AB154" s="461">
        <v>163</v>
      </c>
      <c r="AC154" s="77">
        <f t="shared" si="170"/>
        <v>163</v>
      </c>
      <c r="AD154" s="459">
        <v>47</v>
      </c>
      <c r="AE154" s="460">
        <v>45</v>
      </c>
      <c r="AF154" s="460">
        <v>29</v>
      </c>
      <c r="AG154" s="461">
        <v>77</v>
      </c>
      <c r="AH154" s="77">
        <f t="shared" si="171"/>
        <v>77</v>
      </c>
      <c r="AI154" s="459">
        <v>108</v>
      </c>
      <c r="AJ154" s="460">
        <v>107</v>
      </c>
      <c r="AK154" s="460">
        <v>91</v>
      </c>
      <c r="AL154" s="461">
        <v>77</v>
      </c>
      <c r="AM154" s="77">
        <f t="shared" si="172"/>
        <v>77</v>
      </c>
      <c r="AN154" s="459">
        <v>133</v>
      </c>
      <c r="AO154" s="460">
        <v>76</v>
      </c>
      <c r="AP154" s="460">
        <v>86</v>
      </c>
      <c r="AQ154" s="461">
        <v>24</v>
      </c>
      <c r="AR154" s="77">
        <f t="shared" si="173"/>
        <v>24</v>
      </c>
      <c r="AS154" s="459">
        <v>93</v>
      </c>
      <c r="AT154" s="460">
        <v>90</v>
      </c>
      <c r="AU154" s="460">
        <v>62</v>
      </c>
      <c r="AV154" s="461">
        <v>7</v>
      </c>
      <c r="AW154" s="77">
        <f t="shared" si="174"/>
        <v>7</v>
      </c>
      <c r="AX154" s="406">
        <f t="shared" si="175"/>
        <v>7</v>
      </c>
      <c r="AY154" s="348">
        <f t="shared" si="175"/>
        <v>7</v>
      </c>
      <c r="AZ154" s="348">
        <f t="shared" si="175"/>
        <v>7</v>
      </c>
      <c r="BA154" s="405">
        <f t="shared" si="175"/>
        <v>7</v>
      </c>
      <c r="BB154" s="451">
        <f t="shared" si="175"/>
        <v>7</v>
      </c>
      <c r="BC154" s="406">
        <f t="shared" si="175"/>
        <v>7</v>
      </c>
      <c r="BD154" s="348">
        <f t="shared" ref="BD154:BL154" si="180">+BC154</f>
        <v>7</v>
      </c>
      <c r="BE154" s="348">
        <f t="shared" si="180"/>
        <v>7</v>
      </c>
      <c r="BF154" s="405">
        <f t="shared" si="180"/>
        <v>7</v>
      </c>
      <c r="BG154" s="451">
        <f t="shared" si="180"/>
        <v>7</v>
      </c>
      <c r="BH154" s="406">
        <f t="shared" si="180"/>
        <v>7</v>
      </c>
      <c r="BI154" s="348">
        <f t="shared" si="180"/>
        <v>7</v>
      </c>
      <c r="BJ154" s="348">
        <f t="shared" si="180"/>
        <v>7</v>
      </c>
      <c r="BK154" s="405">
        <f t="shared" si="180"/>
        <v>7</v>
      </c>
      <c r="BL154" s="451">
        <f t="shared" si="180"/>
        <v>7</v>
      </c>
      <c r="BM154" s="406">
        <f t="shared" si="177"/>
        <v>7</v>
      </c>
      <c r="BN154" s="348">
        <f t="shared" si="177"/>
        <v>7</v>
      </c>
      <c r="BO154" s="348">
        <f t="shared" si="177"/>
        <v>7</v>
      </c>
      <c r="BP154" s="405">
        <f t="shared" si="177"/>
        <v>7</v>
      </c>
      <c r="BQ154" s="451">
        <f t="shared" si="177"/>
        <v>7</v>
      </c>
      <c r="BR154" s="296"/>
      <c r="BS154" s="296"/>
      <c r="BT154" s="296"/>
      <c r="BU154" s="296"/>
      <c r="CA154" s="3"/>
      <c r="CL154"/>
      <c r="CM154"/>
      <c r="CN154"/>
      <c r="CO154"/>
      <c r="CP154"/>
      <c r="CQ154"/>
    </row>
    <row r="155" spans="1:95" s="2" customFormat="1">
      <c r="A155" s="1523"/>
      <c r="C155" s="2" t="s">
        <v>252</v>
      </c>
      <c r="E155" s="506">
        <v>364</v>
      </c>
      <c r="F155" s="507">
        <v>359</v>
      </c>
      <c r="G155" s="507">
        <v>352</v>
      </c>
      <c r="H155" s="508">
        <v>382</v>
      </c>
      <c r="I155" s="463">
        <f t="shared" si="166"/>
        <v>382</v>
      </c>
      <c r="J155" s="459">
        <v>384</v>
      </c>
      <c r="K155" s="460">
        <v>392</v>
      </c>
      <c r="L155" s="460">
        <v>399</v>
      </c>
      <c r="M155" s="461">
        <v>387</v>
      </c>
      <c r="N155" s="463">
        <f t="shared" si="167"/>
        <v>387</v>
      </c>
      <c r="O155" s="459">
        <v>389</v>
      </c>
      <c r="P155" s="460">
        <v>390</v>
      </c>
      <c r="Q155" s="460">
        <f>170+164+75+204</f>
        <v>613</v>
      </c>
      <c r="R155" s="461">
        <f>22+232+172</f>
        <v>426</v>
      </c>
      <c r="S155" s="463">
        <f t="shared" si="168"/>
        <v>426</v>
      </c>
      <c r="T155" s="459">
        <f>226+22+238</f>
        <v>486</v>
      </c>
      <c r="U155" s="460">
        <f>187+19+250</f>
        <v>456</v>
      </c>
      <c r="V155" s="460">
        <f>192+21+284</f>
        <v>497</v>
      </c>
      <c r="W155" s="461">
        <f>23+296+191</f>
        <v>510</v>
      </c>
      <c r="X155" s="77">
        <f t="shared" si="169"/>
        <v>510</v>
      </c>
      <c r="Y155" s="459">
        <f>22+329+202</f>
        <v>553</v>
      </c>
      <c r="Z155" s="460">
        <f>23+325+183</f>
        <v>531</v>
      </c>
      <c r="AA155" s="460">
        <f>23+328+181</f>
        <v>532</v>
      </c>
      <c r="AB155" s="461">
        <f>24+312+613</f>
        <v>949</v>
      </c>
      <c r="AC155" s="77">
        <f t="shared" si="170"/>
        <v>949</v>
      </c>
      <c r="AD155" s="459">
        <f>418+635+24+313</f>
        <v>1390</v>
      </c>
      <c r="AE155" s="460">
        <f>409+657+24+324</f>
        <v>1414</v>
      </c>
      <c r="AF155" s="460">
        <f>24+331+675+401</f>
        <v>1431</v>
      </c>
      <c r="AG155" s="461">
        <f>24+353+212+580</f>
        <v>1169</v>
      </c>
      <c r="AH155" s="77">
        <f t="shared" si="171"/>
        <v>1169</v>
      </c>
      <c r="AI155" s="459">
        <f>592+235+25+355</f>
        <v>1207</v>
      </c>
      <c r="AJ155" s="460">
        <f>165+602+234+25+293</f>
        <v>1319</v>
      </c>
      <c r="AK155" s="460">
        <f>165+601+230+279</f>
        <v>1275</v>
      </c>
      <c r="AL155" s="461">
        <f>171+495+227+231</f>
        <v>1124</v>
      </c>
      <c r="AM155" s="77">
        <f t="shared" si="172"/>
        <v>1124</v>
      </c>
      <c r="AN155" s="459">
        <f>184+506+246+230</f>
        <v>1166</v>
      </c>
      <c r="AO155" s="460">
        <f>183+513+246+242</f>
        <v>1184</v>
      </c>
      <c r="AP155" s="460">
        <f>177+509+243+243</f>
        <v>1172</v>
      </c>
      <c r="AQ155" s="461">
        <f>104+589+217+254</f>
        <v>1164</v>
      </c>
      <c r="AR155" s="77">
        <f t="shared" si="173"/>
        <v>1164</v>
      </c>
      <c r="AS155" s="459">
        <f>113+595+221+258</f>
        <v>1187</v>
      </c>
      <c r="AT155" s="460">
        <f>111+600+224+260</f>
        <v>1195</v>
      </c>
      <c r="AU155" s="460">
        <f>599+229+265</f>
        <v>1093</v>
      </c>
      <c r="AV155" s="461">
        <f>686+231+266</f>
        <v>1183</v>
      </c>
      <c r="AW155" s="77">
        <f t="shared" si="174"/>
        <v>1183</v>
      </c>
      <c r="AX155" s="406">
        <f>+AW155-AX114</f>
        <v>1183</v>
      </c>
      <c r="AY155" s="348">
        <f>+AX155-AY114</f>
        <v>1183</v>
      </c>
      <c r="AZ155" s="348">
        <f>+AY155-AZ114</f>
        <v>1183</v>
      </c>
      <c r="BA155" s="405">
        <f>+AZ155-BA114</f>
        <v>1183</v>
      </c>
      <c r="BB155" s="451">
        <f>+BA155</f>
        <v>1183</v>
      </c>
      <c r="BC155" s="406">
        <f>+BB155-BC114</f>
        <v>1183</v>
      </c>
      <c r="BD155" s="348">
        <f>+BC155-BD114</f>
        <v>1183</v>
      </c>
      <c r="BE155" s="348">
        <f>+BD155-BE114</f>
        <v>1183</v>
      </c>
      <c r="BF155" s="405">
        <f>+BE155-BF114</f>
        <v>1183</v>
      </c>
      <c r="BG155" s="451">
        <f>+BF155</f>
        <v>1183</v>
      </c>
      <c r="BH155" s="406">
        <f>+BG155-BH114</f>
        <v>1183</v>
      </c>
      <c r="BI155" s="348">
        <f>+BH155-BI114</f>
        <v>1183</v>
      </c>
      <c r="BJ155" s="348">
        <f>+BI155-BJ114</f>
        <v>1183</v>
      </c>
      <c r="BK155" s="405">
        <f>+BJ155-BK114</f>
        <v>1183</v>
      </c>
      <c r="BL155" s="451">
        <f>+BK155</f>
        <v>1183</v>
      </c>
      <c r="BM155" s="406">
        <f>+BL155-BM114</f>
        <v>1183</v>
      </c>
      <c r="BN155" s="348">
        <f>+BM155-BN114</f>
        <v>1183</v>
      </c>
      <c r="BO155" s="348">
        <f>+BN155-BO114</f>
        <v>1183</v>
      </c>
      <c r="BP155" s="405">
        <f>+BO155-BP114</f>
        <v>1183</v>
      </c>
      <c r="BQ155" s="451">
        <f>+BP155</f>
        <v>1183</v>
      </c>
      <c r="BR155" s="296"/>
      <c r="BS155" s="296"/>
      <c r="BT155" s="296"/>
      <c r="BU155" s="296"/>
      <c r="CA155" s="3"/>
      <c r="CL155"/>
      <c r="CM155"/>
      <c r="CN155"/>
      <c r="CO155"/>
      <c r="CP155"/>
      <c r="CQ155"/>
    </row>
    <row r="156" spans="1:95" s="2" customFormat="1">
      <c r="A156" s="1523"/>
      <c r="C156" s="49" t="s">
        <v>253</v>
      </c>
      <c r="E156" s="477">
        <f t="shared" ref="E156:AR156" si="181">E144+E148+SUM(E150:E155)</f>
        <v>29302</v>
      </c>
      <c r="F156" s="478">
        <f t="shared" si="181"/>
        <v>28760</v>
      </c>
      <c r="G156" s="478">
        <f t="shared" si="181"/>
        <v>28434</v>
      </c>
      <c r="H156" s="479">
        <f t="shared" si="181"/>
        <v>28678</v>
      </c>
      <c r="I156" s="464">
        <f t="shared" si="181"/>
        <v>28678</v>
      </c>
      <c r="J156" s="396">
        <f t="shared" si="181"/>
        <v>28775</v>
      </c>
      <c r="K156" s="343">
        <f t="shared" si="181"/>
        <v>28742</v>
      </c>
      <c r="L156" s="343">
        <f t="shared" si="181"/>
        <v>29104</v>
      </c>
      <c r="M156" s="397">
        <f t="shared" si="181"/>
        <v>29909</v>
      </c>
      <c r="N156" s="464">
        <f t="shared" si="181"/>
        <v>29909</v>
      </c>
      <c r="O156" s="396">
        <f t="shared" si="181"/>
        <v>29370</v>
      </c>
      <c r="P156" s="343">
        <f t="shared" si="181"/>
        <v>28789</v>
      </c>
      <c r="Q156" s="343">
        <f t="shared" si="181"/>
        <v>29911</v>
      </c>
      <c r="R156" s="397">
        <f t="shared" si="181"/>
        <v>29821</v>
      </c>
      <c r="S156" s="464">
        <f t="shared" si="181"/>
        <v>29821</v>
      </c>
      <c r="T156" s="396">
        <f t="shared" si="181"/>
        <v>30002</v>
      </c>
      <c r="U156" s="343">
        <f t="shared" si="181"/>
        <v>30142</v>
      </c>
      <c r="V156" s="343">
        <f t="shared" si="181"/>
        <v>30706</v>
      </c>
      <c r="W156" s="397">
        <f t="shared" si="181"/>
        <v>31725</v>
      </c>
      <c r="X156" s="297">
        <f t="shared" si="181"/>
        <v>31725</v>
      </c>
      <c r="Y156" s="396">
        <f t="shared" si="181"/>
        <v>31712</v>
      </c>
      <c r="Z156" s="343">
        <f t="shared" si="181"/>
        <v>32059</v>
      </c>
      <c r="AA156" s="343">
        <f t="shared" si="181"/>
        <v>32610</v>
      </c>
      <c r="AB156" s="397">
        <f t="shared" ref="AB156:AI156" si="182">AB144+AB148+SUM(AB150:AB155)</f>
        <v>32522</v>
      </c>
      <c r="AC156" s="297">
        <f t="shared" si="182"/>
        <v>32522</v>
      </c>
      <c r="AD156" s="396">
        <f t="shared" si="182"/>
        <v>33326</v>
      </c>
      <c r="AE156" s="343">
        <f t="shared" si="182"/>
        <v>33700</v>
      </c>
      <c r="AF156" s="343">
        <f t="shared" si="182"/>
        <v>34147</v>
      </c>
      <c r="AG156" s="397">
        <f t="shared" si="182"/>
        <v>35333</v>
      </c>
      <c r="AH156" s="297">
        <f t="shared" si="182"/>
        <v>35333</v>
      </c>
      <c r="AI156" s="396">
        <f t="shared" si="182"/>
        <v>35827</v>
      </c>
      <c r="AJ156" s="343">
        <f t="shared" ref="AJ156:AO156" si="183">AJ144+AJ148+SUM(AJ150:AJ155)</f>
        <v>36212</v>
      </c>
      <c r="AK156" s="343">
        <f t="shared" si="183"/>
        <v>36424</v>
      </c>
      <c r="AL156" s="397">
        <f t="shared" si="183"/>
        <v>37535</v>
      </c>
      <c r="AM156" s="297">
        <f t="shared" si="183"/>
        <v>37535</v>
      </c>
      <c r="AN156" s="396">
        <f t="shared" si="183"/>
        <v>38126</v>
      </c>
      <c r="AO156" s="343">
        <f t="shared" si="183"/>
        <v>39045</v>
      </c>
      <c r="AP156" s="343">
        <f t="shared" si="181"/>
        <v>39488</v>
      </c>
      <c r="AQ156" s="397">
        <f t="shared" si="181"/>
        <v>40070</v>
      </c>
      <c r="AR156" s="297">
        <f t="shared" si="181"/>
        <v>40070</v>
      </c>
      <c r="AS156" s="396">
        <f t="shared" ref="AS156:BB156" si="184">AS144+AS148+SUM(AS150:AS155)</f>
        <v>39664</v>
      </c>
      <c r="AT156" s="343">
        <f t="shared" si="184"/>
        <v>40524</v>
      </c>
      <c r="AU156" s="343">
        <f t="shared" si="184"/>
        <v>41157</v>
      </c>
      <c r="AV156" s="397">
        <f t="shared" si="184"/>
        <v>42716</v>
      </c>
      <c r="AW156" s="297">
        <f t="shared" si="184"/>
        <v>42716</v>
      </c>
      <c r="AX156" s="390">
        <f t="shared" si="184"/>
        <v>43578.809711012793</v>
      </c>
      <c r="AY156" s="340">
        <f t="shared" si="184"/>
        <v>44633.051197262597</v>
      </c>
      <c r="AZ156" s="340">
        <f t="shared" si="184"/>
        <v>45173.40807785053</v>
      </c>
      <c r="BA156" s="391">
        <f t="shared" si="184"/>
        <v>45128.233111369635</v>
      </c>
      <c r="BB156" s="464">
        <f t="shared" si="184"/>
        <v>45128.233111369635</v>
      </c>
      <c r="BC156" s="390">
        <f t="shared" ref="BC156:BL156" si="185">BC144+BC148+SUM(BC150:BC155)</f>
        <v>45536.08809873843</v>
      </c>
      <c r="BD156" s="340">
        <f t="shared" si="185"/>
        <v>46290.46338352008</v>
      </c>
      <c r="BE156" s="340">
        <f t="shared" si="185"/>
        <v>47642.045925602084</v>
      </c>
      <c r="BF156" s="391">
        <f t="shared" si="185"/>
        <v>47312.833313699201</v>
      </c>
      <c r="BG156" s="464">
        <f t="shared" si="185"/>
        <v>47312.833313699201</v>
      </c>
      <c r="BH156" s="390">
        <f t="shared" si="185"/>
        <v>47669.509333386748</v>
      </c>
      <c r="BI156" s="340">
        <f t="shared" si="185"/>
        <v>48546.932831166261</v>
      </c>
      <c r="BJ156" s="340">
        <f t="shared" si="185"/>
        <v>49204.717609074789</v>
      </c>
      <c r="BK156" s="391">
        <f t="shared" si="185"/>
        <v>49246.183483936278</v>
      </c>
      <c r="BL156" s="464">
        <f t="shared" si="185"/>
        <v>49246.183483936278</v>
      </c>
      <c r="BM156" s="390">
        <f>BM144+BM148+SUM(BM150:BM155)</f>
        <v>49465.634041228775</v>
      </c>
      <c r="BN156" s="340">
        <f>BN144+BN148+SUM(BN150:BN155)</f>
        <v>49841.373889621922</v>
      </c>
      <c r="BO156" s="340">
        <f>BO144+BO148+SUM(BO150:BO155)</f>
        <v>50939.164785207067</v>
      </c>
      <c r="BP156" s="391">
        <f>BP144+BP148+SUM(BP150:BP155)</f>
        <v>50762.911496064364</v>
      </c>
      <c r="BQ156" s="464">
        <f>BQ144+BQ148+SUM(BQ150:BQ155)</f>
        <v>50762.911496064364</v>
      </c>
      <c r="BR156" s="296"/>
      <c r="BS156" s="296"/>
      <c r="BT156" s="296"/>
      <c r="BU156" s="296"/>
      <c r="CA156" s="3"/>
      <c r="CL156"/>
      <c r="CM156"/>
      <c r="CN156"/>
      <c r="CO156"/>
      <c r="CP156"/>
      <c r="CQ156"/>
    </row>
    <row r="157" spans="1:95" s="2" customFormat="1">
      <c r="A157" s="1523"/>
      <c r="E157" s="434"/>
      <c r="F157" s="435"/>
      <c r="G157" s="435"/>
      <c r="H157" s="436"/>
      <c r="I157" s="463"/>
      <c r="J157" s="392"/>
      <c r="K157" s="341"/>
      <c r="L157" s="341"/>
      <c r="M157" s="393"/>
      <c r="N157" s="463"/>
      <c r="O157" s="392"/>
      <c r="P157" s="341"/>
      <c r="Q157" s="341"/>
      <c r="R157" s="393"/>
      <c r="S157" s="463"/>
      <c r="T157" s="392"/>
      <c r="U157" s="341"/>
      <c r="V157" s="341"/>
      <c r="W157" s="393"/>
      <c r="X157" s="77"/>
      <c r="Y157" s="392"/>
      <c r="Z157" s="341"/>
      <c r="AA157" s="341"/>
      <c r="AB157" s="393"/>
      <c r="AC157" s="77"/>
      <c r="AD157" s="392"/>
      <c r="AE157" s="341"/>
      <c r="AF157" s="341"/>
      <c r="AG157" s="393"/>
      <c r="AH157" s="77"/>
      <c r="AI157" s="392"/>
      <c r="AJ157" s="341"/>
      <c r="AK157" s="341"/>
      <c r="AL157" s="393"/>
      <c r="AM157" s="77"/>
      <c r="AN157" s="392"/>
      <c r="AO157" s="341"/>
      <c r="AP157" s="341"/>
      <c r="AQ157" s="393"/>
      <c r="AR157" s="77"/>
      <c r="AS157" s="392"/>
      <c r="AT157" s="341"/>
      <c r="AU157" s="341"/>
      <c r="AV157" s="393"/>
      <c r="AW157" s="77"/>
      <c r="AX157" s="509"/>
      <c r="AY157" s="480"/>
      <c r="AZ157" s="480"/>
      <c r="BA157" s="481"/>
      <c r="BB157" s="463"/>
      <c r="BC157" s="509"/>
      <c r="BD157" s="480"/>
      <c r="BE157" s="480"/>
      <c r="BF157" s="481"/>
      <c r="BG157" s="463"/>
      <c r="BH157" s="509"/>
      <c r="BI157" s="480"/>
      <c r="BJ157" s="480"/>
      <c r="BK157" s="481"/>
      <c r="BL157" s="463"/>
      <c r="BM157" s="509"/>
      <c r="BN157" s="480"/>
      <c r="BO157" s="480"/>
      <c r="BP157" s="481"/>
      <c r="BQ157" s="463"/>
      <c r="BR157" s="296"/>
      <c r="BS157" s="296"/>
      <c r="BT157" s="296"/>
      <c r="BU157" s="296"/>
      <c r="CL157"/>
      <c r="CM157"/>
      <c r="CN157"/>
      <c r="CO157"/>
      <c r="CP157"/>
      <c r="CQ157"/>
    </row>
    <row r="158" spans="1:95" s="2" customFormat="1">
      <c r="A158" s="1523"/>
      <c r="C158" s="2" t="s">
        <v>333</v>
      </c>
      <c r="E158" s="506">
        <v>1055</v>
      </c>
      <c r="F158" s="507">
        <v>746</v>
      </c>
      <c r="G158" s="507">
        <v>648</v>
      </c>
      <c r="H158" s="508">
        <v>529</v>
      </c>
      <c r="I158" s="463">
        <f>H158</f>
        <v>529</v>
      </c>
      <c r="J158" s="459">
        <v>267</v>
      </c>
      <c r="K158" s="460">
        <v>1001</v>
      </c>
      <c r="L158" s="460">
        <v>1004</v>
      </c>
      <c r="M158" s="461">
        <v>1130</v>
      </c>
      <c r="N158" s="463">
        <f>M158</f>
        <v>1130</v>
      </c>
      <c r="O158" s="459">
        <v>1190</v>
      </c>
      <c r="P158" s="460">
        <v>1187</v>
      </c>
      <c r="Q158" s="460">
        <v>1275</v>
      </c>
      <c r="R158" s="461">
        <f>417+216</f>
        <v>633</v>
      </c>
      <c r="S158" s="463">
        <f>R158</f>
        <v>633</v>
      </c>
      <c r="T158" s="459">
        <f>501+218</f>
        <v>719</v>
      </c>
      <c r="U158" s="460">
        <f>751+221</f>
        <v>972</v>
      </c>
      <c r="V158" s="460">
        <f>751+224</f>
        <v>975</v>
      </c>
      <c r="W158" s="461">
        <f>1026+226</f>
        <v>1252</v>
      </c>
      <c r="X158" s="77">
        <f>W158</f>
        <v>1252</v>
      </c>
      <c r="Y158" s="459">
        <f>876+229</f>
        <v>1105</v>
      </c>
      <c r="Z158" s="460">
        <f>576+232</f>
        <v>808</v>
      </c>
      <c r="AA158" s="460">
        <f>775+235</f>
        <v>1010</v>
      </c>
      <c r="AB158" s="461">
        <f>544+237</f>
        <v>781</v>
      </c>
      <c r="AC158" s="77">
        <f>AB158</f>
        <v>781</v>
      </c>
      <c r="AD158" s="459">
        <f>544+242</f>
        <v>786</v>
      </c>
      <c r="AE158" s="460">
        <f>844+251</f>
        <v>1095</v>
      </c>
      <c r="AF158" s="460">
        <f>316+258</f>
        <v>574</v>
      </c>
      <c r="AG158" s="461">
        <f>624+259</f>
        <v>883</v>
      </c>
      <c r="AH158" s="77">
        <f>AG158</f>
        <v>883</v>
      </c>
      <c r="AI158" s="459">
        <f>793+201</f>
        <v>994</v>
      </c>
      <c r="AJ158" s="460">
        <f>491+134</f>
        <v>625</v>
      </c>
      <c r="AK158" s="460">
        <f>1038+68</f>
        <v>1106</v>
      </c>
      <c r="AL158" s="461">
        <v>734</v>
      </c>
      <c r="AM158" s="77">
        <f>AL158</f>
        <v>734</v>
      </c>
      <c r="AN158" s="459">
        <v>562</v>
      </c>
      <c r="AO158" s="460">
        <v>662</v>
      </c>
      <c r="AP158" s="460">
        <v>0</v>
      </c>
      <c r="AQ158" s="461">
        <v>500</v>
      </c>
      <c r="AR158" s="77">
        <f>AQ158</f>
        <v>500</v>
      </c>
      <c r="AS158" s="459">
        <v>500</v>
      </c>
      <c r="AT158" s="460">
        <v>900</v>
      </c>
      <c r="AU158" s="460">
        <v>1250</v>
      </c>
      <c r="AV158" s="461">
        <v>1000</v>
      </c>
      <c r="AW158" s="77">
        <f>AV158</f>
        <v>1000</v>
      </c>
      <c r="AX158" s="406">
        <f>+-SUM(AY123:BA123,BC123)</f>
        <v>1044</v>
      </c>
      <c r="AY158" s="348">
        <f>+-SUM(AZ123:BA123,BC123:BD123)</f>
        <v>1244</v>
      </c>
      <c r="AZ158" s="348">
        <f>+-SUM(BA123,BC123:BE123)</f>
        <v>1494</v>
      </c>
      <c r="BA158" s="405">
        <f>+-SUM(BC123:BF123)</f>
        <v>1644</v>
      </c>
      <c r="BB158" s="463">
        <f>BA158</f>
        <v>1644</v>
      </c>
      <c r="BC158" s="406">
        <f>+-SUM(BD123:BF123,BH123)</f>
        <v>1600</v>
      </c>
      <c r="BD158" s="348">
        <f>+-SUM(BE123:BF123,BH123:BI123)</f>
        <v>1306</v>
      </c>
      <c r="BE158" s="348">
        <f>+-SUM(BF123,BH123:BJ123)</f>
        <v>1056</v>
      </c>
      <c r="BF158" s="405">
        <f>+-SUM(BH123:BK123)</f>
        <v>665</v>
      </c>
      <c r="BG158" s="463">
        <f>BF158</f>
        <v>665</v>
      </c>
      <c r="BH158" s="406">
        <f>+-SUM(BI123:BK123,BM123)</f>
        <v>965</v>
      </c>
      <c r="BI158" s="348">
        <f>+-SUM(BJ123:BK123,BM123:BN123)</f>
        <v>1143</v>
      </c>
      <c r="BJ158" s="348">
        <f>+-SUM(BK123,BM123:BO123)</f>
        <v>1393</v>
      </c>
      <c r="BK158" s="405">
        <f>+-SUM(BM123:BP123)</f>
        <v>1684</v>
      </c>
      <c r="BL158" s="463">
        <f>BK158</f>
        <v>1684</v>
      </c>
      <c r="BM158" s="394">
        <v>1384</v>
      </c>
      <c r="BN158" s="342">
        <v>550</v>
      </c>
      <c r="BO158" s="342">
        <v>300</v>
      </c>
      <c r="BP158" s="395">
        <v>0</v>
      </c>
      <c r="BQ158" s="77">
        <v>0</v>
      </c>
      <c r="BR158" s="296"/>
      <c r="BS158" s="296"/>
      <c r="BT158" s="296"/>
      <c r="BU158" s="296"/>
      <c r="CL158"/>
      <c r="CM158"/>
      <c r="CN158"/>
      <c r="CO158"/>
      <c r="CP158"/>
      <c r="CQ158"/>
    </row>
    <row r="159" spans="1:95" s="2" customFormat="1">
      <c r="A159" s="1523"/>
      <c r="C159" s="2" t="s">
        <v>447</v>
      </c>
      <c r="E159" s="506">
        <v>0</v>
      </c>
      <c r="F159" s="507">
        <v>333</v>
      </c>
      <c r="G159" s="507">
        <v>243</v>
      </c>
      <c r="H159" s="508">
        <v>530</v>
      </c>
      <c r="I159" s="463">
        <f>H159</f>
        <v>530</v>
      </c>
      <c r="J159" s="459">
        <v>0</v>
      </c>
      <c r="K159" s="460">
        <v>390</v>
      </c>
      <c r="L159" s="460">
        <v>0</v>
      </c>
      <c r="M159" s="461">
        <v>64</v>
      </c>
      <c r="N159" s="463">
        <f>M159</f>
        <v>64</v>
      </c>
      <c r="O159" s="459">
        <v>21</v>
      </c>
      <c r="P159" s="460">
        <v>298</v>
      </c>
      <c r="Q159" s="460">
        <v>0</v>
      </c>
      <c r="R159" s="461">
        <v>0</v>
      </c>
      <c r="S159" s="463">
        <f>R159</f>
        <v>0</v>
      </c>
      <c r="T159" s="459">
        <v>29</v>
      </c>
      <c r="U159" s="460">
        <v>16</v>
      </c>
      <c r="V159" s="460">
        <v>0</v>
      </c>
      <c r="W159" s="461">
        <v>263</v>
      </c>
      <c r="X159" s="77">
        <f>W159</f>
        <v>263</v>
      </c>
      <c r="Y159" s="459">
        <v>165</v>
      </c>
      <c r="Z159" s="460">
        <v>157</v>
      </c>
      <c r="AA159" s="460">
        <v>0</v>
      </c>
      <c r="AB159" s="461">
        <v>60</v>
      </c>
      <c r="AC159" s="77">
        <f>AB159</f>
        <v>60</v>
      </c>
      <c r="AD159" s="459">
        <v>0</v>
      </c>
      <c r="AE159" s="460">
        <v>0</v>
      </c>
      <c r="AF159" s="460">
        <v>0</v>
      </c>
      <c r="AG159" s="461">
        <v>0</v>
      </c>
      <c r="AH159" s="77">
        <f>AG159</f>
        <v>0</v>
      </c>
      <c r="AI159" s="459">
        <v>0</v>
      </c>
      <c r="AJ159" s="460">
        <v>0</v>
      </c>
      <c r="AK159" s="460">
        <v>20</v>
      </c>
      <c r="AL159" s="461">
        <v>364</v>
      </c>
      <c r="AM159" s="77">
        <f>AL159</f>
        <v>364</v>
      </c>
      <c r="AN159" s="459">
        <v>12</v>
      </c>
      <c r="AO159" s="460">
        <v>0</v>
      </c>
      <c r="AP159" s="460">
        <v>255</v>
      </c>
      <c r="AQ159" s="461">
        <v>388</v>
      </c>
      <c r="AR159" s="77">
        <f>AQ159</f>
        <v>388</v>
      </c>
      <c r="AS159" s="459">
        <v>315</v>
      </c>
      <c r="AT159" s="460">
        <v>0</v>
      </c>
      <c r="AU159" s="460">
        <v>202</v>
      </c>
      <c r="AV159" s="461">
        <v>542</v>
      </c>
      <c r="AW159" s="77">
        <f>AV159</f>
        <v>542</v>
      </c>
      <c r="AX159" s="509">
        <f>AW159+AX134</f>
        <v>0</v>
      </c>
      <c r="AY159" s="480">
        <f>AX159+AY134</f>
        <v>0</v>
      </c>
      <c r="AZ159" s="480">
        <f>AY159+AZ134</f>
        <v>0</v>
      </c>
      <c r="BA159" s="481">
        <f>AZ159+BA134</f>
        <v>0</v>
      </c>
      <c r="BB159" s="463">
        <f>BA159</f>
        <v>0</v>
      </c>
      <c r="BC159" s="509">
        <f>BB159+BC134</f>
        <v>33.626275160284422</v>
      </c>
      <c r="BD159" s="480">
        <f>BC159+BD134</f>
        <v>0</v>
      </c>
      <c r="BE159" s="480">
        <f>BD159+BE134</f>
        <v>0</v>
      </c>
      <c r="BF159" s="481">
        <f>BE159+BF134</f>
        <v>0</v>
      </c>
      <c r="BG159" s="463">
        <f>BF159</f>
        <v>0</v>
      </c>
      <c r="BH159" s="509">
        <f>BG159+BH134</f>
        <v>0</v>
      </c>
      <c r="BI159" s="480">
        <f>BH159+BI134</f>
        <v>0</v>
      </c>
      <c r="BJ159" s="480">
        <f>BI159+BJ134</f>
        <v>0</v>
      </c>
      <c r="BK159" s="481">
        <f>BJ159+BK134</f>
        <v>0</v>
      </c>
      <c r="BL159" s="463">
        <f>BK159</f>
        <v>0</v>
      </c>
      <c r="BM159" s="509">
        <f>BL159+BM134</f>
        <v>156.61147972958088</v>
      </c>
      <c r="BN159" s="480">
        <f>BM159+BN134</f>
        <v>83.66153659580209</v>
      </c>
      <c r="BO159" s="480">
        <f>BN159+BO134</f>
        <v>0</v>
      </c>
      <c r="BP159" s="481">
        <f>BO159+BP134</f>
        <v>0</v>
      </c>
      <c r="BQ159" s="463">
        <f>BP159</f>
        <v>0</v>
      </c>
      <c r="BR159" s="296"/>
      <c r="BS159" s="296"/>
      <c r="BT159" s="296"/>
      <c r="BU159" s="296"/>
      <c r="CL159"/>
      <c r="CM159"/>
      <c r="CN159"/>
      <c r="CO159"/>
      <c r="CP159"/>
      <c r="CQ159"/>
    </row>
    <row r="160" spans="1:95" s="2" customFormat="1">
      <c r="A160" s="1523"/>
      <c r="C160" s="2" t="s">
        <v>255</v>
      </c>
      <c r="E160" s="506">
        <v>1559</v>
      </c>
      <c r="F160" s="507">
        <v>1325</v>
      </c>
      <c r="G160" s="507">
        <v>1224</v>
      </c>
      <c r="H160" s="508">
        <v>1266</v>
      </c>
      <c r="I160" s="463">
        <f>H160</f>
        <v>1266</v>
      </c>
      <c r="J160" s="459">
        <v>1653</v>
      </c>
      <c r="K160" s="460">
        <v>1137</v>
      </c>
      <c r="L160" s="460">
        <v>1265</v>
      </c>
      <c r="M160" s="461">
        <v>1333</v>
      </c>
      <c r="N160" s="463">
        <f>M160</f>
        <v>1333</v>
      </c>
      <c r="O160" s="459">
        <v>1322</v>
      </c>
      <c r="P160" s="460">
        <v>1141</v>
      </c>
      <c r="Q160" s="460">
        <v>1144</v>
      </c>
      <c r="R160" s="461">
        <f>1184+97+30</f>
        <v>1311</v>
      </c>
      <c r="S160" s="463">
        <f>R160</f>
        <v>1311</v>
      </c>
      <c r="T160" s="459">
        <f>1030+115+59</f>
        <v>1204</v>
      </c>
      <c r="U160" s="460">
        <f>898+98+88</f>
        <v>1084</v>
      </c>
      <c r="V160" s="460">
        <f>1012+119+216</f>
        <v>1347</v>
      </c>
      <c r="W160" s="461">
        <f>1304+91+17</f>
        <v>1412</v>
      </c>
      <c r="X160" s="77">
        <f>W160</f>
        <v>1412</v>
      </c>
      <c r="Y160" s="459">
        <f>1078+114+92</f>
        <v>1284</v>
      </c>
      <c r="Z160" s="460">
        <f>1046+97+31</f>
        <v>1174</v>
      </c>
      <c r="AA160" s="460">
        <f>1024+114+83</f>
        <v>1221</v>
      </c>
      <c r="AB160" s="461">
        <f>1222+95+37</f>
        <v>1354</v>
      </c>
      <c r="AC160" s="77">
        <f>AB160</f>
        <v>1354</v>
      </c>
      <c r="AD160" s="459">
        <f>1116+112+311</f>
        <v>1539</v>
      </c>
      <c r="AE160" s="460">
        <f>1104+95+93</f>
        <v>1292</v>
      </c>
      <c r="AF160" s="460">
        <f>1111+117+168</f>
        <v>1396</v>
      </c>
      <c r="AG160" s="461">
        <f>1178+132+21</f>
        <v>1331</v>
      </c>
      <c r="AH160" s="77">
        <f>AG160</f>
        <v>1331</v>
      </c>
      <c r="AI160" s="459">
        <f>1006+94+343</f>
        <v>1443</v>
      </c>
      <c r="AJ160" s="460">
        <f>1156+72+148</f>
        <v>1376</v>
      </c>
      <c r="AK160" s="460">
        <f>1046+70+204</f>
        <v>1320</v>
      </c>
      <c r="AL160" s="461">
        <f>1369+76+42</f>
        <v>1487</v>
      </c>
      <c r="AM160" s="77">
        <f>AL160</f>
        <v>1487</v>
      </c>
      <c r="AN160" s="459">
        <f>1192+53+155</f>
        <v>1400</v>
      </c>
      <c r="AO160" s="460">
        <f>1308+20+107</f>
        <v>1435</v>
      </c>
      <c r="AP160" s="460">
        <f>1363+40+214</f>
        <v>1617</v>
      </c>
      <c r="AQ160" s="461">
        <f>1459+97+31</f>
        <v>1587</v>
      </c>
      <c r="AR160" s="77">
        <f>AQ160</f>
        <v>1587</v>
      </c>
      <c r="AS160" s="459">
        <f>1245+131+172</f>
        <v>1548</v>
      </c>
      <c r="AT160" s="460">
        <f>1293+99+46</f>
        <v>1438</v>
      </c>
      <c r="AU160" s="460">
        <f>1305+7+136</f>
        <v>1448</v>
      </c>
      <c r="AV160" s="461">
        <f>1694+103+48</f>
        <v>1845</v>
      </c>
      <c r="AW160" s="77">
        <f>AV160</f>
        <v>1845</v>
      </c>
      <c r="AX160" s="406">
        <f t="shared" ref="AX160:BC161" si="186">+AW160</f>
        <v>1845</v>
      </c>
      <c r="AY160" s="348">
        <f t="shared" si="186"/>
        <v>1845</v>
      </c>
      <c r="AZ160" s="348">
        <f t="shared" si="186"/>
        <v>1845</v>
      </c>
      <c r="BA160" s="405">
        <f t="shared" si="186"/>
        <v>1845</v>
      </c>
      <c r="BB160" s="451">
        <f t="shared" si="186"/>
        <v>1845</v>
      </c>
      <c r="BC160" s="406">
        <f t="shared" si="186"/>
        <v>1845</v>
      </c>
      <c r="BD160" s="348">
        <f t="shared" ref="BD160:BL160" si="187">+BC160</f>
        <v>1845</v>
      </c>
      <c r="BE160" s="348">
        <f t="shared" si="187"/>
        <v>1845</v>
      </c>
      <c r="BF160" s="405">
        <f t="shared" si="187"/>
        <v>1845</v>
      </c>
      <c r="BG160" s="451">
        <f t="shared" si="187"/>
        <v>1845</v>
      </c>
      <c r="BH160" s="406">
        <f t="shared" si="187"/>
        <v>1845</v>
      </c>
      <c r="BI160" s="348">
        <f t="shared" si="187"/>
        <v>1845</v>
      </c>
      <c r="BJ160" s="348">
        <f t="shared" si="187"/>
        <v>1845</v>
      </c>
      <c r="BK160" s="405">
        <f t="shared" si="187"/>
        <v>1845</v>
      </c>
      <c r="BL160" s="451">
        <f t="shared" si="187"/>
        <v>1845</v>
      </c>
      <c r="BM160" s="406">
        <f t="shared" ref="BM160:BQ161" si="188">+BL160</f>
        <v>1845</v>
      </c>
      <c r="BN160" s="348">
        <f t="shared" si="188"/>
        <v>1845</v>
      </c>
      <c r="BO160" s="348">
        <f t="shared" si="188"/>
        <v>1845</v>
      </c>
      <c r="BP160" s="405">
        <f t="shared" si="188"/>
        <v>1845</v>
      </c>
      <c r="BQ160" s="451">
        <f t="shared" si="188"/>
        <v>1845</v>
      </c>
      <c r="BR160" s="296"/>
      <c r="BS160" s="296"/>
      <c r="BT160" s="296"/>
      <c r="BU160" s="296"/>
      <c r="CL160"/>
      <c r="CM160"/>
      <c r="CN160"/>
      <c r="CO160"/>
      <c r="CP160"/>
      <c r="CQ160"/>
    </row>
    <row r="161" spans="1:95" s="2" customFormat="1">
      <c r="A161" s="1523"/>
      <c r="C161" s="2" t="s">
        <v>256</v>
      </c>
      <c r="E161" s="506">
        <v>984</v>
      </c>
      <c r="F161" s="507">
        <v>917</v>
      </c>
      <c r="G161" s="507">
        <v>878</v>
      </c>
      <c r="H161" s="508">
        <v>1035</v>
      </c>
      <c r="I161" s="463">
        <f>H161</f>
        <v>1035</v>
      </c>
      <c r="J161" s="459">
        <v>880</v>
      </c>
      <c r="K161" s="460">
        <v>721</v>
      </c>
      <c r="L161" s="460">
        <v>749</v>
      </c>
      <c r="M161" s="461">
        <v>958</v>
      </c>
      <c r="N161" s="463">
        <f>M161</f>
        <v>958</v>
      </c>
      <c r="O161" s="459">
        <v>950</v>
      </c>
      <c r="P161" s="460">
        <v>904</v>
      </c>
      <c r="Q161" s="460">
        <f>214+94+131+30+224+107+161+312</f>
        <v>1273</v>
      </c>
      <c r="R161" s="461">
        <f>131+170+214+107+100+291</f>
        <v>1013</v>
      </c>
      <c r="S161" s="463">
        <f>R161</f>
        <v>1013</v>
      </c>
      <c r="T161" s="459">
        <f>154+258+199+119+81+345</f>
        <v>1156</v>
      </c>
      <c r="U161" s="460">
        <f>88+138+123+72+323</f>
        <v>744</v>
      </c>
      <c r="V161" s="460">
        <f>51+89+122+94+361</f>
        <v>717</v>
      </c>
      <c r="W161" s="461">
        <f>46+72+153+122+67+390</f>
        <v>850</v>
      </c>
      <c r="X161" s="77">
        <f>W161</f>
        <v>850</v>
      </c>
      <c r="Y161" s="459">
        <f>27+10+92+125+120+478</f>
        <v>852</v>
      </c>
      <c r="Z161" s="460">
        <f>42+46+204+121+120+386</f>
        <v>919</v>
      </c>
      <c r="AA161" s="460">
        <f>36+48+185+118+171+446</f>
        <v>1004</v>
      </c>
      <c r="AB161" s="461">
        <f>76+142+119+43+488</f>
        <v>868</v>
      </c>
      <c r="AC161" s="77">
        <f>AB161</f>
        <v>868</v>
      </c>
      <c r="AD161" s="459">
        <f>75+85+134+159+579</f>
        <v>1032</v>
      </c>
      <c r="AE161" s="460">
        <f>88+200+122+176+490</f>
        <v>1076</v>
      </c>
      <c r="AF161" s="460">
        <f>109+185+120+271+481</f>
        <v>1166</v>
      </c>
      <c r="AG161" s="461">
        <f>95+173+142+121+186+547</f>
        <v>1264</v>
      </c>
      <c r="AH161" s="77">
        <f>AG161</f>
        <v>1264</v>
      </c>
      <c r="AI161" s="459">
        <f>119+87+86+130+162+601</f>
        <v>1185</v>
      </c>
      <c r="AJ161" s="460">
        <f>96+14+200+128+143+525</f>
        <v>1106</v>
      </c>
      <c r="AK161" s="460">
        <f>123+185+126+208+3+513</f>
        <v>1158</v>
      </c>
      <c r="AL161" s="461">
        <f>96+142+128+123+42+459</f>
        <v>990</v>
      </c>
      <c r="AM161" s="77">
        <f>AL161</f>
        <v>990</v>
      </c>
      <c r="AN161" s="459">
        <f>123+86+130+115+32+482</f>
        <v>968</v>
      </c>
      <c r="AO161" s="460">
        <f>103+200+128+74+22+496</f>
        <v>1023</v>
      </c>
      <c r="AP161" s="460">
        <f>127+185+132+96+9+383</f>
        <v>932</v>
      </c>
      <c r="AQ161" s="461">
        <f>13+142+132+88+426</f>
        <v>801</v>
      </c>
      <c r="AR161" s="77">
        <f>AQ161</f>
        <v>801</v>
      </c>
      <c r="AS161" s="459">
        <f>7+86+135+74+446</f>
        <v>748</v>
      </c>
      <c r="AT161" s="460">
        <f>8+200+134+51+433</f>
        <v>826</v>
      </c>
      <c r="AU161" s="460">
        <f>146+184+132+44+425</f>
        <v>931</v>
      </c>
      <c r="AV161" s="461">
        <f>16+128+129+47+461</f>
        <v>781</v>
      </c>
      <c r="AW161" s="77">
        <f>AV161</f>
        <v>781</v>
      </c>
      <c r="AX161" s="406">
        <f t="shared" si="186"/>
        <v>781</v>
      </c>
      <c r="AY161" s="348">
        <f t="shared" si="186"/>
        <v>781</v>
      </c>
      <c r="AZ161" s="348">
        <f t="shared" si="186"/>
        <v>781</v>
      </c>
      <c r="BA161" s="405">
        <f t="shared" si="186"/>
        <v>781</v>
      </c>
      <c r="BB161" s="451">
        <f t="shared" si="186"/>
        <v>781</v>
      </c>
      <c r="BC161" s="406">
        <f t="shared" si="186"/>
        <v>781</v>
      </c>
      <c r="BD161" s="348">
        <f t="shared" ref="BD161:BL161" si="189">+BC161</f>
        <v>781</v>
      </c>
      <c r="BE161" s="348">
        <f t="shared" si="189"/>
        <v>781</v>
      </c>
      <c r="BF161" s="405">
        <f t="shared" si="189"/>
        <v>781</v>
      </c>
      <c r="BG161" s="451">
        <f t="shared" si="189"/>
        <v>781</v>
      </c>
      <c r="BH161" s="406">
        <f t="shared" si="189"/>
        <v>781</v>
      </c>
      <c r="BI161" s="348">
        <f t="shared" si="189"/>
        <v>781</v>
      </c>
      <c r="BJ161" s="348">
        <f t="shared" si="189"/>
        <v>781</v>
      </c>
      <c r="BK161" s="405">
        <f t="shared" si="189"/>
        <v>781</v>
      </c>
      <c r="BL161" s="451">
        <f t="shared" si="189"/>
        <v>781</v>
      </c>
      <c r="BM161" s="406">
        <f t="shared" si="188"/>
        <v>781</v>
      </c>
      <c r="BN161" s="348">
        <f t="shared" si="188"/>
        <v>781</v>
      </c>
      <c r="BO161" s="348">
        <f t="shared" si="188"/>
        <v>781</v>
      </c>
      <c r="BP161" s="405">
        <f t="shared" si="188"/>
        <v>781</v>
      </c>
      <c r="BQ161" s="451">
        <f t="shared" si="188"/>
        <v>781</v>
      </c>
      <c r="BR161" s="296"/>
      <c r="BS161" s="296"/>
      <c r="BT161" s="296"/>
      <c r="BU161" s="296"/>
      <c r="CL161"/>
      <c r="CM161"/>
      <c r="CN161"/>
      <c r="CO161"/>
      <c r="CP161"/>
      <c r="CQ161"/>
    </row>
    <row r="162" spans="1:95" s="2" customFormat="1">
      <c r="A162" s="1523"/>
      <c r="C162" s="49" t="s">
        <v>257</v>
      </c>
      <c r="E162" s="477">
        <f t="shared" ref="E162:P162" si="190">SUM(E158:E161)</f>
        <v>3598</v>
      </c>
      <c r="F162" s="478">
        <f t="shared" si="190"/>
        <v>3321</v>
      </c>
      <c r="G162" s="478">
        <f t="shared" si="190"/>
        <v>2993</v>
      </c>
      <c r="H162" s="479">
        <f t="shared" si="190"/>
        <v>3360</v>
      </c>
      <c r="I162" s="464">
        <f>SUM(I158:I161)</f>
        <v>3360</v>
      </c>
      <c r="J162" s="396">
        <f t="shared" si="190"/>
        <v>2800</v>
      </c>
      <c r="K162" s="343">
        <f t="shared" si="190"/>
        <v>3249</v>
      </c>
      <c r="L162" s="343">
        <f t="shared" si="190"/>
        <v>3018</v>
      </c>
      <c r="M162" s="397">
        <f t="shared" si="190"/>
        <v>3485</v>
      </c>
      <c r="N162" s="464">
        <f>SUM(N158:N161)</f>
        <v>3485</v>
      </c>
      <c r="O162" s="396">
        <f t="shared" si="190"/>
        <v>3483</v>
      </c>
      <c r="P162" s="343">
        <f t="shared" si="190"/>
        <v>3530</v>
      </c>
      <c r="Q162" s="343">
        <f t="shared" ref="Q162:AA162" si="191">SUM(Q158:Q161)</f>
        <v>3692</v>
      </c>
      <c r="R162" s="397">
        <f t="shared" si="191"/>
        <v>2957</v>
      </c>
      <c r="S162" s="464">
        <f>SUM(S158:S161)</f>
        <v>2957</v>
      </c>
      <c r="T162" s="396">
        <f t="shared" si="191"/>
        <v>3108</v>
      </c>
      <c r="U162" s="343">
        <f t="shared" si="191"/>
        <v>2816</v>
      </c>
      <c r="V162" s="343">
        <f t="shared" si="191"/>
        <v>3039</v>
      </c>
      <c r="W162" s="397">
        <f t="shared" si="191"/>
        <v>3777</v>
      </c>
      <c r="X162" s="297">
        <f t="shared" si="191"/>
        <v>3777</v>
      </c>
      <c r="Y162" s="396">
        <f t="shared" si="191"/>
        <v>3406</v>
      </c>
      <c r="Z162" s="343">
        <f t="shared" si="191"/>
        <v>3058</v>
      </c>
      <c r="AA162" s="343">
        <f t="shared" si="191"/>
        <v>3235</v>
      </c>
      <c r="AB162" s="397">
        <f t="shared" ref="AB162:AI162" si="192">SUM(AB158:AB161)</f>
        <v>3063</v>
      </c>
      <c r="AC162" s="297">
        <f t="shared" si="192"/>
        <v>3063</v>
      </c>
      <c r="AD162" s="396">
        <f t="shared" si="192"/>
        <v>3357</v>
      </c>
      <c r="AE162" s="343">
        <f t="shared" si="192"/>
        <v>3463</v>
      </c>
      <c r="AF162" s="343">
        <f t="shared" si="192"/>
        <v>3136</v>
      </c>
      <c r="AG162" s="397">
        <f t="shared" si="192"/>
        <v>3478</v>
      </c>
      <c r="AH162" s="297">
        <f t="shared" si="192"/>
        <v>3478</v>
      </c>
      <c r="AI162" s="396">
        <f t="shared" si="192"/>
        <v>3622</v>
      </c>
      <c r="AJ162" s="343">
        <f t="shared" ref="AJ162:AP162" si="193">SUM(AJ158:AJ161)</f>
        <v>3107</v>
      </c>
      <c r="AK162" s="343">
        <f t="shared" si="193"/>
        <v>3604</v>
      </c>
      <c r="AL162" s="397">
        <f t="shared" si="193"/>
        <v>3575</v>
      </c>
      <c r="AM162" s="297">
        <f t="shared" si="193"/>
        <v>3575</v>
      </c>
      <c r="AN162" s="396">
        <f t="shared" si="193"/>
        <v>2942</v>
      </c>
      <c r="AO162" s="343">
        <f>SUM(AO158:AO161)</f>
        <v>3120</v>
      </c>
      <c r="AP162" s="343">
        <f t="shared" si="193"/>
        <v>2804</v>
      </c>
      <c r="AQ162" s="397">
        <f t="shared" ref="AQ162:BB162" si="194">SUM(AQ158:AQ161)</f>
        <v>3276</v>
      </c>
      <c r="AR162" s="297">
        <f t="shared" si="194"/>
        <v>3276</v>
      </c>
      <c r="AS162" s="396">
        <f t="shared" si="194"/>
        <v>3111</v>
      </c>
      <c r="AT162" s="343">
        <f t="shared" si="194"/>
        <v>3164</v>
      </c>
      <c r="AU162" s="343">
        <f t="shared" si="194"/>
        <v>3831</v>
      </c>
      <c r="AV162" s="397">
        <f t="shared" si="194"/>
        <v>4168</v>
      </c>
      <c r="AW162" s="297">
        <f t="shared" si="194"/>
        <v>4168</v>
      </c>
      <c r="AX162" s="390">
        <f t="shared" si="194"/>
        <v>3670</v>
      </c>
      <c r="AY162" s="340">
        <f t="shared" si="194"/>
        <v>3870</v>
      </c>
      <c r="AZ162" s="340">
        <f t="shared" si="194"/>
        <v>4120</v>
      </c>
      <c r="BA162" s="391">
        <f t="shared" si="194"/>
        <v>4270</v>
      </c>
      <c r="BB162" s="464">
        <f t="shared" si="194"/>
        <v>4270</v>
      </c>
      <c r="BC162" s="390">
        <f t="shared" ref="BC162:BL162" si="195">SUM(BC158:BC161)</f>
        <v>4259.6262751602844</v>
      </c>
      <c r="BD162" s="340">
        <f t="shared" si="195"/>
        <v>3932</v>
      </c>
      <c r="BE162" s="340">
        <f t="shared" si="195"/>
        <v>3682</v>
      </c>
      <c r="BF162" s="391">
        <f t="shared" si="195"/>
        <v>3291</v>
      </c>
      <c r="BG162" s="464">
        <f t="shared" si="195"/>
        <v>3291</v>
      </c>
      <c r="BH162" s="390">
        <f t="shared" si="195"/>
        <v>3591</v>
      </c>
      <c r="BI162" s="340">
        <f t="shared" si="195"/>
        <v>3769</v>
      </c>
      <c r="BJ162" s="340">
        <f t="shared" si="195"/>
        <v>4019</v>
      </c>
      <c r="BK162" s="391">
        <f t="shared" si="195"/>
        <v>4310</v>
      </c>
      <c r="BL162" s="464">
        <f t="shared" si="195"/>
        <v>4310</v>
      </c>
      <c r="BM162" s="390">
        <f>SUM(BM158:BM161)</f>
        <v>4166.6114797295813</v>
      </c>
      <c r="BN162" s="340">
        <f>SUM(BN158:BN161)</f>
        <v>3259.6615365958023</v>
      </c>
      <c r="BO162" s="340">
        <f>SUM(BO158:BO161)</f>
        <v>2926</v>
      </c>
      <c r="BP162" s="391">
        <f>SUM(BP158:BP161)</f>
        <v>2626</v>
      </c>
      <c r="BQ162" s="464">
        <f>SUM(BQ158:BQ161)</f>
        <v>2626</v>
      </c>
      <c r="BR162" s="296"/>
      <c r="BS162" s="296"/>
      <c r="BT162" s="296"/>
      <c r="BU162" s="296"/>
      <c r="CL162"/>
      <c r="CM162"/>
      <c r="CN162"/>
      <c r="CO162"/>
      <c r="CP162"/>
      <c r="CQ162"/>
    </row>
    <row r="163" spans="1:95" s="2" customFormat="1">
      <c r="A163" s="1523"/>
      <c r="E163" s="434"/>
      <c r="F163" s="435"/>
      <c r="G163" s="435"/>
      <c r="H163" s="436"/>
      <c r="I163" s="463"/>
      <c r="J163" s="392"/>
      <c r="K163" s="341"/>
      <c r="L163" s="341"/>
      <c r="M163" s="393"/>
      <c r="N163" s="463"/>
      <c r="O163" s="392"/>
      <c r="P163" s="341"/>
      <c r="Q163" s="341"/>
      <c r="R163" s="393"/>
      <c r="S163" s="463"/>
      <c r="T163" s="392"/>
      <c r="U163" s="341"/>
      <c r="V163" s="341"/>
      <c r="W163" s="393"/>
      <c r="X163" s="77"/>
      <c r="Y163" s="392"/>
      <c r="Z163" s="341"/>
      <c r="AA163" s="341"/>
      <c r="AB163" s="393"/>
      <c r="AC163" s="77"/>
      <c r="AD163" s="392"/>
      <c r="AE163" s="341"/>
      <c r="AF163" s="341"/>
      <c r="AG163" s="393"/>
      <c r="AH163" s="77"/>
      <c r="AI163" s="392"/>
      <c r="AJ163" s="341"/>
      <c r="AK163" s="341"/>
      <c r="AL163" s="393"/>
      <c r="AM163" s="77"/>
      <c r="AN163" s="392"/>
      <c r="AO163" s="341"/>
      <c r="AP163" s="480"/>
      <c r="AQ163" s="393"/>
      <c r="AR163" s="77"/>
      <c r="AS163" s="392"/>
      <c r="AT163" s="341"/>
      <c r="AU163" s="480"/>
      <c r="AV163" s="393"/>
      <c r="AW163" s="77"/>
      <c r="AX163" s="509"/>
      <c r="AY163" s="480"/>
      <c r="AZ163" s="480"/>
      <c r="BA163" s="481"/>
      <c r="BB163" s="463"/>
      <c r="BC163" s="509"/>
      <c r="BD163" s="480"/>
      <c r="BE163" s="480"/>
      <c r="BF163" s="481"/>
      <c r="BG163" s="463"/>
      <c r="BH163" s="509"/>
      <c r="BI163" s="480"/>
      <c r="BJ163" s="480"/>
      <c r="BK163" s="481"/>
      <c r="BL163" s="463"/>
      <c r="BM163" s="509"/>
      <c r="BN163" s="480"/>
      <c r="BO163" s="480"/>
      <c r="BP163" s="481"/>
      <c r="BQ163" s="463"/>
      <c r="BR163" s="296"/>
      <c r="BS163" s="296"/>
      <c r="BT163" s="296"/>
      <c r="BU163" s="296"/>
      <c r="CL163"/>
      <c r="CM163"/>
      <c r="CN163"/>
      <c r="CO163"/>
      <c r="CP163"/>
      <c r="CQ163"/>
    </row>
    <row r="164" spans="1:95" s="2" customFormat="1">
      <c r="A164" s="1523"/>
      <c r="C164" s="2" t="s">
        <v>448</v>
      </c>
      <c r="E164" s="506">
        <v>7859</v>
      </c>
      <c r="F164" s="507">
        <v>7805</v>
      </c>
      <c r="G164" s="507">
        <v>7566</v>
      </c>
      <c r="H164" s="508">
        <v>7675</v>
      </c>
      <c r="I164" s="463">
        <f>H164</f>
        <v>7675</v>
      </c>
      <c r="J164" s="459">
        <v>7906</v>
      </c>
      <c r="K164" s="460">
        <v>7746</v>
      </c>
      <c r="L164" s="460">
        <v>8152</v>
      </c>
      <c r="M164" s="461">
        <v>7843</v>
      </c>
      <c r="N164" s="463">
        <f>M164</f>
        <v>7843</v>
      </c>
      <c r="O164" s="459">
        <v>7697</v>
      </c>
      <c r="P164" s="460">
        <v>7063</v>
      </c>
      <c r="Q164" s="460">
        <v>7480</v>
      </c>
      <c r="R164" s="461">
        <f>6694+723+44</f>
        <v>7461</v>
      </c>
      <c r="S164" s="463">
        <f>R164</f>
        <v>7461</v>
      </c>
      <c r="T164" s="459">
        <f>6544+671+44</f>
        <v>7259</v>
      </c>
      <c r="U164" s="460">
        <f>6676+616+44</f>
        <v>7336</v>
      </c>
      <c r="V164" s="460">
        <f>6729+561+44</f>
        <v>7334</v>
      </c>
      <c r="W164" s="461">
        <f>6148+496+43</f>
        <v>6687</v>
      </c>
      <c r="X164" s="77">
        <f>W164</f>
        <v>6687</v>
      </c>
      <c r="Y164" s="459">
        <f>6542+442+25</f>
        <v>7009</v>
      </c>
      <c r="Z164" s="460">
        <f>7033+385+24</f>
        <v>7442</v>
      </c>
      <c r="AA164" s="460">
        <f>7134+326+16</f>
        <v>7476</v>
      </c>
      <c r="AB164" s="461">
        <f>7587+259+16</f>
        <v>7862</v>
      </c>
      <c r="AC164" s="77">
        <f>AB164</f>
        <v>7862</v>
      </c>
      <c r="AD164" s="459">
        <f>7586+200+16</f>
        <v>7802</v>
      </c>
      <c r="AE164" s="460">
        <f>7782+134+16</f>
        <v>7932</v>
      </c>
      <c r="AF164" s="460">
        <f>8321+68</f>
        <v>8389</v>
      </c>
      <c r="AG164" s="461">
        <v>8261</v>
      </c>
      <c r="AH164" s="77">
        <f>AG164</f>
        <v>8261</v>
      </c>
      <c r="AI164" s="459">
        <v>8090</v>
      </c>
      <c r="AJ164" s="460">
        <v>8689</v>
      </c>
      <c r="AK164" s="460">
        <v>8132</v>
      </c>
      <c r="AL164" s="461">
        <v>8834</v>
      </c>
      <c r="AM164" s="77">
        <f>AL164</f>
        <v>8834</v>
      </c>
      <c r="AN164" s="459">
        <v>9676</v>
      </c>
      <c r="AO164" s="460">
        <v>10273</v>
      </c>
      <c r="AP164" s="460">
        <v>10697</v>
      </c>
      <c r="AQ164" s="461">
        <v>10895</v>
      </c>
      <c r="AR164" s="77">
        <f>AQ164</f>
        <v>10895</v>
      </c>
      <c r="AS164" s="459">
        <v>10898</v>
      </c>
      <c r="AT164" s="460">
        <v>11621</v>
      </c>
      <c r="AU164" s="460">
        <v>11274</v>
      </c>
      <c r="AV164" s="461">
        <v>12068</v>
      </c>
      <c r="AW164" s="77">
        <f>AV164</f>
        <v>12068</v>
      </c>
      <c r="AX164" s="509">
        <f>+AX190-AX158</f>
        <v>13024</v>
      </c>
      <c r="AY164" s="480">
        <f>+AY190-AY158</f>
        <v>13674</v>
      </c>
      <c r="AZ164" s="480">
        <f>+AZ190-AZ158</f>
        <v>13674</v>
      </c>
      <c r="BA164" s="481">
        <f>+BA190-BA158</f>
        <v>13274</v>
      </c>
      <c r="BB164" s="463">
        <f>BA164</f>
        <v>13274</v>
      </c>
      <c r="BC164" s="509">
        <f>+BC190-BC158</f>
        <v>13274</v>
      </c>
      <c r="BD164" s="480">
        <f>+BD190-BD158</f>
        <v>14118</v>
      </c>
      <c r="BE164" s="480">
        <f>+BE190-BE158</f>
        <v>15518</v>
      </c>
      <c r="BF164" s="481">
        <f>+BF190-BF158</f>
        <v>15509</v>
      </c>
      <c r="BG164" s="463">
        <f>BF164</f>
        <v>15509</v>
      </c>
      <c r="BH164" s="509">
        <f>+BH190-BH158</f>
        <v>15209</v>
      </c>
      <c r="BI164" s="480">
        <f>+BI190-BI158</f>
        <v>15775</v>
      </c>
      <c r="BJ164" s="480">
        <f>+BJ190-BJ158</f>
        <v>16025</v>
      </c>
      <c r="BK164" s="481">
        <f>+BK190-BK158</f>
        <v>15725</v>
      </c>
      <c r="BL164" s="463">
        <f>BK164</f>
        <v>15725</v>
      </c>
      <c r="BM164" s="509">
        <f>+BM190-BM158</f>
        <v>15725</v>
      </c>
      <c r="BN164" s="480">
        <f>+BN190-BN158</f>
        <v>16825</v>
      </c>
      <c r="BO164" s="480">
        <f>+BO190-BO158</f>
        <v>18075</v>
      </c>
      <c r="BP164" s="481">
        <f>+BP190-BP158</f>
        <v>18075</v>
      </c>
      <c r="BQ164" s="463">
        <f>BP164</f>
        <v>18075</v>
      </c>
      <c r="BR164" s="296"/>
      <c r="BS164" s="296"/>
      <c r="BT164" s="296"/>
      <c r="BU164" s="296"/>
      <c r="CL164"/>
      <c r="CM164"/>
      <c r="CN164"/>
      <c r="CO164"/>
      <c r="CP164"/>
      <c r="CQ164"/>
    </row>
    <row r="165" spans="1:95" s="2" customFormat="1">
      <c r="A165" s="1523"/>
      <c r="E165" s="506"/>
      <c r="F165" s="507"/>
      <c r="G165" s="507"/>
      <c r="H165" s="508"/>
      <c r="I165" s="463"/>
      <c r="J165" s="459"/>
      <c r="K165" s="460"/>
      <c r="L165" s="460"/>
      <c r="M165" s="461"/>
      <c r="N165" s="463"/>
      <c r="O165" s="459"/>
      <c r="P165" s="460"/>
      <c r="Q165" s="460"/>
      <c r="R165" s="461"/>
      <c r="S165" s="463"/>
      <c r="T165" s="459"/>
      <c r="U165" s="460"/>
      <c r="V165" s="460"/>
      <c r="W165" s="461"/>
      <c r="X165" s="77"/>
      <c r="Y165" s="459"/>
      <c r="Z165" s="460"/>
      <c r="AA165" s="460"/>
      <c r="AB165" s="461"/>
      <c r="AC165" s="77"/>
      <c r="AD165" s="459"/>
      <c r="AE165" s="460"/>
      <c r="AF165" s="460"/>
      <c r="AG165" s="461"/>
      <c r="AH165" s="77"/>
      <c r="AI165" s="459"/>
      <c r="AJ165" s="460"/>
      <c r="AK165" s="460"/>
      <c r="AL165" s="461"/>
      <c r="AM165" s="77"/>
      <c r="AN165" s="459"/>
      <c r="AO165" s="460"/>
      <c r="AP165" s="460"/>
      <c r="AQ165" s="461"/>
      <c r="AR165" s="77"/>
      <c r="AS165" s="459"/>
      <c r="AT165" s="460"/>
      <c r="AU165" s="460"/>
      <c r="AV165" s="461"/>
      <c r="AW165" s="77"/>
      <c r="AX165" s="509"/>
      <c r="AY165" s="480"/>
      <c r="AZ165" s="480"/>
      <c r="BA165" s="481"/>
      <c r="BB165" s="463"/>
      <c r="BC165" s="509"/>
      <c r="BD165" s="480"/>
      <c r="BE165" s="480"/>
      <c r="BF165" s="481"/>
      <c r="BG165" s="463"/>
      <c r="BH165" s="509"/>
      <c r="BI165" s="480"/>
      <c r="BJ165" s="480"/>
      <c r="BK165" s="481"/>
      <c r="BL165" s="463"/>
      <c r="BM165" s="509"/>
      <c r="BN165" s="480"/>
      <c r="BO165" s="480"/>
      <c r="BP165" s="481"/>
      <c r="BQ165" s="463"/>
      <c r="BR165" s="296"/>
      <c r="BS165" s="296"/>
      <c r="BT165" s="296"/>
      <c r="BU165" s="296"/>
      <c r="CL165"/>
      <c r="CM165"/>
      <c r="CN165"/>
      <c r="CO165"/>
      <c r="CP165"/>
      <c r="CQ165"/>
    </row>
    <row r="166" spans="1:95" s="2" customFormat="1">
      <c r="A166" s="1523"/>
      <c r="C166" s="2" t="s">
        <v>476</v>
      </c>
      <c r="E166" s="506">
        <v>415</v>
      </c>
      <c r="F166" s="507">
        <v>396</v>
      </c>
      <c r="G166" s="507">
        <v>472</v>
      </c>
      <c r="H166" s="508">
        <v>300</v>
      </c>
      <c r="I166" s="463">
        <f>H166</f>
        <v>300</v>
      </c>
      <c r="J166" s="459">
        <v>418</v>
      </c>
      <c r="K166" s="460">
        <v>532</v>
      </c>
      <c r="L166" s="460">
        <v>506</v>
      </c>
      <c r="M166" s="461">
        <v>293</v>
      </c>
      <c r="N166" s="463">
        <f>M166</f>
        <v>293</v>
      </c>
      <c r="O166" s="459">
        <v>274</v>
      </c>
      <c r="P166" s="460">
        <v>250</v>
      </c>
      <c r="Q166" s="460">
        <f>235+9</f>
        <v>244</v>
      </c>
      <c r="R166" s="461">
        <f>228+9</f>
        <v>237</v>
      </c>
      <c r="S166" s="463">
        <f>R166</f>
        <v>237</v>
      </c>
      <c r="T166" s="459">
        <f>216+10</f>
        <v>226</v>
      </c>
      <c r="U166" s="460">
        <f>206+10</f>
        <v>216</v>
      </c>
      <c r="V166" s="460">
        <f>248+10</f>
        <v>258</v>
      </c>
      <c r="W166" s="461">
        <f>209+10</f>
        <v>219</v>
      </c>
      <c r="X166" s="77">
        <f>W166</f>
        <v>219</v>
      </c>
      <c r="Y166" s="459">
        <f>245+10</f>
        <v>255</v>
      </c>
      <c r="Z166" s="460">
        <f>215+11</f>
        <v>226</v>
      </c>
      <c r="AA166" s="460">
        <f>213+11</f>
        <v>224</v>
      </c>
      <c r="AB166" s="461">
        <f>233+11</f>
        <v>244</v>
      </c>
      <c r="AC166" s="77">
        <f>AB166</f>
        <v>244</v>
      </c>
      <c r="AD166" s="459">
        <f>172+11</f>
        <v>183</v>
      </c>
      <c r="AE166" s="460">
        <f>169+11</f>
        <v>180</v>
      </c>
      <c r="AF166" s="460">
        <f>141+12</f>
        <v>153</v>
      </c>
      <c r="AG166" s="461">
        <f>258+39</f>
        <v>297</v>
      </c>
      <c r="AH166" s="77">
        <f>AG166</f>
        <v>297</v>
      </c>
      <c r="AI166" s="459">
        <f>272+46</f>
        <v>318</v>
      </c>
      <c r="AJ166" s="460">
        <f>176+47</f>
        <v>223</v>
      </c>
      <c r="AK166" s="460">
        <v>181</v>
      </c>
      <c r="AL166" s="461">
        <v>175</v>
      </c>
      <c r="AM166" s="77">
        <f>AL166</f>
        <v>175</v>
      </c>
      <c r="AN166" s="459">
        <v>177</v>
      </c>
      <c r="AO166" s="460">
        <v>165</v>
      </c>
      <c r="AP166" s="460">
        <v>151</v>
      </c>
      <c r="AQ166" s="461">
        <v>118</v>
      </c>
      <c r="AR166" s="77">
        <f>AQ166</f>
        <v>118</v>
      </c>
      <c r="AS166" s="459">
        <v>131</v>
      </c>
      <c r="AT166" s="460">
        <v>99</v>
      </c>
      <c r="AU166" s="460">
        <v>89</v>
      </c>
      <c r="AV166" s="461">
        <v>2948</v>
      </c>
      <c r="AW166" s="77">
        <f>AV166</f>
        <v>2948</v>
      </c>
      <c r="AX166" s="406">
        <f t="shared" ref="AX166:BC166" si="196">+AW166</f>
        <v>2948</v>
      </c>
      <c r="AY166" s="348">
        <f t="shared" si="196"/>
        <v>2948</v>
      </c>
      <c r="AZ166" s="348">
        <f t="shared" si="196"/>
        <v>2948</v>
      </c>
      <c r="BA166" s="405">
        <f t="shared" si="196"/>
        <v>2948</v>
      </c>
      <c r="BB166" s="451">
        <f t="shared" si="196"/>
        <v>2948</v>
      </c>
      <c r="BC166" s="406">
        <f t="shared" si="196"/>
        <v>2948</v>
      </c>
      <c r="BD166" s="348">
        <f t="shared" ref="BD166:BL166" si="197">+BC166</f>
        <v>2948</v>
      </c>
      <c r="BE166" s="348">
        <f t="shared" si="197"/>
        <v>2948</v>
      </c>
      <c r="BF166" s="405">
        <f t="shared" si="197"/>
        <v>2948</v>
      </c>
      <c r="BG166" s="451">
        <f t="shared" si="197"/>
        <v>2948</v>
      </c>
      <c r="BH166" s="406">
        <f t="shared" si="197"/>
        <v>2948</v>
      </c>
      <c r="BI166" s="348">
        <f t="shared" si="197"/>
        <v>2948</v>
      </c>
      <c r="BJ166" s="348">
        <f t="shared" si="197"/>
        <v>2948</v>
      </c>
      <c r="BK166" s="405">
        <f t="shared" si="197"/>
        <v>2948</v>
      </c>
      <c r="BL166" s="451">
        <f t="shared" si="197"/>
        <v>2948</v>
      </c>
      <c r="BM166" s="406">
        <f>+BL166</f>
        <v>2948</v>
      </c>
      <c r="BN166" s="348">
        <f>+BM166</f>
        <v>2948</v>
      </c>
      <c r="BO166" s="348">
        <f>+BN166</f>
        <v>2948</v>
      </c>
      <c r="BP166" s="405">
        <f>+BO166</f>
        <v>2948</v>
      </c>
      <c r="BQ166" s="451">
        <f>+BP166</f>
        <v>2948</v>
      </c>
      <c r="BR166" s="296"/>
      <c r="BS166" s="296"/>
      <c r="BT166" s="296"/>
      <c r="BU166" s="296"/>
      <c r="CL166"/>
      <c r="CM166"/>
      <c r="CN166"/>
      <c r="CO166"/>
      <c r="CP166"/>
      <c r="CQ166"/>
    </row>
    <row r="167" spans="1:95" s="2" customFormat="1">
      <c r="A167" s="1523"/>
      <c r="C167" s="2" t="s">
        <v>258</v>
      </c>
      <c r="E167" s="506">
        <v>3925</v>
      </c>
      <c r="F167" s="507">
        <v>4046</v>
      </c>
      <c r="G167" s="507">
        <v>4090</v>
      </c>
      <c r="H167" s="508">
        <v>4045</v>
      </c>
      <c r="I167" s="463">
        <f>H167</f>
        <v>4045</v>
      </c>
      <c r="J167" s="459">
        <v>4416</v>
      </c>
      <c r="K167" s="460">
        <v>4171</v>
      </c>
      <c r="L167" s="460">
        <v>4232</v>
      </c>
      <c r="M167" s="461">
        <v>5129</v>
      </c>
      <c r="N167" s="463">
        <f>M167</f>
        <v>5129</v>
      </c>
      <c r="O167" s="459">
        <v>5000</v>
      </c>
      <c r="P167" s="460">
        <v>5121</v>
      </c>
      <c r="Q167" s="460">
        <v>5652</v>
      </c>
      <c r="R167" s="461">
        <v>5458</v>
      </c>
      <c r="S167" s="463">
        <f>R167</f>
        <v>5458</v>
      </c>
      <c r="T167" s="459">
        <v>5693</v>
      </c>
      <c r="U167" s="460">
        <v>5939</v>
      </c>
      <c r="V167" s="460">
        <v>6058</v>
      </c>
      <c r="W167" s="461">
        <v>6542</v>
      </c>
      <c r="X167" s="77">
        <f>W167</f>
        <v>6542</v>
      </c>
      <c r="Y167" s="459">
        <v>6604</v>
      </c>
      <c r="Z167" s="460">
        <v>6686</v>
      </c>
      <c r="AA167" s="460">
        <v>6807</v>
      </c>
      <c r="AB167" s="461">
        <v>7107</v>
      </c>
      <c r="AC167" s="77">
        <f>AB167</f>
        <v>7107</v>
      </c>
      <c r="AD167" s="459">
        <v>7148</v>
      </c>
      <c r="AE167" s="460">
        <v>7197</v>
      </c>
      <c r="AF167" s="460">
        <v>7298</v>
      </c>
      <c r="AG167" s="461">
        <v>7303</v>
      </c>
      <c r="AH167" s="77">
        <f>AG167</f>
        <v>7303</v>
      </c>
      <c r="AI167" s="459">
        <v>7436</v>
      </c>
      <c r="AJ167" s="460">
        <v>7578</v>
      </c>
      <c r="AK167" s="460">
        <v>7672</v>
      </c>
      <c r="AL167" s="461">
        <v>8166</v>
      </c>
      <c r="AM167" s="77">
        <f>AL167</f>
        <v>8166</v>
      </c>
      <c r="AN167" s="459">
        <v>8377</v>
      </c>
      <c r="AO167" s="460">
        <v>8545</v>
      </c>
      <c r="AP167" s="460">
        <v>8661</v>
      </c>
      <c r="AQ167" s="461">
        <v>8658</v>
      </c>
      <c r="AR167" s="77">
        <f>AQ167</f>
        <v>8658</v>
      </c>
      <c r="AS167" s="459">
        <v>8567</v>
      </c>
      <c r="AT167" s="460">
        <v>8755</v>
      </c>
      <c r="AU167" s="460">
        <v>8931</v>
      </c>
      <c r="AV167" s="461">
        <v>5240</v>
      </c>
      <c r="AW167" s="77">
        <f>AV167</f>
        <v>5240</v>
      </c>
      <c r="AX167" s="509">
        <f>+AW167+AX112</f>
        <v>5343</v>
      </c>
      <c r="AY167" s="480">
        <f>+AX167+AY112</f>
        <v>5446</v>
      </c>
      <c r="AZ167" s="480">
        <f>+AY167+AZ112</f>
        <v>5497</v>
      </c>
      <c r="BA167" s="481">
        <f>+AZ167+BA112</f>
        <v>5648</v>
      </c>
      <c r="BB167" s="463">
        <f>BA167</f>
        <v>5648</v>
      </c>
      <c r="BC167" s="509">
        <f>+BB167+BC112</f>
        <v>5710.25</v>
      </c>
      <c r="BD167" s="480">
        <f>+BC167+BD112</f>
        <v>5772.5</v>
      </c>
      <c r="BE167" s="480">
        <f>+BD167+BE112</f>
        <v>5834.75</v>
      </c>
      <c r="BF167" s="481">
        <f>+BE167+BF112</f>
        <v>5897</v>
      </c>
      <c r="BG167" s="463">
        <f>BF167</f>
        <v>5897</v>
      </c>
      <c r="BH167" s="509">
        <f>+BG167+BH112</f>
        <v>5897</v>
      </c>
      <c r="BI167" s="480">
        <f>+BH167+BI112</f>
        <v>5897</v>
      </c>
      <c r="BJ167" s="480">
        <f>+BI167+BJ112</f>
        <v>5897</v>
      </c>
      <c r="BK167" s="481">
        <f>+BJ167+BK112</f>
        <v>5897</v>
      </c>
      <c r="BL167" s="463">
        <f>BK167</f>
        <v>5897</v>
      </c>
      <c r="BM167" s="509">
        <f>+BL167+BM112</f>
        <v>5897</v>
      </c>
      <c r="BN167" s="480">
        <f>+BM167+BN112</f>
        <v>5897</v>
      </c>
      <c r="BO167" s="480">
        <f>+BN167+BO112</f>
        <v>5897</v>
      </c>
      <c r="BP167" s="481">
        <f>+BO167+BP112</f>
        <v>5897</v>
      </c>
      <c r="BQ167" s="463">
        <f>BP167</f>
        <v>5897</v>
      </c>
      <c r="BR167" s="296"/>
      <c r="BS167" s="296"/>
      <c r="BT167" s="296"/>
      <c r="BU167" s="296"/>
      <c r="CL167"/>
      <c r="CM167"/>
      <c r="CN167"/>
      <c r="CO167"/>
      <c r="CP167"/>
      <c r="CQ167"/>
    </row>
    <row r="168" spans="1:95" s="2" customFormat="1">
      <c r="A168" s="1523"/>
      <c r="C168" s="2" t="s">
        <v>259</v>
      </c>
      <c r="E168" s="506">
        <v>0</v>
      </c>
      <c r="F168" s="507">
        <v>0</v>
      </c>
      <c r="G168" s="507">
        <v>0</v>
      </c>
      <c r="H168" s="508">
        <v>0</v>
      </c>
      <c r="I168" s="463">
        <f>H168</f>
        <v>0</v>
      </c>
      <c r="J168" s="459">
        <v>0</v>
      </c>
      <c r="K168" s="460">
        <v>0</v>
      </c>
      <c r="L168" s="460">
        <v>0</v>
      </c>
      <c r="M168" s="508">
        <v>0</v>
      </c>
      <c r="N168" s="463">
        <f>M168</f>
        <v>0</v>
      </c>
      <c r="O168" s="459">
        <v>0</v>
      </c>
      <c r="P168" s="480">
        <v>0</v>
      </c>
      <c r="Q168" s="480">
        <v>0</v>
      </c>
      <c r="R168" s="508">
        <v>0</v>
      </c>
      <c r="S168" s="463">
        <f>R168</f>
        <v>0</v>
      </c>
      <c r="T168" s="459">
        <v>0</v>
      </c>
      <c r="U168" s="480">
        <v>0</v>
      </c>
      <c r="V168" s="348">
        <v>0</v>
      </c>
      <c r="W168" s="508">
        <v>0</v>
      </c>
      <c r="X168" s="77">
        <f>W168</f>
        <v>0</v>
      </c>
      <c r="Y168" s="459">
        <v>0</v>
      </c>
      <c r="Z168" s="460">
        <v>0</v>
      </c>
      <c r="AA168" s="460">
        <v>0</v>
      </c>
      <c r="AB168" s="508">
        <v>0</v>
      </c>
      <c r="AC168" s="77">
        <f>AB168</f>
        <v>0</v>
      </c>
      <c r="AD168" s="459">
        <v>0</v>
      </c>
      <c r="AE168" s="460">
        <v>0</v>
      </c>
      <c r="AF168" s="460">
        <v>0</v>
      </c>
      <c r="AG168" s="508">
        <v>0</v>
      </c>
      <c r="AH168" s="77">
        <f>AG168</f>
        <v>0</v>
      </c>
      <c r="AI168" s="459">
        <v>0</v>
      </c>
      <c r="AJ168" s="460">
        <v>0</v>
      </c>
      <c r="AK168" s="460">
        <v>0</v>
      </c>
      <c r="AL168" s="508">
        <v>0</v>
      </c>
      <c r="AM168" s="77">
        <f>AL168</f>
        <v>0</v>
      </c>
      <c r="AN168" s="459">
        <v>0</v>
      </c>
      <c r="AO168" s="460">
        <v>0</v>
      </c>
      <c r="AP168" s="460">
        <v>0</v>
      </c>
      <c r="AQ168" s="508">
        <v>0</v>
      </c>
      <c r="AR168" s="77">
        <f>AQ168</f>
        <v>0</v>
      </c>
      <c r="AS168" s="459">
        <v>0</v>
      </c>
      <c r="AT168" s="507">
        <v>0</v>
      </c>
      <c r="AU168" s="460">
        <v>0</v>
      </c>
      <c r="AV168" s="508">
        <v>0</v>
      </c>
      <c r="AW168" s="77">
        <f>AV168</f>
        <v>0</v>
      </c>
      <c r="AX168" s="480">
        <v>0</v>
      </c>
      <c r="AY168" s="480">
        <v>0</v>
      </c>
      <c r="AZ168" s="480">
        <v>0</v>
      </c>
      <c r="BA168" s="481">
        <v>0</v>
      </c>
      <c r="BB168" s="463">
        <f>BA168</f>
        <v>0</v>
      </c>
      <c r="BC168" s="480">
        <v>0</v>
      </c>
      <c r="BD168" s="480">
        <v>0</v>
      </c>
      <c r="BE168" s="480">
        <v>0</v>
      </c>
      <c r="BF168" s="481">
        <v>0</v>
      </c>
      <c r="BG168" s="463">
        <f>BF168</f>
        <v>0</v>
      </c>
      <c r="BH168" s="480">
        <v>0</v>
      </c>
      <c r="BI168" s="480">
        <v>0</v>
      </c>
      <c r="BJ168" s="480">
        <v>0</v>
      </c>
      <c r="BK168" s="481">
        <v>0</v>
      </c>
      <c r="BL168" s="463">
        <f>BK168</f>
        <v>0</v>
      </c>
      <c r="BM168" s="480">
        <v>0</v>
      </c>
      <c r="BN168" s="480">
        <v>0</v>
      </c>
      <c r="BO168" s="480">
        <v>0</v>
      </c>
      <c r="BP168" s="481">
        <v>0</v>
      </c>
      <c r="BQ168" s="463">
        <f>BP168</f>
        <v>0</v>
      </c>
      <c r="BR168" s="296"/>
      <c r="BS168" s="296"/>
      <c r="BT168" s="296"/>
      <c r="BU168" s="296"/>
      <c r="CL168"/>
      <c r="CM168"/>
      <c r="CN168"/>
      <c r="CO168"/>
      <c r="CP168"/>
      <c r="CQ168"/>
    </row>
    <row r="169" spans="1:95" s="2" customFormat="1">
      <c r="A169" s="1523"/>
      <c r="C169" s="2" t="s">
        <v>260</v>
      </c>
      <c r="E169" s="506">
        <v>5216</v>
      </c>
      <c r="F169" s="507">
        <v>4713</v>
      </c>
      <c r="G169" s="507">
        <v>4538</v>
      </c>
      <c r="H169" s="508">
        <v>4420</v>
      </c>
      <c r="I169" s="463">
        <f>H169</f>
        <v>4420</v>
      </c>
      <c r="J169" s="459">
        <v>4025</v>
      </c>
      <c r="K169" s="460">
        <v>3909</v>
      </c>
      <c r="L169" s="460">
        <v>3631</v>
      </c>
      <c r="M169" s="461">
        <v>3518</v>
      </c>
      <c r="N169" s="463">
        <f>M169</f>
        <v>3518</v>
      </c>
      <c r="O169" s="459">
        <v>2957</v>
      </c>
      <c r="P169" s="460">
        <v>2714</v>
      </c>
      <c r="Q169" s="460">
        <f>482+948+189+70+651+31+234+77</f>
        <v>2682</v>
      </c>
      <c r="R169" s="461">
        <f>489+1127+734+39+643+26+292+86</f>
        <v>3436</v>
      </c>
      <c r="S169" s="463">
        <f>R169</f>
        <v>3436</v>
      </c>
      <c r="T169" s="459">
        <f>497+1115+613+0+606+20+154+85</f>
        <v>3090</v>
      </c>
      <c r="U169" s="460">
        <f>505+1115+624+588+112+152+93</f>
        <v>3189</v>
      </c>
      <c r="V169" s="460">
        <f>513+1116+629+565+112+166+108</f>
        <v>3209</v>
      </c>
      <c r="W169" s="461">
        <f>627+1285+876+537+122+164+108</f>
        <v>3719</v>
      </c>
      <c r="X169" s="77">
        <f>W169</f>
        <v>3719</v>
      </c>
      <c r="Y169" s="459">
        <f>636+1270+724+464+123+160+114</f>
        <v>3491</v>
      </c>
      <c r="Z169" s="460">
        <f>644+1272+717+27+449+158+167+116</f>
        <v>3550</v>
      </c>
      <c r="AA169" s="460">
        <f>653+1274+710+431+163+183+115</f>
        <v>3529</v>
      </c>
      <c r="AB169" s="461">
        <f>677+1095+121+414+31+180+119</f>
        <v>2637</v>
      </c>
      <c r="AC169" s="77">
        <f>AB169</f>
        <v>2637</v>
      </c>
      <c r="AD169" s="459">
        <f>687+1081+307+122+109+400+28+186+116</f>
        <v>3036</v>
      </c>
      <c r="AE169" s="460">
        <f>697+1077+314+122+93+27+381+36+230+107</f>
        <v>3084</v>
      </c>
      <c r="AF169" s="460">
        <f>704+1073+121+438+37+183+132+321+78</f>
        <v>3087</v>
      </c>
      <c r="AG169" s="461">
        <f>743+1277+452+440+126+417+33+208+112</f>
        <v>3808</v>
      </c>
      <c r="AH169" s="77">
        <f>AG169</f>
        <v>3808</v>
      </c>
      <c r="AI169" s="459">
        <f>754+1257+462+408+128+427+25+215+127</f>
        <v>3803</v>
      </c>
      <c r="AJ169" s="460">
        <f>765+1254+471+392+128+27+421+24+282+143</f>
        <v>3907</v>
      </c>
      <c r="AK169" s="460">
        <f>776+1250+480+373+118+438+23+287+156</f>
        <v>3901</v>
      </c>
      <c r="AL169" s="461">
        <f>679+1228+375+487+114+415+27+212+181</f>
        <v>3718</v>
      </c>
      <c r="AM169" s="77">
        <f>AL169</f>
        <v>3718</v>
      </c>
      <c r="AN169" s="459">
        <f>686+1205+382+458+117+423+14+176+174</f>
        <v>3635</v>
      </c>
      <c r="AO169" s="460">
        <f>693+1199+389+429+118+27+402+14+171+181</f>
        <v>3623</v>
      </c>
      <c r="AP169" s="460">
        <f>708+1207+395+400+108+430+13+197+241</f>
        <v>3699</v>
      </c>
      <c r="AQ169" s="461">
        <f>726+1324+452+568+128+401+3+180+211</f>
        <v>3993</v>
      </c>
      <c r="AR169" s="77">
        <f>AQ169</f>
        <v>3993</v>
      </c>
      <c r="AS169" s="459">
        <f>738+1309+460+547+126+393+1+180+198</f>
        <v>3952</v>
      </c>
      <c r="AT169" s="460">
        <f>27+744+1304+467+525+124+378+1+192+205</f>
        <v>3967</v>
      </c>
      <c r="AU169" s="460">
        <f>748+1301+474+504+113+399+1+173+195</f>
        <v>3908</v>
      </c>
      <c r="AV169" s="461">
        <f>1024+1455+542+537+129+357+5+175+221</f>
        <v>4445</v>
      </c>
      <c r="AW169" s="77">
        <f>AV169</f>
        <v>4445</v>
      </c>
      <c r="AX169" s="406">
        <f>+AW169+AX128+AX119+AX113</f>
        <v>4445</v>
      </c>
      <c r="AY169" s="348">
        <f>+AX169+AY128+AY119+AY113</f>
        <v>4445</v>
      </c>
      <c r="AZ169" s="348">
        <f>+AY169+AZ128+AZ119+AZ113</f>
        <v>4445</v>
      </c>
      <c r="BA169" s="405">
        <f>+AZ169+BA128+BA119+BA113</f>
        <v>4445</v>
      </c>
      <c r="BB169" s="451">
        <f>+BA169</f>
        <v>4445</v>
      </c>
      <c r="BC169" s="406">
        <f>+BB169+BC128+BC119+BC113</f>
        <v>4445</v>
      </c>
      <c r="BD169" s="348">
        <f>+BC169+BD128+BD119+BD113</f>
        <v>4445</v>
      </c>
      <c r="BE169" s="348">
        <f>+BD169+BE128+BE119+BE113</f>
        <v>4445</v>
      </c>
      <c r="BF169" s="405">
        <f>+BE169+BF128+BF119+BF113</f>
        <v>4445</v>
      </c>
      <c r="BG169" s="451">
        <f>+BF169</f>
        <v>4445</v>
      </c>
      <c r="BH169" s="406">
        <f>+BG169+BH128+BH119+BH113</f>
        <v>4445</v>
      </c>
      <c r="BI169" s="348">
        <f>+BH169+BI128+BI119+BI113</f>
        <v>4445</v>
      </c>
      <c r="BJ169" s="348">
        <f>+BI169+BJ128+BJ119+BJ113</f>
        <v>4445</v>
      </c>
      <c r="BK169" s="405">
        <f>+BJ169+BK128+BK119+BK113</f>
        <v>4445</v>
      </c>
      <c r="BL169" s="451">
        <f>+BK169</f>
        <v>4445</v>
      </c>
      <c r="BM169" s="406">
        <f>+BL169+BM128+BM119+BM113</f>
        <v>4445</v>
      </c>
      <c r="BN169" s="348">
        <f>+BM169+BN128+BN119+BN113</f>
        <v>4445</v>
      </c>
      <c r="BO169" s="348">
        <f>+BN169+BO128+BO119+BO113</f>
        <v>4445</v>
      </c>
      <c r="BP169" s="405">
        <f>+BO169+BP128+BP119+BP113</f>
        <v>4445</v>
      </c>
      <c r="BQ169" s="451">
        <f>+BP169</f>
        <v>4445</v>
      </c>
      <c r="BR169" s="296"/>
      <c r="BS169" s="296"/>
      <c r="BT169" s="296"/>
      <c r="BU169" s="296"/>
      <c r="CL169"/>
      <c r="CM169"/>
      <c r="CN169"/>
      <c r="CO169"/>
      <c r="CP169"/>
      <c r="CQ169"/>
    </row>
    <row r="170" spans="1:95" s="2" customFormat="1">
      <c r="A170" s="1523"/>
      <c r="E170" s="506"/>
      <c r="F170" s="507"/>
      <c r="G170" s="507"/>
      <c r="H170" s="508"/>
      <c r="I170" s="463"/>
      <c r="J170" s="459"/>
      <c r="K170" s="460"/>
      <c r="L170" s="460"/>
      <c r="M170" s="461"/>
      <c r="N170" s="463"/>
      <c r="O170" s="459"/>
      <c r="P170" s="460"/>
      <c r="Q170" s="460"/>
      <c r="R170" s="461"/>
      <c r="S170" s="463"/>
      <c r="T170" s="459"/>
      <c r="U170" s="460"/>
      <c r="V170" s="460"/>
      <c r="W170" s="461"/>
      <c r="X170" s="77"/>
      <c r="Y170" s="459"/>
      <c r="Z170" s="460"/>
      <c r="AA170" s="460"/>
      <c r="AB170" s="461"/>
      <c r="AC170" s="77"/>
      <c r="AD170" s="459"/>
      <c r="AE170" s="460"/>
      <c r="AF170" s="460"/>
      <c r="AG170" s="461"/>
      <c r="AH170" s="77"/>
      <c r="AI170" s="459"/>
      <c r="AJ170" s="460"/>
      <c r="AK170" s="460"/>
      <c r="AL170" s="461"/>
      <c r="AM170" s="77"/>
      <c r="AN170" s="459"/>
      <c r="AO170" s="460"/>
      <c r="AP170" s="480"/>
      <c r="AQ170" s="461"/>
      <c r="AR170" s="77"/>
      <c r="AS170" s="459"/>
      <c r="AT170" s="460"/>
      <c r="AU170" s="480"/>
      <c r="AV170" s="461"/>
      <c r="AW170" s="77"/>
      <c r="AX170" s="509"/>
      <c r="AY170" s="480"/>
      <c r="AZ170" s="480"/>
      <c r="BA170" s="481"/>
      <c r="BB170" s="463"/>
      <c r="BC170" s="509"/>
      <c r="BD170" s="480"/>
      <c r="BE170" s="480"/>
      <c r="BF170" s="481"/>
      <c r="BG170" s="463"/>
      <c r="BH170" s="509"/>
      <c r="BI170" s="480"/>
      <c r="BJ170" s="480"/>
      <c r="BK170" s="481"/>
      <c r="BL170" s="463"/>
      <c r="BM170" s="509"/>
      <c r="BN170" s="480"/>
      <c r="BO170" s="480"/>
      <c r="BP170" s="481"/>
      <c r="BQ170" s="463"/>
      <c r="BR170" s="296"/>
      <c r="BS170" s="296"/>
      <c r="BT170" s="296"/>
      <c r="BU170" s="296"/>
      <c r="CL170"/>
      <c r="CM170"/>
      <c r="CN170"/>
      <c r="CO170"/>
      <c r="CP170"/>
      <c r="CQ170"/>
    </row>
    <row r="171" spans="1:95" s="2" customFormat="1">
      <c r="A171" s="1523"/>
      <c r="C171" s="49" t="s">
        <v>261</v>
      </c>
      <c r="E171" s="477">
        <f>SUM(E162:E169)</f>
        <v>21013</v>
      </c>
      <c r="F171" s="478">
        <f t="shared" ref="F171:P171" si="198">SUM(F162:F169)</f>
        <v>20281</v>
      </c>
      <c r="G171" s="478">
        <f t="shared" si="198"/>
        <v>19659</v>
      </c>
      <c r="H171" s="479">
        <f t="shared" si="198"/>
        <v>19800</v>
      </c>
      <c r="I171" s="464">
        <f>SUM(I162:I169)</f>
        <v>19800</v>
      </c>
      <c r="J171" s="396">
        <f t="shared" si="198"/>
        <v>19565</v>
      </c>
      <c r="K171" s="343">
        <f t="shared" si="198"/>
        <v>19607</v>
      </c>
      <c r="L171" s="343">
        <f t="shared" si="198"/>
        <v>19539</v>
      </c>
      <c r="M171" s="397">
        <f t="shared" si="198"/>
        <v>20268</v>
      </c>
      <c r="N171" s="464">
        <f>SUM(N162:N169)</f>
        <v>20268</v>
      </c>
      <c r="O171" s="396">
        <f t="shared" si="198"/>
        <v>19411</v>
      </c>
      <c r="P171" s="343">
        <f t="shared" si="198"/>
        <v>18678</v>
      </c>
      <c r="Q171" s="343">
        <f t="shared" ref="Q171:AE171" si="199">SUM(Q162:Q169)</f>
        <v>19750</v>
      </c>
      <c r="R171" s="397">
        <f t="shared" si="199"/>
        <v>19549</v>
      </c>
      <c r="S171" s="464">
        <f t="shared" si="199"/>
        <v>19549</v>
      </c>
      <c r="T171" s="396">
        <f t="shared" si="199"/>
        <v>19376</v>
      </c>
      <c r="U171" s="343">
        <f t="shared" si="199"/>
        <v>19496</v>
      </c>
      <c r="V171" s="343">
        <f t="shared" si="199"/>
        <v>19898</v>
      </c>
      <c r="W171" s="397">
        <f t="shared" si="199"/>
        <v>20944</v>
      </c>
      <c r="X171" s="297">
        <f t="shared" si="199"/>
        <v>20944</v>
      </c>
      <c r="Y171" s="396">
        <f t="shared" si="199"/>
        <v>20765</v>
      </c>
      <c r="Z171" s="343">
        <f t="shared" si="199"/>
        <v>20962</v>
      </c>
      <c r="AA171" s="343">
        <f t="shared" si="199"/>
        <v>21271</v>
      </c>
      <c r="AB171" s="397">
        <f t="shared" si="199"/>
        <v>20913</v>
      </c>
      <c r="AC171" s="297">
        <f t="shared" si="199"/>
        <v>20913</v>
      </c>
      <c r="AD171" s="396">
        <f t="shared" si="199"/>
        <v>21526</v>
      </c>
      <c r="AE171" s="343">
        <f t="shared" si="199"/>
        <v>21856</v>
      </c>
      <c r="AF171" s="343">
        <f t="shared" ref="AF171:AK171" si="200">SUM(AF162:AF169)</f>
        <v>22063</v>
      </c>
      <c r="AG171" s="397">
        <f t="shared" si="200"/>
        <v>23147</v>
      </c>
      <c r="AH171" s="297">
        <f t="shared" si="200"/>
        <v>23147</v>
      </c>
      <c r="AI171" s="396">
        <f t="shared" si="200"/>
        <v>23269</v>
      </c>
      <c r="AJ171" s="343">
        <f t="shared" si="200"/>
        <v>23504</v>
      </c>
      <c r="AK171" s="343">
        <f t="shared" si="200"/>
        <v>23490</v>
      </c>
      <c r="AL171" s="397">
        <f t="shared" ref="AL171:AR171" si="201">SUM(AL162:AL169)</f>
        <v>24468</v>
      </c>
      <c r="AM171" s="297">
        <f t="shared" si="201"/>
        <v>24468</v>
      </c>
      <c r="AN171" s="396">
        <f t="shared" si="201"/>
        <v>24807</v>
      </c>
      <c r="AO171" s="343">
        <f t="shared" si="201"/>
        <v>25726</v>
      </c>
      <c r="AP171" s="343">
        <f t="shared" si="201"/>
        <v>26012</v>
      </c>
      <c r="AQ171" s="397">
        <f t="shared" si="201"/>
        <v>26940</v>
      </c>
      <c r="AR171" s="297">
        <f t="shared" si="201"/>
        <v>26940</v>
      </c>
      <c r="AS171" s="396">
        <f t="shared" ref="AS171:BB171" si="202">SUM(AS162:AS169)</f>
        <v>26659</v>
      </c>
      <c r="AT171" s="343">
        <f t="shared" si="202"/>
        <v>27606</v>
      </c>
      <c r="AU171" s="343">
        <f t="shared" si="202"/>
        <v>28033</v>
      </c>
      <c r="AV171" s="397">
        <f t="shared" si="202"/>
        <v>28869</v>
      </c>
      <c r="AW171" s="297">
        <f t="shared" si="202"/>
        <v>28869</v>
      </c>
      <c r="AX171" s="390">
        <f t="shared" si="202"/>
        <v>29430</v>
      </c>
      <c r="AY171" s="340">
        <f t="shared" si="202"/>
        <v>30383</v>
      </c>
      <c r="AZ171" s="340">
        <f t="shared" si="202"/>
        <v>30684</v>
      </c>
      <c r="BA171" s="391">
        <f t="shared" si="202"/>
        <v>30585</v>
      </c>
      <c r="BB171" s="464">
        <f t="shared" si="202"/>
        <v>30585</v>
      </c>
      <c r="BC171" s="390">
        <f t="shared" ref="BC171:BL171" si="203">SUM(BC162:BC169)</f>
        <v>30636.876275160284</v>
      </c>
      <c r="BD171" s="340">
        <f t="shared" si="203"/>
        <v>31215.5</v>
      </c>
      <c r="BE171" s="340">
        <f t="shared" si="203"/>
        <v>32427.75</v>
      </c>
      <c r="BF171" s="391">
        <f t="shared" si="203"/>
        <v>32090</v>
      </c>
      <c r="BG171" s="464">
        <f t="shared" si="203"/>
        <v>32090</v>
      </c>
      <c r="BH171" s="390">
        <f t="shared" si="203"/>
        <v>32090</v>
      </c>
      <c r="BI171" s="340">
        <f t="shared" si="203"/>
        <v>32834</v>
      </c>
      <c r="BJ171" s="340">
        <f t="shared" si="203"/>
        <v>33334</v>
      </c>
      <c r="BK171" s="391">
        <f t="shared" si="203"/>
        <v>33325</v>
      </c>
      <c r="BL171" s="464">
        <f t="shared" si="203"/>
        <v>33325</v>
      </c>
      <c r="BM171" s="390">
        <f>SUM(BM162:BM169)</f>
        <v>33181.611479729581</v>
      </c>
      <c r="BN171" s="340">
        <f>SUM(BN162:BN169)</f>
        <v>33374.661536595799</v>
      </c>
      <c r="BO171" s="340">
        <f>SUM(BO162:BO169)</f>
        <v>34291</v>
      </c>
      <c r="BP171" s="391">
        <f>SUM(BP162:BP169)</f>
        <v>33991</v>
      </c>
      <c r="BQ171" s="464">
        <f>SUM(BQ162:BQ169)</f>
        <v>33991</v>
      </c>
      <c r="BR171" s="296"/>
      <c r="BS171" s="296"/>
      <c r="BT171" s="296"/>
      <c r="BU171" s="296"/>
      <c r="CL171"/>
      <c r="CM171"/>
      <c r="CN171"/>
      <c r="CO171"/>
      <c r="CP171"/>
      <c r="CQ171"/>
    </row>
    <row r="172" spans="1:95" s="2" customFormat="1">
      <c r="A172" s="1523"/>
      <c r="C172" s="49"/>
      <c r="E172" s="434"/>
      <c r="F172" s="435"/>
      <c r="G172" s="435"/>
      <c r="H172" s="436"/>
      <c r="I172" s="463"/>
      <c r="J172" s="392"/>
      <c r="K172" s="341"/>
      <c r="L172" s="341"/>
      <c r="M172" s="393"/>
      <c r="N172" s="463"/>
      <c r="O172" s="392"/>
      <c r="P172" s="341"/>
      <c r="Q172" s="341"/>
      <c r="R172" s="393"/>
      <c r="S172" s="463"/>
      <c r="T172" s="392"/>
      <c r="U172" s="341"/>
      <c r="V172" s="341"/>
      <c r="W172" s="393"/>
      <c r="X172" s="77"/>
      <c r="Y172" s="392"/>
      <c r="Z172" s="341"/>
      <c r="AA172" s="341"/>
      <c r="AB172" s="393"/>
      <c r="AC172" s="77"/>
      <c r="AD172" s="392"/>
      <c r="AE172" s="341"/>
      <c r="AF172" s="341"/>
      <c r="AG172" s="393"/>
      <c r="AH172" s="77"/>
      <c r="AI172" s="392"/>
      <c r="AJ172" s="341"/>
      <c r="AK172" s="341"/>
      <c r="AL172" s="393"/>
      <c r="AM172" s="77"/>
      <c r="AN172" s="392"/>
      <c r="AO172" s="341"/>
      <c r="AP172" s="341"/>
      <c r="AQ172" s="393"/>
      <c r="AR172" s="77"/>
      <c r="AS172" s="392"/>
      <c r="AT172" s="341"/>
      <c r="AU172" s="341"/>
      <c r="AV172" s="393"/>
      <c r="AW172" s="77"/>
      <c r="AX172" s="509"/>
      <c r="AY172" s="480"/>
      <c r="AZ172" s="480"/>
      <c r="BA172" s="481"/>
      <c r="BB172" s="463"/>
      <c r="BC172" s="509"/>
      <c r="BD172" s="480"/>
      <c r="BE172" s="480"/>
      <c r="BF172" s="481"/>
      <c r="BG172" s="463"/>
      <c r="BH172" s="509"/>
      <c r="BI172" s="480"/>
      <c r="BJ172" s="480"/>
      <c r="BK172" s="481"/>
      <c r="BL172" s="463"/>
      <c r="BM172" s="509"/>
      <c r="BN172" s="480"/>
      <c r="BO172" s="480"/>
      <c r="BP172" s="481"/>
      <c r="BQ172" s="463"/>
      <c r="BR172" s="296"/>
      <c r="BS172" s="296"/>
      <c r="BT172" s="296"/>
      <c r="BU172" s="296"/>
      <c r="CL172"/>
      <c r="CM172"/>
      <c r="CN172"/>
      <c r="CO172"/>
      <c r="CP172"/>
      <c r="CQ172"/>
    </row>
    <row r="173" spans="1:95" s="2" customFormat="1">
      <c r="A173" s="1523"/>
      <c r="C173" s="37" t="s">
        <v>262</v>
      </c>
      <c r="E173" s="459">
        <v>10</v>
      </c>
      <c r="F173" s="460">
        <v>10</v>
      </c>
      <c r="G173" s="460">
        <v>10</v>
      </c>
      <c r="H173" s="461">
        <v>10</v>
      </c>
      <c r="I173" s="463">
        <f t="shared" ref="I173:I178" si="204">H173</f>
        <v>10</v>
      </c>
      <c r="J173" s="459">
        <v>9</v>
      </c>
      <c r="K173" s="460">
        <v>9</v>
      </c>
      <c r="L173" s="460">
        <v>8</v>
      </c>
      <c r="M173" s="461">
        <v>8</v>
      </c>
      <c r="N173" s="463">
        <f t="shared" ref="N173:N178" si="205">M173</f>
        <v>8</v>
      </c>
      <c r="O173" s="459">
        <v>2</v>
      </c>
      <c r="P173" s="460">
        <v>2</v>
      </c>
      <c r="Q173" s="460">
        <v>2</v>
      </c>
      <c r="R173" s="461">
        <f>Q173</f>
        <v>2</v>
      </c>
      <c r="S173" s="463">
        <f t="shared" ref="S173:S178" si="206">R173</f>
        <v>2</v>
      </c>
      <c r="T173" s="459">
        <v>2</v>
      </c>
      <c r="U173" s="460">
        <v>2</v>
      </c>
      <c r="V173" s="460">
        <v>2</v>
      </c>
      <c r="W173" s="461">
        <v>1</v>
      </c>
      <c r="X173" s="77">
        <f t="shared" ref="X173:X178" si="207">W173</f>
        <v>1</v>
      </c>
      <c r="Y173" s="459">
        <v>1</v>
      </c>
      <c r="Z173" s="460">
        <v>1</v>
      </c>
      <c r="AA173" s="460">
        <v>1</v>
      </c>
      <c r="AB173" s="461">
        <v>1</v>
      </c>
      <c r="AC173" s="77">
        <f t="shared" ref="AC173:AC178" si="208">AB173</f>
        <v>1</v>
      </c>
      <c r="AD173" s="459">
        <v>1</v>
      </c>
      <c r="AE173" s="460">
        <v>1</v>
      </c>
      <c r="AF173" s="460">
        <v>1</v>
      </c>
      <c r="AG173" s="461">
        <v>1</v>
      </c>
      <c r="AH173" s="77">
        <f t="shared" ref="AH173:AH178" si="209">AG173</f>
        <v>1</v>
      </c>
      <c r="AI173" s="459">
        <v>1</v>
      </c>
      <c r="AJ173" s="460">
        <v>1</v>
      </c>
      <c r="AK173" s="460">
        <v>1</v>
      </c>
      <c r="AL173" s="461">
        <v>1</v>
      </c>
      <c r="AM173" s="77">
        <f t="shared" ref="AM173:AM178" si="210">AL173</f>
        <v>1</v>
      </c>
      <c r="AN173" s="459">
        <v>1</v>
      </c>
      <c r="AO173" s="460">
        <v>1</v>
      </c>
      <c r="AP173" s="460">
        <v>0</v>
      </c>
      <c r="AQ173" s="461">
        <v>0</v>
      </c>
      <c r="AR173" s="77">
        <f t="shared" ref="AR173:AR178" si="211">AQ173</f>
        <v>0</v>
      </c>
      <c r="AS173" s="459">
        <v>0</v>
      </c>
      <c r="AT173" s="460">
        <v>0</v>
      </c>
      <c r="AU173" s="460">
        <v>0</v>
      </c>
      <c r="AV173" s="461">
        <v>0</v>
      </c>
      <c r="AW173" s="77">
        <f t="shared" ref="AW173:AW178" si="212">AV173</f>
        <v>0</v>
      </c>
      <c r="AX173" s="406">
        <f t="shared" ref="AX173:BC173" si="213">+AW173</f>
        <v>0</v>
      </c>
      <c r="AY173" s="348">
        <f t="shared" si="213"/>
        <v>0</v>
      </c>
      <c r="AZ173" s="348">
        <f t="shared" si="213"/>
        <v>0</v>
      </c>
      <c r="BA173" s="405">
        <f t="shared" si="213"/>
        <v>0</v>
      </c>
      <c r="BB173" s="451">
        <f t="shared" si="213"/>
        <v>0</v>
      </c>
      <c r="BC173" s="406">
        <f t="shared" si="213"/>
        <v>0</v>
      </c>
      <c r="BD173" s="348">
        <f t="shared" ref="BD173:BL173" si="214">+BC173</f>
        <v>0</v>
      </c>
      <c r="BE173" s="348">
        <f t="shared" si="214"/>
        <v>0</v>
      </c>
      <c r="BF173" s="405">
        <f t="shared" si="214"/>
        <v>0</v>
      </c>
      <c r="BG173" s="451">
        <f t="shared" si="214"/>
        <v>0</v>
      </c>
      <c r="BH173" s="406">
        <f t="shared" si="214"/>
        <v>0</v>
      </c>
      <c r="BI173" s="348">
        <f t="shared" si="214"/>
        <v>0</v>
      </c>
      <c r="BJ173" s="348">
        <f t="shared" si="214"/>
        <v>0</v>
      </c>
      <c r="BK173" s="405">
        <f t="shared" si="214"/>
        <v>0</v>
      </c>
      <c r="BL173" s="451">
        <f t="shared" si="214"/>
        <v>0</v>
      </c>
      <c r="BM173" s="406">
        <f>+BL173</f>
        <v>0</v>
      </c>
      <c r="BN173" s="348">
        <f>+BM173</f>
        <v>0</v>
      </c>
      <c r="BO173" s="348">
        <f>+BN173</f>
        <v>0</v>
      </c>
      <c r="BP173" s="405">
        <f>+BO173</f>
        <v>0</v>
      </c>
      <c r="BQ173" s="451">
        <f>+BP173</f>
        <v>0</v>
      </c>
      <c r="BR173" s="296"/>
      <c r="BS173" s="296"/>
      <c r="BT173" s="296"/>
      <c r="BU173" s="296"/>
      <c r="CL173"/>
      <c r="CM173"/>
      <c r="CN173"/>
      <c r="CO173"/>
      <c r="CP173"/>
      <c r="CQ173"/>
    </row>
    <row r="174" spans="1:95" s="2" customFormat="1">
      <c r="A174" s="1523"/>
      <c r="C174" s="37" t="s">
        <v>263</v>
      </c>
      <c r="E174" s="459">
        <v>80</v>
      </c>
      <c r="F174" s="460">
        <v>80</v>
      </c>
      <c r="G174" s="460">
        <v>80</v>
      </c>
      <c r="H174" s="461">
        <v>80</v>
      </c>
      <c r="I174" s="463">
        <f t="shared" si="204"/>
        <v>80</v>
      </c>
      <c r="J174" s="459">
        <v>0</v>
      </c>
      <c r="K174" s="460">
        <v>0</v>
      </c>
      <c r="L174" s="460">
        <v>0</v>
      </c>
      <c r="M174" s="461">
        <v>0</v>
      </c>
      <c r="N174" s="463">
        <f t="shared" si="205"/>
        <v>0</v>
      </c>
      <c r="O174" s="459">
        <v>0</v>
      </c>
      <c r="P174" s="460">
        <v>0</v>
      </c>
      <c r="Q174" s="460">
        <v>0</v>
      </c>
      <c r="R174" s="461">
        <v>0</v>
      </c>
      <c r="S174" s="463">
        <f t="shared" si="206"/>
        <v>0</v>
      </c>
      <c r="T174" s="459">
        <v>0</v>
      </c>
      <c r="U174" s="460">
        <v>0</v>
      </c>
      <c r="V174" s="460">
        <v>0</v>
      </c>
      <c r="W174" s="461">
        <v>0</v>
      </c>
      <c r="X174" s="77">
        <f t="shared" si="207"/>
        <v>0</v>
      </c>
      <c r="Y174" s="459">
        <v>0</v>
      </c>
      <c r="Z174" s="460">
        <v>0</v>
      </c>
      <c r="AA174" s="460">
        <v>0</v>
      </c>
      <c r="AB174" s="461">
        <v>0</v>
      </c>
      <c r="AC174" s="77">
        <f t="shared" si="208"/>
        <v>0</v>
      </c>
      <c r="AD174" s="459">
        <v>0</v>
      </c>
      <c r="AE174" s="460">
        <v>0</v>
      </c>
      <c r="AF174" s="460">
        <v>0</v>
      </c>
      <c r="AG174" s="461">
        <v>0</v>
      </c>
      <c r="AH174" s="77">
        <f t="shared" si="209"/>
        <v>0</v>
      </c>
      <c r="AI174" s="459">
        <v>0</v>
      </c>
      <c r="AJ174" s="460">
        <v>0</v>
      </c>
      <c r="AK174" s="460">
        <v>0</v>
      </c>
      <c r="AL174" s="461">
        <v>0</v>
      </c>
      <c r="AM174" s="77">
        <f t="shared" si="210"/>
        <v>0</v>
      </c>
      <c r="AN174" s="459">
        <v>0</v>
      </c>
      <c r="AO174" s="460">
        <v>0</v>
      </c>
      <c r="AP174" s="460">
        <f>+AO174+AP125</f>
        <v>0</v>
      </c>
      <c r="AQ174" s="461">
        <v>0</v>
      </c>
      <c r="AR174" s="77">
        <f t="shared" si="211"/>
        <v>0</v>
      </c>
      <c r="AS174" s="459">
        <v>0</v>
      </c>
      <c r="AT174" s="460">
        <v>0</v>
      </c>
      <c r="AU174" s="460">
        <v>0</v>
      </c>
      <c r="AV174" s="461">
        <v>0</v>
      </c>
      <c r="AW174" s="77">
        <f t="shared" si="212"/>
        <v>0</v>
      </c>
      <c r="AX174" s="509">
        <f>+AW174+AX125</f>
        <v>0</v>
      </c>
      <c r="AY174" s="480">
        <f>+AX174+AY125</f>
        <v>0</v>
      </c>
      <c r="AZ174" s="480">
        <f>+AY174+AZ125</f>
        <v>0</v>
      </c>
      <c r="BA174" s="481">
        <f>+AZ174+BA125</f>
        <v>0</v>
      </c>
      <c r="BB174" s="463">
        <f>BA174</f>
        <v>0</v>
      </c>
      <c r="BC174" s="509">
        <f>+BB174+BC125</f>
        <v>0</v>
      </c>
      <c r="BD174" s="480">
        <f>+BC174+BD125</f>
        <v>0</v>
      </c>
      <c r="BE174" s="480">
        <f>+BD174+BE125</f>
        <v>0</v>
      </c>
      <c r="BF174" s="481">
        <f>+BE174+BF125</f>
        <v>0</v>
      </c>
      <c r="BG174" s="463">
        <f>BF174</f>
        <v>0</v>
      </c>
      <c r="BH174" s="509">
        <f>+BG174+BH125</f>
        <v>0</v>
      </c>
      <c r="BI174" s="480">
        <f>+BH174+BI125</f>
        <v>0</v>
      </c>
      <c r="BJ174" s="480">
        <f>+BI174+BJ125</f>
        <v>0</v>
      </c>
      <c r="BK174" s="481">
        <f>+BJ174+BK125</f>
        <v>0</v>
      </c>
      <c r="BL174" s="463">
        <f>BK174</f>
        <v>0</v>
      </c>
      <c r="BM174" s="509">
        <f>+BL174+BM125</f>
        <v>0</v>
      </c>
      <c r="BN174" s="480">
        <f>+BM174+BN125</f>
        <v>0</v>
      </c>
      <c r="BO174" s="480">
        <f>+BN174+BO125</f>
        <v>0</v>
      </c>
      <c r="BP174" s="481">
        <f>+BO174+BP125</f>
        <v>0</v>
      </c>
      <c r="BQ174" s="463">
        <f>BP174</f>
        <v>0</v>
      </c>
      <c r="BR174" s="296"/>
      <c r="BS174" s="296"/>
      <c r="BT174" s="296"/>
      <c r="BU174" s="296"/>
      <c r="CL174"/>
      <c r="CM174"/>
      <c r="CN174"/>
      <c r="CO174"/>
      <c r="CP174"/>
      <c r="CQ174"/>
    </row>
    <row r="175" spans="1:95" s="2" customFormat="1">
      <c r="A175" s="1523"/>
      <c r="C175" s="37" t="s">
        <v>334</v>
      </c>
      <c r="E175" s="459">
        <v>4764</v>
      </c>
      <c r="F175" s="460">
        <v>4772</v>
      </c>
      <c r="G175" s="460">
        <v>4780</v>
      </c>
      <c r="H175" s="461">
        <v>4788</v>
      </c>
      <c r="I175" s="463">
        <f t="shared" si="204"/>
        <v>4788</v>
      </c>
      <c r="J175" s="459">
        <v>4793</v>
      </c>
      <c r="K175" s="460">
        <v>4786</v>
      </c>
      <c r="L175" s="460">
        <v>4796</v>
      </c>
      <c r="M175" s="461">
        <v>4807</v>
      </c>
      <c r="N175" s="463">
        <f t="shared" si="205"/>
        <v>4807</v>
      </c>
      <c r="O175" s="459">
        <v>4813</v>
      </c>
      <c r="P175" s="460">
        <v>4812</v>
      </c>
      <c r="Q175" s="460">
        <v>4818</v>
      </c>
      <c r="R175" s="461">
        <v>4823</v>
      </c>
      <c r="S175" s="463">
        <f t="shared" si="206"/>
        <v>4823</v>
      </c>
      <c r="T175" s="459">
        <v>4823</v>
      </c>
      <c r="U175" s="460">
        <v>4829</v>
      </c>
      <c r="V175" s="460">
        <v>4836</v>
      </c>
      <c r="W175" s="461">
        <v>4833</v>
      </c>
      <c r="X175" s="77">
        <f t="shared" si="207"/>
        <v>4833</v>
      </c>
      <c r="Y175" s="459">
        <v>4833</v>
      </c>
      <c r="Z175" s="460">
        <v>4842</v>
      </c>
      <c r="AA175" s="460">
        <v>4852</v>
      </c>
      <c r="AB175" s="461">
        <v>4861</v>
      </c>
      <c r="AC175" s="77">
        <f t="shared" si="208"/>
        <v>4861</v>
      </c>
      <c r="AD175" s="459">
        <v>4856</v>
      </c>
      <c r="AE175" s="460">
        <v>4865</v>
      </c>
      <c r="AF175" s="460">
        <v>4873</v>
      </c>
      <c r="AG175" s="461">
        <v>4876</v>
      </c>
      <c r="AH175" s="77">
        <f t="shared" si="209"/>
        <v>4876</v>
      </c>
      <c r="AI175" s="459">
        <v>4873</v>
      </c>
      <c r="AJ175" s="460">
        <v>4883</v>
      </c>
      <c r="AK175" s="460">
        <v>4894</v>
      </c>
      <c r="AL175" s="461">
        <v>4915</v>
      </c>
      <c r="AM175" s="77">
        <f t="shared" si="210"/>
        <v>4915</v>
      </c>
      <c r="AN175" s="459">
        <v>4908</v>
      </c>
      <c r="AO175" s="460">
        <v>4919</v>
      </c>
      <c r="AP175" s="460">
        <v>4928</v>
      </c>
      <c r="AQ175" s="461">
        <v>4936</v>
      </c>
      <c r="AR175" s="77">
        <f t="shared" si="211"/>
        <v>4936</v>
      </c>
      <c r="AS175" s="459">
        <v>4920</v>
      </c>
      <c r="AT175" s="460">
        <v>4929</v>
      </c>
      <c r="AU175" s="460">
        <v>4938</v>
      </c>
      <c r="AV175" s="461">
        <v>4961</v>
      </c>
      <c r="AW175" s="77">
        <f t="shared" si="212"/>
        <v>4961</v>
      </c>
      <c r="AX175" s="509">
        <f t="shared" ref="AX175:BC175" si="215">+AW175</f>
        <v>4961</v>
      </c>
      <c r="AY175" s="480">
        <f t="shared" si="215"/>
        <v>4961</v>
      </c>
      <c r="AZ175" s="480">
        <f t="shared" si="215"/>
        <v>4961</v>
      </c>
      <c r="BA175" s="481">
        <f t="shared" si="215"/>
        <v>4961</v>
      </c>
      <c r="BB175" s="463">
        <f t="shared" si="215"/>
        <v>4961</v>
      </c>
      <c r="BC175" s="509">
        <f t="shared" si="215"/>
        <v>4961</v>
      </c>
      <c r="BD175" s="480">
        <f t="shared" ref="BD175:BL175" si="216">+BC175</f>
        <v>4961</v>
      </c>
      <c r="BE175" s="480">
        <f t="shared" si="216"/>
        <v>4961</v>
      </c>
      <c r="BF175" s="481">
        <f t="shared" si="216"/>
        <v>4961</v>
      </c>
      <c r="BG175" s="463">
        <f t="shared" si="216"/>
        <v>4961</v>
      </c>
      <c r="BH175" s="509">
        <f t="shared" si="216"/>
        <v>4961</v>
      </c>
      <c r="BI175" s="480">
        <f t="shared" si="216"/>
        <v>4961</v>
      </c>
      <c r="BJ175" s="480">
        <f t="shared" si="216"/>
        <v>4961</v>
      </c>
      <c r="BK175" s="481">
        <f t="shared" si="216"/>
        <v>4961</v>
      </c>
      <c r="BL175" s="463">
        <f t="shared" si="216"/>
        <v>4961</v>
      </c>
      <c r="BM175" s="509">
        <f>+BL175</f>
        <v>4961</v>
      </c>
      <c r="BN175" s="480">
        <f>+BM175</f>
        <v>4961</v>
      </c>
      <c r="BO175" s="480">
        <f>+BN175</f>
        <v>4961</v>
      </c>
      <c r="BP175" s="481">
        <f>+BO175</f>
        <v>4961</v>
      </c>
      <c r="BQ175" s="463">
        <f>+BP175</f>
        <v>4961</v>
      </c>
      <c r="BR175" s="296"/>
      <c r="BS175" s="296"/>
      <c r="BT175" s="296"/>
      <c r="BU175" s="296"/>
      <c r="CL175"/>
      <c r="CM175"/>
      <c r="CN175"/>
      <c r="CO175"/>
      <c r="CP175"/>
      <c r="CQ175"/>
    </row>
    <row r="176" spans="1:95" s="2" customFormat="1">
      <c r="A176" s="1523"/>
      <c r="C176" s="37" t="s">
        <v>594</v>
      </c>
      <c r="E176" s="459">
        <v>4049</v>
      </c>
      <c r="F176" s="460">
        <v>4204</v>
      </c>
      <c r="G176" s="460">
        <v>4523</v>
      </c>
      <c r="H176" s="461">
        <v>4704</v>
      </c>
      <c r="I176" s="463">
        <f t="shared" si="204"/>
        <v>4704</v>
      </c>
      <c r="J176" s="459">
        <v>5022</v>
      </c>
      <c r="K176" s="460">
        <v>5072</v>
      </c>
      <c r="L176" s="460">
        <v>5466</v>
      </c>
      <c r="M176" s="461">
        <v>5575</v>
      </c>
      <c r="N176" s="463">
        <f t="shared" si="205"/>
        <v>5575</v>
      </c>
      <c r="O176" s="459">
        <v>5928</v>
      </c>
      <c r="P176" s="460">
        <v>6077</v>
      </c>
      <c r="Q176" s="460">
        <v>6198</v>
      </c>
      <c r="R176" s="461">
        <v>6385</v>
      </c>
      <c r="S176" s="463">
        <f t="shared" si="206"/>
        <v>6385</v>
      </c>
      <c r="T176" s="459">
        <v>6699</v>
      </c>
      <c r="U176" s="460">
        <v>6730</v>
      </c>
      <c r="V176" s="460">
        <v>6898</v>
      </c>
      <c r="W176" s="461">
        <v>6942</v>
      </c>
      <c r="X176" s="77">
        <f t="shared" si="207"/>
        <v>6942</v>
      </c>
      <c r="Y176" s="459">
        <v>7080</v>
      </c>
      <c r="Z176" s="460">
        <v>7231</v>
      </c>
      <c r="AA176" s="460">
        <v>7439</v>
      </c>
      <c r="AB176" s="461">
        <v>7457</v>
      </c>
      <c r="AC176" s="77">
        <f t="shared" si="208"/>
        <v>7457</v>
      </c>
      <c r="AD176" s="459">
        <v>7656</v>
      </c>
      <c r="AE176" s="460">
        <v>7681</v>
      </c>
      <c r="AF176" s="460">
        <v>7938</v>
      </c>
      <c r="AG176" s="461">
        <v>8227</v>
      </c>
      <c r="AH176" s="77">
        <f t="shared" si="209"/>
        <v>8227</v>
      </c>
      <c r="AI176" s="459">
        <v>8616</v>
      </c>
      <c r="AJ176" s="460">
        <v>8764</v>
      </c>
      <c r="AK176" s="460">
        <v>9005</v>
      </c>
      <c r="AL176" s="461">
        <v>9117</v>
      </c>
      <c r="AM176" s="77">
        <f t="shared" si="210"/>
        <v>9117</v>
      </c>
      <c r="AN176" s="459">
        <v>9381</v>
      </c>
      <c r="AO176" s="460">
        <v>9360</v>
      </c>
      <c r="AP176" s="460">
        <v>9480</v>
      </c>
      <c r="AQ176" s="461">
        <v>9174</v>
      </c>
      <c r="AR176" s="77">
        <f t="shared" si="211"/>
        <v>9174</v>
      </c>
      <c r="AS176" s="459">
        <v>9070</v>
      </c>
      <c r="AT176" s="460">
        <v>8962</v>
      </c>
      <c r="AU176" s="460">
        <v>9140</v>
      </c>
      <c r="AV176" s="461">
        <v>9878</v>
      </c>
      <c r="AW176" s="77">
        <f t="shared" si="212"/>
        <v>9878</v>
      </c>
      <c r="AX176" s="509">
        <f>+AW176+AX40+AX127</f>
        <v>10179.809711012796</v>
      </c>
      <c r="AY176" s="480">
        <f>+AX176+AY40+AY127</f>
        <v>10281.051197262603</v>
      </c>
      <c r="AZ176" s="480">
        <f>+AY176+AZ40+AZ127</f>
        <v>10520.408077850538</v>
      </c>
      <c r="BA176" s="481">
        <f>+AZ176+BA40+BA127</f>
        <v>10574.233111369636</v>
      </c>
      <c r="BB176" s="463">
        <f>+BA176</f>
        <v>10574.233111369636</v>
      </c>
      <c r="BC176" s="509">
        <f>+BB176+BC40+BC127</f>
        <v>10930.211823578145</v>
      </c>
      <c r="BD176" s="480">
        <f>+BC176+BD40+BD127</f>
        <v>11105.963383520082</v>
      </c>
      <c r="BE176" s="480">
        <f>+BD176+BE40+BE127</f>
        <v>11245.295925602086</v>
      </c>
      <c r="BF176" s="481">
        <f>+BE176+BF40+BF127</f>
        <v>11253.833313699201</v>
      </c>
      <c r="BG176" s="463">
        <f>+BF176</f>
        <v>11253.833313699201</v>
      </c>
      <c r="BH176" s="509">
        <f>+BG176+BH40+BH127</f>
        <v>11610.509333386746</v>
      </c>
      <c r="BI176" s="480">
        <f>+BH176+BI40+BI127</f>
        <v>11743.932831166261</v>
      </c>
      <c r="BJ176" s="480">
        <f>+BI176+BJ40+BJ127</f>
        <v>11901.717609074789</v>
      </c>
      <c r="BK176" s="481">
        <f>+BJ176+BK40+BK127</f>
        <v>11952.183483936278</v>
      </c>
      <c r="BL176" s="463">
        <f>+BK176</f>
        <v>11952.183483936278</v>
      </c>
      <c r="BM176" s="509">
        <f>+BL176+BM40+BM127</f>
        <v>12315.02256149919</v>
      </c>
      <c r="BN176" s="480">
        <f>+BM176+BN40+BN127</f>
        <v>12497.712353026114</v>
      </c>
      <c r="BO176" s="480">
        <f>+BN176+BO40+BO127</f>
        <v>12679.164785207069</v>
      </c>
      <c r="BP176" s="481">
        <f>+BO176+BP40+BP127</f>
        <v>12802.911496064364</v>
      </c>
      <c r="BQ176" s="463">
        <f>+BP176</f>
        <v>12802.911496064364</v>
      </c>
      <c r="BR176" s="296"/>
      <c r="BS176" s="296"/>
      <c r="BT176" s="296"/>
      <c r="BU176" s="296"/>
      <c r="CL176"/>
      <c r="CM176"/>
      <c r="CN176"/>
      <c r="CO176"/>
      <c r="CP176"/>
      <c r="CQ176"/>
    </row>
    <row r="177" spans="1:95" s="2" customFormat="1">
      <c r="A177" s="1523"/>
      <c r="C177" s="37" t="s">
        <v>335</v>
      </c>
      <c r="E177" s="459">
        <v>-583</v>
      </c>
      <c r="F177" s="460">
        <v>-587</v>
      </c>
      <c r="G177" s="460">
        <v>-587</v>
      </c>
      <c r="H177" s="461">
        <v>-588</v>
      </c>
      <c r="I177" s="463">
        <f t="shared" si="204"/>
        <v>-588</v>
      </c>
      <c r="J177" s="459">
        <v>-590</v>
      </c>
      <c r="K177" s="460">
        <v>-593</v>
      </c>
      <c r="L177" s="460">
        <v>-594</v>
      </c>
      <c r="M177" s="461">
        <v>-593</v>
      </c>
      <c r="N177" s="463">
        <f t="shared" si="205"/>
        <v>-593</v>
      </c>
      <c r="O177" s="459">
        <v>-597</v>
      </c>
      <c r="P177" s="460">
        <v>-601</v>
      </c>
      <c r="Q177" s="460">
        <v>-601</v>
      </c>
      <c r="R177" s="461">
        <v>-601</v>
      </c>
      <c r="S177" s="463">
        <f t="shared" si="206"/>
        <v>-601</v>
      </c>
      <c r="T177" s="459">
        <v>-605</v>
      </c>
      <c r="U177" s="460">
        <v>-605</v>
      </c>
      <c r="V177" s="460">
        <v>-606</v>
      </c>
      <c r="W177" s="461">
        <v>-607</v>
      </c>
      <c r="X177" s="77">
        <f t="shared" si="207"/>
        <v>-607</v>
      </c>
      <c r="Y177" s="459">
        <v>-612</v>
      </c>
      <c r="Z177" s="460">
        <v>-615</v>
      </c>
      <c r="AA177" s="460">
        <v>-615</v>
      </c>
      <c r="AB177" s="461">
        <v>-615</v>
      </c>
      <c r="AC177" s="77">
        <f t="shared" si="208"/>
        <v>-615</v>
      </c>
      <c r="AD177" s="459">
        <v>-626</v>
      </c>
      <c r="AE177" s="460">
        <v>-630</v>
      </c>
      <c r="AF177" s="460">
        <v>-629</v>
      </c>
      <c r="AG177" s="461">
        <v>-635</v>
      </c>
      <c r="AH177" s="77">
        <f t="shared" si="209"/>
        <v>-635</v>
      </c>
      <c r="AI177" s="459">
        <v>-662</v>
      </c>
      <c r="AJ177" s="460">
        <v>-663</v>
      </c>
      <c r="AK177" s="460">
        <v>-667</v>
      </c>
      <c r="AL177" s="461">
        <v>-671</v>
      </c>
      <c r="AM177" s="77">
        <f t="shared" si="210"/>
        <v>-671</v>
      </c>
      <c r="AN177" s="459">
        <v>-702</v>
      </c>
      <c r="AO177" s="460">
        <v>-709</v>
      </c>
      <c r="AP177" s="460">
        <v>-714</v>
      </c>
      <c r="AQ177" s="461">
        <v>-717</v>
      </c>
      <c r="AR177" s="77">
        <f t="shared" si="211"/>
        <v>-717</v>
      </c>
      <c r="AS177" s="459">
        <v>-743</v>
      </c>
      <c r="AT177" s="460">
        <v>-747</v>
      </c>
      <c r="AU177" s="460">
        <v>-750</v>
      </c>
      <c r="AV177" s="461">
        <v>-763</v>
      </c>
      <c r="AW177" s="77">
        <f t="shared" si="212"/>
        <v>-763</v>
      </c>
      <c r="AX177" s="509">
        <f>+AW177+AX126</f>
        <v>-763</v>
      </c>
      <c r="AY177" s="480">
        <f>+AX177+AY126</f>
        <v>-763</v>
      </c>
      <c r="AZ177" s="480">
        <f>+AY177+AZ126</f>
        <v>-763</v>
      </c>
      <c r="BA177" s="481">
        <f>+AZ177+BA126</f>
        <v>-763</v>
      </c>
      <c r="BB177" s="463">
        <f>BA177</f>
        <v>-763</v>
      </c>
      <c r="BC177" s="509">
        <f>+BB177+BC126</f>
        <v>-763</v>
      </c>
      <c r="BD177" s="480">
        <f>+BC177+BD126</f>
        <v>-763</v>
      </c>
      <c r="BE177" s="480">
        <f>+BD177+BE126</f>
        <v>-763</v>
      </c>
      <c r="BF177" s="481">
        <f>+BE177+BF126</f>
        <v>-763</v>
      </c>
      <c r="BG177" s="463">
        <f>BF177</f>
        <v>-763</v>
      </c>
      <c r="BH177" s="509">
        <f>+BG177+BH126</f>
        <v>-763</v>
      </c>
      <c r="BI177" s="480">
        <f>+BH177+BI126</f>
        <v>-763</v>
      </c>
      <c r="BJ177" s="480">
        <f>+BI177+BJ126</f>
        <v>-763</v>
      </c>
      <c r="BK177" s="481">
        <f>+BJ177+BK126</f>
        <v>-763</v>
      </c>
      <c r="BL177" s="463">
        <f>BK177</f>
        <v>-763</v>
      </c>
      <c r="BM177" s="509">
        <f>+BL177+BM126</f>
        <v>-763</v>
      </c>
      <c r="BN177" s="480">
        <f>+BM177+BN126</f>
        <v>-763</v>
      </c>
      <c r="BO177" s="480">
        <f>+BN177+BO126</f>
        <v>-763</v>
      </c>
      <c r="BP177" s="481">
        <f>+BO177+BP126</f>
        <v>-763</v>
      </c>
      <c r="BQ177" s="463">
        <f>BP177</f>
        <v>-763</v>
      </c>
      <c r="BR177" s="296"/>
      <c r="BS177" s="296"/>
      <c r="BT177" s="296"/>
      <c r="BU177" s="296"/>
      <c r="CL177"/>
      <c r="CM177"/>
      <c r="CN177"/>
      <c r="CO177"/>
      <c r="CP177"/>
      <c r="CQ177"/>
    </row>
    <row r="178" spans="1:95" s="2" customFormat="1">
      <c r="A178" s="1523"/>
      <c r="C178" s="37" t="s">
        <v>71</v>
      </c>
      <c r="E178" s="459">
        <v>-31</v>
      </c>
      <c r="F178" s="460">
        <v>0</v>
      </c>
      <c r="G178" s="460">
        <v>-31</v>
      </c>
      <c r="H178" s="461">
        <v>-116</v>
      </c>
      <c r="I178" s="463">
        <f t="shared" si="204"/>
        <v>-116</v>
      </c>
      <c r="J178" s="459">
        <v>-24</v>
      </c>
      <c r="K178" s="460">
        <v>-139</v>
      </c>
      <c r="L178" s="460">
        <v>-111</v>
      </c>
      <c r="M178" s="461">
        <v>-156</v>
      </c>
      <c r="N178" s="463">
        <f t="shared" si="205"/>
        <v>-156</v>
      </c>
      <c r="O178" s="459">
        <v>-187</v>
      </c>
      <c r="P178" s="460">
        <v>-179</v>
      </c>
      <c r="Q178" s="460">
        <v>-256</v>
      </c>
      <c r="R178" s="461">
        <v>-337</v>
      </c>
      <c r="S178" s="463">
        <f t="shared" si="206"/>
        <v>-337</v>
      </c>
      <c r="T178" s="459">
        <v>-293</v>
      </c>
      <c r="U178" s="460">
        <v>-310</v>
      </c>
      <c r="V178" s="460">
        <v>-322</v>
      </c>
      <c r="W178" s="461">
        <v>-388</v>
      </c>
      <c r="X178" s="77">
        <f t="shared" si="207"/>
        <v>-388</v>
      </c>
      <c r="Y178" s="459">
        <v>-355</v>
      </c>
      <c r="Z178" s="460">
        <v>-362</v>
      </c>
      <c r="AA178" s="460">
        <v>-338</v>
      </c>
      <c r="AB178" s="461">
        <v>-95</v>
      </c>
      <c r="AC178" s="77">
        <f t="shared" si="208"/>
        <v>-95</v>
      </c>
      <c r="AD178" s="459">
        <v>-87</v>
      </c>
      <c r="AE178" s="460">
        <v>-73</v>
      </c>
      <c r="AF178" s="460">
        <v>-99</v>
      </c>
      <c r="AG178" s="461">
        <v>-283</v>
      </c>
      <c r="AH178" s="77">
        <f t="shared" si="209"/>
        <v>-283</v>
      </c>
      <c r="AI178" s="459">
        <v>-270</v>
      </c>
      <c r="AJ178" s="460">
        <v>-277</v>
      </c>
      <c r="AK178" s="460">
        <v>-299</v>
      </c>
      <c r="AL178" s="461">
        <v>-295</v>
      </c>
      <c r="AM178" s="77">
        <f t="shared" si="210"/>
        <v>-295</v>
      </c>
      <c r="AN178" s="459">
        <v>-269</v>
      </c>
      <c r="AO178" s="460">
        <v>-252</v>
      </c>
      <c r="AP178" s="460">
        <v>-218</v>
      </c>
      <c r="AQ178" s="461">
        <v>-263</v>
      </c>
      <c r="AR178" s="77">
        <f t="shared" si="211"/>
        <v>-263</v>
      </c>
      <c r="AS178" s="459">
        <v>-242</v>
      </c>
      <c r="AT178" s="460">
        <v>-226</v>
      </c>
      <c r="AU178" s="460">
        <v>-204</v>
      </c>
      <c r="AV178" s="461">
        <v>-229</v>
      </c>
      <c r="AW178" s="77">
        <f t="shared" si="212"/>
        <v>-229</v>
      </c>
      <c r="AX178" s="509">
        <f>AW178</f>
        <v>-229</v>
      </c>
      <c r="AY178" s="480">
        <f>AX178</f>
        <v>-229</v>
      </c>
      <c r="AZ178" s="480">
        <f>AY178</f>
        <v>-229</v>
      </c>
      <c r="BA178" s="481">
        <f>AZ178</f>
        <v>-229</v>
      </c>
      <c r="BB178" s="463">
        <f>BA178</f>
        <v>-229</v>
      </c>
      <c r="BC178" s="509">
        <f>BB178</f>
        <v>-229</v>
      </c>
      <c r="BD178" s="480">
        <f>BC178</f>
        <v>-229</v>
      </c>
      <c r="BE178" s="480">
        <f>BD178</f>
        <v>-229</v>
      </c>
      <c r="BF178" s="481">
        <f>BE178</f>
        <v>-229</v>
      </c>
      <c r="BG178" s="463">
        <f>BF178</f>
        <v>-229</v>
      </c>
      <c r="BH178" s="509">
        <f>BG178</f>
        <v>-229</v>
      </c>
      <c r="BI178" s="480">
        <f>BH178</f>
        <v>-229</v>
      </c>
      <c r="BJ178" s="480">
        <f>BI178</f>
        <v>-229</v>
      </c>
      <c r="BK178" s="481">
        <f>BJ178</f>
        <v>-229</v>
      </c>
      <c r="BL178" s="463">
        <f>BK178</f>
        <v>-229</v>
      </c>
      <c r="BM178" s="509">
        <f>BL178</f>
        <v>-229</v>
      </c>
      <c r="BN178" s="480">
        <f>BM178</f>
        <v>-229</v>
      </c>
      <c r="BO178" s="480">
        <f>BN178</f>
        <v>-229</v>
      </c>
      <c r="BP178" s="481">
        <f>BO178</f>
        <v>-229</v>
      </c>
      <c r="BQ178" s="463">
        <f>BP178</f>
        <v>-229</v>
      </c>
      <c r="BR178" s="296"/>
      <c r="BS178" s="296"/>
      <c r="BT178" s="296"/>
      <c r="BU178" s="296"/>
      <c r="CL178"/>
      <c r="CM178"/>
      <c r="CN178"/>
      <c r="CO178"/>
      <c r="CP178"/>
      <c r="CQ178"/>
    </row>
    <row r="179" spans="1:95" s="2" customFormat="1">
      <c r="A179" s="1523"/>
      <c r="C179" s="49" t="s">
        <v>264</v>
      </c>
      <c r="E179" s="477">
        <f t="shared" ref="E179:AR179" si="217">SUM(E175:E178)</f>
        <v>8199</v>
      </c>
      <c r="F179" s="478">
        <f t="shared" si="217"/>
        <v>8389</v>
      </c>
      <c r="G179" s="478">
        <f t="shared" si="217"/>
        <v>8685</v>
      </c>
      <c r="H179" s="479">
        <f t="shared" si="217"/>
        <v>8788</v>
      </c>
      <c r="I179" s="464">
        <f t="shared" si="217"/>
        <v>8788</v>
      </c>
      <c r="J179" s="477">
        <f t="shared" si="217"/>
        <v>9201</v>
      </c>
      <c r="K179" s="478">
        <f t="shared" si="217"/>
        <v>9126</v>
      </c>
      <c r="L179" s="478">
        <f t="shared" si="217"/>
        <v>9557</v>
      </c>
      <c r="M179" s="479">
        <f t="shared" si="217"/>
        <v>9633</v>
      </c>
      <c r="N179" s="464">
        <f t="shared" si="217"/>
        <v>9633</v>
      </c>
      <c r="O179" s="477">
        <f t="shared" si="217"/>
        <v>9957</v>
      </c>
      <c r="P179" s="478">
        <f t="shared" si="217"/>
        <v>10109</v>
      </c>
      <c r="Q179" s="478">
        <f t="shared" si="217"/>
        <v>10159</v>
      </c>
      <c r="R179" s="479">
        <f t="shared" si="217"/>
        <v>10270</v>
      </c>
      <c r="S179" s="464">
        <f t="shared" si="217"/>
        <v>10270</v>
      </c>
      <c r="T179" s="477">
        <f t="shared" si="217"/>
        <v>10624</v>
      </c>
      <c r="U179" s="478">
        <f t="shared" si="217"/>
        <v>10644</v>
      </c>
      <c r="V179" s="478">
        <f t="shared" si="217"/>
        <v>10806</v>
      </c>
      <c r="W179" s="479">
        <f t="shared" si="217"/>
        <v>10780</v>
      </c>
      <c r="X179" s="297">
        <f t="shared" si="217"/>
        <v>10780</v>
      </c>
      <c r="Y179" s="477">
        <f t="shared" si="217"/>
        <v>10946</v>
      </c>
      <c r="Z179" s="478">
        <f t="shared" si="217"/>
        <v>11096</v>
      </c>
      <c r="AA179" s="478">
        <f t="shared" si="217"/>
        <v>11338</v>
      </c>
      <c r="AB179" s="479">
        <f t="shared" ref="AB179:AI179" si="218">SUM(AB175:AB178)</f>
        <v>11608</v>
      </c>
      <c r="AC179" s="297">
        <f t="shared" si="218"/>
        <v>11608</v>
      </c>
      <c r="AD179" s="477">
        <f t="shared" si="218"/>
        <v>11799</v>
      </c>
      <c r="AE179" s="478">
        <f t="shared" si="218"/>
        <v>11843</v>
      </c>
      <c r="AF179" s="478">
        <f t="shared" si="218"/>
        <v>12083</v>
      </c>
      <c r="AG179" s="479">
        <f t="shared" si="218"/>
        <v>12185</v>
      </c>
      <c r="AH179" s="297">
        <f t="shared" si="218"/>
        <v>12185</v>
      </c>
      <c r="AI179" s="477">
        <f t="shared" si="218"/>
        <v>12557</v>
      </c>
      <c r="AJ179" s="478">
        <f t="shared" ref="AJ179:AO179" si="219">SUM(AJ175:AJ178)</f>
        <v>12707</v>
      </c>
      <c r="AK179" s="478">
        <f t="shared" si="219"/>
        <v>12933</v>
      </c>
      <c r="AL179" s="479">
        <f t="shared" si="219"/>
        <v>13066</v>
      </c>
      <c r="AM179" s="297">
        <f t="shared" si="219"/>
        <v>13066</v>
      </c>
      <c r="AN179" s="477">
        <f t="shared" si="219"/>
        <v>13318</v>
      </c>
      <c r="AO179" s="478">
        <f t="shared" si="219"/>
        <v>13318</v>
      </c>
      <c r="AP179" s="478">
        <f t="shared" si="217"/>
        <v>13476</v>
      </c>
      <c r="AQ179" s="479">
        <f t="shared" si="217"/>
        <v>13130</v>
      </c>
      <c r="AR179" s="297">
        <f t="shared" si="217"/>
        <v>13130</v>
      </c>
      <c r="AS179" s="477">
        <f t="shared" ref="AS179:BB179" si="220">SUM(AS175:AS178)</f>
        <v>13005</v>
      </c>
      <c r="AT179" s="478">
        <f t="shared" si="220"/>
        <v>12918</v>
      </c>
      <c r="AU179" s="478">
        <f t="shared" si="220"/>
        <v>13124</v>
      </c>
      <c r="AV179" s="479">
        <f t="shared" si="220"/>
        <v>13847</v>
      </c>
      <c r="AW179" s="297">
        <f t="shared" si="220"/>
        <v>13847</v>
      </c>
      <c r="AX179" s="477">
        <f t="shared" si="220"/>
        <v>14148.809711012796</v>
      </c>
      <c r="AY179" s="478">
        <f t="shared" si="220"/>
        <v>14250.051197262603</v>
      </c>
      <c r="AZ179" s="478">
        <f t="shared" si="220"/>
        <v>14489.408077850538</v>
      </c>
      <c r="BA179" s="479">
        <f t="shared" si="220"/>
        <v>14543.233111369636</v>
      </c>
      <c r="BB179" s="464">
        <f t="shared" si="220"/>
        <v>14543.233111369636</v>
      </c>
      <c r="BC179" s="477">
        <f t="shared" ref="BC179:BL179" si="221">SUM(BC175:BC178)</f>
        <v>14899.211823578145</v>
      </c>
      <c r="BD179" s="478">
        <f t="shared" si="221"/>
        <v>15074.963383520082</v>
      </c>
      <c r="BE179" s="478">
        <f t="shared" si="221"/>
        <v>15214.295925602086</v>
      </c>
      <c r="BF179" s="479">
        <f t="shared" si="221"/>
        <v>15222.833313699201</v>
      </c>
      <c r="BG179" s="464">
        <f t="shared" si="221"/>
        <v>15222.833313699201</v>
      </c>
      <c r="BH179" s="477">
        <f t="shared" si="221"/>
        <v>15579.509333386748</v>
      </c>
      <c r="BI179" s="478">
        <f t="shared" si="221"/>
        <v>15712.932831166261</v>
      </c>
      <c r="BJ179" s="478">
        <f t="shared" si="221"/>
        <v>15870.717609074789</v>
      </c>
      <c r="BK179" s="479">
        <f t="shared" si="221"/>
        <v>15921.183483936278</v>
      </c>
      <c r="BL179" s="464">
        <f t="shared" si="221"/>
        <v>15921.183483936278</v>
      </c>
      <c r="BM179" s="477">
        <f>SUM(BM175:BM178)</f>
        <v>16284.02256149919</v>
      </c>
      <c r="BN179" s="478">
        <f>SUM(BN175:BN178)</f>
        <v>16466.712353026116</v>
      </c>
      <c r="BO179" s="478">
        <f>SUM(BO175:BO178)</f>
        <v>16648.164785207067</v>
      </c>
      <c r="BP179" s="479">
        <f>SUM(BP175:BP178)</f>
        <v>16771.911496064364</v>
      </c>
      <c r="BQ179" s="464">
        <f>SUM(BQ175:BQ178)</f>
        <v>16771.911496064364</v>
      </c>
      <c r="BR179" s="296"/>
      <c r="BS179" s="296"/>
      <c r="BT179" s="296"/>
      <c r="BU179" s="296"/>
      <c r="CL179"/>
      <c r="CM179"/>
      <c r="CN179"/>
      <c r="CO179"/>
      <c r="CP179"/>
      <c r="CQ179"/>
    </row>
    <row r="180" spans="1:95" s="2" customFormat="1">
      <c r="A180" s="1523"/>
      <c r="C180" s="37"/>
      <c r="E180" s="434"/>
      <c r="F180" s="435"/>
      <c r="G180" s="435"/>
      <c r="H180" s="436"/>
      <c r="I180" s="463"/>
      <c r="J180" s="392"/>
      <c r="K180" s="341"/>
      <c r="L180" s="341"/>
      <c r="M180" s="393"/>
      <c r="N180" s="463"/>
      <c r="O180" s="392"/>
      <c r="P180" s="341"/>
      <c r="Q180" s="341"/>
      <c r="R180" s="393"/>
      <c r="S180" s="463"/>
      <c r="T180" s="392"/>
      <c r="U180" s="341"/>
      <c r="V180" s="341"/>
      <c r="W180" s="393"/>
      <c r="X180" s="77"/>
      <c r="Y180" s="392"/>
      <c r="Z180" s="341"/>
      <c r="AA180" s="341"/>
      <c r="AB180" s="393"/>
      <c r="AC180" s="77"/>
      <c r="AD180" s="392"/>
      <c r="AE180" s="341"/>
      <c r="AF180" s="341"/>
      <c r="AG180" s="393"/>
      <c r="AH180" s="77"/>
      <c r="AI180" s="392"/>
      <c r="AJ180" s="341"/>
      <c r="AK180" s="341"/>
      <c r="AL180" s="393"/>
      <c r="AM180" s="77"/>
      <c r="AN180" s="392"/>
      <c r="AO180" s="341"/>
      <c r="AP180" s="341"/>
      <c r="AQ180" s="393"/>
      <c r="AR180" s="77"/>
      <c r="AS180" s="392"/>
      <c r="AT180" s="341"/>
      <c r="AU180" s="341"/>
      <c r="AV180" s="393"/>
      <c r="AW180" s="77"/>
      <c r="AX180" s="509"/>
      <c r="AY180" s="480"/>
      <c r="AZ180" s="480"/>
      <c r="BA180" s="481"/>
      <c r="BB180" s="463"/>
      <c r="BC180" s="509"/>
      <c r="BD180" s="480"/>
      <c r="BE180" s="480"/>
      <c r="BF180" s="481"/>
      <c r="BG180" s="463"/>
      <c r="BH180" s="509"/>
      <c r="BI180" s="480"/>
      <c r="BJ180" s="480"/>
      <c r="BK180" s="481"/>
      <c r="BL180" s="463"/>
      <c r="BM180" s="509"/>
      <c r="BN180" s="480"/>
      <c r="BO180" s="480"/>
      <c r="BP180" s="481"/>
      <c r="BQ180" s="463"/>
      <c r="BR180" s="296"/>
      <c r="BS180" s="296"/>
      <c r="BT180" s="296"/>
      <c r="BU180" s="296"/>
      <c r="CL180"/>
      <c r="CM180"/>
      <c r="CN180"/>
      <c r="CO180"/>
      <c r="CP180"/>
      <c r="CQ180"/>
    </row>
    <row r="181" spans="1:95" s="2" customFormat="1">
      <c r="A181" s="1523"/>
      <c r="C181" s="49" t="s">
        <v>431</v>
      </c>
      <c r="E181" s="477">
        <f>+E179+E174+E173+E171</f>
        <v>29302</v>
      </c>
      <c r="F181" s="478">
        <f t="shared" ref="F181:O181" si="222">+F179+F174+F173+F171</f>
        <v>28760</v>
      </c>
      <c r="G181" s="478">
        <f>+G179+G174+G173+G171</f>
        <v>28434</v>
      </c>
      <c r="H181" s="479">
        <f t="shared" si="222"/>
        <v>28678</v>
      </c>
      <c r="I181" s="464">
        <f t="shared" si="222"/>
        <v>28678</v>
      </c>
      <c r="J181" s="396">
        <f t="shared" si="222"/>
        <v>28775</v>
      </c>
      <c r="K181" s="343">
        <f t="shared" si="222"/>
        <v>28742</v>
      </c>
      <c r="L181" s="343">
        <f t="shared" si="222"/>
        <v>29104</v>
      </c>
      <c r="M181" s="397">
        <f t="shared" si="222"/>
        <v>29909</v>
      </c>
      <c r="N181" s="464">
        <f t="shared" si="222"/>
        <v>29909</v>
      </c>
      <c r="O181" s="396">
        <f t="shared" si="222"/>
        <v>29370</v>
      </c>
      <c r="P181" s="343">
        <f>+P179+P174+P173+P171</f>
        <v>28789</v>
      </c>
      <c r="Q181" s="343">
        <f t="shared" ref="Q181:AC181" si="223">+Q179+Q174+Q173+Q171</f>
        <v>29911</v>
      </c>
      <c r="R181" s="397">
        <f t="shared" si="223"/>
        <v>29821</v>
      </c>
      <c r="S181" s="464">
        <f t="shared" si="223"/>
        <v>29821</v>
      </c>
      <c r="T181" s="396">
        <f t="shared" si="223"/>
        <v>30002</v>
      </c>
      <c r="U181" s="343">
        <f t="shared" si="223"/>
        <v>30142</v>
      </c>
      <c r="V181" s="343">
        <f t="shared" si="223"/>
        <v>30706</v>
      </c>
      <c r="W181" s="397">
        <f t="shared" si="223"/>
        <v>31725</v>
      </c>
      <c r="X181" s="297">
        <f t="shared" si="223"/>
        <v>31725</v>
      </c>
      <c r="Y181" s="396">
        <f t="shared" si="223"/>
        <v>31712</v>
      </c>
      <c r="Z181" s="343">
        <f t="shared" si="223"/>
        <v>32059</v>
      </c>
      <c r="AA181" s="343">
        <f t="shared" si="223"/>
        <v>32610</v>
      </c>
      <c r="AB181" s="397">
        <f t="shared" si="223"/>
        <v>32522</v>
      </c>
      <c r="AC181" s="297">
        <f t="shared" si="223"/>
        <v>32522</v>
      </c>
      <c r="AD181" s="396">
        <f t="shared" ref="AD181:AI181" si="224">+AD179+AD174+AD173+AD171</f>
        <v>33326</v>
      </c>
      <c r="AE181" s="343">
        <f t="shared" si="224"/>
        <v>33700</v>
      </c>
      <c r="AF181" s="343">
        <f t="shared" si="224"/>
        <v>34147</v>
      </c>
      <c r="AG181" s="397">
        <f t="shared" si="224"/>
        <v>35333</v>
      </c>
      <c r="AH181" s="297">
        <f t="shared" si="224"/>
        <v>35333</v>
      </c>
      <c r="AI181" s="396">
        <f t="shared" si="224"/>
        <v>35827</v>
      </c>
      <c r="AJ181" s="343">
        <f t="shared" ref="AJ181:AP181" si="225">+AJ179+AJ174+AJ173+AJ171</f>
        <v>36212</v>
      </c>
      <c r="AK181" s="343">
        <f t="shared" si="225"/>
        <v>36424</v>
      </c>
      <c r="AL181" s="397">
        <f t="shared" si="225"/>
        <v>37535</v>
      </c>
      <c r="AM181" s="297">
        <f t="shared" si="225"/>
        <v>37535</v>
      </c>
      <c r="AN181" s="396">
        <f t="shared" si="225"/>
        <v>38126</v>
      </c>
      <c r="AO181" s="343">
        <f>+AO179+AO174+AO173+AO171</f>
        <v>39045</v>
      </c>
      <c r="AP181" s="343">
        <f t="shared" si="225"/>
        <v>39488</v>
      </c>
      <c r="AQ181" s="397">
        <f t="shared" ref="AQ181:BB181" si="226">+AQ179+AQ174+AQ173+AQ171</f>
        <v>40070</v>
      </c>
      <c r="AR181" s="297">
        <f t="shared" si="226"/>
        <v>40070</v>
      </c>
      <c r="AS181" s="396">
        <f t="shared" si="226"/>
        <v>39664</v>
      </c>
      <c r="AT181" s="343">
        <f t="shared" si="226"/>
        <v>40524</v>
      </c>
      <c r="AU181" s="343">
        <f t="shared" si="226"/>
        <v>41157</v>
      </c>
      <c r="AV181" s="397">
        <f t="shared" si="226"/>
        <v>42716</v>
      </c>
      <c r="AW181" s="297">
        <f t="shared" si="226"/>
        <v>42716</v>
      </c>
      <c r="AX181" s="390">
        <f t="shared" si="226"/>
        <v>43578.8097110128</v>
      </c>
      <c r="AY181" s="340">
        <f t="shared" si="226"/>
        <v>44633.051197262605</v>
      </c>
      <c r="AZ181" s="340">
        <f t="shared" si="226"/>
        <v>45173.408077850538</v>
      </c>
      <c r="BA181" s="391">
        <f t="shared" si="226"/>
        <v>45128.233111369635</v>
      </c>
      <c r="BB181" s="464">
        <f t="shared" si="226"/>
        <v>45128.233111369635</v>
      </c>
      <c r="BC181" s="390">
        <f t="shared" ref="BC181:BL181" si="227">+BC179+BC174+BC173+BC171</f>
        <v>45536.08809873843</v>
      </c>
      <c r="BD181" s="340">
        <f t="shared" si="227"/>
        <v>46290.46338352008</v>
      </c>
      <c r="BE181" s="340">
        <f t="shared" si="227"/>
        <v>47642.045925602084</v>
      </c>
      <c r="BF181" s="391">
        <f t="shared" si="227"/>
        <v>47312.833313699201</v>
      </c>
      <c r="BG181" s="464">
        <f t="shared" si="227"/>
        <v>47312.833313699201</v>
      </c>
      <c r="BH181" s="390">
        <f t="shared" si="227"/>
        <v>47669.509333386748</v>
      </c>
      <c r="BI181" s="340">
        <f t="shared" si="227"/>
        <v>48546.932831166261</v>
      </c>
      <c r="BJ181" s="340">
        <f t="shared" si="227"/>
        <v>49204.717609074789</v>
      </c>
      <c r="BK181" s="391">
        <f t="shared" si="227"/>
        <v>49246.183483936278</v>
      </c>
      <c r="BL181" s="464">
        <f t="shared" si="227"/>
        <v>49246.183483936278</v>
      </c>
      <c r="BM181" s="390">
        <f>+BM179+BM174+BM173+BM171</f>
        <v>49465.634041228768</v>
      </c>
      <c r="BN181" s="340">
        <f>+BN179+BN174+BN173+BN171</f>
        <v>49841.373889621915</v>
      </c>
      <c r="BO181" s="340">
        <f>+BO179+BO174+BO173+BO171</f>
        <v>50939.164785207067</v>
      </c>
      <c r="BP181" s="391">
        <f>+BP179+BP174+BP173+BP171</f>
        <v>50762.911496064364</v>
      </c>
      <c r="BQ181" s="464">
        <f>+BQ179+BQ174+BQ173+BQ171</f>
        <v>50762.911496064364</v>
      </c>
      <c r="BR181" s="296"/>
      <c r="BS181" s="296"/>
      <c r="BT181" s="296"/>
      <c r="BU181" s="296"/>
      <c r="CL181"/>
      <c r="CM181"/>
      <c r="CN181"/>
      <c r="CO181"/>
      <c r="CP181"/>
      <c r="CQ181"/>
    </row>
    <row r="182" spans="1:95" s="2" customFormat="1">
      <c r="A182" s="1523"/>
      <c r="E182" s="434"/>
      <c r="F182" s="435"/>
      <c r="G182" s="435"/>
      <c r="H182" s="436"/>
      <c r="I182" s="296"/>
      <c r="J182" s="392"/>
      <c r="K182" s="341"/>
      <c r="L182" s="341"/>
      <c r="M182" s="393"/>
      <c r="N182" s="296"/>
      <c r="O182" s="392"/>
      <c r="P182" s="341"/>
      <c r="Q182" s="341"/>
      <c r="R182" s="393"/>
      <c r="S182" s="463"/>
      <c r="T182" s="392"/>
      <c r="U182" s="341"/>
      <c r="V182" s="341"/>
      <c r="W182" s="393"/>
      <c r="X182" s="77"/>
      <c r="Y182" s="392"/>
      <c r="Z182" s="341"/>
      <c r="AA182" s="341"/>
      <c r="AB182" s="393"/>
      <c r="AC182" s="77"/>
      <c r="AD182" s="392"/>
      <c r="AE182" s="341"/>
      <c r="AF182" s="480"/>
      <c r="AG182" s="393"/>
      <c r="AH182" s="77"/>
      <c r="AI182" s="392"/>
      <c r="AJ182" s="341"/>
      <c r="AK182" s="480"/>
      <c r="AL182" s="393"/>
      <c r="AM182" s="77"/>
      <c r="AN182" s="392"/>
      <c r="AO182" s="341"/>
      <c r="AP182" s="480"/>
      <c r="AQ182" s="481"/>
      <c r="AR182" s="463"/>
      <c r="AS182" s="392"/>
      <c r="AT182" s="480"/>
      <c r="AU182" s="480"/>
      <c r="AV182" s="481"/>
      <c r="AW182" s="463"/>
      <c r="AX182" s="509"/>
      <c r="AY182" s="480"/>
      <c r="AZ182" s="480"/>
      <c r="BA182" s="481"/>
      <c r="BB182" s="463"/>
      <c r="BC182" s="509"/>
      <c r="BD182" s="480"/>
      <c r="BE182" s="480"/>
      <c r="BF182" s="481"/>
      <c r="BG182" s="463"/>
      <c r="BH182" s="509"/>
      <c r="BI182" s="480"/>
      <c r="BJ182" s="480"/>
      <c r="BK182" s="481"/>
      <c r="BL182" s="463"/>
      <c r="BM182" s="509"/>
      <c r="BN182" s="480"/>
      <c r="BO182" s="480"/>
      <c r="BP182" s="481"/>
      <c r="BQ182" s="463"/>
      <c r="BR182" s="296"/>
      <c r="BS182" s="296"/>
      <c r="BT182" s="296"/>
      <c r="BU182" s="296"/>
      <c r="CL182"/>
      <c r="CM182"/>
      <c r="CN182"/>
      <c r="CO182"/>
      <c r="CP182"/>
      <c r="CQ182"/>
    </row>
    <row r="183" spans="1:95" s="2" customFormat="1">
      <c r="A183" s="1523"/>
      <c r="C183" s="2" t="s">
        <v>555</v>
      </c>
      <c r="E183" s="434">
        <f t="shared" ref="E183:AR183" si="228">E156-E181</f>
        <v>0</v>
      </c>
      <c r="F183" s="435">
        <f t="shared" si="228"/>
        <v>0</v>
      </c>
      <c r="G183" s="435">
        <f t="shared" si="228"/>
        <v>0</v>
      </c>
      <c r="H183" s="436">
        <f t="shared" si="228"/>
        <v>0</v>
      </c>
      <c r="I183" s="296">
        <f t="shared" si="228"/>
        <v>0</v>
      </c>
      <c r="J183" s="392">
        <f t="shared" si="228"/>
        <v>0</v>
      </c>
      <c r="K183" s="341">
        <f t="shared" si="228"/>
        <v>0</v>
      </c>
      <c r="L183" s="341">
        <f t="shared" si="228"/>
        <v>0</v>
      </c>
      <c r="M183" s="393">
        <f t="shared" si="228"/>
        <v>0</v>
      </c>
      <c r="N183" s="296">
        <f t="shared" si="228"/>
        <v>0</v>
      </c>
      <c r="O183" s="392">
        <f t="shared" si="228"/>
        <v>0</v>
      </c>
      <c r="P183" s="341">
        <f t="shared" si="228"/>
        <v>0</v>
      </c>
      <c r="Q183" s="341">
        <f t="shared" si="228"/>
        <v>0</v>
      </c>
      <c r="R183" s="393">
        <f t="shared" si="228"/>
        <v>0</v>
      </c>
      <c r="S183" s="463">
        <f t="shared" si="228"/>
        <v>0</v>
      </c>
      <c r="T183" s="392">
        <f t="shared" si="228"/>
        <v>0</v>
      </c>
      <c r="U183" s="341">
        <f t="shared" si="228"/>
        <v>0</v>
      </c>
      <c r="V183" s="341">
        <f t="shared" si="228"/>
        <v>0</v>
      </c>
      <c r="W183" s="393">
        <f t="shared" si="228"/>
        <v>0</v>
      </c>
      <c r="X183" s="77">
        <f t="shared" si="228"/>
        <v>0</v>
      </c>
      <c r="Y183" s="392">
        <f t="shared" si="228"/>
        <v>0</v>
      </c>
      <c r="Z183" s="341">
        <f t="shared" si="228"/>
        <v>0</v>
      </c>
      <c r="AA183" s="341">
        <f>AA156-AA181</f>
        <v>0</v>
      </c>
      <c r="AB183" s="393">
        <f>AB156-AB181</f>
        <v>0</v>
      </c>
      <c r="AC183" s="77">
        <f>AC156-AC181</f>
        <v>0</v>
      </c>
      <c r="AD183" s="392">
        <f>AD156-AD181</f>
        <v>0</v>
      </c>
      <c r="AE183" s="341">
        <f>AE156-AE181</f>
        <v>0</v>
      </c>
      <c r="AF183" s="480">
        <f t="shared" si="228"/>
        <v>0</v>
      </c>
      <c r="AG183" s="393">
        <f t="shared" ref="AG183:AM183" si="229">AG156-AG181</f>
        <v>0</v>
      </c>
      <c r="AH183" s="77">
        <f t="shared" si="229"/>
        <v>0</v>
      </c>
      <c r="AI183" s="392">
        <f t="shared" si="229"/>
        <v>0</v>
      </c>
      <c r="AJ183" s="341">
        <f t="shared" si="229"/>
        <v>0</v>
      </c>
      <c r="AK183" s="480">
        <f t="shared" si="229"/>
        <v>0</v>
      </c>
      <c r="AL183" s="393">
        <f t="shared" si="229"/>
        <v>0</v>
      </c>
      <c r="AM183" s="77">
        <f t="shared" si="229"/>
        <v>0</v>
      </c>
      <c r="AN183" s="392">
        <f>AN156-AN181</f>
        <v>0</v>
      </c>
      <c r="AO183" s="341">
        <f>AO156-AO181</f>
        <v>0</v>
      </c>
      <c r="AP183" s="480">
        <f t="shared" si="228"/>
        <v>0</v>
      </c>
      <c r="AQ183" s="481">
        <f t="shared" si="228"/>
        <v>0</v>
      </c>
      <c r="AR183" s="463">
        <f t="shared" si="228"/>
        <v>0</v>
      </c>
      <c r="AS183" s="509">
        <f t="shared" ref="AS183:BB183" si="230">AS156-AS181</f>
        <v>0</v>
      </c>
      <c r="AT183" s="480">
        <f t="shared" si="230"/>
        <v>0</v>
      </c>
      <c r="AU183" s="480">
        <f t="shared" si="230"/>
        <v>0</v>
      </c>
      <c r="AV183" s="481">
        <f t="shared" si="230"/>
        <v>0</v>
      </c>
      <c r="AW183" s="463">
        <f t="shared" si="230"/>
        <v>0</v>
      </c>
      <c r="AX183" s="509">
        <f t="shared" si="230"/>
        <v>0</v>
      </c>
      <c r="AY183" s="640">
        <f t="shared" si="230"/>
        <v>0</v>
      </c>
      <c r="AZ183" s="640">
        <f>AZ156-AZ181</f>
        <v>0</v>
      </c>
      <c r="BA183" s="481">
        <f t="shared" si="230"/>
        <v>0</v>
      </c>
      <c r="BB183" s="463">
        <f t="shared" si="230"/>
        <v>0</v>
      </c>
      <c r="BC183" s="509">
        <f t="shared" ref="BC183:BL183" si="231">BC156-BC181</f>
        <v>0</v>
      </c>
      <c r="BD183" s="640">
        <f t="shared" si="231"/>
        <v>0</v>
      </c>
      <c r="BE183" s="480">
        <f t="shared" si="231"/>
        <v>0</v>
      </c>
      <c r="BF183" s="481">
        <f t="shared" si="231"/>
        <v>0</v>
      </c>
      <c r="BG183" s="463">
        <f t="shared" si="231"/>
        <v>0</v>
      </c>
      <c r="BH183" s="509">
        <f t="shared" si="231"/>
        <v>0</v>
      </c>
      <c r="BI183" s="640">
        <f t="shared" si="231"/>
        <v>0</v>
      </c>
      <c r="BJ183" s="480">
        <f t="shared" si="231"/>
        <v>0</v>
      </c>
      <c r="BK183" s="481">
        <f t="shared" si="231"/>
        <v>0</v>
      </c>
      <c r="BL183" s="463">
        <f t="shared" si="231"/>
        <v>0</v>
      </c>
      <c r="BM183" s="509">
        <f>BM156-BM181</f>
        <v>0</v>
      </c>
      <c r="BN183" s="640">
        <f>BN156-BN181</f>
        <v>0</v>
      </c>
      <c r="BO183" s="480">
        <f>BO156-BO181</f>
        <v>0</v>
      </c>
      <c r="BP183" s="481">
        <f>BP156-BP181</f>
        <v>0</v>
      </c>
      <c r="BQ183" s="463">
        <f>BQ156-BQ181</f>
        <v>0</v>
      </c>
      <c r="BR183" s="296"/>
      <c r="BS183" s="296"/>
      <c r="BT183" s="296"/>
      <c r="BU183" s="296"/>
      <c r="CL183"/>
      <c r="CM183"/>
      <c r="CN183"/>
      <c r="CO183"/>
      <c r="CP183"/>
      <c r="CQ183"/>
    </row>
    <row r="184" spans="1:95" s="2" customFormat="1">
      <c r="A184" s="1523"/>
      <c r="E184" s="434"/>
      <c r="F184" s="435"/>
      <c r="G184" s="435"/>
      <c r="H184" s="436"/>
      <c r="I184" s="296"/>
      <c r="J184" s="392"/>
      <c r="K184" s="341"/>
      <c r="L184" s="341"/>
      <c r="M184" s="393"/>
      <c r="N184" s="296"/>
      <c r="O184" s="392"/>
      <c r="P184" s="341"/>
      <c r="Q184" s="341"/>
      <c r="R184" s="393"/>
      <c r="S184" s="463"/>
      <c r="T184" s="509"/>
      <c r="U184" s="480"/>
      <c r="V184" s="348"/>
      <c r="W184" s="481"/>
      <c r="X184" s="77"/>
      <c r="Y184" s="394"/>
      <c r="Z184" s="342"/>
      <c r="AA184" s="342"/>
      <c r="AB184" s="395"/>
      <c r="AC184" s="77"/>
      <c r="AD184" s="394"/>
      <c r="AE184" s="342"/>
      <c r="AF184" s="480"/>
      <c r="AG184" s="481"/>
      <c r="AH184" s="463"/>
      <c r="AI184" s="509"/>
      <c r="AJ184" s="480"/>
      <c r="AK184" s="480"/>
      <c r="AL184" s="481"/>
      <c r="AM184" s="463"/>
      <c r="AN184" s="509"/>
      <c r="AO184" s="480"/>
      <c r="AP184" s="480"/>
      <c r="AQ184" s="481"/>
      <c r="AR184" s="463"/>
      <c r="AS184" s="509"/>
      <c r="AT184" s="480"/>
      <c r="AU184" s="480"/>
      <c r="AV184" s="481"/>
      <c r="AW184" s="463"/>
      <c r="AX184" s="509"/>
      <c r="AY184" s="480"/>
      <c r="AZ184" s="480"/>
      <c r="BA184" s="481"/>
      <c r="BB184" s="463"/>
      <c r="BC184" s="509"/>
      <c r="BD184" s="480"/>
      <c r="BE184" s="480"/>
      <c r="BF184" s="481"/>
      <c r="BG184" s="463"/>
      <c r="BH184" s="509"/>
      <c r="BI184" s="480"/>
      <c r="BJ184" s="480"/>
      <c r="BK184" s="481"/>
      <c r="BL184" s="463"/>
      <c r="BM184" s="509"/>
      <c r="BN184" s="480"/>
      <c r="BO184" s="480"/>
      <c r="BP184" s="481"/>
      <c r="BQ184" s="463"/>
      <c r="BR184" s="296"/>
      <c r="BS184" s="296"/>
      <c r="BT184" s="296"/>
      <c r="BU184" s="296"/>
      <c r="CL184"/>
      <c r="CM184"/>
      <c r="CN184"/>
      <c r="CO184"/>
      <c r="CP184"/>
      <c r="CQ184"/>
    </row>
    <row r="185" spans="1:95" s="2" customFormat="1">
      <c r="A185" s="1523"/>
      <c r="C185" s="49"/>
      <c r="E185" s="368"/>
      <c r="F185" s="328"/>
      <c r="G185" s="6"/>
      <c r="H185" s="366"/>
      <c r="J185" s="365"/>
      <c r="K185" s="6"/>
      <c r="L185" s="6"/>
      <c r="M185" s="366"/>
      <c r="O185" s="365"/>
      <c r="P185" s="20"/>
      <c r="Q185" s="20"/>
      <c r="R185" s="361"/>
      <c r="T185" s="360"/>
      <c r="U185" s="20"/>
      <c r="V185" s="20"/>
      <c r="W185" s="361"/>
      <c r="Y185" s="360"/>
      <c r="Z185" s="20"/>
      <c r="AA185" s="20"/>
      <c r="AB185" s="361"/>
      <c r="AD185" s="360"/>
      <c r="AE185" s="20"/>
      <c r="AF185" s="20"/>
      <c r="AG185" s="361"/>
      <c r="AI185" s="360"/>
      <c r="AJ185" s="20"/>
      <c r="AK185" s="20"/>
      <c r="AL185" s="361"/>
      <c r="AN185" s="360"/>
      <c r="AO185" s="20"/>
      <c r="AP185" s="20"/>
      <c r="AQ185" s="361"/>
      <c r="AS185" s="360"/>
      <c r="AT185" s="20"/>
      <c r="AU185" s="20"/>
      <c r="AV185" s="361"/>
      <c r="AX185" s="360"/>
      <c r="AY185" s="20"/>
      <c r="AZ185" s="20"/>
      <c r="BA185" s="361"/>
      <c r="BC185" s="360"/>
      <c r="BD185" s="20"/>
      <c r="BE185" s="20"/>
      <c r="BF185" s="361"/>
      <c r="BH185" s="360"/>
      <c r="BI185" s="20"/>
      <c r="BJ185" s="20"/>
      <c r="BK185" s="361"/>
      <c r="BM185" s="360"/>
      <c r="BN185" s="20"/>
      <c r="BO185" s="20"/>
      <c r="BP185" s="361"/>
      <c r="CL185"/>
      <c r="CM185"/>
      <c r="CN185"/>
      <c r="CO185"/>
      <c r="CP185"/>
      <c r="CQ185"/>
    </row>
    <row r="186" spans="1:95" s="2" customFormat="1">
      <c r="A186" s="1523"/>
      <c r="B186" s="105" t="s">
        <v>381</v>
      </c>
      <c r="C186" s="277"/>
      <c r="D186" s="277"/>
      <c r="E186" s="368"/>
      <c r="F186" s="328"/>
      <c r="G186" s="6"/>
      <c r="H186" s="366"/>
      <c r="J186" s="365"/>
      <c r="K186" s="6"/>
      <c r="L186" s="6"/>
      <c r="M186" s="366"/>
      <c r="O186" s="365"/>
      <c r="P186" s="20"/>
      <c r="Q186" s="20"/>
      <c r="R186" s="361"/>
      <c r="T186" s="360"/>
      <c r="U186" s="20"/>
      <c r="V186" s="20"/>
      <c r="W186" s="361"/>
      <c r="Y186" s="360"/>
      <c r="Z186" s="20"/>
      <c r="AA186" s="20"/>
      <c r="AB186" s="361"/>
      <c r="AD186" s="360"/>
      <c r="AE186" s="20"/>
      <c r="AF186" s="20"/>
      <c r="AG186" s="361"/>
      <c r="AI186" s="360"/>
      <c r="AJ186" s="20"/>
      <c r="AK186" s="20"/>
      <c r="AL186" s="361"/>
      <c r="AN186" s="360"/>
      <c r="AO186" s="20"/>
      <c r="AP186" s="20"/>
      <c r="AQ186" s="361"/>
      <c r="AS186" s="360"/>
      <c r="AT186" s="20"/>
      <c r="AU186" s="20"/>
      <c r="AV186" s="361"/>
      <c r="AX186" s="360"/>
      <c r="AY186" s="20"/>
      <c r="AZ186" s="20"/>
      <c r="BA186" s="361"/>
      <c r="BC186" s="360"/>
      <c r="BD186" s="20"/>
      <c r="BE186" s="20"/>
      <c r="BF186" s="361"/>
      <c r="BH186" s="360"/>
      <c r="BI186" s="20"/>
      <c r="BJ186" s="20"/>
      <c r="BK186" s="361"/>
      <c r="BM186" s="360"/>
      <c r="BN186" s="20"/>
      <c r="BO186" s="20"/>
      <c r="BP186" s="361"/>
      <c r="CL186"/>
      <c r="CM186"/>
      <c r="CN186"/>
      <c r="CO186"/>
      <c r="CP186"/>
      <c r="CQ186"/>
    </row>
    <row r="187" spans="1:95" s="2" customFormat="1">
      <c r="A187" s="1523"/>
      <c r="C187" s="547" t="s">
        <v>382</v>
      </c>
      <c r="E187" s="394">
        <f t="shared" ref="E187:S187" si="232">E140</f>
        <v>1232</v>
      </c>
      <c r="F187" s="342">
        <f t="shared" si="232"/>
        <v>393</v>
      </c>
      <c r="G187" s="342">
        <f t="shared" si="232"/>
        <v>130</v>
      </c>
      <c r="H187" s="395">
        <f t="shared" si="232"/>
        <v>350</v>
      </c>
      <c r="I187" s="77">
        <f t="shared" si="232"/>
        <v>350</v>
      </c>
      <c r="J187" s="394">
        <f t="shared" si="232"/>
        <v>312</v>
      </c>
      <c r="K187" s="342">
        <f t="shared" si="232"/>
        <v>57</v>
      </c>
      <c r="L187" s="342">
        <f t="shared" si="232"/>
        <v>332</v>
      </c>
      <c r="M187" s="395">
        <f t="shared" si="232"/>
        <v>280</v>
      </c>
      <c r="N187" s="77">
        <f t="shared" si="232"/>
        <v>280</v>
      </c>
      <c r="O187" s="394">
        <f t="shared" si="232"/>
        <v>900</v>
      </c>
      <c r="P187" s="342">
        <f t="shared" si="232"/>
        <v>159</v>
      </c>
      <c r="Q187" s="342">
        <f t="shared" si="232"/>
        <v>1242</v>
      </c>
      <c r="R187" s="395">
        <f t="shared" si="232"/>
        <v>834</v>
      </c>
      <c r="S187" s="77">
        <f t="shared" si="232"/>
        <v>834</v>
      </c>
      <c r="T187" s="394">
        <f t="shared" ref="T187:Y187" si="233">T140</f>
        <v>931</v>
      </c>
      <c r="U187" s="342">
        <f t="shared" si="233"/>
        <v>765</v>
      </c>
      <c r="V187" s="342">
        <f t="shared" si="233"/>
        <v>780</v>
      </c>
      <c r="W187" s="395">
        <f t="shared" si="233"/>
        <v>379</v>
      </c>
      <c r="X187" s="77">
        <f t="shared" si="233"/>
        <v>379</v>
      </c>
      <c r="Y187" s="394">
        <f t="shared" si="233"/>
        <v>420</v>
      </c>
      <c r="Z187" s="342">
        <f t="shared" ref="Z187:AE187" si="234">Z140</f>
        <v>164</v>
      </c>
      <c r="AA187" s="342">
        <f t="shared" si="234"/>
        <v>448</v>
      </c>
      <c r="AB187" s="395">
        <f t="shared" si="234"/>
        <v>493</v>
      </c>
      <c r="AC187" s="77">
        <f t="shared" si="234"/>
        <v>493</v>
      </c>
      <c r="AD187" s="394">
        <f t="shared" si="234"/>
        <v>655</v>
      </c>
      <c r="AE187" s="342">
        <f t="shared" si="234"/>
        <v>570</v>
      </c>
      <c r="AF187" s="342">
        <f t="shared" ref="AF187:AK187" si="235">AF140</f>
        <v>703</v>
      </c>
      <c r="AG187" s="395">
        <f t="shared" si="235"/>
        <v>402</v>
      </c>
      <c r="AH187" s="77">
        <f t="shared" si="235"/>
        <v>402</v>
      </c>
      <c r="AI187" s="394">
        <f t="shared" si="235"/>
        <v>1008</v>
      </c>
      <c r="AJ187" s="342">
        <f t="shared" si="235"/>
        <v>597</v>
      </c>
      <c r="AK187" s="342">
        <f t="shared" si="235"/>
        <v>271</v>
      </c>
      <c r="AL187" s="395">
        <f t="shared" ref="AL187:AR187" si="236">AL140</f>
        <v>394</v>
      </c>
      <c r="AM187" s="77">
        <f t="shared" si="236"/>
        <v>394</v>
      </c>
      <c r="AN187" s="394">
        <f t="shared" si="236"/>
        <v>592</v>
      </c>
      <c r="AO187" s="342">
        <f t="shared" si="236"/>
        <v>648</v>
      </c>
      <c r="AP187" s="342">
        <f t="shared" si="236"/>
        <v>450</v>
      </c>
      <c r="AQ187" s="395">
        <f t="shared" si="236"/>
        <v>423</v>
      </c>
      <c r="AR187" s="77">
        <f t="shared" si="236"/>
        <v>423</v>
      </c>
      <c r="AS187" s="394">
        <f t="shared" ref="AS187:BB187" si="237">AS140</f>
        <v>193</v>
      </c>
      <c r="AT187" s="342">
        <f t="shared" si="237"/>
        <v>430</v>
      </c>
      <c r="AU187" s="342">
        <f t="shared" si="237"/>
        <v>278</v>
      </c>
      <c r="AV187" s="395">
        <f t="shared" si="237"/>
        <v>313</v>
      </c>
      <c r="AW187" s="77">
        <f t="shared" si="237"/>
        <v>313</v>
      </c>
      <c r="AX187" s="394">
        <f t="shared" si="237"/>
        <v>520.4861592573277</v>
      </c>
      <c r="AY187" s="342">
        <f t="shared" si="237"/>
        <v>924.3622560740655</v>
      </c>
      <c r="AZ187" s="342">
        <f t="shared" si="237"/>
        <v>829.90176884999096</v>
      </c>
      <c r="BA187" s="395">
        <f t="shared" si="237"/>
        <v>129.07610122374604</v>
      </c>
      <c r="BB187" s="77">
        <f t="shared" si="237"/>
        <v>129.07610122374604</v>
      </c>
      <c r="BC187" s="394">
        <f t="shared" ref="BC187:BL187" si="238">BC140</f>
        <v>0</v>
      </c>
      <c r="BD187" s="342">
        <f t="shared" si="238"/>
        <v>221.24417624421244</v>
      </c>
      <c r="BE187" s="342">
        <f t="shared" si="238"/>
        <v>1043.364310006046</v>
      </c>
      <c r="BF187" s="395">
        <f t="shared" si="238"/>
        <v>188.33247038009665</v>
      </c>
      <c r="BG187" s="77">
        <f t="shared" si="238"/>
        <v>188.33247038009665</v>
      </c>
      <c r="BH187" s="394">
        <f t="shared" si="238"/>
        <v>49.61727247669296</v>
      </c>
      <c r="BI187" s="342">
        <f t="shared" si="238"/>
        <v>435.16065013126274</v>
      </c>
      <c r="BJ187" s="342">
        <f t="shared" si="238"/>
        <v>604.3867023974251</v>
      </c>
      <c r="BK187" s="395">
        <f t="shared" si="238"/>
        <v>160.59276891782804</v>
      </c>
      <c r="BL187" s="77">
        <f t="shared" si="238"/>
        <v>160.59276891782804</v>
      </c>
      <c r="BM187" s="394">
        <f>BM140</f>
        <v>0</v>
      </c>
      <c r="BN187" s="342">
        <f>BN140</f>
        <v>0</v>
      </c>
      <c r="BO187" s="342">
        <f>BO140</f>
        <v>724.51778221968141</v>
      </c>
      <c r="BP187" s="395">
        <f>BP140</f>
        <v>177.44170688964641</v>
      </c>
      <c r="BQ187" s="77">
        <f>BQ140</f>
        <v>177.44170688964641</v>
      </c>
      <c r="CL187"/>
      <c r="CM187"/>
      <c r="CN187"/>
      <c r="CO187"/>
      <c r="CP187"/>
      <c r="CQ187"/>
    </row>
    <row r="188" spans="1:95" s="2" customFormat="1">
      <c r="A188" s="1523"/>
      <c r="C188" s="547"/>
      <c r="E188" s="567"/>
      <c r="F188" s="568"/>
      <c r="G188" s="568"/>
      <c r="H188" s="569"/>
      <c r="I188" s="570"/>
      <c r="J188" s="567"/>
      <c r="K188" s="568"/>
      <c r="L188" s="568"/>
      <c r="M188" s="569"/>
      <c r="N188" s="570"/>
      <c r="O188" s="394"/>
      <c r="P188" s="342"/>
      <c r="Q188" s="342"/>
      <c r="R188" s="395"/>
      <c r="S188" s="30"/>
      <c r="T188" s="394"/>
      <c r="U188" s="342"/>
      <c r="V188" s="342"/>
      <c r="W188" s="395"/>
      <c r="X188" s="30"/>
      <c r="Y188" s="394"/>
      <c r="Z188" s="342"/>
      <c r="AA188" s="342"/>
      <c r="AB188" s="395"/>
      <c r="AC188" s="30"/>
      <c r="AD188" s="394"/>
      <c r="AE188" s="342"/>
      <c r="AF188" s="342"/>
      <c r="AG188" s="395"/>
      <c r="AH188" s="30"/>
      <c r="AI188" s="394"/>
      <c r="AJ188" s="342"/>
      <c r="AK188" s="342"/>
      <c r="AL188" s="395"/>
      <c r="AM188" s="30"/>
      <c r="AN188" s="394"/>
      <c r="AO188" s="342"/>
      <c r="AP188" s="342"/>
      <c r="AQ188" s="395"/>
      <c r="AR188" s="30"/>
      <c r="AS188" s="394"/>
      <c r="AT188" s="342"/>
      <c r="AU188" s="342"/>
      <c r="AV188" s="395"/>
      <c r="AW188" s="30"/>
      <c r="AX188" s="394"/>
      <c r="AY188" s="342"/>
      <c r="AZ188" s="342"/>
      <c r="BA188" s="395"/>
      <c r="BB188" s="30"/>
      <c r="BC188" s="394"/>
      <c r="BD188" s="342"/>
      <c r="BE188" s="342"/>
      <c r="BF188" s="395"/>
      <c r="BG188" s="30"/>
      <c r="BH188" s="394"/>
      <c r="BI188" s="342"/>
      <c r="BJ188" s="342"/>
      <c r="BK188" s="395"/>
      <c r="BL188" s="30"/>
      <c r="BM188" s="394"/>
      <c r="BN188" s="342"/>
      <c r="BO188" s="342"/>
      <c r="BP188" s="395"/>
      <c r="BQ188" s="30"/>
      <c r="CL188"/>
      <c r="CM188"/>
      <c r="CN188"/>
      <c r="CO188"/>
      <c r="CP188"/>
      <c r="CQ188"/>
    </row>
    <row r="189" spans="1:95" s="2" customFormat="1">
      <c r="A189" s="1523"/>
      <c r="C189" s="547" t="s">
        <v>383</v>
      </c>
      <c r="E189" s="394">
        <f t="shared" ref="E189:S189" si="239">E159</f>
        <v>0</v>
      </c>
      <c r="F189" s="342">
        <f t="shared" si="239"/>
        <v>333</v>
      </c>
      <c r="G189" s="342">
        <f t="shared" si="239"/>
        <v>243</v>
      </c>
      <c r="H189" s="395">
        <f t="shared" si="239"/>
        <v>530</v>
      </c>
      <c r="I189" s="77">
        <f t="shared" si="239"/>
        <v>530</v>
      </c>
      <c r="J189" s="394">
        <f t="shared" si="239"/>
        <v>0</v>
      </c>
      <c r="K189" s="342">
        <f t="shared" si="239"/>
        <v>390</v>
      </c>
      <c r="L189" s="342">
        <f t="shared" si="239"/>
        <v>0</v>
      </c>
      <c r="M189" s="395">
        <f t="shared" si="239"/>
        <v>64</v>
      </c>
      <c r="N189" s="77">
        <f t="shared" si="239"/>
        <v>64</v>
      </c>
      <c r="O189" s="394">
        <f t="shared" si="239"/>
        <v>21</v>
      </c>
      <c r="P189" s="342">
        <f t="shared" si="239"/>
        <v>298</v>
      </c>
      <c r="Q189" s="342">
        <f t="shared" si="239"/>
        <v>0</v>
      </c>
      <c r="R189" s="395">
        <f t="shared" si="239"/>
        <v>0</v>
      </c>
      <c r="S189" s="77">
        <f t="shared" si="239"/>
        <v>0</v>
      </c>
      <c r="T189" s="394">
        <f t="shared" ref="T189:Y189" si="240">T159</f>
        <v>29</v>
      </c>
      <c r="U189" s="342">
        <f t="shared" si="240"/>
        <v>16</v>
      </c>
      <c r="V189" s="342">
        <f t="shared" si="240"/>
        <v>0</v>
      </c>
      <c r="W189" s="395">
        <f t="shared" si="240"/>
        <v>263</v>
      </c>
      <c r="X189" s="77">
        <f t="shared" si="240"/>
        <v>263</v>
      </c>
      <c r="Y189" s="394">
        <f t="shared" si="240"/>
        <v>165</v>
      </c>
      <c r="Z189" s="342">
        <f t="shared" ref="Z189:AE189" si="241">Z159</f>
        <v>157</v>
      </c>
      <c r="AA189" s="342">
        <f t="shared" si="241"/>
        <v>0</v>
      </c>
      <c r="AB189" s="395">
        <f t="shared" si="241"/>
        <v>60</v>
      </c>
      <c r="AC189" s="77">
        <f t="shared" si="241"/>
        <v>60</v>
      </c>
      <c r="AD189" s="394">
        <f t="shared" si="241"/>
        <v>0</v>
      </c>
      <c r="AE189" s="342">
        <f t="shared" si="241"/>
        <v>0</v>
      </c>
      <c r="AF189" s="342">
        <f t="shared" ref="AF189:AK189" si="242">AF159</f>
        <v>0</v>
      </c>
      <c r="AG189" s="395">
        <f t="shared" si="242"/>
        <v>0</v>
      </c>
      <c r="AH189" s="77">
        <f t="shared" si="242"/>
        <v>0</v>
      </c>
      <c r="AI189" s="394">
        <f t="shared" si="242"/>
        <v>0</v>
      </c>
      <c r="AJ189" s="342">
        <f t="shared" si="242"/>
        <v>0</v>
      </c>
      <c r="AK189" s="342">
        <f t="shared" si="242"/>
        <v>20</v>
      </c>
      <c r="AL189" s="395">
        <f t="shared" ref="AL189:AR189" si="243">AL159</f>
        <v>364</v>
      </c>
      <c r="AM189" s="77">
        <f t="shared" si="243"/>
        <v>364</v>
      </c>
      <c r="AN189" s="394">
        <f t="shared" si="243"/>
        <v>12</v>
      </c>
      <c r="AO189" s="342">
        <f t="shared" si="243"/>
        <v>0</v>
      </c>
      <c r="AP189" s="342">
        <f t="shared" si="243"/>
        <v>255</v>
      </c>
      <c r="AQ189" s="395">
        <f t="shared" si="243"/>
        <v>388</v>
      </c>
      <c r="AR189" s="77">
        <f t="shared" si="243"/>
        <v>388</v>
      </c>
      <c r="AS189" s="394">
        <f t="shared" ref="AS189:BB189" si="244">AS159</f>
        <v>315</v>
      </c>
      <c r="AT189" s="342">
        <f t="shared" si="244"/>
        <v>0</v>
      </c>
      <c r="AU189" s="342">
        <f t="shared" si="244"/>
        <v>202</v>
      </c>
      <c r="AV189" s="395">
        <f t="shared" si="244"/>
        <v>542</v>
      </c>
      <c r="AW189" s="77">
        <f t="shared" si="244"/>
        <v>542</v>
      </c>
      <c r="AX189" s="394">
        <f t="shared" si="244"/>
        <v>0</v>
      </c>
      <c r="AY189" s="342">
        <f t="shared" si="244"/>
        <v>0</v>
      </c>
      <c r="AZ189" s="342">
        <f t="shared" si="244"/>
        <v>0</v>
      </c>
      <c r="BA189" s="395">
        <f t="shared" si="244"/>
        <v>0</v>
      </c>
      <c r="BB189" s="77">
        <f t="shared" si="244"/>
        <v>0</v>
      </c>
      <c r="BC189" s="394">
        <f t="shared" ref="BC189:BL189" si="245">BC159</f>
        <v>33.626275160284422</v>
      </c>
      <c r="BD189" s="342">
        <f t="shared" si="245"/>
        <v>0</v>
      </c>
      <c r="BE189" s="342">
        <f t="shared" si="245"/>
        <v>0</v>
      </c>
      <c r="BF189" s="395">
        <f t="shared" si="245"/>
        <v>0</v>
      </c>
      <c r="BG189" s="77">
        <f t="shared" si="245"/>
        <v>0</v>
      </c>
      <c r="BH189" s="394">
        <f t="shared" si="245"/>
        <v>0</v>
      </c>
      <c r="BI189" s="342">
        <f t="shared" si="245"/>
        <v>0</v>
      </c>
      <c r="BJ189" s="342">
        <f t="shared" si="245"/>
        <v>0</v>
      </c>
      <c r="BK189" s="395">
        <f t="shared" si="245"/>
        <v>0</v>
      </c>
      <c r="BL189" s="77">
        <f t="shared" si="245"/>
        <v>0</v>
      </c>
      <c r="BM189" s="394">
        <f>BM159</f>
        <v>156.61147972958088</v>
      </c>
      <c r="BN189" s="342">
        <f>BN159</f>
        <v>83.66153659580209</v>
      </c>
      <c r="BO189" s="342">
        <f>BO159</f>
        <v>0</v>
      </c>
      <c r="BP189" s="395">
        <f>BP159</f>
        <v>0</v>
      </c>
      <c r="BQ189" s="77">
        <f>BQ159</f>
        <v>0</v>
      </c>
      <c r="CL189"/>
      <c r="CM189"/>
      <c r="CN189"/>
      <c r="CO189"/>
      <c r="CP189"/>
      <c r="CQ189"/>
    </row>
    <row r="190" spans="1:95" s="2" customFormat="1">
      <c r="A190" s="1523"/>
      <c r="C190" s="562" t="s">
        <v>26</v>
      </c>
      <c r="E190" s="394">
        <f t="shared" ref="E190:S190" si="246">E164+E158</f>
        <v>8914</v>
      </c>
      <c r="F190" s="342">
        <f t="shared" si="246"/>
        <v>8551</v>
      </c>
      <c r="G190" s="342">
        <f t="shared" si="246"/>
        <v>8214</v>
      </c>
      <c r="H190" s="395">
        <f t="shared" si="246"/>
        <v>8204</v>
      </c>
      <c r="I190" s="77">
        <f t="shared" si="246"/>
        <v>8204</v>
      </c>
      <c r="J190" s="394">
        <f t="shared" si="246"/>
        <v>8173</v>
      </c>
      <c r="K190" s="342">
        <f t="shared" si="246"/>
        <v>8747</v>
      </c>
      <c r="L190" s="342">
        <f t="shared" si="246"/>
        <v>9156</v>
      </c>
      <c r="M190" s="395">
        <f t="shared" si="246"/>
        <v>8973</v>
      </c>
      <c r="N190" s="77">
        <f t="shared" si="246"/>
        <v>8973</v>
      </c>
      <c r="O190" s="394">
        <f t="shared" si="246"/>
        <v>8887</v>
      </c>
      <c r="P190" s="342">
        <f t="shared" si="246"/>
        <v>8250</v>
      </c>
      <c r="Q190" s="342">
        <f t="shared" si="246"/>
        <v>8755</v>
      </c>
      <c r="R190" s="395">
        <f>R164+R158</f>
        <v>8094</v>
      </c>
      <c r="S190" s="77">
        <f t="shared" si="246"/>
        <v>8094</v>
      </c>
      <c r="T190" s="394">
        <f t="shared" ref="T190:Y190" si="247">T164+T158</f>
        <v>7978</v>
      </c>
      <c r="U190" s="342">
        <f t="shared" si="247"/>
        <v>8308</v>
      </c>
      <c r="V190" s="342">
        <f t="shared" si="247"/>
        <v>8309</v>
      </c>
      <c r="W190" s="395">
        <f t="shared" si="247"/>
        <v>7939</v>
      </c>
      <c r="X190" s="77">
        <f t="shared" si="247"/>
        <v>7939</v>
      </c>
      <c r="Y190" s="394">
        <f t="shared" si="247"/>
        <v>8114</v>
      </c>
      <c r="Z190" s="342">
        <f t="shared" ref="Z190:AE190" si="248">Z164+Z158</f>
        <v>8250</v>
      </c>
      <c r="AA190" s="342">
        <f t="shared" si="248"/>
        <v>8486</v>
      </c>
      <c r="AB190" s="395">
        <f t="shared" si="248"/>
        <v>8643</v>
      </c>
      <c r="AC190" s="77">
        <f t="shared" si="248"/>
        <v>8643</v>
      </c>
      <c r="AD190" s="394">
        <f t="shared" si="248"/>
        <v>8588</v>
      </c>
      <c r="AE190" s="342">
        <f t="shared" si="248"/>
        <v>9027</v>
      </c>
      <c r="AF190" s="342">
        <f t="shared" ref="AF190:AK190" si="249">AF164+AF158</f>
        <v>8963</v>
      </c>
      <c r="AG190" s="395">
        <f t="shared" si="249"/>
        <v>9144</v>
      </c>
      <c r="AH190" s="77">
        <f t="shared" si="249"/>
        <v>9144</v>
      </c>
      <c r="AI190" s="394">
        <f t="shared" si="249"/>
        <v>9084</v>
      </c>
      <c r="AJ190" s="342">
        <f t="shared" si="249"/>
        <v>9314</v>
      </c>
      <c r="AK190" s="342">
        <f t="shared" si="249"/>
        <v>9238</v>
      </c>
      <c r="AL190" s="395">
        <f t="shared" ref="AL190:AR190" si="250">AL164+AL158</f>
        <v>9568</v>
      </c>
      <c r="AM190" s="77">
        <f t="shared" si="250"/>
        <v>9568</v>
      </c>
      <c r="AN190" s="394">
        <f t="shared" si="250"/>
        <v>10238</v>
      </c>
      <c r="AO190" s="342">
        <f t="shared" si="250"/>
        <v>10935</v>
      </c>
      <c r="AP190" s="342">
        <f t="shared" si="250"/>
        <v>10697</v>
      </c>
      <c r="AQ190" s="395">
        <f t="shared" si="250"/>
        <v>11395</v>
      </c>
      <c r="AR190" s="77">
        <f t="shared" si="250"/>
        <v>11395</v>
      </c>
      <c r="AS190" s="394">
        <f>AS164+AS158</f>
        <v>11398</v>
      </c>
      <c r="AT190" s="342">
        <f>AT164+AT158</f>
        <v>12521</v>
      </c>
      <c r="AU190" s="342">
        <f>AU164+AU158</f>
        <v>12524</v>
      </c>
      <c r="AV190" s="395">
        <f>AV164+AV158</f>
        <v>13068</v>
      </c>
      <c r="AW190" s="77">
        <f>AW164+AW158</f>
        <v>13068</v>
      </c>
      <c r="AX190" s="394">
        <f>+AW190+AX82+AX83</f>
        <v>14068</v>
      </c>
      <c r="AY190" s="342">
        <f>+AX190+AY82+AY83</f>
        <v>14918</v>
      </c>
      <c r="AZ190" s="342">
        <f>+AY190+AZ82+AZ83</f>
        <v>15168</v>
      </c>
      <c r="BA190" s="395">
        <f>+AZ190+BA82+BA83</f>
        <v>14918</v>
      </c>
      <c r="BB190" s="77">
        <f>+BA190</f>
        <v>14918</v>
      </c>
      <c r="BC190" s="394">
        <f>+BB190+BC82+BC83</f>
        <v>14874</v>
      </c>
      <c r="BD190" s="342">
        <f>+BC190+BD82+BD83</f>
        <v>15424</v>
      </c>
      <c r="BE190" s="342">
        <f>+BD190+BE82+BE83</f>
        <v>16574</v>
      </c>
      <c r="BF190" s="395">
        <f>+BE190+BF82+BF83</f>
        <v>16174</v>
      </c>
      <c r="BG190" s="77">
        <f>+BF190</f>
        <v>16174</v>
      </c>
      <c r="BH190" s="394">
        <f>+BG190+BH82+BH83</f>
        <v>16174</v>
      </c>
      <c r="BI190" s="342">
        <f>+BH190+BI82+BI83</f>
        <v>16918</v>
      </c>
      <c r="BJ190" s="342">
        <f>+BI190+BJ82+BJ83</f>
        <v>17418</v>
      </c>
      <c r="BK190" s="395">
        <f>+BJ190+BK82+BK83</f>
        <v>17409</v>
      </c>
      <c r="BL190" s="77">
        <f>+BK190</f>
        <v>17409</v>
      </c>
      <c r="BM190" s="394">
        <f>+BL190+BM82+BM83</f>
        <v>17109</v>
      </c>
      <c r="BN190" s="342">
        <f>+BM190+BN82+BN83</f>
        <v>17375</v>
      </c>
      <c r="BO190" s="342">
        <f>+BN190+BO82+BO83</f>
        <v>18375</v>
      </c>
      <c r="BP190" s="395">
        <f>+BO190+BP82+BP83</f>
        <v>18075</v>
      </c>
      <c r="BQ190" s="77">
        <f>+BP190</f>
        <v>18075</v>
      </c>
      <c r="CL190"/>
      <c r="CM190"/>
      <c r="CN190"/>
      <c r="CO190"/>
      <c r="CP190"/>
      <c r="CQ190"/>
    </row>
    <row r="191" spans="1:95" s="2" customFormat="1">
      <c r="A191" s="1523"/>
      <c r="C191" s="563" t="s">
        <v>432</v>
      </c>
      <c r="E191" s="396">
        <f t="shared" ref="E191:V191" si="251">SUM(E189:E190)</f>
        <v>8914</v>
      </c>
      <c r="F191" s="343">
        <f t="shared" si="251"/>
        <v>8884</v>
      </c>
      <c r="G191" s="343">
        <f t="shared" si="251"/>
        <v>8457</v>
      </c>
      <c r="H191" s="397">
        <f t="shared" si="251"/>
        <v>8734</v>
      </c>
      <c r="I191" s="297">
        <f t="shared" si="251"/>
        <v>8734</v>
      </c>
      <c r="J191" s="396">
        <f t="shared" si="251"/>
        <v>8173</v>
      </c>
      <c r="K191" s="343">
        <f t="shared" si="251"/>
        <v>9137</v>
      </c>
      <c r="L191" s="343">
        <f t="shared" si="251"/>
        <v>9156</v>
      </c>
      <c r="M191" s="397">
        <f t="shared" si="251"/>
        <v>9037</v>
      </c>
      <c r="N191" s="297">
        <f t="shared" si="251"/>
        <v>9037</v>
      </c>
      <c r="O191" s="396">
        <f t="shared" si="251"/>
        <v>8908</v>
      </c>
      <c r="P191" s="343">
        <f t="shared" si="251"/>
        <v>8548</v>
      </c>
      <c r="Q191" s="343">
        <f t="shared" si="251"/>
        <v>8755</v>
      </c>
      <c r="R191" s="397">
        <f t="shared" si="251"/>
        <v>8094</v>
      </c>
      <c r="S191" s="297">
        <f t="shared" si="251"/>
        <v>8094</v>
      </c>
      <c r="T191" s="396">
        <f t="shared" si="251"/>
        <v>8007</v>
      </c>
      <c r="U191" s="343">
        <f t="shared" si="251"/>
        <v>8324</v>
      </c>
      <c r="V191" s="343">
        <f t="shared" si="251"/>
        <v>8309</v>
      </c>
      <c r="W191" s="397">
        <f t="shared" ref="W191:AC191" si="252">SUM(W189:W190)</f>
        <v>8202</v>
      </c>
      <c r="X191" s="297">
        <f t="shared" si="252"/>
        <v>8202</v>
      </c>
      <c r="Y191" s="396">
        <f t="shared" si="252"/>
        <v>8279</v>
      </c>
      <c r="Z191" s="343">
        <f t="shared" si="252"/>
        <v>8407</v>
      </c>
      <c r="AA191" s="343">
        <f t="shared" si="252"/>
        <v>8486</v>
      </c>
      <c r="AB191" s="397">
        <f t="shared" si="252"/>
        <v>8703</v>
      </c>
      <c r="AC191" s="297">
        <f t="shared" si="252"/>
        <v>8703</v>
      </c>
      <c r="AD191" s="396">
        <f t="shared" ref="AD191:AI191" si="253">SUM(AD189:AD190)</f>
        <v>8588</v>
      </c>
      <c r="AE191" s="343">
        <f t="shared" si="253"/>
        <v>9027</v>
      </c>
      <c r="AF191" s="343">
        <f t="shared" si="253"/>
        <v>8963</v>
      </c>
      <c r="AG191" s="397">
        <f t="shared" si="253"/>
        <v>9144</v>
      </c>
      <c r="AH191" s="297">
        <f t="shared" si="253"/>
        <v>9144</v>
      </c>
      <c r="AI191" s="396">
        <f t="shared" si="253"/>
        <v>9084</v>
      </c>
      <c r="AJ191" s="343">
        <f t="shared" ref="AJ191:AO191" si="254">SUM(AJ189:AJ190)</f>
        <v>9314</v>
      </c>
      <c r="AK191" s="343">
        <f t="shared" si="254"/>
        <v>9258</v>
      </c>
      <c r="AL191" s="397">
        <f t="shared" si="254"/>
        <v>9932</v>
      </c>
      <c r="AM191" s="297">
        <f t="shared" si="254"/>
        <v>9932</v>
      </c>
      <c r="AN191" s="396">
        <f t="shared" si="254"/>
        <v>10250</v>
      </c>
      <c r="AO191" s="343">
        <f t="shared" si="254"/>
        <v>10935</v>
      </c>
      <c r="AP191" s="343">
        <f t="shared" ref="AP191:AU191" si="255">SUM(AP189:AP190)</f>
        <v>10952</v>
      </c>
      <c r="AQ191" s="397">
        <f t="shared" si="255"/>
        <v>11783</v>
      </c>
      <c r="AR191" s="297">
        <f t="shared" si="255"/>
        <v>11783</v>
      </c>
      <c r="AS191" s="396">
        <f t="shared" si="255"/>
        <v>11713</v>
      </c>
      <c r="AT191" s="343">
        <f t="shared" si="255"/>
        <v>12521</v>
      </c>
      <c r="AU191" s="343">
        <f t="shared" si="255"/>
        <v>12726</v>
      </c>
      <c r="AV191" s="397">
        <f t="shared" ref="AV191:BB191" si="256">SUM(AV189:AV190)</f>
        <v>13610</v>
      </c>
      <c r="AW191" s="297">
        <f t="shared" si="256"/>
        <v>13610</v>
      </c>
      <c r="AX191" s="396">
        <f t="shared" si="256"/>
        <v>14068</v>
      </c>
      <c r="AY191" s="343">
        <f t="shared" si="256"/>
        <v>14918</v>
      </c>
      <c r="AZ191" s="343">
        <f t="shared" si="256"/>
        <v>15168</v>
      </c>
      <c r="BA191" s="397">
        <f t="shared" si="256"/>
        <v>14918</v>
      </c>
      <c r="BB191" s="297">
        <f t="shared" si="256"/>
        <v>14918</v>
      </c>
      <c r="BC191" s="396">
        <f t="shared" ref="BC191:BL191" si="257">SUM(BC189:BC190)</f>
        <v>14907.626275160284</v>
      </c>
      <c r="BD191" s="343">
        <f t="shared" si="257"/>
        <v>15424</v>
      </c>
      <c r="BE191" s="343">
        <f t="shared" si="257"/>
        <v>16574</v>
      </c>
      <c r="BF191" s="397">
        <f t="shared" si="257"/>
        <v>16174</v>
      </c>
      <c r="BG191" s="297">
        <f t="shared" si="257"/>
        <v>16174</v>
      </c>
      <c r="BH191" s="396">
        <f t="shared" si="257"/>
        <v>16174</v>
      </c>
      <c r="BI191" s="343">
        <f t="shared" si="257"/>
        <v>16918</v>
      </c>
      <c r="BJ191" s="343">
        <f t="shared" si="257"/>
        <v>17418</v>
      </c>
      <c r="BK191" s="397">
        <f t="shared" si="257"/>
        <v>17409</v>
      </c>
      <c r="BL191" s="297">
        <f t="shared" si="257"/>
        <v>17409</v>
      </c>
      <c r="BM191" s="396">
        <f>SUM(BM189:BM190)</f>
        <v>17265.611479729581</v>
      </c>
      <c r="BN191" s="343">
        <f>SUM(BN189:BN190)</f>
        <v>17458.661536595802</v>
      </c>
      <c r="BO191" s="343">
        <f>SUM(BO189:BO190)</f>
        <v>18375</v>
      </c>
      <c r="BP191" s="397">
        <f>SUM(BP189:BP190)</f>
        <v>18075</v>
      </c>
      <c r="BQ191" s="297">
        <f>SUM(BQ189:BQ190)</f>
        <v>18075</v>
      </c>
      <c r="CL191"/>
      <c r="CM191"/>
      <c r="CN191"/>
      <c r="CO191"/>
      <c r="CP191"/>
      <c r="CQ191"/>
    </row>
    <row r="192" spans="1:95" s="2" customFormat="1">
      <c r="A192" s="1523"/>
      <c r="C192" s="546" t="s">
        <v>656</v>
      </c>
      <c r="E192" s="369">
        <f t="shared" ref="E192:V192" si="258">E191/E200</f>
        <v>0.51846681789100213</v>
      </c>
      <c r="F192" s="330">
        <f t="shared" si="258"/>
        <v>0.51195758658445223</v>
      </c>
      <c r="G192" s="330">
        <f t="shared" si="258"/>
        <v>0.49105794913482753</v>
      </c>
      <c r="H192" s="370">
        <f t="shared" si="258"/>
        <v>0.49619361436200432</v>
      </c>
      <c r="I192" s="289">
        <f t="shared" si="258"/>
        <v>0.49619361436200432</v>
      </c>
      <c r="J192" s="369">
        <f t="shared" si="258"/>
        <v>0.47041556348566826</v>
      </c>
      <c r="K192" s="330">
        <f t="shared" si="258"/>
        <v>0.50030115534140063</v>
      </c>
      <c r="L192" s="330">
        <f t="shared" si="258"/>
        <v>0.4892855234329076</v>
      </c>
      <c r="M192" s="370">
        <f t="shared" si="258"/>
        <v>0.48403856454204608</v>
      </c>
      <c r="N192" s="289">
        <f t="shared" si="258"/>
        <v>0.48403856454204608</v>
      </c>
      <c r="O192" s="369">
        <f t="shared" si="258"/>
        <v>0.47219719056453752</v>
      </c>
      <c r="P192" s="330">
        <f t="shared" si="258"/>
        <v>0.45816583587929466</v>
      </c>
      <c r="Q192" s="330">
        <f t="shared" si="258"/>
        <v>0.46288463571957278</v>
      </c>
      <c r="R192" s="370">
        <f t="shared" si="258"/>
        <v>0.44075364844260512</v>
      </c>
      <c r="S192" s="289">
        <f t="shared" si="258"/>
        <v>0.44075364844260512</v>
      </c>
      <c r="T192" s="369">
        <f t="shared" si="258"/>
        <v>0.42976759164832806</v>
      </c>
      <c r="U192" s="330">
        <f t="shared" si="258"/>
        <v>0.43884436946436101</v>
      </c>
      <c r="V192" s="330">
        <f t="shared" si="258"/>
        <v>0.43468480251111691</v>
      </c>
      <c r="W192" s="370">
        <f t="shared" ref="W192:AC192" si="259">W191/W200</f>
        <v>0.43209356232219998</v>
      </c>
      <c r="X192" s="289">
        <f t="shared" si="259"/>
        <v>0.43209356232219998</v>
      </c>
      <c r="Y192" s="369">
        <f t="shared" si="259"/>
        <v>0.43063719115734722</v>
      </c>
      <c r="Z192" s="330">
        <f t="shared" si="259"/>
        <v>0.43106188791467981</v>
      </c>
      <c r="AA192" s="330">
        <f t="shared" si="259"/>
        <v>0.42806698950766747</v>
      </c>
      <c r="AB192" s="370">
        <f t="shared" si="259"/>
        <v>0.42848702673428191</v>
      </c>
      <c r="AC192" s="289">
        <f t="shared" si="259"/>
        <v>0.42848702673428191</v>
      </c>
      <c r="AD192" s="369">
        <f t="shared" ref="AD192:AI192" si="260">AD191/AD200</f>
        <v>0.4212488350419385</v>
      </c>
      <c r="AE192" s="330">
        <f t="shared" si="260"/>
        <v>0.43253473885960708</v>
      </c>
      <c r="AF192" s="330">
        <f t="shared" si="260"/>
        <v>0.4258766511451107</v>
      </c>
      <c r="AG192" s="370">
        <f t="shared" si="260"/>
        <v>0.42871208214168505</v>
      </c>
      <c r="AH192" s="289">
        <f t="shared" si="260"/>
        <v>0.42871208214168505</v>
      </c>
      <c r="AI192" s="369">
        <f t="shared" si="260"/>
        <v>0.41975879118340187</v>
      </c>
      <c r="AJ192" s="330">
        <f t="shared" ref="AJ192:AO192" si="261">AJ191/AJ200</f>
        <v>0.42295990191181143</v>
      </c>
      <c r="AK192" s="330">
        <f t="shared" si="261"/>
        <v>0.41719616060565096</v>
      </c>
      <c r="AL192" s="370">
        <f t="shared" si="261"/>
        <v>0.43186364031654928</v>
      </c>
      <c r="AM192" s="289">
        <f t="shared" si="261"/>
        <v>0.43186364031654928</v>
      </c>
      <c r="AN192" s="369">
        <f t="shared" si="261"/>
        <v>0.43491174473862865</v>
      </c>
      <c r="AO192" s="330">
        <f t="shared" si="261"/>
        <v>0.45087205706510536</v>
      </c>
      <c r="AP192" s="330">
        <f t="shared" ref="AP192:AU192" si="262">AP191/AP200</f>
        <v>0.44833797281807763</v>
      </c>
      <c r="AQ192" s="370">
        <f t="shared" si="262"/>
        <v>0.47296592140649463</v>
      </c>
      <c r="AR192" s="289">
        <f t="shared" si="262"/>
        <v>0.47296592140649463</v>
      </c>
      <c r="AS192" s="369">
        <f t="shared" si="262"/>
        <v>0.47386519944979366</v>
      </c>
      <c r="AT192" s="330">
        <f t="shared" si="262"/>
        <v>0.4921970203231259</v>
      </c>
      <c r="AU192" s="330">
        <f t="shared" si="262"/>
        <v>0.4923017408123791</v>
      </c>
      <c r="AV192" s="370">
        <f t="shared" ref="AV192:BB192" si="263">AV191/AV200</f>
        <v>0.49568416068762067</v>
      </c>
      <c r="AW192" s="289">
        <f t="shared" si="263"/>
        <v>0.49568416068762067</v>
      </c>
      <c r="AX192" s="369">
        <f t="shared" si="263"/>
        <v>0.49856805727081793</v>
      </c>
      <c r="AY192" s="330">
        <f t="shared" si="263"/>
        <v>0.51145000737656554</v>
      </c>
      <c r="AZ192" s="330">
        <f t="shared" si="263"/>
        <v>0.51144051294651516</v>
      </c>
      <c r="BA192" s="370">
        <f t="shared" si="263"/>
        <v>0.50636033948772052</v>
      </c>
      <c r="BB192" s="289">
        <f t="shared" si="263"/>
        <v>0.50636033948772052</v>
      </c>
      <c r="BC192" s="369">
        <f t="shared" ref="BC192:BL192" si="264">BC191/BC200</f>
        <v>0.50014114968441581</v>
      </c>
      <c r="BD192" s="330">
        <f t="shared" si="264"/>
        <v>0.50572210622523195</v>
      </c>
      <c r="BE192" s="330">
        <f t="shared" si="264"/>
        <v>0.52138686637340037</v>
      </c>
      <c r="BF192" s="370">
        <f t="shared" si="264"/>
        <v>0.51514749396535131</v>
      </c>
      <c r="BG192" s="289">
        <f t="shared" si="264"/>
        <v>0.51514749396535131</v>
      </c>
      <c r="BH192" s="369">
        <f t="shared" si="264"/>
        <v>0.5093610230663258</v>
      </c>
      <c r="BI192" s="330">
        <f t="shared" si="264"/>
        <v>0.51846510449255012</v>
      </c>
      <c r="BJ192" s="330">
        <f t="shared" si="264"/>
        <v>0.52324034240513084</v>
      </c>
      <c r="BK192" s="370">
        <f t="shared" si="264"/>
        <v>0.52231935681933439</v>
      </c>
      <c r="BL192" s="289">
        <f t="shared" si="264"/>
        <v>0.52231935681933439</v>
      </c>
      <c r="BM192" s="369">
        <f>BM191/BM200</f>
        <v>0.5146289064885794</v>
      </c>
      <c r="BN192" s="330">
        <f>BN191/BN200</f>
        <v>0.51461957629114197</v>
      </c>
      <c r="BO192" s="330">
        <f>BO191/BO200</f>
        <v>0.52465275804433165</v>
      </c>
      <c r="BP192" s="370">
        <f>BP191/BP200</f>
        <v>0.51869733138448737</v>
      </c>
      <c r="BQ192" s="289">
        <f>BQ191/BQ200</f>
        <v>0.51869733138448737</v>
      </c>
      <c r="CL192"/>
      <c r="CM192"/>
      <c r="CN192"/>
      <c r="CO192"/>
      <c r="CP192"/>
      <c r="CQ192"/>
    </row>
    <row r="193" spans="1:95" s="2" customFormat="1">
      <c r="A193" s="1523"/>
      <c r="C193" s="547"/>
      <c r="E193" s="571"/>
      <c r="F193" s="318"/>
      <c r="G193" s="318"/>
      <c r="H193" s="572"/>
      <c r="I193" s="30"/>
      <c r="J193" s="571"/>
      <c r="K193" s="318"/>
      <c r="L193" s="318"/>
      <c r="M193" s="572"/>
      <c r="N193" s="30"/>
      <c r="O193" s="571"/>
      <c r="P193" s="318"/>
      <c r="Q193" s="318"/>
      <c r="R193" s="572"/>
      <c r="S193" s="30"/>
      <c r="T193" s="571"/>
      <c r="U193" s="318"/>
      <c r="V193" s="318"/>
      <c r="W193" s="572"/>
      <c r="X193" s="30"/>
      <c r="Y193" s="571"/>
      <c r="Z193" s="318"/>
      <c r="AA193" s="318"/>
      <c r="AB193" s="572"/>
      <c r="AC193" s="30"/>
      <c r="AD193" s="571"/>
      <c r="AE193" s="318"/>
      <c r="AF193" s="318"/>
      <c r="AG193" s="572"/>
      <c r="AH193" s="30"/>
      <c r="AI193" s="571"/>
      <c r="AJ193" s="318"/>
      <c r="AK193" s="318"/>
      <c r="AL193" s="572"/>
      <c r="AM193" s="30"/>
      <c r="AN193" s="571"/>
      <c r="AO193" s="318"/>
      <c r="AP193" s="318"/>
      <c r="AQ193" s="572"/>
      <c r="AR193" s="30"/>
      <c r="AS193" s="571"/>
      <c r="AT193" s="318"/>
      <c r="AU193" s="318"/>
      <c r="AV193" s="572"/>
      <c r="AW193" s="30"/>
      <c r="AX193" s="571"/>
      <c r="AY193" s="318"/>
      <c r="AZ193" s="318"/>
      <c r="BA193" s="572"/>
      <c r="BB193" s="30"/>
      <c r="BC193" s="571"/>
      <c r="BD193" s="318"/>
      <c r="BE193" s="318"/>
      <c r="BF193" s="572"/>
      <c r="BG193" s="30"/>
      <c r="BH193" s="571"/>
      <c r="BI193" s="318"/>
      <c r="BJ193" s="318"/>
      <c r="BK193" s="572"/>
      <c r="BL193" s="30"/>
      <c r="BM193" s="571"/>
      <c r="BN193" s="318"/>
      <c r="BO193" s="318"/>
      <c r="BP193" s="572"/>
      <c r="BQ193" s="30"/>
      <c r="CL193"/>
      <c r="CM193"/>
      <c r="CN193"/>
      <c r="CO193"/>
      <c r="CP193"/>
      <c r="CQ193"/>
    </row>
    <row r="194" spans="1:95" s="2" customFormat="1">
      <c r="A194" s="1523"/>
      <c r="C194" s="545" t="s">
        <v>655</v>
      </c>
      <c r="E194" s="396">
        <f t="shared" ref="E194:S194" si="265">E174</f>
        <v>80</v>
      </c>
      <c r="F194" s="343">
        <f t="shared" si="265"/>
        <v>80</v>
      </c>
      <c r="G194" s="343">
        <f t="shared" si="265"/>
        <v>80</v>
      </c>
      <c r="H194" s="397">
        <f t="shared" si="265"/>
        <v>80</v>
      </c>
      <c r="I194" s="297">
        <f t="shared" si="265"/>
        <v>80</v>
      </c>
      <c r="J194" s="396">
        <f t="shared" si="265"/>
        <v>0</v>
      </c>
      <c r="K194" s="343">
        <f t="shared" si="265"/>
        <v>0</v>
      </c>
      <c r="L194" s="343">
        <f t="shared" si="265"/>
        <v>0</v>
      </c>
      <c r="M194" s="397">
        <f t="shared" si="265"/>
        <v>0</v>
      </c>
      <c r="N194" s="297">
        <f t="shared" si="265"/>
        <v>0</v>
      </c>
      <c r="O194" s="396">
        <f t="shared" si="265"/>
        <v>0</v>
      </c>
      <c r="P194" s="343">
        <f t="shared" si="265"/>
        <v>0</v>
      </c>
      <c r="Q194" s="343">
        <f t="shared" si="265"/>
        <v>0</v>
      </c>
      <c r="R194" s="397">
        <f t="shared" si="265"/>
        <v>0</v>
      </c>
      <c r="S194" s="297">
        <f t="shared" si="265"/>
        <v>0</v>
      </c>
      <c r="T194" s="396">
        <f t="shared" ref="T194:Y194" si="266">T174</f>
        <v>0</v>
      </c>
      <c r="U194" s="343">
        <f t="shared" si="266"/>
        <v>0</v>
      </c>
      <c r="V194" s="343">
        <f t="shared" si="266"/>
        <v>0</v>
      </c>
      <c r="W194" s="397">
        <f t="shared" si="266"/>
        <v>0</v>
      </c>
      <c r="X194" s="297">
        <f t="shared" si="266"/>
        <v>0</v>
      </c>
      <c r="Y194" s="396">
        <f t="shared" si="266"/>
        <v>0</v>
      </c>
      <c r="Z194" s="343">
        <f t="shared" ref="Z194:AE194" si="267">Z174</f>
        <v>0</v>
      </c>
      <c r="AA194" s="343">
        <f t="shared" si="267"/>
        <v>0</v>
      </c>
      <c r="AB194" s="397">
        <f t="shared" si="267"/>
        <v>0</v>
      </c>
      <c r="AC194" s="297">
        <f t="shared" si="267"/>
        <v>0</v>
      </c>
      <c r="AD194" s="396">
        <f t="shared" si="267"/>
        <v>0</v>
      </c>
      <c r="AE194" s="343">
        <f t="shared" si="267"/>
        <v>0</v>
      </c>
      <c r="AF194" s="343">
        <f t="shared" ref="AF194:AK194" si="268">AF174</f>
        <v>0</v>
      </c>
      <c r="AG194" s="397">
        <f t="shared" si="268"/>
        <v>0</v>
      </c>
      <c r="AH194" s="297">
        <f t="shared" si="268"/>
        <v>0</v>
      </c>
      <c r="AI194" s="396">
        <f t="shared" si="268"/>
        <v>0</v>
      </c>
      <c r="AJ194" s="343">
        <f t="shared" si="268"/>
        <v>0</v>
      </c>
      <c r="AK194" s="343">
        <f t="shared" si="268"/>
        <v>0</v>
      </c>
      <c r="AL194" s="397">
        <f t="shared" ref="AL194:AR194" si="269">AL174</f>
        <v>0</v>
      </c>
      <c r="AM194" s="297">
        <f t="shared" si="269"/>
        <v>0</v>
      </c>
      <c r="AN194" s="396">
        <f t="shared" si="269"/>
        <v>0</v>
      </c>
      <c r="AO194" s="343">
        <f t="shared" si="269"/>
        <v>0</v>
      </c>
      <c r="AP194" s="343">
        <f t="shared" si="269"/>
        <v>0</v>
      </c>
      <c r="AQ194" s="397">
        <f t="shared" si="269"/>
        <v>0</v>
      </c>
      <c r="AR194" s="297">
        <f t="shared" si="269"/>
        <v>0</v>
      </c>
      <c r="AS194" s="396">
        <f t="shared" ref="AS194:BB194" si="270">AS174</f>
        <v>0</v>
      </c>
      <c r="AT194" s="343">
        <f t="shared" si="270"/>
        <v>0</v>
      </c>
      <c r="AU194" s="343">
        <f t="shared" si="270"/>
        <v>0</v>
      </c>
      <c r="AV194" s="397">
        <f t="shared" si="270"/>
        <v>0</v>
      </c>
      <c r="AW194" s="297">
        <f t="shared" si="270"/>
        <v>0</v>
      </c>
      <c r="AX194" s="396">
        <f t="shared" si="270"/>
        <v>0</v>
      </c>
      <c r="AY194" s="343">
        <f t="shared" si="270"/>
        <v>0</v>
      </c>
      <c r="AZ194" s="343">
        <f t="shared" si="270"/>
        <v>0</v>
      </c>
      <c r="BA194" s="397">
        <f t="shared" si="270"/>
        <v>0</v>
      </c>
      <c r="BB194" s="297">
        <f t="shared" si="270"/>
        <v>0</v>
      </c>
      <c r="BC194" s="396">
        <f t="shared" ref="BC194:BL194" si="271">BC174</f>
        <v>0</v>
      </c>
      <c r="BD194" s="343">
        <f t="shared" si="271"/>
        <v>0</v>
      </c>
      <c r="BE194" s="343">
        <f t="shared" si="271"/>
        <v>0</v>
      </c>
      <c r="BF194" s="397">
        <f t="shared" si="271"/>
        <v>0</v>
      </c>
      <c r="BG194" s="297">
        <f t="shared" si="271"/>
        <v>0</v>
      </c>
      <c r="BH194" s="396">
        <f t="shared" si="271"/>
        <v>0</v>
      </c>
      <c r="BI194" s="343">
        <f t="shared" si="271"/>
        <v>0</v>
      </c>
      <c r="BJ194" s="343">
        <f t="shared" si="271"/>
        <v>0</v>
      </c>
      <c r="BK194" s="397">
        <f t="shared" si="271"/>
        <v>0</v>
      </c>
      <c r="BL194" s="297">
        <f t="shared" si="271"/>
        <v>0</v>
      </c>
      <c r="BM194" s="396">
        <f>BM174</f>
        <v>0</v>
      </c>
      <c r="BN194" s="343">
        <f>BN174</f>
        <v>0</v>
      </c>
      <c r="BO194" s="343">
        <f>BO174</f>
        <v>0</v>
      </c>
      <c r="BP194" s="397">
        <f>BP174</f>
        <v>0</v>
      </c>
      <c r="BQ194" s="297">
        <f>BQ174</f>
        <v>0</v>
      </c>
      <c r="CL194"/>
      <c r="CM194"/>
      <c r="CN194"/>
      <c r="CO194"/>
      <c r="CP194"/>
      <c r="CQ194"/>
    </row>
    <row r="195" spans="1:95" s="2" customFormat="1">
      <c r="A195" s="1523"/>
      <c r="C195" s="546" t="s">
        <v>656</v>
      </c>
      <c r="E195" s="369">
        <f t="shared" ref="E195:V195" si="272">E194/E200</f>
        <v>4.6530564764729835E-3</v>
      </c>
      <c r="F195" s="330">
        <f t="shared" si="272"/>
        <v>4.6101538638852069E-3</v>
      </c>
      <c r="G195" s="330">
        <f t="shared" si="272"/>
        <v>4.6452212286610152E-3</v>
      </c>
      <c r="H195" s="370">
        <f t="shared" si="272"/>
        <v>4.5449380752187254E-3</v>
      </c>
      <c r="I195" s="289">
        <f t="shared" si="272"/>
        <v>4.5449380752187254E-3</v>
      </c>
      <c r="J195" s="369">
        <f t="shared" si="272"/>
        <v>0</v>
      </c>
      <c r="K195" s="330">
        <f t="shared" si="272"/>
        <v>0</v>
      </c>
      <c r="L195" s="330">
        <f t="shared" si="272"/>
        <v>0</v>
      </c>
      <c r="M195" s="370">
        <f t="shared" si="272"/>
        <v>0</v>
      </c>
      <c r="N195" s="289">
        <f t="shared" si="272"/>
        <v>0</v>
      </c>
      <c r="O195" s="369">
        <f t="shared" si="272"/>
        <v>0</v>
      </c>
      <c r="P195" s="330">
        <f t="shared" si="272"/>
        <v>0</v>
      </c>
      <c r="Q195" s="330">
        <f t="shared" si="272"/>
        <v>0</v>
      </c>
      <c r="R195" s="370">
        <f t="shared" si="272"/>
        <v>0</v>
      </c>
      <c r="S195" s="289">
        <f t="shared" si="272"/>
        <v>0</v>
      </c>
      <c r="T195" s="369">
        <f t="shared" si="272"/>
        <v>0</v>
      </c>
      <c r="U195" s="330">
        <f t="shared" si="272"/>
        <v>0</v>
      </c>
      <c r="V195" s="330">
        <f t="shared" si="272"/>
        <v>0</v>
      </c>
      <c r="W195" s="370">
        <f t="shared" ref="W195:AC195" si="273">W194/W200</f>
        <v>0</v>
      </c>
      <c r="X195" s="289">
        <f t="shared" si="273"/>
        <v>0</v>
      </c>
      <c r="Y195" s="369">
        <f t="shared" si="273"/>
        <v>0</v>
      </c>
      <c r="Z195" s="330">
        <f t="shared" si="273"/>
        <v>0</v>
      </c>
      <c r="AA195" s="330">
        <f t="shared" si="273"/>
        <v>0</v>
      </c>
      <c r="AB195" s="370">
        <f t="shared" si="273"/>
        <v>0</v>
      </c>
      <c r="AC195" s="289">
        <f t="shared" si="273"/>
        <v>0</v>
      </c>
      <c r="AD195" s="369">
        <f t="shared" ref="AD195:AI195" si="274">AD194/AD200</f>
        <v>0</v>
      </c>
      <c r="AE195" s="330">
        <f t="shared" si="274"/>
        <v>0</v>
      </c>
      <c r="AF195" s="330">
        <f t="shared" si="274"/>
        <v>0</v>
      </c>
      <c r="AG195" s="370">
        <f t="shared" si="274"/>
        <v>0</v>
      </c>
      <c r="AH195" s="289">
        <f t="shared" si="274"/>
        <v>0</v>
      </c>
      <c r="AI195" s="369">
        <f t="shared" si="274"/>
        <v>0</v>
      </c>
      <c r="AJ195" s="330">
        <f t="shared" ref="AJ195:AO195" si="275">AJ194/AJ200</f>
        <v>0</v>
      </c>
      <c r="AK195" s="330">
        <f t="shared" si="275"/>
        <v>0</v>
      </c>
      <c r="AL195" s="370">
        <f t="shared" si="275"/>
        <v>0</v>
      </c>
      <c r="AM195" s="289">
        <f t="shared" si="275"/>
        <v>0</v>
      </c>
      <c r="AN195" s="369">
        <f t="shared" si="275"/>
        <v>0</v>
      </c>
      <c r="AO195" s="330">
        <f t="shared" si="275"/>
        <v>0</v>
      </c>
      <c r="AP195" s="330">
        <f t="shared" ref="AP195:AU195" si="276">AP194/AP200</f>
        <v>0</v>
      </c>
      <c r="AQ195" s="370">
        <f t="shared" si="276"/>
        <v>0</v>
      </c>
      <c r="AR195" s="289">
        <f t="shared" si="276"/>
        <v>0</v>
      </c>
      <c r="AS195" s="369">
        <f t="shared" si="276"/>
        <v>0</v>
      </c>
      <c r="AT195" s="330">
        <f t="shared" si="276"/>
        <v>0</v>
      </c>
      <c r="AU195" s="330">
        <f t="shared" si="276"/>
        <v>0</v>
      </c>
      <c r="AV195" s="370">
        <f t="shared" ref="AV195:BB195" si="277">AV194/AV200</f>
        <v>0</v>
      </c>
      <c r="AW195" s="289">
        <f t="shared" si="277"/>
        <v>0</v>
      </c>
      <c r="AX195" s="369">
        <f t="shared" si="277"/>
        <v>0</v>
      </c>
      <c r="AY195" s="330">
        <f t="shared" si="277"/>
        <v>0</v>
      </c>
      <c r="AZ195" s="330">
        <f t="shared" si="277"/>
        <v>0</v>
      </c>
      <c r="BA195" s="370">
        <f t="shared" si="277"/>
        <v>0</v>
      </c>
      <c r="BB195" s="289">
        <f t="shared" si="277"/>
        <v>0</v>
      </c>
      <c r="BC195" s="369">
        <f t="shared" ref="BC195:BL195" si="278">BC194/BC200</f>
        <v>0</v>
      </c>
      <c r="BD195" s="330">
        <f t="shared" si="278"/>
        <v>0</v>
      </c>
      <c r="BE195" s="330">
        <f t="shared" si="278"/>
        <v>0</v>
      </c>
      <c r="BF195" s="370">
        <f t="shared" si="278"/>
        <v>0</v>
      </c>
      <c r="BG195" s="289">
        <f t="shared" si="278"/>
        <v>0</v>
      </c>
      <c r="BH195" s="369">
        <f t="shared" si="278"/>
        <v>0</v>
      </c>
      <c r="BI195" s="330">
        <f t="shared" si="278"/>
        <v>0</v>
      </c>
      <c r="BJ195" s="330">
        <f t="shared" si="278"/>
        <v>0</v>
      </c>
      <c r="BK195" s="370">
        <f t="shared" si="278"/>
        <v>0</v>
      </c>
      <c r="BL195" s="289">
        <f t="shared" si="278"/>
        <v>0</v>
      </c>
      <c r="BM195" s="369">
        <f>BM194/BM200</f>
        <v>0</v>
      </c>
      <c r="BN195" s="330">
        <f>BN194/BN200</f>
        <v>0</v>
      </c>
      <c r="BO195" s="330">
        <f>BO194/BO200</f>
        <v>0</v>
      </c>
      <c r="BP195" s="370">
        <f>BP194/BP200</f>
        <v>0</v>
      </c>
      <c r="BQ195" s="289">
        <f>BQ194/BQ200</f>
        <v>0</v>
      </c>
      <c r="CL195"/>
      <c r="CM195"/>
      <c r="CN195"/>
      <c r="CO195"/>
      <c r="CP195"/>
      <c r="CQ195"/>
    </row>
    <row r="196" spans="1:95" s="2" customFormat="1">
      <c r="A196" s="1523"/>
      <c r="C196" s="547"/>
      <c r="E196" s="571"/>
      <c r="F196" s="318"/>
      <c r="G196" s="318"/>
      <c r="H196" s="572"/>
      <c r="I196" s="30"/>
      <c r="J196" s="571"/>
      <c r="K196" s="318"/>
      <c r="L196" s="318"/>
      <c r="M196" s="572"/>
      <c r="N196" s="30"/>
      <c r="O196" s="571"/>
      <c r="P196" s="318"/>
      <c r="Q196" s="318"/>
      <c r="R196" s="572"/>
      <c r="S196" s="30"/>
      <c r="T196" s="571"/>
      <c r="U196" s="318"/>
      <c r="V196" s="318"/>
      <c r="W196" s="572"/>
      <c r="X196" s="30"/>
      <c r="Y196" s="571"/>
      <c r="Z196" s="318"/>
      <c r="AA196" s="318"/>
      <c r="AB196" s="572"/>
      <c r="AC196" s="30"/>
      <c r="AD196" s="571"/>
      <c r="AE196" s="318"/>
      <c r="AF196" s="318"/>
      <c r="AG196" s="572"/>
      <c r="AH196" s="30"/>
      <c r="AI196" s="571"/>
      <c r="AJ196" s="318"/>
      <c r="AK196" s="318"/>
      <c r="AL196" s="572"/>
      <c r="AM196" s="30"/>
      <c r="AN196" s="571"/>
      <c r="AO196" s="318"/>
      <c r="AP196" s="318"/>
      <c r="AQ196" s="572"/>
      <c r="AR196" s="30"/>
      <c r="AS196" s="571"/>
      <c r="AT196" s="318"/>
      <c r="AU196" s="318"/>
      <c r="AV196" s="572"/>
      <c r="AW196" s="30"/>
      <c r="AX196" s="571"/>
      <c r="AY196" s="318"/>
      <c r="AZ196" s="318"/>
      <c r="BA196" s="572"/>
      <c r="BB196" s="30"/>
      <c r="BC196" s="571"/>
      <c r="BD196" s="318"/>
      <c r="BE196" s="318"/>
      <c r="BF196" s="572"/>
      <c r="BG196" s="30"/>
      <c r="BH196" s="571"/>
      <c r="BI196" s="318"/>
      <c r="BJ196" s="318"/>
      <c r="BK196" s="572"/>
      <c r="BL196" s="30"/>
      <c r="BM196" s="571"/>
      <c r="BN196" s="318"/>
      <c r="BO196" s="318"/>
      <c r="BP196" s="572"/>
      <c r="BQ196" s="30"/>
      <c r="CL196"/>
      <c r="CM196"/>
      <c r="CN196"/>
      <c r="CO196"/>
      <c r="CP196"/>
      <c r="CQ196"/>
    </row>
    <row r="197" spans="1:95" s="2" customFormat="1">
      <c r="A197" s="1523"/>
      <c r="C197" s="545" t="s">
        <v>264</v>
      </c>
      <c r="E197" s="396">
        <f t="shared" ref="E197:S197" si="279">E179</f>
        <v>8199</v>
      </c>
      <c r="F197" s="343">
        <f t="shared" si="279"/>
        <v>8389</v>
      </c>
      <c r="G197" s="343">
        <f t="shared" si="279"/>
        <v>8685</v>
      </c>
      <c r="H197" s="397">
        <f t="shared" si="279"/>
        <v>8788</v>
      </c>
      <c r="I197" s="297">
        <f t="shared" si="279"/>
        <v>8788</v>
      </c>
      <c r="J197" s="396">
        <f t="shared" si="279"/>
        <v>9201</v>
      </c>
      <c r="K197" s="343">
        <f t="shared" si="279"/>
        <v>9126</v>
      </c>
      <c r="L197" s="343">
        <f t="shared" si="279"/>
        <v>9557</v>
      </c>
      <c r="M197" s="397">
        <f t="shared" si="279"/>
        <v>9633</v>
      </c>
      <c r="N197" s="297">
        <f t="shared" si="279"/>
        <v>9633</v>
      </c>
      <c r="O197" s="396">
        <f t="shared" si="279"/>
        <v>9957</v>
      </c>
      <c r="P197" s="343">
        <f t="shared" si="279"/>
        <v>10109</v>
      </c>
      <c r="Q197" s="343">
        <f t="shared" si="279"/>
        <v>10159</v>
      </c>
      <c r="R197" s="397">
        <f t="shared" si="279"/>
        <v>10270</v>
      </c>
      <c r="S197" s="297">
        <f t="shared" si="279"/>
        <v>10270</v>
      </c>
      <c r="T197" s="396">
        <f t="shared" ref="T197:Y197" si="280">T179</f>
        <v>10624</v>
      </c>
      <c r="U197" s="343">
        <f t="shared" si="280"/>
        <v>10644</v>
      </c>
      <c r="V197" s="343">
        <f t="shared" si="280"/>
        <v>10806</v>
      </c>
      <c r="W197" s="397">
        <f t="shared" si="280"/>
        <v>10780</v>
      </c>
      <c r="X197" s="297">
        <f t="shared" si="280"/>
        <v>10780</v>
      </c>
      <c r="Y197" s="396">
        <f t="shared" si="280"/>
        <v>10946</v>
      </c>
      <c r="Z197" s="343">
        <f t="shared" ref="Z197:AE197" si="281">Z179</f>
        <v>11096</v>
      </c>
      <c r="AA197" s="343">
        <f t="shared" si="281"/>
        <v>11338</v>
      </c>
      <c r="AB197" s="397">
        <f t="shared" si="281"/>
        <v>11608</v>
      </c>
      <c r="AC197" s="297">
        <f t="shared" si="281"/>
        <v>11608</v>
      </c>
      <c r="AD197" s="396">
        <f t="shared" si="281"/>
        <v>11799</v>
      </c>
      <c r="AE197" s="343">
        <f t="shared" si="281"/>
        <v>11843</v>
      </c>
      <c r="AF197" s="343">
        <f t="shared" ref="AF197:AK197" si="282">AF179</f>
        <v>12083</v>
      </c>
      <c r="AG197" s="397">
        <f t="shared" si="282"/>
        <v>12185</v>
      </c>
      <c r="AH197" s="297">
        <f t="shared" si="282"/>
        <v>12185</v>
      </c>
      <c r="AI197" s="396">
        <f t="shared" si="282"/>
        <v>12557</v>
      </c>
      <c r="AJ197" s="343">
        <f t="shared" si="282"/>
        <v>12707</v>
      </c>
      <c r="AK197" s="343">
        <f t="shared" si="282"/>
        <v>12933</v>
      </c>
      <c r="AL197" s="397">
        <f t="shared" ref="AL197:AR197" si="283">AL179</f>
        <v>13066</v>
      </c>
      <c r="AM197" s="297">
        <f t="shared" si="283"/>
        <v>13066</v>
      </c>
      <c r="AN197" s="396">
        <f t="shared" si="283"/>
        <v>13318</v>
      </c>
      <c r="AO197" s="343">
        <f t="shared" si="283"/>
        <v>13318</v>
      </c>
      <c r="AP197" s="343">
        <f t="shared" si="283"/>
        <v>13476</v>
      </c>
      <c r="AQ197" s="397">
        <f t="shared" si="283"/>
        <v>13130</v>
      </c>
      <c r="AR197" s="297">
        <f t="shared" si="283"/>
        <v>13130</v>
      </c>
      <c r="AS197" s="396">
        <f t="shared" ref="AS197:BB197" si="284">AS179</f>
        <v>13005</v>
      </c>
      <c r="AT197" s="343">
        <f t="shared" si="284"/>
        <v>12918</v>
      </c>
      <c r="AU197" s="343">
        <f t="shared" si="284"/>
        <v>13124</v>
      </c>
      <c r="AV197" s="397">
        <f t="shared" si="284"/>
        <v>13847</v>
      </c>
      <c r="AW197" s="297">
        <f t="shared" si="284"/>
        <v>13847</v>
      </c>
      <c r="AX197" s="396">
        <f t="shared" si="284"/>
        <v>14148.809711012796</v>
      </c>
      <c r="AY197" s="343">
        <f t="shared" si="284"/>
        <v>14250.051197262603</v>
      </c>
      <c r="AZ197" s="343">
        <f t="shared" si="284"/>
        <v>14489.408077850538</v>
      </c>
      <c r="BA197" s="397">
        <f t="shared" si="284"/>
        <v>14543.233111369636</v>
      </c>
      <c r="BB197" s="297">
        <f t="shared" si="284"/>
        <v>14543.233111369636</v>
      </c>
      <c r="BC197" s="396">
        <f t="shared" ref="BC197:BL197" si="285">BC179</f>
        <v>14899.211823578145</v>
      </c>
      <c r="BD197" s="343">
        <f t="shared" si="285"/>
        <v>15074.963383520082</v>
      </c>
      <c r="BE197" s="343">
        <f t="shared" si="285"/>
        <v>15214.295925602086</v>
      </c>
      <c r="BF197" s="397">
        <f t="shared" si="285"/>
        <v>15222.833313699201</v>
      </c>
      <c r="BG197" s="297">
        <f t="shared" si="285"/>
        <v>15222.833313699201</v>
      </c>
      <c r="BH197" s="396">
        <f t="shared" si="285"/>
        <v>15579.509333386748</v>
      </c>
      <c r="BI197" s="343">
        <f t="shared" si="285"/>
        <v>15712.932831166261</v>
      </c>
      <c r="BJ197" s="343">
        <f t="shared" si="285"/>
        <v>15870.717609074789</v>
      </c>
      <c r="BK197" s="397">
        <f t="shared" si="285"/>
        <v>15921.183483936278</v>
      </c>
      <c r="BL197" s="297">
        <f t="shared" si="285"/>
        <v>15921.183483936278</v>
      </c>
      <c r="BM197" s="396">
        <f>BM179</f>
        <v>16284.02256149919</v>
      </c>
      <c r="BN197" s="343">
        <f>BN179</f>
        <v>16466.712353026116</v>
      </c>
      <c r="BO197" s="343">
        <f>BO179</f>
        <v>16648.164785207067</v>
      </c>
      <c r="BP197" s="397">
        <f>BP179</f>
        <v>16771.911496064364</v>
      </c>
      <c r="BQ197" s="297">
        <f>BQ179</f>
        <v>16771.911496064364</v>
      </c>
      <c r="CL197"/>
      <c r="CM197"/>
      <c r="CN197"/>
      <c r="CO197"/>
      <c r="CP197"/>
      <c r="CQ197"/>
    </row>
    <row r="198" spans="1:95" s="2" customFormat="1">
      <c r="A198" s="1523"/>
      <c r="C198" s="564" t="s">
        <v>656</v>
      </c>
      <c r="E198" s="369">
        <f t="shared" ref="E198:V198" si="286">E197/E200</f>
        <v>0.47688012563252485</v>
      </c>
      <c r="F198" s="330">
        <f t="shared" si="286"/>
        <v>0.48343225955166252</v>
      </c>
      <c r="G198" s="330">
        <f t="shared" si="286"/>
        <v>0.50429682963651146</v>
      </c>
      <c r="H198" s="370">
        <f t="shared" si="286"/>
        <v>0.49926144756277696</v>
      </c>
      <c r="I198" s="289">
        <f t="shared" si="286"/>
        <v>0.49926144756277696</v>
      </c>
      <c r="J198" s="369">
        <f t="shared" si="286"/>
        <v>0.52958443651433174</v>
      </c>
      <c r="K198" s="330">
        <f t="shared" si="286"/>
        <v>0.49969884465859937</v>
      </c>
      <c r="L198" s="330">
        <f t="shared" si="286"/>
        <v>0.51071447656709235</v>
      </c>
      <c r="M198" s="370">
        <f t="shared" si="286"/>
        <v>0.51596143545795392</v>
      </c>
      <c r="N198" s="289">
        <f t="shared" si="286"/>
        <v>0.51596143545795392</v>
      </c>
      <c r="O198" s="369">
        <f t="shared" si="286"/>
        <v>0.52780280943546254</v>
      </c>
      <c r="P198" s="330">
        <f t="shared" si="286"/>
        <v>0.5418341641207054</v>
      </c>
      <c r="Q198" s="330">
        <f t="shared" si="286"/>
        <v>0.53711536428042717</v>
      </c>
      <c r="R198" s="370">
        <f t="shared" si="286"/>
        <v>0.55924635155739488</v>
      </c>
      <c r="S198" s="289">
        <f t="shared" si="286"/>
        <v>0.55924635155739488</v>
      </c>
      <c r="T198" s="369">
        <f t="shared" si="286"/>
        <v>0.57023240835167199</v>
      </c>
      <c r="U198" s="330">
        <f t="shared" si="286"/>
        <v>0.56115563053563899</v>
      </c>
      <c r="V198" s="330">
        <f t="shared" si="286"/>
        <v>0.56531519748888304</v>
      </c>
      <c r="W198" s="370">
        <f t="shared" ref="W198:AC198" si="287">W197/W200</f>
        <v>0.56790643767780002</v>
      </c>
      <c r="X198" s="289">
        <f t="shared" si="287"/>
        <v>0.56790643767780002</v>
      </c>
      <c r="Y198" s="369">
        <f t="shared" si="287"/>
        <v>0.56936280884265278</v>
      </c>
      <c r="Z198" s="330">
        <f t="shared" si="287"/>
        <v>0.56893811208532019</v>
      </c>
      <c r="AA198" s="330">
        <f t="shared" si="287"/>
        <v>0.57193301049233247</v>
      </c>
      <c r="AB198" s="370">
        <f t="shared" si="287"/>
        <v>0.57151297326571804</v>
      </c>
      <c r="AC198" s="289">
        <f t="shared" si="287"/>
        <v>0.57151297326571804</v>
      </c>
      <c r="AD198" s="369">
        <f t="shared" ref="AD198:AI198" si="288">AD197/AD200</f>
        <v>0.57875116495806156</v>
      </c>
      <c r="AE198" s="330">
        <f t="shared" si="288"/>
        <v>0.56746526114039286</v>
      </c>
      <c r="AF198" s="330">
        <f t="shared" si="288"/>
        <v>0.57412334885488925</v>
      </c>
      <c r="AG198" s="370">
        <f t="shared" si="288"/>
        <v>0.57128791785831501</v>
      </c>
      <c r="AH198" s="289">
        <f t="shared" si="288"/>
        <v>0.57128791785831501</v>
      </c>
      <c r="AI198" s="369">
        <f t="shared" si="288"/>
        <v>0.58024120881659813</v>
      </c>
      <c r="AJ198" s="330">
        <f t="shared" ref="AJ198:AO198" si="289">AJ197/AJ200</f>
        <v>0.57704009808818857</v>
      </c>
      <c r="AK198" s="330">
        <f t="shared" si="289"/>
        <v>0.5828038393943491</v>
      </c>
      <c r="AL198" s="370">
        <f t="shared" si="289"/>
        <v>0.56813635968345078</v>
      </c>
      <c r="AM198" s="289">
        <f t="shared" si="289"/>
        <v>0.56813635968345078</v>
      </c>
      <c r="AN198" s="369">
        <f t="shared" si="289"/>
        <v>0.5650882552613713</v>
      </c>
      <c r="AO198" s="330">
        <f t="shared" si="289"/>
        <v>0.54912794293489464</v>
      </c>
      <c r="AP198" s="330">
        <f t="shared" ref="AP198:AU198" si="290">AP197/AP200</f>
        <v>0.55166202718192237</v>
      </c>
      <c r="AQ198" s="370">
        <f t="shared" si="290"/>
        <v>0.52703407859350537</v>
      </c>
      <c r="AR198" s="289">
        <f t="shared" si="290"/>
        <v>0.52703407859350537</v>
      </c>
      <c r="AS198" s="369">
        <f t="shared" si="290"/>
        <v>0.52613480055020634</v>
      </c>
      <c r="AT198" s="330">
        <f t="shared" si="290"/>
        <v>0.50780297967687404</v>
      </c>
      <c r="AU198" s="330">
        <f t="shared" si="290"/>
        <v>0.5076982591876209</v>
      </c>
      <c r="AV198" s="370">
        <f t="shared" ref="AV198:BB198" si="291">AV197/AV200</f>
        <v>0.50431583931237933</v>
      </c>
      <c r="AW198" s="289">
        <f t="shared" si="291"/>
        <v>0.50431583931237933</v>
      </c>
      <c r="AX198" s="369">
        <f t="shared" si="291"/>
        <v>0.50143194272918201</v>
      </c>
      <c r="AY198" s="330">
        <f t="shared" si="291"/>
        <v>0.4885499926234344</v>
      </c>
      <c r="AZ198" s="330">
        <f t="shared" si="291"/>
        <v>0.4885594870534849</v>
      </c>
      <c r="BA198" s="370">
        <f t="shared" si="291"/>
        <v>0.49363966051227959</v>
      </c>
      <c r="BB198" s="289">
        <f t="shared" si="291"/>
        <v>0.49363966051227959</v>
      </c>
      <c r="BC198" s="369">
        <f t="shared" ref="BC198:BL198" si="292">BC197/BC200</f>
        <v>0.49985885031558419</v>
      </c>
      <c r="BD198" s="330">
        <f t="shared" si="292"/>
        <v>0.49427789377476816</v>
      </c>
      <c r="BE198" s="330">
        <f t="shared" si="292"/>
        <v>0.47861313362659974</v>
      </c>
      <c r="BF198" s="370">
        <f t="shared" si="292"/>
        <v>0.48485250603464869</v>
      </c>
      <c r="BG198" s="289">
        <f t="shared" si="292"/>
        <v>0.48485250603464869</v>
      </c>
      <c r="BH198" s="369">
        <f t="shared" si="292"/>
        <v>0.49063897693367414</v>
      </c>
      <c r="BI198" s="330">
        <f t="shared" si="292"/>
        <v>0.48153489550744988</v>
      </c>
      <c r="BJ198" s="330">
        <f t="shared" si="292"/>
        <v>0.47675965759486921</v>
      </c>
      <c r="BK198" s="370">
        <f t="shared" si="292"/>
        <v>0.47768064318066555</v>
      </c>
      <c r="BL198" s="289">
        <f t="shared" si="292"/>
        <v>0.47768064318066555</v>
      </c>
      <c r="BM198" s="369">
        <f>BM197/BM200</f>
        <v>0.48537109351142066</v>
      </c>
      <c r="BN198" s="330">
        <f>BN197/BN200</f>
        <v>0.48538042370885809</v>
      </c>
      <c r="BO198" s="330">
        <f>BO197/BO200</f>
        <v>0.47534724195566835</v>
      </c>
      <c r="BP198" s="370">
        <f>BP197/BP200</f>
        <v>0.48130266861551263</v>
      </c>
      <c r="BQ198" s="289">
        <f>BQ197/BQ200</f>
        <v>0.48130266861551263</v>
      </c>
      <c r="CL198"/>
      <c r="CM198"/>
      <c r="CN198"/>
      <c r="CO198"/>
      <c r="CP198"/>
      <c r="CQ198"/>
    </row>
    <row r="199" spans="1:95" s="2" customFormat="1">
      <c r="A199" s="1523"/>
      <c r="C199" s="565"/>
      <c r="E199" s="571"/>
      <c r="F199" s="318"/>
      <c r="G199" s="318"/>
      <c r="H199" s="572"/>
      <c r="I199" s="30"/>
      <c r="J199" s="571"/>
      <c r="K199" s="318"/>
      <c r="L199" s="318"/>
      <c r="M199" s="572"/>
      <c r="N199" s="30"/>
      <c r="O199" s="571"/>
      <c r="P199" s="318"/>
      <c r="Q199" s="318"/>
      <c r="R199" s="572"/>
      <c r="S199" s="30"/>
      <c r="T199" s="571"/>
      <c r="U199" s="318"/>
      <c r="V199" s="318"/>
      <c r="W199" s="572"/>
      <c r="X199" s="30"/>
      <c r="Y199" s="571"/>
      <c r="Z199" s="318"/>
      <c r="AA199" s="318"/>
      <c r="AB199" s="572"/>
      <c r="AC199" s="30"/>
      <c r="AD199" s="571"/>
      <c r="AE199" s="318"/>
      <c r="AF199" s="318"/>
      <c r="AG199" s="572"/>
      <c r="AH199" s="30"/>
      <c r="AI199" s="571"/>
      <c r="AJ199" s="318"/>
      <c r="AK199" s="318"/>
      <c r="AL199" s="572"/>
      <c r="AM199" s="30"/>
      <c r="AN199" s="571"/>
      <c r="AO199" s="318"/>
      <c r="AP199" s="318"/>
      <c r="AQ199" s="572"/>
      <c r="AR199" s="30"/>
      <c r="AS199" s="571"/>
      <c r="AT199" s="318"/>
      <c r="AU199" s="318"/>
      <c r="AV199" s="572"/>
      <c r="AW199" s="30"/>
      <c r="AX199" s="571"/>
      <c r="AY199" s="318"/>
      <c r="AZ199" s="318"/>
      <c r="BA199" s="572"/>
      <c r="BB199" s="30"/>
      <c r="BC199" s="571"/>
      <c r="BD199" s="318"/>
      <c r="BE199" s="318"/>
      <c r="BF199" s="572"/>
      <c r="BG199" s="30"/>
      <c r="BH199" s="571"/>
      <c r="BI199" s="318"/>
      <c r="BJ199" s="318"/>
      <c r="BK199" s="572"/>
      <c r="BL199" s="30"/>
      <c r="BM199" s="571"/>
      <c r="BN199" s="318"/>
      <c r="BO199" s="318"/>
      <c r="BP199" s="572"/>
      <c r="BQ199" s="30"/>
      <c r="CL199"/>
      <c r="CM199"/>
      <c r="CN199"/>
      <c r="CO199"/>
      <c r="CP199"/>
      <c r="CQ199"/>
    </row>
    <row r="200" spans="1:95" s="2" customFormat="1">
      <c r="A200" s="1523"/>
      <c r="C200" s="566" t="s">
        <v>564</v>
      </c>
      <c r="E200" s="396">
        <f t="shared" ref="E200:S200" si="293">E191+E194+E197</f>
        <v>17193</v>
      </c>
      <c r="F200" s="343">
        <f t="shared" si="293"/>
        <v>17353</v>
      </c>
      <c r="G200" s="343">
        <f t="shared" si="293"/>
        <v>17222</v>
      </c>
      <c r="H200" s="397">
        <f t="shared" si="293"/>
        <v>17602</v>
      </c>
      <c r="I200" s="297">
        <f t="shared" si="293"/>
        <v>17602</v>
      </c>
      <c r="J200" s="396">
        <f t="shared" si="293"/>
        <v>17374</v>
      </c>
      <c r="K200" s="343">
        <f t="shared" si="293"/>
        <v>18263</v>
      </c>
      <c r="L200" s="343">
        <f t="shared" si="293"/>
        <v>18713</v>
      </c>
      <c r="M200" s="397">
        <f t="shared" si="293"/>
        <v>18670</v>
      </c>
      <c r="N200" s="297">
        <f t="shared" si="293"/>
        <v>18670</v>
      </c>
      <c r="O200" s="396">
        <f t="shared" si="293"/>
        <v>18865</v>
      </c>
      <c r="P200" s="343">
        <f t="shared" si="293"/>
        <v>18657</v>
      </c>
      <c r="Q200" s="343">
        <f t="shared" si="293"/>
        <v>18914</v>
      </c>
      <c r="R200" s="397">
        <f t="shared" si="293"/>
        <v>18364</v>
      </c>
      <c r="S200" s="297">
        <f t="shared" si="293"/>
        <v>18364</v>
      </c>
      <c r="T200" s="396">
        <f t="shared" ref="T200:Y200" si="294">T191+T194+T197</f>
        <v>18631</v>
      </c>
      <c r="U200" s="343">
        <f t="shared" si="294"/>
        <v>18968</v>
      </c>
      <c r="V200" s="343">
        <f t="shared" si="294"/>
        <v>19115</v>
      </c>
      <c r="W200" s="397">
        <f t="shared" si="294"/>
        <v>18982</v>
      </c>
      <c r="X200" s="297">
        <f t="shared" si="294"/>
        <v>18982</v>
      </c>
      <c r="Y200" s="396">
        <f t="shared" si="294"/>
        <v>19225</v>
      </c>
      <c r="Z200" s="343">
        <f t="shared" ref="Z200:AE200" si="295">Z191+Z194+Z197</f>
        <v>19503</v>
      </c>
      <c r="AA200" s="343">
        <f t="shared" si="295"/>
        <v>19824</v>
      </c>
      <c r="AB200" s="397">
        <f t="shared" si="295"/>
        <v>20311</v>
      </c>
      <c r="AC200" s="297">
        <f t="shared" si="295"/>
        <v>20311</v>
      </c>
      <c r="AD200" s="396">
        <f t="shared" si="295"/>
        <v>20387</v>
      </c>
      <c r="AE200" s="343">
        <f t="shared" si="295"/>
        <v>20870</v>
      </c>
      <c r="AF200" s="343">
        <f t="shared" ref="AF200:AK200" si="296">AF191+AF194+AF197</f>
        <v>21046</v>
      </c>
      <c r="AG200" s="397">
        <f t="shared" si="296"/>
        <v>21329</v>
      </c>
      <c r="AH200" s="297">
        <f t="shared" si="296"/>
        <v>21329</v>
      </c>
      <c r="AI200" s="396">
        <f t="shared" si="296"/>
        <v>21641</v>
      </c>
      <c r="AJ200" s="343">
        <f t="shared" si="296"/>
        <v>22021</v>
      </c>
      <c r="AK200" s="343">
        <f t="shared" si="296"/>
        <v>22191</v>
      </c>
      <c r="AL200" s="397">
        <f t="shared" ref="AL200:AR200" si="297">AL191+AL194+AL197</f>
        <v>22998</v>
      </c>
      <c r="AM200" s="297">
        <f t="shared" si="297"/>
        <v>22998</v>
      </c>
      <c r="AN200" s="396">
        <f t="shared" si="297"/>
        <v>23568</v>
      </c>
      <c r="AO200" s="343">
        <f t="shared" si="297"/>
        <v>24253</v>
      </c>
      <c r="AP200" s="343">
        <f t="shared" si="297"/>
        <v>24428</v>
      </c>
      <c r="AQ200" s="397">
        <f t="shared" si="297"/>
        <v>24913</v>
      </c>
      <c r="AR200" s="297">
        <f t="shared" si="297"/>
        <v>24913</v>
      </c>
      <c r="AS200" s="396">
        <f t="shared" ref="AS200:BB200" si="298">AS191+AS194+AS197</f>
        <v>24718</v>
      </c>
      <c r="AT200" s="343">
        <f t="shared" si="298"/>
        <v>25439</v>
      </c>
      <c r="AU200" s="343">
        <f t="shared" si="298"/>
        <v>25850</v>
      </c>
      <c r="AV200" s="397">
        <f t="shared" si="298"/>
        <v>27457</v>
      </c>
      <c r="AW200" s="297">
        <f t="shared" si="298"/>
        <v>27457</v>
      </c>
      <c r="AX200" s="396">
        <f t="shared" si="298"/>
        <v>28216.809711012796</v>
      </c>
      <c r="AY200" s="343">
        <f t="shared" si="298"/>
        <v>29168.051197262605</v>
      </c>
      <c r="AZ200" s="343">
        <f t="shared" si="298"/>
        <v>29657.408077850538</v>
      </c>
      <c r="BA200" s="397">
        <f t="shared" si="298"/>
        <v>29461.233111369635</v>
      </c>
      <c r="BB200" s="297">
        <f t="shared" si="298"/>
        <v>29461.233111369635</v>
      </c>
      <c r="BC200" s="396">
        <f t="shared" ref="BC200:BL200" si="299">BC191+BC194+BC197</f>
        <v>29806.83809873843</v>
      </c>
      <c r="BD200" s="343">
        <f t="shared" si="299"/>
        <v>30498.96338352008</v>
      </c>
      <c r="BE200" s="343">
        <f t="shared" si="299"/>
        <v>31788.295925602084</v>
      </c>
      <c r="BF200" s="397">
        <f t="shared" si="299"/>
        <v>31396.833313699201</v>
      </c>
      <c r="BG200" s="297">
        <f t="shared" si="299"/>
        <v>31396.833313699201</v>
      </c>
      <c r="BH200" s="396">
        <f t="shared" si="299"/>
        <v>31753.509333386748</v>
      </c>
      <c r="BI200" s="343">
        <f t="shared" si="299"/>
        <v>32630.932831166261</v>
      </c>
      <c r="BJ200" s="343">
        <f t="shared" si="299"/>
        <v>33288.717609074789</v>
      </c>
      <c r="BK200" s="397">
        <f t="shared" si="299"/>
        <v>33330.183483936278</v>
      </c>
      <c r="BL200" s="297">
        <f t="shared" si="299"/>
        <v>33330.183483936278</v>
      </c>
      <c r="BM200" s="396">
        <f>BM191+BM194+BM197</f>
        <v>33549.634041228768</v>
      </c>
      <c r="BN200" s="343">
        <f>BN191+BN194+BN197</f>
        <v>33925.373889621915</v>
      </c>
      <c r="BO200" s="343">
        <f>BO191+BO194+BO197</f>
        <v>35023.164785207067</v>
      </c>
      <c r="BP200" s="397">
        <f>BP191+BP194+BP197</f>
        <v>34846.911496064364</v>
      </c>
      <c r="BQ200" s="297">
        <f>BQ191+BQ194+BQ197</f>
        <v>34846.911496064364</v>
      </c>
      <c r="CL200"/>
      <c r="CM200"/>
      <c r="CN200"/>
      <c r="CO200"/>
      <c r="CP200"/>
      <c r="CQ200"/>
    </row>
    <row r="201" spans="1:95" s="2" customFormat="1">
      <c r="A201" s="1523"/>
      <c r="C201" s="564" t="s">
        <v>656</v>
      </c>
      <c r="E201" s="369">
        <f t="shared" ref="E201:V201" si="300">(E191+E194+E197)/E200</f>
        <v>1</v>
      </c>
      <c r="F201" s="330">
        <f t="shared" si="300"/>
        <v>1</v>
      </c>
      <c r="G201" s="330">
        <f t="shared" si="300"/>
        <v>1</v>
      </c>
      <c r="H201" s="370">
        <f t="shared" si="300"/>
        <v>1</v>
      </c>
      <c r="I201" s="289">
        <f t="shared" si="300"/>
        <v>1</v>
      </c>
      <c r="J201" s="369">
        <f t="shared" si="300"/>
        <v>1</v>
      </c>
      <c r="K201" s="330">
        <f t="shared" si="300"/>
        <v>1</v>
      </c>
      <c r="L201" s="330">
        <f t="shared" si="300"/>
        <v>1</v>
      </c>
      <c r="M201" s="370">
        <f t="shared" si="300"/>
        <v>1</v>
      </c>
      <c r="N201" s="289">
        <f t="shared" si="300"/>
        <v>1</v>
      </c>
      <c r="O201" s="369">
        <f t="shared" si="300"/>
        <v>1</v>
      </c>
      <c r="P201" s="330">
        <f t="shared" si="300"/>
        <v>1</v>
      </c>
      <c r="Q201" s="330">
        <f t="shared" si="300"/>
        <v>1</v>
      </c>
      <c r="R201" s="370">
        <f t="shared" si="300"/>
        <v>1</v>
      </c>
      <c r="S201" s="289">
        <f t="shared" si="300"/>
        <v>1</v>
      </c>
      <c r="T201" s="369">
        <f t="shared" si="300"/>
        <v>1</v>
      </c>
      <c r="U201" s="330">
        <f t="shared" si="300"/>
        <v>1</v>
      </c>
      <c r="V201" s="330">
        <f t="shared" si="300"/>
        <v>1</v>
      </c>
      <c r="W201" s="370">
        <f t="shared" ref="W201:AC201" si="301">(W191+W194+W197)/W200</f>
        <v>1</v>
      </c>
      <c r="X201" s="289">
        <f t="shared" si="301"/>
        <v>1</v>
      </c>
      <c r="Y201" s="369">
        <f t="shared" si="301"/>
        <v>1</v>
      </c>
      <c r="Z201" s="330">
        <f t="shared" si="301"/>
        <v>1</v>
      </c>
      <c r="AA201" s="330">
        <f t="shared" si="301"/>
        <v>1</v>
      </c>
      <c r="AB201" s="370">
        <f t="shared" si="301"/>
        <v>1</v>
      </c>
      <c r="AC201" s="289">
        <f t="shared" si="301"/>
        <v>1</v>
      </c>
      <c r="AD201" s="369">
        <f t="shared" ref="AD201:AI201" si="302">(AD191+AD194+AD197)/AD200</f>
        <v>1</v>
      </c>
      <c r="AE201" s="330">
        <f t="shared" si="302"/>
        <v>1</v>
      </c>
      <c r="AF201" s="330">
        <f t="shared" si="302"/>
        <v>1</v>
      </c>
      <c r="AG201" s="370">
        <f t="shared" si="302"/>
        <v>1</v>
      </c>
      <c r="AH201" s="289">
        <f t="shared" si="302"/>
        <v>1</v>
      </c>
      <c r="AI201" s="369">
        <f t="shared" si="302"/>
        <v>1</v>
      </c>
      <c r="AJ201" s="330">
        <f t="shared" ref="AJ201:AO201" si="303">(AJ191+AJ194+AJ197)/AJ200</f>
        <v>1</v>
      </c>
      <c r="AK201" s="330">
        <f t="shared" si="303"/>
        <v>1</v>
      </c>
      <c r="AL201" s="370">
        <f t="shared" si="303"/>
        <v>1</v>
      </c>
      <c r="AM201" s="289">
        <f t="shared" si="303"/>
        <v>1</v>
      </c>
      <c r="AN201" s="369">
        <f t="shared" si="303"/>
        <v>1</v>
      </c>
      <c r="AO201" s="330">
        <f t="shared" si="303"/>
        <v>1</v>
      </c>
      <c r="AP201" s="330">
        <f t="shared" ref="AP201:AU201" si="304">(AP191+AP194+AP197)/AP200</f>
        <v>1</v>
      </c>
      <c r="AQ201" s="370">
        <f t="shared" si="304"/>
        <v>1</v>
      </c>
      <c r="AR201" s="289">
        <f t="shared" si="304"/>
        <v>1</v>
      </c>
      <c r="AS201" s="369">
        <f t="shared" si="304"/>
        <v>1</v>
      </c>
      <c r="AT201" s="330">
        <f t="shared" si="304"/>
        <v>1</v>
      </c>
      <c r="AU201" s="330">
        <f t="shared" si="304"/>
        <v>1</v>
      </c>
      <c r="AV201" s="370">
        <f t="shared" ref="AV201:BB201" si="305">(AV191+AV194+AV197)/AV200</f>
        <v>1</v>
      </c>
      <c r="AW201" s="289">
        <f t="shared" si="305"/>
        <v>1</v>
      </c>
      <c r="AX201" s="369">
        <f t="shared" si="305"/>
        <v>1</v>
      </c>
      <c r="AY201" s="330">
        <f t="shared" si="305"/>
        <v>1</v>
      </c>
      <c r="AZ201" s="330">
        <f t="shared" si="305"/>
        <v>1</v>
      </c>
      <c r="BA201" s="370">
        <f t="shared" si="305"/>
        <v>1</v>
      </c>
      <c r="BB201" s="289">
        <f t="shared" si="305"/>
        <v>1</v>
      </c>
      <c r="BC201" s="369">
        <f t="shared" ref="BC201:BL201" si="306">(BC191+BC194+BC197)/BC200</f>
        <v>1</v>
      </c>
      <c r="BD201" s="330">
        <f t="shared" si="306"/>
        <v>1</v>
      </c>
      <c r="BE201" s="330">
        <f t="shared" si="306"/>
        <v>1</v>
      </c>
      <c r="BF201" s="370">
        <f t="shared" si="306"/>
        <v>1</v>
      </c>
      <c r="BG201" s="289">
        <f t="shared" si="306"/>
        <v>1</v>
      </c>
      <c r="BH201" s="369">
        <f t="shared" si="306"/>
        <v>1</v>
      </c>
      <c r="BI201" s="330">
        <f t="shared" si="306"/>
        <v>1</v>
      </c>
      <c r="BJ201" s="330">
        <f t="shared" si="306"/>
        <v>1</v>
      </c>
      <c r="BK201" s="370">
        <f t="shared" si="306"/>
        <v>1</v>
      </c>
      <c r="BL201" s="289">
        <f t="shared" si="306"/>
        <v>1</v>
      </c>
      <c r="BM201" s="369">
        <f>(BM191+BM194+BM197)/BM200</f>
        <v>1</v>
      </c>
      <c r="BN201" s="330">
        <f>(BN191+BN194+BN197)/BN200</f>
        <v>1</v>
      </c>
      <c r="BO201" s="330">
        <f>(BO191+BO194+BO197)/BO200</f>
        <v>1</v>
      </c>
      <c r="BP201" s="370">
        <f>(BP191+BP194+BP197)/BP200</f>
        <v>1</v>
      </c>
      <c r="BQ201" s="289">
        <f>(BQ191+BQ194+BQ197)/BQ200</f>
        <v>1</v>
      </c>
      <c r="CL201"/>
      <c r="CM201"/>
      <c r="CN201"/>
      <c r="CO201"/>
      <c r="CP201"/>
      <c r="CQ201"/>
    </row>
    <row r="202" spans="1:95" s="2" customFormat="1">
      <c r="A202" s="1523"/>
      <c r="C202" s="564"/>
      <c r="E202" s="369"/>
      <c r="F202" s="330"/>
      <c r="G202" s="330"/>
      <c r="H202" s="370"/>
      <c r="I202" s="289"/>
      <c r="J202" s="369"/>
      <c r="K202" s="330"/>
      <c r="L202" s="330"/>
      <c r="M202" s="370"/>
      <c r="N202" s="289"/>
      <c r="O202" s="369"/>
      <c r="P202" s="330"/>
      <c r="Q202" s="330"/>
      <c r="R202" s="370"/>
      <c r="S202" s="289"/>
      <c r="T202" s="369"/>
      <c r="U202" s="330"/>
      <c r="V202" s="330"/>
      <c r="W202" s="370"/>
      <c r="X202" s="289"/>
      <c r="Y202" s="369"/>
      <c r="Z202" s="330"/>
      <c r="AA202" s="330"/>
      <c r="AB202" s="370"/>
      <c r="AC202" s="289"/>
      <c r="AD202" s="369"/>
      <c r="AE202" s="330"/>
      <c r="AF202" s="330"/>
      <c r="AG202" s="370"/>
      <c r="AH202" s="289"/>
      <c r="AI202" s="369"/>
      <c r="AJ202" s="330"/>
      <c r="AK202" s="330"/>
      <c r="AL202" s="370"/>
      <c r="AM202" s="289"/>
      <c r="AN202" s="369"/>
      <c r="AO202" s="330"/>
      <c r="AP202" s="330"/>
      <c r="AQ202" s="370"/>
      <c r="AR202" s="289"/>
      <c r="AS202" s="369"/>
      <c r="AT202" s="330"/>
      <c r="AU202" s="330"/>
      <c r="AV202" s="370"/>
      <c r="AW202" s="289"/>
      <c r="AX202" s="369"/>
      <c r="AY202" s="330"/>
      <c r="AZ202" s="330"/>
      <c r="BA202" s="370"/>
      <c r="BB202" s="289"/>
      <c r="BC202" s="369"/>
      <c r="BD202" s="330"/>
      <c r="BE202" s="330"/>
      <c r="BF202" s="370"/>
      <c r="BG202" s="289"/>
      <c r="BH202" s="369"/>
      <c r="BI202" s="330"/>
      <c r="BJ202" s="330"/>
      <c r="BK202" s="370"/>
      <c r="BL202" s="289"/>
      <c r="BM202" s="369"/>
      <c r="BN202" s="330"/>
      <c r="BO202" s="330"/>
      <c r="BP202" s="370"/>
      <c r="BQ202" s="289"/>
      <c r="CL202"/>
      <c r="CM202"/>
      <c r="CN202"/>
      <c r="CO202"/>
      <c r="CP202"/>
      <c r="CQ202"/>
    </row>
    <row r="203" spans="1:95" s="2" customFormat="1">
      <c r="A203" s="1523"/>
      <c r="E203" s="365"/>
      <c r="F203" s="6"/>
      <c r="G203" s="6"/>
      <c r="H203" s="366"/>
      <c r="I203" s="296"/>
      <c r="J203" s="392"/>
      <c r="K203" s="341"/>
      <c r="L203" s="341"/>
      <c r="M203" s="393"/>
      <c r="N203" s="296"/>
      <c r="O203" s="392"/>
      <c r="P203" s="341"/>
      <c r="Q203" s="341"/>
      <c r="R203" s="393"/>
      <c r="S203" s="296"/>
      <c r="T203" s="392"/>
      <c r="U203" s="341"/>
      <c r="V203" s="341"/>
      <c r="W203" s="393"/>
      <c r="X203" s="296"/>
      <c r="Y203" s="392"/>
      <c r="Z203" s="341"/>
      <c r="AA203" s="341"/>
      <c r="AB203" s="393"/>
      <c r="AC203" s="296"/>
      <c r="AD203" s="392"/>
      <c r="AE203" s="341"/>
      <c r="AF203" s="341"/>
      <c r="AG203" s="393"/>
      <c r="AH203" s="296"/>
      <c r="AI203" s="392"/>
      <c r="AJ203" s="341"/>
      <c r="AK203" s="341"/>
      <c r="AL203" s="393"/>
      <c r="AM203" s="296"/>
      <c r="AN203" s="392"/>
      <c r="AO203" s="341"/>
      <c r="AP203" s="341"/>
      <c r="AQ203" s="393"/>
      <c r="AR203" s="296"/>
      <c r="AS203" s="392"/>
      <c r="AT203" s="341"/>
      <c r="AU203" s="341"/>
      <c r="AV203" s="393"/>
      <c r="AW203" s="296"/>
      <c r="AX203" s="392"/>
      <c r="AY203" s="341"/>
      <c r="AZ203" s="341"/>
      <c r="BA203" s="393"/>
      <c r="BB203" s="296"/>
      <c r="BC203" s="392"/>
      <c r="BD203" s="341"/>
      <c r="BE203" s="341"/>
      <c r="BF203" s="393"/>
      <c r="BG203" s="296"/>
      <c r="BH203" s="392"/>
      <c r="BI203" s="341"/>
      <c r="BJ203" s="341"/>
      <c r="BK203" s="393"/>
      <c r="BL203" s="296"/>
      <c r="BM203" s="392"/>
      <c r="BN203" s="341"/>
      <c r="BO203" s="341"/>
      <c r="BP203" s="393"/>
      <c r="BQ203" s="296"/>
      <c r="BR203" s="296"/>
      <c r="BS203" s="296"/>
      <c r="BT203" s="296"/>
      <c r="BU203" s="296"/>
      <c r="BV203" s="296"/>
      <c r="BW203" s="296"/>
      <c r="BX203" s="296"/>
      <c r="CL203"/>
      <c r="CM203"/>
      <c r="CN203"/>
      <c r="CO203"/>
      <c r="CP203"/>
      <c r="CQ203"/>
    </row>
    <row r="204" spans="1:95" s="2" customFormat="1">
      <c r="A204" s="1523"/>
      <c r="B204" s="105" t="s">
        <v>657</v>
      </c>
      <c r="C204" s="277"/>
      <c r="D204" s="277"/>
      <c r="E204" s="356"/>
      <c r="F204" s="326"/>
      <c r="G204" s="326"/>
      <c r="H204" s="357"/>
      <c r="I204" s="296"/>
      <c r="J204" s="401"/>
      <c r="K204" s="346"/>
      <c r="L204" s="346"/>
      <c r="M204" s="402"/>
      <c r="N204" s="296"/>
      <c r="O204" s="401"/>
      <c r="P204" s="346"/>
      <c r="Q204" s="346"/>
      <c r="R204" s="402"/>
      <c r="S204" s="296"/>
      <c r="T204" s="401"/>
      <c r="U204" s="346"/>
      <c r="V204" s="346"/>
      <c r="W204" s="402"/>
      <c r="X204" s="296"/>
      <c r="Y204" s="1332"/>
      <c r="Z204" s="1333"/>
      <c r="AA204" s="1333"/>
      <c r="AB204" s="1334"/>
      <c r="AC204" s="296"/>
      <c r="AD204" s="1332"/>
      <c r="AE204" s="1333"/>
      <c r="AF204" s="346"/>
      <c r="AG204" s="402"/>
      <c r="AH204" s="296"/>
      <c r="AI204" s="401"/>
      <c r="AJ204" s="346"/>
      <c r="AK204" s="346"/>
      <c r="AL204" s="402"/>
      <c r="AM204" s="296"/>
      <c r="AN204" s="401"/>
      <c r="AO204" s="346"/>
      <c r="AP204" s="346"/>
      <c r="AQ204" s="402"/>
      <c r="AR204" s="296"/>
      <c r="AS204" s="401"/>
      <c r="AT204" s="346"/>
      <c r="AU204" s="346"/>
      <c r="AV204" s="402"/>
      <c r="AW204" s="296"/>
      <c r="AX204" s="401"/>
      <c r="AY204" s="346"/>
      <c r="AZ204" s="346"/>
      <c r="BA204" s="402"/>
      <c r="BB204" s="296"/>
      <c r="BC204" s="401"/>
      <c r="BD204" s="346"/>
      <c r="BE204" s="346"/>
      <c r="BF204" s="402"/>
      <c r="BG204" s="296"/>
      <c r="BH204" s="401"/>
      <c r="BI204" s="346"/>
      <c r="BJ204" s="346"/>
      <c r="BK204" s="402"/>
      <c r="BL204" s="296"/>
      <c r="BM204" s="401"/>
      <c r="BN204" s="346"/>
      <c r="BO204" s="346"/>
      <c r="BP204" s="402"/>
      <c r="BQ204" s="296"/>
      <c r="BR204" s="296"/>
      <c r="BS204" s="296"/>
      <c r="BT204" s="296"/>
      <c r="BU204" s="296"/>
      <c r="BV204" s="296"/>
      <c r="BW204" s="296"/>
      <c r="BX204" s="296"/>
      <c r="CL204"/>
      <c r="CM204"/>
      <c r="CN204"/>
      <c r="CO204"/>
      <c r="CP204"/>
      <c r="CQ204"/>
    </row>
    <row r="205" spans="1:95" s="2" customFormat="1">
      <c r="A205" s="1523"/>
      <c r="C205" s="37" t="s">
        <v>305</v>
      </c>
      <c r="E205" s="434"/>
      <c r="F205" s="435"/>
      <c r="G205" s="435"/>
      <c r="H205" s="393">
        <f>SUM(E42:H42,E111:H111)</f>
        <v>2495</v>
      </c>
      <c r="I205" s="296">
        <f>+H205</f>
        <v>2495</v>
      </c>
      <c r="J205" s="392">
        <f>+SUM(F42:H42,J42,F111:H111,J111)</f>
        <v>2351.25</v>
      </c>
      <c r="K205" s="341">
        <f>+SUM(G42:H42,J42:K42,G111:H111,J111:K111)</f>
        <v>2395.5</v>
      </c>
      <c r="L205" s="341">
        <f>+SUM(H42,J42:L42,H111,J111:L111)</f>
        <v>2510.5</v>
      </c>
      <c r="M205" s="393">
        <f>SUM(J42:M42,J111:M111)</f>
        <v>2519</v>
      </c>
      <c r="N205" s="296">
        <f>+M205</f>
        <v>2519</v>
      </c>
      <c r="O205" s="392">
        <f>+SUM(K42:M42,O42,K111:M111,O111)</f>
        <v>2592.75</v>
      </c>
      <c r="P205" s="341">
        <f>+SUM(L42:M42,O42:P42,L111:M111,O111:P111)</f>
        <v>2566.5</v>
      </c>
      <c r="Q205" s="341">
        <f>+SUM(M42,O42:Q42,M111,O111:Q111)</f>
        <v>2453.5</v>
      </c>
      <c r="R205" s="393">
        <f>SUM(O42:R42,O111:R111)</f>
        <v>2392</v>
      </c>
      <c r="S205" s="296">
        <f>+R205</f>
        <v>2392</v>
      </c>
      <c r="T205" s="392">
        <f>+SUM(P42:R42,T42,P111:R111,T111)</f>
        <v>2405</v>
      </c>
      <c r="U205" s="341">
        <f>+SUM(Q42:R42,T42:U42,Q111:R111,T111:U111)</f>
        <v>2342</v>
      </c>
      <c r="V205" s="341">
        <f>+SUM(R42,T42:V42,R111,T111:V111)</f>
        <v>2320</v>
      </c>
      <c r="W205" s="393">
        <f>SUM(T42:W42,T111:W111)</f>
        <v>2290</v>
      </c>
      <c r="X205" s="296">
        <f>+W205</f>
        <v>2290</v>
      </c>
      <c r="Y205" s="392">
        <f>+SUM(U42:W42,Y42,U111:W111,Y111)</f>
        <v>2320</v>
      </c>
      <c r="Z205" s="341">
        <f>+SUM(V42:W42,Y42:Z42,V111:W111,Y111:Z111)</f>
        <v>2369</v>
      </c>
      <c r="AA205" s="341">
        <f>+SUM(W42,Y42:AA42,W111,Y111:AA111)</f>
        <v>2399</v>
      </c>
      <c r="AB205" s="393">
        <f>SUM(Y42:AB42,Y111:AB111)</f>
        <v>2487</v>
      </c>
      <c r="AC205" s="296">
        <f>+AB205</f>
        <v>2487</v>
      </c>
      <c r="AD205" s="392">
        <f>+SUM(Z42:AB42,AD42,Z111:AB111,AD111)</f>
        <v>2585</v>
      </c>
      <c r="AE205" s="341">
        <f>+SUM(AA42:AB42,AD42:AE42,AA111:AB111,AD111:AE111)</f>
        <v>2599</v>
      </c>
      <c r="AF205" s="341">
        <f>+SUM(AB42,AD42:AF42,AB111,AD111:AF111)</f>
        <v>2612</v>
      </c>
      <c r="AG205" s="393">
        <f>SUM(AD42:AG42,AD111:AG111)</f>
        <v>2627</v>
      </c>
      <c r="AH205" s="296">
        <f>+AG205</f>
        <v>2627</v>
      </c>
      <c r="AI205" s="392">
        <f>+SUM(AE42:AG42,AI42,AE111:AG111,AI111)</f>
        <v>2665</v>
      </c>
      <c r="AJ205" s="341">
        <f>+SUM(AF42:AG42,AI42:AJ42,AF111:AG111,AI111:AJ111)</f>
        <v>2731</v>
      </c>
      <c r="AK205" s="341">
        <f>+SUM(AG42,AI42:AK42,AG111,AI111:AK111)</f>
        <v>2736</v>
      </c>
      <c r="AL205" s="393">
        <f>SUM(AI42:AL42,AI111:AL111)</f>
        <v>2690</v>
      </c>
      <c r="AM205" s="296">
        <f>+AL205</f>
        <v>2690</v>
      </c>
      <c r="AN205" s="392">
        <f>+SUM(AJ42:AL42,AN42,AJ111:AL111,AN111)</f>
        <v>2518</v>
      </c>
      <c r="AO205" s="341">
        <f>+SUM(AK42:AL42,AN42:AO42,AK111:AL111,AN111:AO111)</f>
        <v>2425</v>
      </c>
      <c r="AP205" s="341">
        <f>+SUM(AL42,AN42:AP42,AL111,AN111:AP111)</f>
        <v>2384</v>
      </c>
      <c r="AQ205" s="393">
        <f>SUM(AN42:AQ42,AN111:AQ111)</f>
        <v>2951</v>
      </c>
      <c r="AR205" s="296">
        <f>+AQ205</f>
        <v>2951</v>
      </c>
      <c r="AS205" s="392">
        <f>+SUM(AO42:AQ42,AS42,AO111:AQ111,AS111)</f>
        <v>3558</v>
      </c>
      <c r="AT205" s="341">
        <f>+SUM(AP42:AQ42,AS42:AT42,AP111:AQ111,AS111:AT111)</f>
        <v>4002</v>
      </c>
      <c r="AU205" s="341">
        <f>+SUM(AQ42,AS42:AU42,AQ111,AS111:AU111)</f>
        <v>3996</v>
      </c>
      <c r="AV205" s="393">
        <f>SUM(AS42:AV42,AS111:AV111)</f>
        <v>3474</v>
      </c>
      <c r="AW205" s="296">
        <f>+AV205</f>
        <v>3474</v>
      </c>
      <c r="AX205" s="392">
        <f>+SUM(AT42:AV42,AX42,AT111:AV111,AX111)</f>
        <v>2942.1579092573279</v>
      </c>
      <c r="AY205" s="341">
        <f>+SUM(AU42:AV42,AX42:AY42,AU111:AV111,AX111:AY111)</f>
        <v>2551.7057560740659</v>
      </c>
      <c r="AZ205" s="341">
        <f>+SUM(AV42:AW42,AY42:AZ42,AV111:AW111,AY111:AZ111)</f>
        <v>5303.9257762593297</v>
      </c>
      <c r="BA205" s="393">
        <f>SUM(AX42:BA42,AX111:BA111)</f>
        <v>2561.9297678904127</v>
      </c>
      <c r="BB205" s="296">
        <f>+BA205</f>
        <v>2561.9297678904127</v>
      </c>
      <c r="BC205" s="392">
        <f>+SUM(AY42:BA42,BC42,AY111:BA111,BC111)</f>
        <v>2639.702710999054</v>
      </c>
      <c r="BD205" s="341">
        <f>+SUM(AY42:BA42,BC42:BD42,AY111:BA111,BC111:BD111)</f>
        <v>3303.2063911535506</v>
      </c>
      <c r="BE205" s="341">
        <f>+SUM(BA42,BC42:BE42,BA111,BC111:BE111)</f>
        <v>2658.0339774060544</v>
      </c>
      <c r="BF205" s="393">
        <f>SUM(BC42:BF42,BC111:BF111)</f>
        <v>2637.7892841563503</v>
      </c>
      <c r="BG205" s="296">
        <f>+BF205</f>
        <v>2637.7892841563503</v>
      </c>
      <c r="BH205" s="392">
        <f>+SUM(BD42:BF42,BH42,BD111:BF111,BH111)</f>
        <v>2661.9474579307275</v>
      </c>
      <c r="BI205" s="341">
        <f>+SUM(BE42:BF42,BH42:BI42,BE111:BF111,BH111:BI111)</f>
        <v>2642.7913794745505</v>
      </c>
      <c r="BJ205" s="341">
        <f>+SUM(BF42,BH42:BJ42,BF111,BH111:BJ111)</f>
        <v>2684.068293272629</v>
      </c>
      <c r="BK205" s="393">
        <f>SUM(BH42:BK42,BH111:BK111)</f>
        <v>2748.477194712731</v>
      </c>
      <c r="BL205" s="296">
        <f>+BK205</f>
        <v>2748.477194712731</v>
      </c>
      <c r="BM205" s="392">
        <f>+SUM(BI42:BK42,BM42,BI111:BK111,BM111)</f>
        <v>2777.3893340506947</v>
      </c>
      <c r="BN205" s="341">
        <f>+SUM(BJ42:BK42,BM42:BN42,BJ111:BK111,BM111:BN111)</f>
        <v>2850.1970896118728</v>
      </c>
      <c r="BO205" s="341">
        <f>+SUM(BK42,BM42:BO42,BK111,BM111:BO111)</f>
        <v>2896.5515462431622</v>
      </c>
      <c r="BP205" s="393">
        <f>SUM(BM42:BP42,BM111:BP111)</f>
        <v>2991.6705944746932</v>
      </c>
      <c r="BQ205" s="296">
        <f>+BP205</f>
        <v>2991.6705944746932</v>
      </c>
      <c r="BR205" s="296"/>
      <c r="BS205" s="296"/>
      <c r="BT205" s="296"/>
      <c r="BU205" s="296"/>
      <c r="BV205" s="296"/>
      <c r="BW205" s="296"/>
      <c r="BX205" s="296"/>
      <c r="CL205"/>
      <c r="CM205"/>
      <c r="CN205"/>
      <c r="CO205"/>
      <c r="CP205"/>
      <c r="CQ205"/>
    </row>
    <row r="206" spans="1:95" s="2" customFormat="1">
      <c r="A206" s="1523"/>
      <c r="C206" s="37" t="s">
        <v>309</v>
      </c>
      <c r="E206" s="434"/>
      <c r="F206" s="435"/>
      <c r="G206" s="435"/>
      <c r="H206" s="393">
        <f>SUM(E27:H27)</f>
        <v>3163</v>
      </c>
      <c r="I206" s="296">
        <f>+H206</f>
        <v>3163</v>
      </c>
      <c r="J206" s="392">
        <f>+SUM(F27:H27,J27)</f>
        <v>3233.25</v>
      </c>
      <c r="K206" s="341">
        <f>+SUM(G27:H27,J27:K27)</f>
        <v>3021.5</v>
      </c>
      <c r="L206" s="341">
        <f>+SUM(H27,J27:L27)</f>
        <v>3136.5</v>
      </c>
      <c r="M206" s="393">
        <f>SUM(J27:M27)</f>
        <v>3088</v>
      </c>
      <c r="N206" s="296">
        <f>+M206</f>
        <v>3088</v>
      </c>
      <c r="O206" s="392">
        <f>+SUM(K27:M27,O27)</f>
        <v>3042.75</v>
      </c>
      <c r="P206" s="341">
        <f>+SUM(L27:M27,O27:P27)</f>
        <v>3234.5</v>
      </c>
      <c r="Q206" s="341">
        <f>+SUM(M27,O27:Q27)</f>
        <v>2748.5</v>
      </c>
      <c r="R206" s="393">
        <f>SUM(O27:R27)</f>
        <v>2859</v>
      </c>
      <c r="S206" s="296">
        <f>+R206</f>
        <v>2859</v>
      </c>
      <c r="T206" s="392">
        <f>+SUM(P27:R27,T27)</f>
        <v>2747</v>
      </c>
      <c r="U206" s="341">
        <f>+SUM(Q27:R27,T27:U27)</f>
        <v>2543</v>
      </c>
      <c r="V206" s="341">
        <f>+SUM(R27,T27:V27)</f>
        <v>2654</v>
      </c>
      <c r="W206" s="393">
        <f>SUM(T27:W27)</f>
        <v>2434</v>
      </c>
      <c r="X206" s="296">
        <f>+W206</f>
        <v>2434</v>
      </c>
      <c r="Y206" s="392">
        <f>+SUM(U27:W27,Y27)</f>
        <v>2270</v>
      </c>
      <c r="Z206" s="341">
        <f>+SUM(V27:W27,Y27:Z27)</f>
        <v>2462</v>
      </c>
      <c r="AA206" s="341">
        <f>+SUM(W27,Y27:AA27)</f>
        <v>2528</v>
      </c>
      <c r="AB206" s="393">
        <f>SUM(Y27:AB27)</f>
        <v>2457</v>
      </c>
      <c r="AC206" s="296">
        <f>+AB206</f>
        <v>2457</v>
      </c>
      <c r="AD206" s="392">
        <f>+SUM(Z27:AB27,AD27)</f>
        <v>2558</v>
      </c>
      <c r="AE206" s="341">
        <f>+SUM(AA27:AB27,AD27:AE27)</f>
        <v>2324</v>
      </c>
      <c r="AF206" s="341">
        <f>+SUM(AB27,AD27:AF27)</f>
        <v>2369</v>
      </c>
      <c r="AG206" s="393">
        <f>SUM(AD27:AG27)</f>
        <v>2845</v>
      </c>
      <c r="AH206" s="296">
        <f>+AG206</f>
        <v>2845</v>
      </c>
      <c r="AI206" s="392">
        <f>+SUM(AE27:AG27,AI27)</f>
        <v>3184</v>
      </c>
      <c r="AJ206" s="341">
        <f>+SUM(AF27:AG27,AI27:AJ27)</f>
        <v>3394</v>
      </c>
      <c r="AK206" s="341">
        <f>+SUM(AG27,AI27:AK27)</f>
        <v>3409</v>
      </c>
      <c r="AL206" s="393">
        <f>SUM(AI27:AL27)</f>
        <v>3073</v>
      </c>
      <c r="AM206" s="296">
        <f>+AL206</f>
        <v>3073</v>
      </c>
      <c r="AN206" s="392">
        <f>+SUM(AJ27:AL27,AN27)</f>
        <v>2837</v>
      </c>
      <c r="AO206" s="341">
        <f>+SUM(AK27:AL27,AN27:AO27)</f>
        <v>2584</v>
      </c>
      <c r="AP206" s="341">
        <f>+SUM(AL27,AN27:AP27)</f>
        <v>2378</v>
      </c>
      <c r="AQ206" s="393">
        <f>SUM(AN27:AQ27)</f>
        <v>1683</v>
      </c>
      <c r="AR206" s="296">
        <f>+AQ206</f>
        <v>1683</v>
      </c>
      <c r="AS206" s="392">
        <f>+SUM(AO27:AQ27,AS27)</f>
        <v>1078</v>
      </c>
      <c r="AT206" s="341">
        <f>+SUM(AP27:AQ27,AS27:AT27)</f>
        <v>962</v>
      </c>
      <c r="AU206" s="341">
        <f>+SUM(AQ27,AS27:AU27)</f>
        <v>1095</v>
      </c>
      <c r="AV206" s="393">
        <f>SUM(AS27:AV27)</f>
        <v>1659</v>
      </c>
      <c r="AW206" s="296">
        <f>+AV206</f>
        <v>1659</v>
      </c>
      <c r="AX206" s="392">
        <f>+SUM(AT27:AV27,AX27)</f>
        <v>2224.2242350815532</v>
      </c>
      <c r="AY206" s="341">
        <f>+SUM(AU27:AV27,AX27:AY27)</f>
        <v>2508.0757074537214</v>
      </c>
      <c r="AZ206" s="341">
        <f>+SUM(AV27:AW27,AY27:AZ27)</f>
        <v>3346.6322298331975</v>
      </c>
      <c r="BA206" s="393">
        <f>SUM(AX27:BA27)</f>
        <v>2572.0284383036974</v>
      </c>
      <c r="BB206" s="296">
        <f>+BA206</f>
        <v>2572.0284383036974</v>
      </c>
      <c r="BC206" s="392">
        <f>+SUM(AY27:BA27,BC27)</f>
        <v>2670.5692263652941</v>
      </c>
      <c r="BD206" s="341">
        <f>+SUM(AY27:BA27,BC27:BD27)</f>
        <v>3342.3789759380352</v>
      </c>
      <c r="BE206" s="341">
        <f>+SUM(BA27,BC27:BE27)</f>
        <v>2703.0169947357126</v>
      </c>
      <c r="BF206" s="393">
        <f>SUM(BC27:BF27)</f>
        <v>2683.6457276700557</v>
      </c>
      <c r="BG206" s="296">
        <f>+BF206</f>
        <v>2683.6457276700557</v>
      </c>
      <c r="BH206" s="392">
        <f>+SUM(BD27:BF27,BH27)</f>
        <v>2726.5457946933502</v>
      </c>
      <c r="BI206" s="341">
        <f>+SUM(BE27:BF27,BH27:BI27)</f>
        <v>2708.6849130973487</v>
      </c>
      <c r="BJ206" s="341">
        <f>+SUM(BF27,BH27:BJ27)</f>
        <v>2762.3717586586454</v>
      </c>
      <c r="BK206" s="393">
        <f>SUM(BH27:BK27)</f>
        <v>2845.3643304051698</v>
      </c>
      <c r="BL206" s="296">
        <f>+BK206</f>
        <v>2845.3643304051698</v>
      </c>
      <c r="BM206" s="392">
        <f>+SUM(BI27:BK27,BM27)</f>
        <v>2883.3001529722947</v>
      </c>
      <c r="BN206" s="341">
        <f>+SUM(BJ27:BK27,BM27:BN27)</f>
        <v>2979.7898933764163</v>
      </c>
      <c r="BO206" s="341">
        <f>+SUM(BK27,BM27:BO27)</f>
        <v>3045.5167128643889</v>
      </c>
      <c r="BP206" s="393">
        <f>SUM(BM27:BP27)</f>
        <v>3169.7135822503228</v>
      </c>
      <c r="BQ206" s="296">
        <f>+BP206</f>
        <v>3169.7135822503228</v>
      </c>
      <c r="BR206" s="296"/>
      <c r="BS206" s="296"/>
      <c r="BT206" s="296"/>
      <c r="BU206" s="296"/>
      <c r="BV206" s="296"/>
      <c r="BW206" s="296"/>
      <c r="BX206" s="296"/>
      <c r="CL206"/>
      <c r="CM206"/>
      <c r="CN206"/>
      <c r="CO206"/>
      <c r="CP206"/>
      <c r="CQ206"/>
    </row>
    <row r="207" spans="1:95" s="2" customFormat="1">
      <c r="A207" s="1523"/>
      <c r="C207" s="37" t="s">
        <v>310</v>
      </c>
      <c r="E207" s="434"/>
      <c r="F207" s="435"/>
      <c r="G207" s="435"/>
      <c r="H207" s="393">
        <f>SUM(E28:H28)</f>
        <v>4001</v>
      </c>
      <c r="I207" s="296">
        <f>+H207</f>
        <v>4001</v>
      </c>
      <c r="J207" s="392">
        <f>+SUM(F28:H28,J28)</f>
        <v>4096.25</v>
      </c>
      <c r="K207" s="341">
        <f>+SUM(G28:H28,J28:K28)</f>
        <v>3914.5</v>
      </c>
      <c r="L207" s="341">
        <f>+SUM(H28,J28:L28)</f>
        <v>4070.5</v>
      </c>
      <c r="M207" s="393">
        <f>SUM(J28:M28)</f>
        <v>4043</v>
      </c>
      <c r="N207" s="296">
        <f>+M207</f>
        <v>4043</v>
      </c>
      <c r="O207" s="392">
        <f>+SUM(K28:M28,O28)</f>
        <v>4006.75</v>
      </c>
      <c r="P207" s="341">
        <f>+SUM(L28:M28,O28:P28)</f>
        <v>4200.5</v>
      </c>
      <c r="Q207" s="341">
        <f>+SUM(M28,O28:Q28)</f>
        <v>3712.5</v>
      </c>
      <c r="R207" s="393">
        <f>SUM(O28:R28)</f>
        <v>3835</v>
      </c>
      <c r="S207" s="296">
        <f>+R207</f>
        <v>3835</v>
      </c>
      <c r="T207" s="392">
        <f>+SUM(P28:R28,T28)</f>
        <v>3738</v>
      </c>
      <c r="U207" s="341">
        <f>+SUM(Q28:R28,T28:U28)</f>
        <v>3554</v>
      </c>
      <c r="V207" s="341">
        <f>+SUM(R28,T28:V28)</f>
        <v>3688</v>
      </c>
      <c r="W207" s="393">
        <f>SUM(T28:W28)</f>
        <v>3488</v>
      </c>
      <c r="X207" s="296">
        <f>+W207</f>
        <v>3488</v>
      </c>
      <c r="Y207" s="392">
        <f>+SUM(U28:W28,Y28)</f>
        <v>3358</v>
      </c>
      <c r="Z207" s="341">
        <f>+SUM(V28:W28,Y28:Z28)</f>
        <v>3578</v>
      </c>
      <c r="AA207" s="341">
        <f>+SUM(W28,Y28:AA28)</f>
        <v>3671</v>
      </c>
      <c r="AB207" s="393">
        <f>SUM(Y28:AB28)</f>
        <v>3635</v>
      </c>
      <c r="AC207" s="296">
        <f>+AB207</f>
        <v>3635</v>
      </c>
      <c r="AD207" s="392">
        <f>+SUM(Z28:AB28,AD28)</f>
        <v>3752</v>
      </c>
      <c r="AE207" s="341">
        <f>+SUM(AA28:AB28,AD28:AE28)</f>
        <v>3530</v>
      </c>
      <c r="AF207" s="341">
        <f>+SUM(AB28,AD28:AF28)</f>
        <v>3580</v>
      </c>
      <c r="AG207" s="393">
        <f>SUM(AD28:AG28)</f>
        <v>4072</v>
      </c>
      <c r="AH207" s="296">
        <f>+AG207</f>
        <v>4072</v>
      </c>
      <c r="AI207" s="392">
        <f>+SUM(AE28:AG28,AI28)</f>
        <v>4435</v>
      </c>
      <c r="AJ207" s="341">
        <f>+SUM(AF28:AG28,AI28:AJ28)</f>
        <v>4667</v>
      </c>
      <c r="AK207" s="341">
        <f>+SUM(AG28,AI28:AK28)</f>
        <v>4677</v>
      </c>
      <c r="AL207" s="393">
        <f>SUM(AI28:AL28)</f>
        <v>4287</v>
      </c>
      <c r="AM207" s="296">
        <f>+AL207</f>
        <v>4287</v>
      </c>
      <c r="AN207" s="392">
        <f>+SUM(AJ28:AL28,AN28)</f>
        <v>3945</v>
      </c>
      <c r="AO207" s="341">
        <f>+SUM(AK28:AL28,AN28:AO28)</f>
        <v>3599</v>
      </c>
      <c r="AP207" s="341">
        <f>+SUM(AL28,AN28:AP28)</f>
        <v>3311</v>
      </c>
      <c r="AQ207" s="393">
        <f>SUM(AN28:AQ28)</f>
        <v>3159</v>
      </c>
      <c r="AR207" s="296">
        <f>+AQ207</f>
        <v>3159</v>
      </c>
      <c r="AS207" s="392">
        <f>+SUM(AO28:AQ28,AS28)</f>
        <v>3158</v>
      </c>
      <c r="AT207" s="341">
        <f>+SUM(AP28:AQ28,AS28:AT28)</f>
        <v>3459</v>
      </c>
      <c r="AU207" s="341">
        <f>+SUM(AQ28,AS28:AU28)</f>
        <v>3613</v>
      </c>
      <c r="AV207" s="393">
        <f>SUM(AS28:AV28)</f>
        <v>3645</v>
      </c>
      <c r="AW207" s="296">
        <f>+AV207</f>
        <v>3645</v>
      </c>
      <c r="AX207" s="392">
        <f>+SUM(AT28:AV28,AX28)</f>
        <v>3615.6506833260846</v>
      </c>
      <c r="AY207" s="341">
        <f>+SUM(AU28:AV28,AX28:AY28)</f>
        <v>3496.8867662651842</v>
      </c>
      <c r="AZ207" s="341">
        <f>+SUM(AV28:AW28,AY28:AZ28)</f>
        <v>6079.1161392547865</v>
      </c>
      <c r="BA207" s="393">
        <f>SUM(AX28:BA28)</f>
        <v>3530.0380948244742</v>
      </c>
      <c r="BB207" s="296">
        <f>+BA207</f>
        <v>3530.0380948244742</v>
      </c>
      <c r="BC207" s="392">
        <f>+SUM(AY28:BA28,BC28)</f>
        <v>3641.9713460489975</v>
      </c>
      <c r="BD207" s="341">
        <f>+SUM(AY28:BA28,BC28:BD28)</f>
        <v>4564.3999870842972</v>
      </c>
      <c r="BE207" s="341">
        <f>+SUM(BA28,BC28:BE28)</f>
        <v>3697.8416881402154</v>
      </c>
      <c r="BF207" s="393">
        <f>SUM(BC28:BF28)</f>
        <v>3693.3018944968371</v>
      </c>
      <c r="BG207" s="296">
        <f>+BF207</f>
        <v>3693.3018944968371</v>
      </c>
      <c r="BH207" s="392">
        <f>+SUM(BD28:BF28,BH28)</f>
        <v>3748.9918325217232</v>
      </c>
      <c r="BI207" s="341">
        <f>+SUM(BE28:BF28,BH28:BI28)</f>
        <v>3743.6319393382182</v>
      </c>
      <c r="BJ207" s="341">
        <f>+SUM(BF28,BH28:BJ28)</f>
        <v>3809.4724675773205</v>
      </c>
      <c r="BK207" s="393">
        <f>SUM(BH28:BK28)</f>
        <v>3904.2744587058237</v>
      </c>
      <c r="BL207" s="296">
        <f>+BK207</f>
        <v>3904.2744587058237</v>
      </c>
      <c r="BM207" s="392">
        <f>+SUM(BI28:BK28,BM28)</f>
        <v>3953.808172653577</v>
      </c>
      <c r="BN207" s="341">
        <f>+SUM(BJ28:BK28,BM28:BN28)</f>
        <v>4062.6881847894974</v>
      </c>
      <c r="BO207" s="341">
        <f>+SUM(BK28,BM28:BO28)</f>
        <v>4139.9506165543635</v>
      </c>
      <c r="BP207" s="393">
        <f>SUM(BM28:BP28)</f>
        <v>4274.8345080940526</v>
      </c>
      <c r="BQ207" s="296">
        <f>+BP207</f>
        <v>4274.8345080940526</v>
      </c>
      <c r="BR207" s="296"/>
      <c r="BS207" s="296"/>
      <c r="BT207" s="296"/>
      <c r="BU207" s="296"/>
      <c r="BV207" s="296"/>
      <c r="BW207" s="296"/>
      <c r="BX207" s="296"/>
      <c r="CL207"/>
      <c r="CM207"/>
      <c r="CN207"/>
      <c r="CO207"/>
      <c r="CP207"/>
      <c r="CQ207"/>
    </row>
    <row r="208" spans="1:95" s="2" customFormat="1">
      <c r="A208" s="1523"/>
      <c r="C208" s="37" t="s">
        <v>308</v>
      </c>
      <c r="E208" s="434"/>
      <c r="F208" s="435"/>
      <c r="G208" s="435"/>
      <c r="H208" s="393">
        <f>-SUM(E30:H30)</f>
        <v>-527</v>
      </c>
      <c r="I208" s="296">
        <f>+H208</f>
        <v>-527</v>
      </c>
      <c r="J208" s="392">
        <f>-SUM(F30:H30,J30)</f>
        <v>-498</v>
      </c>
      <c r="K208" s="341">
        <f>-SUM(G30:H30,J30:K30)</f>
        <v>-485</v>
      </c>
      <c r="L208" s="341">
        <f>-SUM(H30,J30:L30)</f>
        <v>-476</v>
      </c>
      <c r="M208" s="393">
        <f>-SUM(J30:M30)</f>
        <v>-472</v>
      </c>
      <c r="N208" s="296">
        <f>+M208</f>
        <v>-472</v>
      </c>
      <c r="O208" s="392">
        <f>-SUM(K30:M30,O30)</f>
        <v>-483</v>
      </c>
      <c r="P208" s="341">
        <f>-SUM(L30:M30,O30:P30)</f>
        <v>-480</v>
      </c>
      <c r="Q208" s="341">
        <f>-SUM(M30,O30:Q30)</f>
        <v>-477</v>
      </c>
      <c r="R208" s="393">
        <f>-SUM(O30:R30)</f>
        <v>-475</v>
      </c>
      <c r="S208" s="296">
        <f>+R208</f>
        <v>-475</v>
      </c>
      <c r="T208" s="392">
        <f>-SUM(P30:R30,T30)</f>
        <v>-449</v>
      </c>
      <c r="U208" s="341">
        <f>-SUM(Q30:R30,T30:U30)</f>
        <v>-435</v>
      </c>
      <c r="V208" s="341">
        <f>-SUM(R30,T30:V30)</f>
        <v>-424</v>
      </c>
      <c r="W208" s="393">
        <f>-SUM(T30:W30)</f>
        <v>-423</v>
      </c>
      <c r="X208" s="296">
        <f>+W208</f>
        <v>-423</v>
      </c>
      <c r="Y208" s="392">
        <f>-SUM(U30:W30,Y30)</f>
        <v>-424</v>
      </c>
      <c r="Z208" s="341">
        <f>-SUM(V30:W30,Y30:Z30)</f>
        <v>-422</v>
      </c>
      <c r="AA208" s="341">
        <f>-SUM(W30,Y30:AA30)</f>
        <v>-416</v>
      </c>
      <c r="AB208" s="393">
        <f>-SUM(Y30:AB30)</f>
        <v>-402</v>
      </c>
      <c r="AC208" s="296">
        <f>+AB208</f>
        <v>-402</v>
      </c>
      <c r="AD208" s="392">
        <f>-SUM(Z30:AB30,AD30)</f>
        <v>-397</v>
      </c>
      <c r="AE208" s="341">
        <f>-SUM(AA30:AB30,AD30:AE30)</f>
        <v>-390</v>
      </c>
      <c r="AF208" s="341">
        <f>-SUM(AB30,AD30:AF30)</f>
        <v>-390</v>
      </c>
      <c r="AG208" s="393">
        <f>-SUM(AD30:AG30)</f>
        <v>-389</v>
      </c>
      <c r="AH208" s="296">
        <f>+AG208</f>
        <v>-389</v>
      </c>
      <c r="AI208" s="392">
        <f>-SUM(AE30:AG30,AI30)</f>
        <v>-390</v>
      </c>
      <c r="AJ208" s="341">
        <f>-SUM(AF30:AG30,AI30:AJ30)</f>
        <v>-393</v>
      </c>
      <c r="AK208" s="341">
        <f>-SUM(AG30,AI30:AK30)</f>
        <v>-389</v>
      </c>
      <c r="AL208" s="393">
        <f>-SUM(AI30:AL30)</f>
        <v>-393</v>
      </c>
      <c r="AM208" s="296">
        <f>+AL208</f>
        <v>-393</v>
      </c>
      <c r="AN208" s="392">
        <f>-SUM(AJ30:AL30,AN30)</f>
        <v>-387</v>
      </c>
      <c r="AO208" s="341">
        <f>-SUM(AK30:AL30,AN30:AO30)</f>
        <v>-387</v>
      </c>
      <c r="AP208" s="341">
        <f>-SUM(AL30,AN30:AP30)</f>
        <v>-390</v>
      </c>
      <c r="AQ208" s="393">
        <f>-SUM(AN30:AQ30)</f>
        <v>-385</v>
      </c>
      <c r="AR208" s="296">
        <f>+AQ208</f>
        <v>-385</v>
      </c>
      <c r="AS208" s="392">
        <f>-SUM(AO30:AQ30,AS30)</f>
        <v>-391</v>
      </c>
      <c r="AT208" s="341">
        <f>-SUM(AP30:AQ30,AS30:AT30)</f>
        <v>-385</v>
      </c>
      <c r="AU208" s="341">
        <f>-SUM(AQ30,AS30:AU30)</f>
        <v>-386</v>
      </c>
      <c r="AV208" s="393">
        <f>-SUM(AS30:AV30)</f>
        <v>-391</v>
      </c>
      <c r="AW208" s="296">
        <f>+AV208</f>
        <v>-391</v>
      </c>
      <c r="AX208" s="392">
        <f>-SUM(AT30:AV30,AX30)</f>
        <v>-412.56</v>
      </c>
      <c r="AY208" s="341">
        <f>-SUM(AU30:AV30,AX30:AY30)</f>
        <v>-438.22545126852333</v>
      </c>
      <c r="AZ208" s="341">
        <f>-SUM(AV30:AW30,AY30:AZ30)</f>
        <v>-736.88954562833817</v>
      </c>
      <c r="BA208" s="393">
        <f>-SUM(AX30:BA30)</f>
        <v>-489.01530665481965</v>
      </c>
      <c r="BB208" s="296">
        <f>+BA208</f>
        <v>-489.01530665481965</v>
      </c>
      <c r="BC208" s="392">
        <f>-SUM(AY30:BA30,BC30)</f>
        <v>-503.94508179990362</v>
      </c>
      <c r="BD208" s="341">
        <f>-SUM(AY30:BA30,BC30:BD30)</f>
        <v>-639.54082008441355</v>
      </c>
      <c r="BE208" s="341">
        <f>-SUM(BA30,BC30:BE30)</f>
        <v>-543.00493759083997</v>
      </c>
      <c r="BF208" s="393">
        <f>-SUM(BC30:BF30)</f>
        <v>-569.18713373555101</v>
      </c>
      <c r="BG208" s="296">
        <f>+BF208</f>
        <v>-569.18713373555101</v>
      </c>
      <c r="BH208" s="392">
        <f>-SUM(BD30:BF30,BH30)</f>
        <v>-597.32317118379933</v>
      </c>
      <c r="BI208" s="341">
        <f>-SUM(BE30:BF30,BH30:BI30)</f>
        <v>-620.57536344321807</v>
      </c>
      <c r="BJ208" s="341">
        <f>-SUM(BF30,BH30:BJ30)</f>
        <v>-636.4398309262383</v>
      </c>
      <c r="BK208" s="393">
        <f>-SUM(BH30:BK30)</f>
        <v>-651.12138701286176</v>
      </c>
      <c r="BL208" s="296">
        <f>+BK208</f>
        <v>-651.12138701286176</v>
      </c>
      <c r="BM208" s="392">
        <f>-SUM(BI30:BK30,BM30)</f>
        <v>-666.57117327175888</v>
      </c>
      <c r="BN208" s="341">
        <f>-SUM(BJ30:BK30,BM30:BN30)</f>
        <v>-684.59664896240156</v>
      </c>
      <c r="BO208" s="341">
        <f>-SUM(BK30,BM30:BO30)</f>
        <v>-705.10419006804079</v>
      </c>
      <c r="BP208" s="393">
        <f>-SUM(BM30:BP30)</f>
        <v>-719.6490775347861</v>
      </c>
      <c r="BQ208" s="296">
        <f>+BP208</f>
        <v>-719.6490775347861</v>
      </c>
      <c r="BR208" s="296"/>
      <c r="BS208" s="296"/>
      <c r="BT208" s="296"/>
      <c r="BU208" s="296"/>
      <c r="BV208" s="296"/>
      <c r="BW208" s="296"/>
      <c r="BX208" s="296"/>
      <c r="CL208"/>
      <c r="CM208"/>
      <c r="CN208"/>
      <c r="CO208"/>
      <c r="CP208"/>
      <c r="CQ208"/>
    </row>
    <row r="209" spans="1:95" s="2" customFormat="1">
      <c r="A209" s="1523"/>
      <c r="C209" s="37" t="s">
        <v>313</v>
      </c>
      <c r="E209" s="434"/>
      <c r="F209" s="435"/>
      <c r="G209" s="435"/>
      <c r="H209" s="393">
        <f>SUM(E42:H42)</f>
        <v>1657</v>
      </c>
      <c r="I209" s="296">
        <f>+H209</f>
        <v>1657</v>
      </c>
      <c r="J209" s="392">
        <f>SUM(F42:H42,J42)</f>
        <v>1488.25</v>
      </c>
      <c r="K209" s="341">
        <f>SUM(G42:H42,J42:K42)</f>
        <v>1502.5</v>
      </c>
      <c r="L209" s="341">
        <f>SUM(H42,J42:L42)</f>
        <v>1576.5</v>
      </c>
      <c r="M209" s="393">
        <f>SUM(J42:M42)</f>
        <v>1545</v>
      </c>
      <c r="N209" s="296">
        <f>+M209</f>
        <v>1545</v>
      </c>
      <c r="O209" s="392">
        <f>SUM(K42:M42,O42)</f>
        <v>1605.75</v>
      </c>
      <c r="P209" s="341">
        <f>SUM(L42:M42,O42:P42)</f>
        <v>1574.5</v>
      </c>
      <c r="Q209" s="341">
        <f>SUM(M42,O42:Q42)</f>
        <v>1464.5</v>
      </c>
      <c r="R209" s="393">
        <f>SUM(O42:R42)</f>
        <v>1410</v>
      </c>
      <c r="S209" s="296">
        <f>+R209</f>
        <v>1410</v>
      </c>
      <c r="T209" s="392">
        <f>SUM(P42:R42,T42)</f>
        <v>1412</v>
      </c>
      <c r="U209" s="341">
        <f>SUM(Q42:R42,T42:U42)</f>
        <v>1332</v>
      </c>
      <c r="V209" s="341">
        <f>SUM(R42,T42:V42)</f>
        <v>1286</v>
      </c>
      <c r="W209" s="393">
        <f>SUM(T42:W42)</f>
        <v>1236</v>
      </c>
      <c r="X209" s="296">
        <f>+W209</f>
        <v>1236</v>
      </c>
      <c r="Y209" s="392">
        <f>SUM(U42:W42,Y42)</f>
        <v>1232</v>
      </c>
      <c r="Z209" s="341">
        <f>SUM(V42:W42,Y42:Z42)</f>
        <v>1253</v>
      </c>
      <c r="AA209" s="341">
        <f>SUM(W42,Y42:AA42)</f>
        <v>1256</v>
      </c>
      <c r="AB209" s="393">
        <f>SUM(Y42:AB42)</f>
        <v>1309</v>
      </c>
      <c r="AC209" s="296">
        <f>+AB209</f>
        <v>1309</v>
      </c>
      <c r="AD209" s="392">
        <f>SUM(Z42:AB42,AD42)</f>
        <v>1391</v>
      </c>
      <c r="AE209" s="341">
        <f>SUM(AA42:AB42,AD42:AE42)</f>
        <v>1393</v>
      </c>
      <c r="AF209" s="341">
        <f>SUM(AB42,AD42:AF42)</f>
        <v>1401</v>
      </c>
      <c r="AG209" s="393">
        <f>SUM(AD42:AG42)</f>
        <v>1400</v>
      </c>
      <c r="AH209" s="296">
        <f>+AG209</f>
        <v>1400</v>
      </c>
      <c r="AI209" s="392">
        <f>SUM(AE42:AG42,AI42)</f>
        <v>1414</v>
      </c>
      <c r="AJ209" s="341">
        <f>SUM(AF42:AG42,AI42:AJ42)</f>
        <v>1458</v>
      </c>
      <c r="AK209" s="341">
        <f>SUM(AG42,AI42:AK42)</f>
        <v>1468</v>
      </c>
      <c r="AL209" s="393">
        <f>SUM(AI42:AL42)</f>
        <v>1476</v>
      </c>
      <c r="AM209" s="296">
        <f>+AL209</f>
        <v>1476</v>
      </c>
      <c r="AN209" s="392">
        <f>SUM(AJ42:AL42,AN42)</f>
        <v>1410</v>
      </c>
      <c r="AO209" s="341">
        <f>SUM(AK42:AL42,AN42:AO42)</f>
        <v>1410</v>
      </c>
      <c r="AP209" s="341">
        <f>SUM(AL42,AN42:AP42)</f>
        <v>1451</v>
      </c>
      <c r="AQ209" s="393">
        <f>SUM(AN42:AQ42)</f>
        <v>1475</v>
      </c>
      <c r="AR209" s="296">
        <f>+AQ209</f>
        <v>1475</v>
      </c>
      <c r="AS209" s="392">
        <f>SUM(AO42:AQ42,AS42)</f>
        <v>1478</v>
      </c>
      <c r="AT209" s="341">
        <f>SUM(AP42:AQ42,AS42:AT42)</f>
        <v>1505</v>
      </c>
      <c r="AU209" s="341">
        <f>SUM(AQ42,AS42:AU42)</f>
        <v>1478</v>
      </c>
      <c r="AV209" s="393">
        <f>SUM(AS42:AV42)</f>
        <v>1488</v>
      </c>
      <c r="AW209" s="296">
        <f>+AV209</f>
        <v>1488</v>
      </c>
      <c r="AX209" s="392">
        <f>SUM(AT42:AV42,AX42)</f>
        <v>1550.7314610127958</v>
      </c>
      <c r="AY209" s="341">
        <f>SUM(AU42:AV42,AX42:AY42)</f>
        <v>1562.8946972626024</v>
      </c>
      <c r="AZ209" s="341">
        <f>SUM(AV42:AW42,AY42:AZ42)</f>
        <v>2571.4418668377421</v>
      </c>
      <c r="BA209" s="393">
        <f>SUM(AX42:BA42)</f>
        <v>1603.9201113696358</v>
      </c>
      <c r="BB209" s="296">
        <f>+BA209</f>
        <v>1603.9201113696358</v>
      </c>
      <c r="BC209" s="392">
        <f>SUM(AY42:BA42,BC42)</f>
        <v>1668.3005913153506</v>
      </c>
      <c r="BD209" s="341">
        <f>SUM(AY42:BA42,BC42:BD42)</f>
        <v>2081.1853800072886</v>
      </c>
      <c r="BE209" s="341">
        <f>SUM(BA42,BC42:BE42)</f>
        <v>1663.2092840015521</v>
      </c>
      <c r="BF209" s="393">
        <f>SUM(BC42:BF42)</f>
        <v>1628.1331173295689</v>
      </c>
      <c r="BG209" s="296">
        <f>+BF209</f>
        <v>1628.1331173295689</v>
      </c>
      <c r="BH209" s="392">
        <f>SUM(BD42:BF42,BH42)</f>
        <v>1639.5014201023541</v>
      </c>
      <c r="BI209" s="341">
        <f>SUM(BE42:BF42,BH42:BI42)</f>
        <v>1607.8443532336807</v>
      </c>
      <c r="BJ209" s="341">
        <f>SUM(BF42,BH42:BJ42)</f>
        <v>1636.9675843539535</v>
      </c>
      <c r="BK209" s="393">
        <f>SUM(BH42:BK42)</f>
        <v>1689.5670664120773</v>
      </c>
      <c r="BL209" s="296">
        <f>+BK209</f>
        <v>1689.5670664120773</v>
      </c>
      <c r="BM209" s="392">
        <f>SUM(BI42:BK42,BM42)</f>
        <v>1706.8813143694126</v>
      </c>
      <c r="BN209" s="341">
        <f>SUM(BJ42:BK42,BM42:BN42)</f>
        <v>1767.2987981987912</v>
      </c>
      <c r="BO209" s="341">
        <f>SUM(BK42,BM42:BO42)</f>
        <v>1802.117642553188</v>
      </c>
      <c r="BP209" s="393">
        <f>SUM(BM42:BP42)</f>
        <v>1886.5496686309634</v>
      </c>
      <c r="BQ209" s="296">
        <f>+BP209</f>
        <v>1886.5496686309634</v>
      </c>
      <c r="BR209" s="296"/>
      <c r="BS209" s="296"/>
      <c r="BT209" s="296"/>
      <c r="BU209" s="296"/>
      <c r="BV209" s="296"/>
      <c r="BW209" s="296"/>
      <c r="BX209" s="296"/>
      <c r="CL209"/>
      <c r="CM209"/>
      <c r="CN209"/>
      <c r="CO209"/>
      <c r="CP209"/>
      <c r="CQ209"/>
    </row>
    <row r="210" spans="1:95" s="2" customFormat="1">
      <c r="A210" s="1523"/>
      <c r="C210" s="37"/>
      <c r="E210" s="434"/>
      <c r="F210" s="435"/>
      <c r="G210" s="435"/>
      <c r="H210" s="436"/>
      <c r="I210" s="296"/>
      <c r="J210" s="392"/>
      <c r="K210" s="341"/>
      <c r="L210" s="341"/>
      <c r="M210" s="393"/>
      <c r="N210" s="296"/>
      <c r="O210" s="392"/>
      <c r="P210" s="341"/>
      <c r="Q210" s="341"/>
      <c r="R210" s="393"/>
      <c r="S210" s="296"/>
      <c r="T210" s="392"/>
      <c r="U210" s="341"/>
      <c r="V210" s="341"/>
      <c r="W210" s="393"/>
      <c r="X210" s="296"/>
      <c r="Y210" s="392"/>
      <c r="Z210" s="341"/>
      <c r="AA210" s="341"/>
      <c r="AB210" s="393"/>
      <c r="AC210" s="296"/>
      <c r="AD210" s="392"/>
      <c r="AE210" s="341"/>
      <c r="AF210" s="341"/>
      <c r="AG210" s="393"/>
      <c r="AH210" s="296"/>
      <c r="AI210" s="392"/>
      <c r="AJ210" s="341"/>
      <c r="AK210" s="341"/>
      <c r="AL210" s="393"/>
      <c r="AM210" s="296"/>
      <c r="AN210" s="392"/>
      <c r="AO210" s="341"/>
      <c r="AP210" s="341"/>
      <c r="AQ210" s="393"/>
      <c r="AR210" s="296"/>
      <c r="AS210" s="392"/>
      <c r="AT210" s="341"/>
      <c r="AU210" s="341"/>
      <c r="AV210" s="393"/>
      <c r="AW210" s="296"/>
      <c r="AX210" s="392"/>
      <c r="AY210" s="341"/>
      <c r="AZ210" s="341"/>
      <c r="BA210" s="393"/>
      <c r="BB210" s="296"/>
      <c r="BC210" s="392"/>
      <c r="BD210" s="341"/>
      <c r="BE210" s="341"/>
      <c r="BF210" s="393"/>
      <c r="BG210" s="296"/>
      <c r="BH210" s="392"/>
      <c r="BI210" s="341"/>
      <c r="BJ210" s="341"/>
      <c r="BK210" s="393"/>
      <c r="BL210" s="296"/>
      <c r="BM210" s="392"/>
      <c r="BN210" s="341"/>
      <c r="BO210" s="341"/>
      <c r="BP210" s="393"/>
      <c r="BQ210" s="296"/>
      <c r="BR210" s="296"/>
      <c r="BS210" s="296"/>
      <c r="BT210" s="296"/>
      <c r="BU210" s="296"/>
      <c r="BV210" s="296"/>
      <c r="BW210" s="296"/>
      <c r="BX210" s="296"/>
      <c r="CL210"/>
      <c r="CM210"/>
      <c r="CN210"/>
      <c r="CO210"/>
      <c r="CP210"/>
      <c r="CQ210"/>
    </row>
    <row r="211" spans="1:95" s="2" customFormat="1">
      <c r="A211" s="1523"/>
      <c r="C211" s="37" t="s">
        <v>432</v>
      </c>
      <c r="E211" s="434">
        <f t="shared" ref="E211:AR211" si="307">SUM(E158:E159,E164)</f>
        <v>8914</v>
      </c>
      <c r="F211" s="435">
        <f t="shared" si="307"/>
        <v>8884</v>
      </c>
      <c r="G211" s="435">
        <f t="shared" si="307"/>
        <v>8457</v>
      </c>
      <c r="H211" s="436">
        <f t="shared" si="307"/>
        <v>8734</v>
      </c>
      <c r="I211" s="296">
        <f t="shared" si="307"/>
        <v>8734</v>
      </c>
      <c r="J211" s="392">
        <f t="shared" si="307"/>
        <v>8173</v>
      </c>
      <c r="K211" s="341">
        <f t="shared" si="307"/>
        <v>9137</v>
      </c>
      <c r="L211" s="341">
        <f t="shared" si="307"/>
        <v>9156</v>
      </c>
      <c r="M211" s="393">
        <f t="shared" si="307"/>
        <v>9037</v>
      </c>
      <c r="N211" s="296">
        <f t="shared" si="307"/>
        <v>9037</v>
      </c>
      <c r="O211" s="392">
        <f t="shared" si="307"/>
        <v>8908</v>
      </c>
      <c r="P211" s="341">
        <f t="shared" si="307"/>
        <v>8548</v>
      </c>
      <c r="Q211" s="341">
        <f t="shared" si="307"/>
        <v>8755</v>
      </c>
      <c r="R211" s="393">
        <f t="shared" si="307"/>
        <v>8094</v>
      </c>
      <c r="S211" s="296">
        <f t="shared" si="307"/>
        <v>8094</v>
      </c>
      <c r="T211" s="392">
        <f t="shared" si="307"/>
        <v>8007</v>
      </c>
      <c r="U211" s="341">
        <f t="shared" si="307"/>
        <v>8324</v>
      </c>
      <c r="V211" s="341">
        <f t="shared" ref="V211:AC211" si="308">SUM(V158:V159,V164)</f>
        <v>8309</v>
      </c>
      <c r="W211" s="393">
        <f t="shared" si="308"/>
        <v>8202</v>
      </c>
      <c r="X211" s="296">
        <f t="shared" si="308"/>
        <v>8202</v>
      </c>
      <c r="Y211" s="392">
        <f t="shared" si="308"/>
        <v>8279</v>
      </c>
      <c r="Z211" s="341">
        <f t="shared" si="308"/>
        <v>8407</v>
      </c>
      <c r="AA211" s="341">
        <f t="shared" si="308"/>
        <v>8486</v>
      </c>
      <c r="AB211" s="393">
        <f t="shared" si="308"/>
        <v>8703</v>
      </c>
      <c r="AC211" s="296">
        <f t="shared" si="308"/>
        <v>8703</v>
      </c>
      <c r="AD211" s="392">
        <f>SUM(AD158:AD159,AD164)</f>
        <v>8588</v>
      </c>
      <c r="AE211" s="341">
        <f>SUM(AE158:AE159,AE164)</f>
        <v>9027</v>
      </c>
      <c r="AF211" s="341">
        <f t="shared" si="307"/>
        <v>8963</v>
      </c>
      <c r="AG211" s="393">
        <f t="shared" si="307"/>
        <v>9144</v>
      </c>
      <c r="AH211" s="296">
        <f t="shared" si="307"/>
        <v>9144</v>
      </c>
      <c r="AI211" s="392">
        <f t="shared" si="307"/>
        <v>9084</v>
      </c>
      <c r="AJ211" s="341">
        <f t="shared" si="307"/>
        <v>9314</v>
      </c>
      <c r="AK211" s="341">
        <f t="shared" si="307"/>
        <v>9258</v>
      </c>
      <c r="AL211" s="393">
        <f t="shared" si="307"/>
        <v>9932</v>
      </c>
      <c r="AM211" s="296">
        <f t="shared" si="307"/>
        <v>9932</v>
      </c>
      <c r="AN211" s="392">
        <f>SUM(AN158:AN159,AN164)</f>
        <v>10250</v>
      </c>
      <c r="AO211" s="341">
        <f>SUM(AO158:AO159,AO164)</f>
        <v>10935</v>
      </c>
      <c r="AP211" s="341">
        <f>SUM(AP158:AP159,AP164)</f>
        <v>10952</v>
      </c>
      <c r="AQ211" s="393">
        <f t="shared" si="307"/>
        <v>11783</v>
      </c>
      <c r="AR211" s="296">
        <f t="shared" si="307"/>
        <v>11783</v>
      </c>
      <c r="AS211" s="392">
        <f t="shared" ref="AS211:BB211" si="309">SUM(AS158:AS159,AS164)</f>
        <v>11713</v>
      </c>
      <c r="AT211" s="341">
        <f t="shared" si="309"/>
        <v>12521</v>
      </c>
      <c r="AU211" s="341">
        <f t="shared" si="309"/>
        <v>12726</v>
      </c>
      <c r="AV211" s="393">
        <f t="shared" si="309"/>
        <v>13610</v>
      </c>
      <c r="AW211" s="296">
        <f t="shared" si="309"/>
        <v>13610</v>
      </c>
      <c r="AX211" s="392">
        <f t="shared" si="309"/>
        <v>14068</v>
      </c>
      <c r="AY211" s="341">
        <f t="shared" si="309"/>
        <v>14918</v>
      </c>
      <c r="AZ211" s="341">
        <f>SUM(AZ158:AZ159,AZ164)</f>
        <v>15168</v>
      </c>
      <c r="BA211" s="393">
        <f t="shared" si="309"/>
        <v>14918</v>
      </c>
      <c r="BB211" s="296">
        <f t="shared" si="309"/>
        <v>14918</v>
      </c>
      <c r="BC211" s="392">
        <f t="shared" ref="BC211:BL211" si="310">SUM(BC158:BC159,BC164)</f>
        <v>14907.626275160284</v>
      </c>
      <c r="BD211" s="341">
        <f t="shared" si="310"/>
        <v>15424</v>
      </c>
      <c r="BE211" s="341">
        <f t="shared" si="310"/>
        <v>16574</v>
      </c>
      <c r="BF211" s="393">
        <f t="shared" si="310"/>
        <v>16174</v>
      </c>
      <c r="BG211" s="296">
        <f t="shared" si="310"/>
        <v>16174</v>
      </c>
      <c r="BH211" s="392">
        <f t="shared" si="310"/>
        <v>16174</v>
      </c>
      <c r="BI211" s="341">
        <f t="shared" si="310"/>
        <v>16918</v>
      </c>
      <c r="BJ211" s="341">
        <f t="shared" si="310"/>
        <v>17418</v>
      </c>
      <c r="BK211" s="393">
        <f t="shared" si="310"/>
        <v>17409</v>
      </c>
      <c r="BL211" s="296">
        <f t="shared" si="310"/>
        <v>17409</v>
      </c>
      <c r="BM211" s="392">
        <f>SUM(BM158:BM159,BM164)</f>
        <v>17265.611479729581</v>
      </c>
      <c r="BN211" s="341">
        <f>SUM(BN158:BN159,BN164)</f>
        <v>17458.661536595802</v>
      </c>
      <c r="BO211" s="341">
        <f>SUM(BO158:BO159,BO164)</f>
        <v>18375</v>
      </c>
      <c r="BP211" s="393">
        <f>SUM(BP158:BP159,BP164)</f>
        <v>18075</v>
      </c>
      <c r="BQ211" s="296">
        <f>SUM(BQ158:BQ159,BQ164)</f>
        <v>18075</v>
      </c>
      <c r="BR211" s="296"/>
      <c r="BS211" s="296"/>
      <c r="BT211" s="296"/>
      <c r="BU211" s="296"/>
      <c r="BV211" s="296"/>
      <c r="BW211" s="296"/>
      <c r="BX211" s="296"/>
      <c r="CL211"/>
      <c r="CM211"/>
      <c r="CN211"/>
      <c r="CO211"/>
      <c r="CP211"/>
      <c r="CQ211"/>
    </row>
    <row r="212" spans="1:95" s="2" customFormat="1">
      <c r="A212" s="1523"/>
      <c r="C212" s="37" t="s">
        <v>433</v>
      </c>
      <c r="E212" s="434">
        <f t="shared" ref="E212:AR212" si="311">E211-E140</f>
        <v>7682</v>
      </c>
      <c r="F212" s="435">
        <f t="shared" si="311"/>
        <v>8491</v>
      </c>
      <c r="G212" s="435">
        <f t="shared" si="311"/>
        <v>8327</v>
      </c>
      <c r="H212" s="436">
        <f t="shared" si="311"/>
        <v>8384</v>
      </c>
      <c r="I212" s="296">
        <f t="shared" si="311"/>
        <v>8384</v>
      </c>
      <c r="J212" s="392">
        <f t="shared" si="311"/>
        <v>7861</v>
      </c>
      <c r="K212" s="341">
        <f t="shared" si="311"/>
        <v>9080</v>
      </c>
      <c r="L212" s="341">
        <f t="shared" si="311"/>
        <v>8824</v>
      </c>
      <c r="M212" s="393">
        <f t="shared" si="311"/>
        <v>8757</v>
      </c>
      <c r="N212" s="296">
        <f t="shared" si="311"/>
        <v>8757</v>
      </c>
      <c r="O212" s="392">
        <f t="shared" si="311"/>
        <v>8008</v>
      </c>
      <c r="P212" s="341">
        <f t="shared" si="311"/>
        <v>8389</v>
      </c>
      <c r="Q212" s="341">
        <f t="shared" si="311"/>
        <v>7513</v>
      </c>
      <c r="R212" s="393">
        <f t="shared" si="311"/>
        <v>7260</v>
      </c>
      <c r="S212" s="296">
        <f t="shared" si="311"/>
        <v>7260</v>
      </c>
      <c r="T212" s="392">
        <f t="shared" si="311"/>
        <v>7076</v>
      </c>
      <c r="U212" s="341">
        <f t="shared" si="311"/>
        <v>7559</v>
      </c>
      <c r="V212" s="341">
        <f t="shared" si="311"/>
        <v>7529</v>
      </c>
      <c r="W212" s="393">
        <f t="shared" ref="W212:AC212" si="312">W211-W140</f>
        <v>7823</v>
      </c>
      <c r="X212" s="296">
        <f t="shared" si="312"/>
        <v>7823</v>
      </c>
      <c r="Y212" s="392">
        <f t="shared" si="312"/>
        <v>7859</v>
      </c>
      <c r="Z212" s="341">
        <f t="shared" si="312"/>
        <v>8243</v>
      </c>
      <c r="AA212" s="341">
        <f t="shared" si="312"/>
        <v>8038</v>
      </c>
      <c r="AB212" s="393">
        <f t="shared" si="312"/>
        <v>8210</v>
      </c>
      <c r="AC212" s="296">
        <f t="shared" si="312"/>
        <v>8210</v>
      </c>
      <c r="AD212" s="392">
        <f>AD211-AD140</f>
        <v>7933</v>
      </c>
      <c r="AE212" s="341">
        <f>AE211-AE140</f>
        <v>8457</v>
      </c>
      <c r="AF212" s="341">
        <f t="shared" si="311"/>
        <v>8260</v>
      </c>
      <c r="AG212" s="393">
        <f t="shared" si="311"/>
        <v>8742</v>
      </c>
      <c r="AH212" s="296">
        <f t="shared" si="311"/>
        <v>8742</v>
      </c>
      <c r="AI212" s="392">
        <f t="shared" si="311"/>
        <v>8076</v>
      </c>
      <c r="AJ212" s="341">
        <f t="shared" si="311"/>
        <v>8717</v>
      </c>
      <c r="AK212" s="341">
        <f t="shared" si="311"/>
        <v>8987</v>
      </c>
      <c r="AL212" s="393">
        <f t="shared" si="311"/>
        <v>9538</v>
      </c>
      <c r="AM212" s="296">
        <f t="shared" si="311"/>
        <v>9538</v>
      </c>
      <c r="AN212" s="392">
        <f>AN211-AN140</f>
        <v>9658</v>
      </c>
      <c r="AO212" s="341">
        <f>AO211-AO140</f>
        <v>10287</v>
      </c>
      <c r="AP212" s="341">
        <f>AP211-AP140</f>
        <v>10502</v>
      </c>
      <c r="AQ212" s="393">
        <f t="shared" si="311"/>
        <v>11360</v>
      </c>
      <c r="AR212" s="296">
        <f t="shared" si="311"/>
        <v>11360</v>
      </c>
      <c r="AS212" s="392">
        <f t="shared" ref="AS212:BB212" si="313">AS211-AS140</f>
        <v>11520</v>
      </c>
      <c r="AT212" s="341">
        <f t="shared" si="313"/>
        <v>12091</v>
      </c>
      <c r="AU212" s="341">
        <f t="shared" si="313"/>
        <v>12448</v>
      </c>
      <c r="AV212" s="393">
        <f t="shared" si="313"/>
        <v>13297</v>
      </c>
      <c r="AW212" s="296">
        <f t="shared" si="313"/>
        <v>13297</v>
      </c>
      <c r="AX212" s="392">
        <f t="shared" si="313"/>
        <v>13547.513840742673</v>
      </c>
      <c r="AY212" s="341">
        <f t="shared" si="313"/>
        <v>13993.637743925934</v>
      </c>
      <c r="AZ212" s="341">
        <f>AZ211-AZ140</f>
        <v>14338.098231150008</v>
      </c>
      <c r="BA212" s="393">
        <f t="shared" si="313"/>
        <v>14788.923898776255</v>
      </c>
      <c r="BB212" s="296">
        <f t="shared" si="313"/>
        <v>14788.923898776255</v>
      </c>
      <c r="BC212" s="392">
        <f t="shared" ref="BC212:BL212" si="314">BC211-BC140</f>
        <v>14907.626275160284</v>
      </c>
      <c r="BD212" s="341">
        <f t="shared" si="314"/>
        <v>15202.755823755788</v>
      </c>
      <c r="BE212" s="341">
        <f t="shared" si="314"/>
        <v>15530.635689993955</v>
      </c>
      <c r="BF212" s="393">
        <f t="shared" si="314"/>
        <v>15985.667529619903</v>
      </c>
      <c r="BG212" s="296">
        <f t="shared" si="314"/>
        <v>15985.667529619903</v>
      </c>
      <c r="BH212" s="392">
        <f t="shared" si="314"/>
        <v>16124.382727523307</v>
      </c>
      <c r="BI212" s="341">
        <f t="shared" si="314"/>
        <v>16482.839349868736</v>
      </c>
      <c r="BJ212" s="341">
        <f t="shared" si="314"/>
        <v>16813.613297602576</v>
      </c>
      <c r="BK212" s="393">
        <f t="shared" si="314"/>
        <v>17248.407231082172</v>
      </c>
      <c r="BL212" s="296">
        <f t="shared" si="314"/>
        <v>17248.407231082172</v>
      </c>
      <c r="BM212" s="392">
        <f>BM211-BM140</f>
        <v>17265.611479729581</v>
      </c>
      <c r="BN212" s="341">
        <f>BN211-BN140</f>
        <v>17458.661536595802</v>
      </c>
      <c r="BO212" s="341">
        <f>BO211-BO140</f>
        <v>17650.482217780318</v>
      </c>
      <c r="BP212" s="393">
        <f>BP211-BP140</f>
        <v>17897.558293110353</v>
      </c>
      <c r="BQ212" s="296">
        <f>BQ211-BQ140</f>
        <v>17897.558293110353</v>
      </c>
      <c r="BR212" s="296"/>
      <c r="BS212" s="296"/>
      <c r="BT212" s="296"/>
      <c r="BU212" s="296"/>
      <c r="BV212" s="296"/>
      <c r="BW212" s="296"/>
      <c r="BX212" s="296"/>
      <c r="CL212"/>
      <c r="CM212"/>
      <c r="CN212"/>
      <c r="CO212"/>
      <c r="CP212"/>
      <c r="CQ212"/>
    </row>
    <row r="213" spans="1:95" s="2" customFormat="1">
      <c r="A213" s="1523"/>
      <c r="C213" s="37" t="s">
        <v>835</v>
      </c>
      <c r="E213" s="434"/>
      <c r="F213" s="435"/>
      <c r="G213" s="435"/>
      <c r="H213" s="436"/>
      <c r="I213" s="296">
        <f>I42+I111</f>
        <v>2495</v>
      </c>
      <c r="J213" s="392"/>
      <c r="K213" s="341"/>
      <c r="L213" s="341"/>
      <c r="M213" s="393"/>
      <c r="N213" s="296">
        <f>N42+N111</f>
        <v>2578</v>
      </c>
      <c r="O213" s="392"/>
      <c r="P213" s="341"/>
      <c r="Q213" s="341"/>
      <c r="R213" s="393"/>
      <c r="S213" s="296">
        <f>S42+S111</f>
        <v>2392</v>
      </c>
      <c r="T213" s="392"/>
      <c r="U213" s="341"/>
      <c r="V213" s="341"/>
      <c r="W213" s="393"/>
      <c r="X213" s="296">
        <f>X42+X111</f>
        <v>2290</v>
      </c>
      <c r="Y213" s="392"/>
      <c r="Z213" s="341"/>
      <c r="AA213" s="341"/>
      <c r="AB213" s="393"/>
      <c r="AC213" s="296">
        <f>AC42+AC111+Power!AC293</f>
        <v>2487.9299999999998</v>
      </c>
      <c r="AD213" s="392"/>
      <c r="AE213" s="341"/>
      <c r="AF213" s="341"/>
      <c r="AG213" s="393"/>
      <c r="AH213" s="296">
        <f>AH42+AH111+Power!AH297</f>
        <v>2828.1292627399998</v>
      </c>
      <c r="AI213" s="392"/>
      <c r="AJ213" s="341"/>
      <c r="AK213" s="341"/>
      <c r="AL213" s="393"/>
      <c r="AM213" s="296">
        <f>AM42+AM111+Power!AM297</f>
        <v>2904.834531086</v>
      </c>
      <c r="AN213" s="392"/>
      <c r="AO213" s="341"/>
      <c r="AP213" s="341"/>
      <c r="AQ213" s="393"/>
      <c r="AR213" s="296">
        <f>AR42+AR111+Power!AR297</f>
        <v>3176.346674109644</v>
      </c>
      <c r="AS213" s="392"/>
      <c r="AT213" s="341"/>
      <c r="AU213" s="341"/>
      <c r="AV213" s="393"/>
      <c r="AW213" s="296">
        <f>AW42+AW111+Power!AW297</f>
        <v>3697.227822375</v>
      </c>
      <c r="AX213" s="392"/>
      <c r="AY213" s="341"/>
      <c r="AZ213" s="341"/>
      <c r="BA213" s="393"/>
      <c r="BB213" s="296">
        <f>BB42+BB111+Power!BB297</f>
        <v>2787.3898684891628</v>
      </c>
      <c r="BC213" s="392"/>
      <c r="BD213" s="341"/>
      <c r="BE213" s="341"/>
      <c r="BF213" s="393"/>
      <c r="BG213" s="296">
        <f>BG42+BG111+Power!BG297</f>
        <v>2858.1993300610729</v>
      </c>
      <c r="BH213" s="392"/>
      <c r="BI213" s="341"/>
      <c r="BJ213" s="341"/>
      <c r="BK213" s="393"/>
      <c r="BL213" s="296">
        <f>BL42+BL111+Power!BL297</f>
        <v>2971.0913410765042</v>
      </c>
      <c r="BM213" s="392"/>
      <c r="BN213" s="341"/>
      <c r="BO213" s="341"/>
      <c r="BP213" s="393"/>
      <c r="BQ213" s="296">
        <f>BQ42+BQ111+Power!BQ297</f>
        <v>3216.5108823021028</v>
      </c>
      <c r="BR213" s="296"/>
      <c r="BS213" s="296"/>
      <c r="BT213" s="296"/>
      <c r="BU213" s="296"/>
      <c r="BV213" s="296"/>
      <c r="BW213" s="296"/>
      <c r="BX213" s="296"/>
      <c r="CL213"/>
      <c r="CM213"/>
      <c r="CN213"/>
      <c r="CO213"/>
      <c r="CP213"/>
      <c r="CQ213"/>
    </row>
    <row r="214" spans="1:95" s="2" customFormat="1">
      <c r="A214" s="1523"/>
      <c r="C214" s="37" t="s">
        <v>434</v>
      </c>
      <c r="E214" s="434"/>
      <c r="F214" s="435"/>
      <c r="G214" s="435"/>
      <c r="H214" s="436"/>
      <c r="I214" s="296">
        <f>I32</f>
        <v>2636</v>
      </c>
      <c r="J214" s="392"/>
      <c r="K214" s="341"/>
      <c r="L214" s="341"/>
      <c r="M214" s="393"/>
      <c r="N214" s="296">
        <f>N32</f>
        <v>2616</v>
      </c>
      <c r="O214" s="392"/>
      <c r="P214" s="341"/>
      <c r="Q214" s="341"/>
      <c r="R214" s="393"/>
      <c r="S214" s="296">
        <f>S32</f>
        <v>2384</v>
      </c>
      <c r="T214" s="392"/>
      <c r="U214" s="341"/>
      <c r="V214" s="341"/>
      <c r="W214" s="393"/>
      <c r="X214" s="296">
        <f>X32</f>
        <v>2011</v>
      </c>
      <c r="Y214" s="392"/>
      <c r="Z214" s="341"/>
      <c r="AA214" s="341"/>
      <c r="AB214" s="393"/>
      <c r="AC214" s="296">
        <f>AC32</f>
        <v>2055</v>
      </c>
      <c r="AD214" s="392"/>
      <c r="AE214" s="341"/>
      <c r="AF214" s="341"/>
      <c r="AG214" s="393"/>
      <c r="AH214" s="296">
        <f>AH32</f>
        <v>2456</v>
      </c>
      <c r="AI214" s="392"/>
      <c r="AJ214" s="341"/>
      <c r="AK214" s="341"/>
      <c r="AL214" s="393"/>
      <c r="AM214" s="296">
        <f>AM32</f>
        <v>2680</v>
      </c>
      <c r="AN214" s="392"/>
      <c r="AO214" s="341"/>
      <c r="AP214" s="341"/>
      <c r="AQ214" s="393"/>
      <c r="AR214" s="296">
        <f>AR32</f>
        <v>1298</v>
      </c>
      <c r="AS214" s="392"/>
      <c r="AT214" s="341"/>
      <c r="AU214" s="341"/>
      <c r="AV214" s="393"/>
      <c r="AW214" s="296">
        <f>AW32</f>
        <v>1268</v>
      </c>
      <c r="AX214" s="392"/>
      <c r="AY214" s="341"/>
      <c r="AZ214" s="341"/>
      <c r="BA214" s="393"/>
      <c r="BB214" s="296">
        <f>BB32</f>
        <v>2083.0131316488778</v>
      </c>
      <c r="BC214" s="392"/>
      <c r="BD214" s="341"/>
      <c r="BE214" s="341"/>
      <c r="BF214" s="393"/>
      <c r="BG214" s="296">
        <f>BG32</f>
        <v>2114.4585939345029</v>
      </c>
      <c r="BH214" s="392"/>
      <c r="BI214" s="341"/>
      <c r="BJ214" s="341"/>
      <c r="BK214" s="393"/>
      <c r="BL214" s="296">
        <f>BL32</f>
        <v>2194.2429433923089</v>
      </c>
      <c r="BM214" s="392"/>
      <c r="BN214" s="341"/>
      <c r="BO214" s="341"/>
      <c r="BP214" s="393"/>
      <c r="BQ214" s="296">
        <f>BQ32</f>
        <v>2450.0645047155363</v>
      </c>
      <c r="BR214" s="296"/>
      <c r="BS214" s="296"/>
      <c r="BT214" s="296"/>
      <c r="BU214" s="296"/>
      <c r="BV214" s="296"/>
      <c r="BW214" s="296"/>
      <c r="BX214" s="296"/>
      <c r="CL214"/>
      <c r="CM214"/>
      <c r="CN214"/>
      <c r="CO214"/>
      <c r="CP214"/>
      <c r="CQ214"/>
    </row>
    <row r="215" spans="1:95" s="2" customFormat="1">
      <c r="A215" s="1523"/>
      <c r="C215" s="37" t="s">
        <v>435</v>
      </c>
      <c r="E215" s="434"/>
      <c r="F215" s="435"/>
      <c r="G215" s="435"/>
      <c r="H215" s="436"/>
      <c r="I215" s="296">
        <f>I30</f>
        <v>527</v>
      </c>
      <c r="J215" s="392"/>
      <c r="K215" s="341"/>
      <c r="L215" s="341"/>
      <c r="M215" s="393"/>
      <c r="N215" s="296">
        <f>N30</f>
        <v>472</v>
      </c>
      <c r="O215" s="392"/>
      <c r="P215" s="341"/>
      <c r="Q215" s="341"/>
      <c r="R215" s="393"/>
      <c r="S215" s="296">
        <f>S30</f>
        <v>475</v>
      </c>
      <c r="T215" s="392"/>
      <c r="U215" s="341"/>
      <c r="V215" s="341"/>
      <c r="W215" s="393"/>
      <c r="X215" s="296">
        <f>X30</f>
        <v>423</v>
      </c>
      <c r="Y215" s="392"/>
      <c r="Z215" s="341"/>
      <c r="AA215" s="341"/>
      <c r="AB215" s="393"/>
      <c r="AC215" s="296">
        <f>AC30</f>
        <v>402</v>
      </c>
      <c r="AD215" s="392"/>
      <c r="AE215" s="341"/>
      <c r="AF215" s="341"/>
      <c r="AG215" s="393"/>
      <c r="AH215" s="296">
        <f>AH30</f>
        <v>389</v>
      </c>
      <c r="AI215" s="392"/>
      <c r="AJ215" s="341"/>
      <c r="AK215" s="341"/>
      <c r="AL215" s="393"/>
      <c r="AM215" s="296">
        <f>AM30</f>
        <v>393</v>
      </c>
      <c r="AN215" s="392"/>
      <c r="AO215" s="341"/>
      <c r="AP215" s="341"/>
      <c r="AQ215" s="393"/>
      <c r="AR215" s="296">
        <f>AR30</f>
        <v>385</v>
      </c>
      <c r="AS215" s="392"/>
      <c r="AT215" s="341"/>
      <c r="AU215" s="341"/>
      <c r="AV215" s="393"/>
      <c r="AW215" s="296">
        <f>AW30</f>
        <v>391</v>
      </c>
      <c r="AX215" s="392"/>
      <c r="AY215" s="341"/>
      <c r="AZ215" s="341"/>
      <c r="BA215" s="393"/>
      <c r="BB215" s="296">
        <f>BB30</f>
        <v>489.01530665481965</v>
      </c>
      <c r="BC215" s="392"/>
      <c r="BD215" s="341"/>
      <c r="BE215" s="341"/>
      <c r="BF215" s="393"/>
      <c r="BG215" s="296">
        <f>BG30</f>
        <v>569.18713373555101</v>
      </c>
      <c r="BH215" s="392"/>
      <c r="BI215" s="341"/>
      <c r="BJ215" s="341"/>
      <c r="BK215" s="393"/>
      <c r="BL215" s="296">
        <f>BL30</f>
        <v>651.12138701286176</v>
      </c>
      <c r="BM215" s="392"/>
      <c r="BN215" s="341"/>
      <c r="BO215" s="341"/>
      <c r="BP215" s="393"/>
      <c r="BQ215" s="296">
        <f>BQ30</f>
        <v>719.6490775347861</v>
      </c>
      <c r="BR215" s="296"/>
      <c r="BS215" s="296"/>
      <c r="BT215" s="296"/>
      <c r="BU215" s="296"/>
      <c r="BV215" s="296"/>
      <c r="BW215" s="296"/>
      <c r="BX215" s="296"/>
      <c r="CL215"/>
      <c r="CM215"/>
      <c r="CN215"/>
      <c r="CO215"/>
      <c r="CP215"/>
      <c r="CQ215"/>
    </row>
    <row r="216" spans="1:95" s="2" customFormat="1">
      <c r="A216" s="1523"/>
      <c r="C216" s="37"/>
      <c r="E216" s="365"/>
      <c r="F216" s="6"/>
      <c r="G216" s="6"/>
      <c r="H216" s="366"/>
      <c r="J216" s="365"/>
      <c r="K216" s="6"/>
      <c r="L216" s="6"/>
      <c r="M216" s="366"/>
      <c r="O216" s="365"/>
      <c r="P216" s="6"/>
      <c r="Q216" s="6"/>
      <c r="R216" s="366"/>
      <c r="T216" s="365"/>
      <c r="U216" s="6"/>
      <c r="V216" s="6"/>
      <c r="W216" s="366"/>
      <c r="Y216" s="365"/>
      <c r="Z216" s="6"/>
      <c r="AA216" s="6"/>
      <c r="AB216" s="366"/>
      <c r="AD216" s="365"/>
      <c r="AE216" s="6"/>
      <c r="AF216" s="6"/>
      <c r="AG216" s="366"/>
      <c r="AI216" s="365"/>
      <c r="AJ216" s="6"/>
      <c r="AK216" s="6"/>
      <c r="AL216" s="366"/>
      <c r="AN216" s="365"/>
      <c r="AO216" s="6"/>
      <c r="AP216" s="6"/>
      <c r="AQ216" s="366"/>
      <c r="AS216" s="365"/>
      <c r="AT216" s="6"/>
      <c r="AU216" s="6"/>
      <c r="AV216" s="366"/>
      <c r="AX216" s="365"/>
      <c r="AY216" s="6"/>
      <c r="AZ216" s="6"/>
      <c r="BA216" s="366"/>
      <c r="BC216" s="365"/>
      <c r="BD216" s="6"/>
      <c r="BE216" s="6"/>
      <c r="BF216" s="366"/>
      <c r="BH216" s="365"/>
      <c r="BI216" s="6"/>
      <c r="BJ216" s="6"/>
      <c r="BK216" s="366"/>
      <c r="BM216" s="365"/>
      <c r="BN216" s="6"/>
      <c r="BO216" s="6"/>
      <c r="BP216" s="366"/>
      <c r="CL216"/>
      <c r="CM216"/>
      <c r="CN216"/>
      <c r="CO216"/>
      <c r="CP216"/>
      <c r="CQ216"/>
    </row>
    <row r="217" spans="1:95" s="2" customFormat="1">
      <c r="A217" s="1523"/>
      <c r="C217" s="49" t="s">
        <v>436</v>
      </c>
      <c r="E217" s="365"/>
      <c r="F217" s="6"/>
      <c r="G217" s="6"/>
      <c r="H217" s="366"/>
      <c r="J217" s="365"/>
      <c r="K217" s="6"/>
      <c r="L217" s="6"/>
      <c r="M217" s="366"/>
      <c r="O217" s="365"/>
      <c r="P217" s="6"/>
      <c r="Q217" s="6"/>
      <c r="R217" s="366"/>
      <c r="T217" s="365"/>
      <c r="U217" s="6"/>
      <c r="V217" s="6"/>
      <c r="W217" s="366"/>
      <c r="Y217" s="365"/>
      <c r="Z217" s="6"/>
      <c r="AA217" s="6"/>
      <c r="AB217" s="366"/>
      <c r="AD217" s="365"/>
      <c r="AE217" s="6"/>
      <c r="AF217" s="6"/>
      <c r="AG217" s="366"/>
      <c r="AI217" s="365"/>
      <c r="AJ217" s="6"/>
      <c r="AK217" s="6"/>
      <c r="AL217" s="366"/>
      <c r="AN217" s="365"/>
      <c r="AO217" s="6"/>
      <c r="AP217" s="6"/>
      <c r="AQ217" s="366"/>
      <c r="AS217" s="365"/>
      <c r="AT217" s="6"/>
      <c r="AU217" s="6"/>
      <c r="AV217" s="366"/>
      <c r="AX217" s="365"/>
      <c r="AY217" s="6"/>
      <c r="AZ217" s="6"/>
      <c r="BA217" s="366"/>
      <c r="BC217" s="365"/>
      <c r="BD217" s="6"/>
      <c r="BE217" s="6"/>
      <c r="BF217" s="366"/>
      <c r="BH217" s="365"/>
      <c r="BI217" s="6"/>
      <c r="BJ217" s="6"/>
      <c r="BK217" s="366"/>
      <c r="BM217" s="365"/>
      <c r="BN217" s="6"/>
      <c r="BO217" s="6"/>
      <c r="BP217" s="366"/>
      <c r="CL217"/>
      <c r="CM217"/>
      <c r="CN217"/>
      <c r="CO217"/>
      <c r="CP217"/>
      <c r="CQ217"/>
    </row>
    <row r="218" spans="1:95" s="2" customFormat="1">
      <c r="A218" s="1523"/>
      <c r="C218" s="37" t="s">
        <v>523</v>
      </c>
      <c r="E218" s="372">
        <f>SUM(E164)/SUM(E211,E174,E179)</f>
        <v>0.45710463560751469</v>
      </c>
      <c r="F218" s="332">
        <f>SUM(F164)/SUM(F211,F174,F179)</f>
        <v>0.44977813634530051</v>
      </c>
      <c r="G218" s="332">
        <f>SUM(G164)/SUM(G211,G174,G179)</f>
        <v>0.43932179770061547</v>
      </c>
      <c r="H218" s="373">
        <f>SUM(H164)/SUM(H211,H174,H179)</f>
        <v>0.43602999659129643</v>
      </c>
      <c r="I218" s="292">
        <f>SUM(I164)/SUM(I211,I174:I179)</f>
        <v>0.29082985979537701</v>
      </c>
      <c r="J218" s="372">
        <f>SUM(J164)/SUM(J211,J174,J179)</f>
        <v>0.45504777253367101</v>
      </c>
      <c r="K218" s="332">
        <f>SUM(K164)/SUM(K211,K174,K179)</f>
        <v>0.42413623172534631</v>
      </c>
      <c r="L218" s="332">
        <f>SUM(L164)/SUM(L211,L174,L179)</f>
        <v>0.43563298241863946</v>
      </c>
      <c r="M218" s="373">
        <f>SUM(M164)/SUM(M211,M174,M179)</f>
        <v>0.42008569898232456</v>
      </c>
      <c r="N218" s="292">
        <f>SUM(N164)/SUM(N211,N174:N179)</f>
        <v>0.27710843373493976</v>
      </c>
      <c r="O218" s="372">
        <f>SUM(O164)/SUM(O211,O174,O179)</f>
        <v>0.4080042406573019</v>
      </c>
      <c r="P218" s="332">
        <f>SUM(P164)/SUM(P211,P174,P179)</f>
        <v>0.37857104572010508</v>
      </c>
      <c r="Q218" s="332">
        <f>SUM(Q164)/SUM(Q211,Q174,Q179)</f>
        <v>0.39547425187691659</v>
      </c>
      <c r="R218" s="373">
        <f>SUM(R164)/SUM(R211,R174,R179)</f>
        <v>0.40628403397952517</v>
      </c>
      <c r="S218" s="292">
        <f>SUM(S164)/SUM(S211,S174:S179)</f>
        <v>0.26056436404274641</v>
      </c>
      <c r="T218" s="372">
        <f>SUM(T164)/SUM(T211,T174,T179)</f>
        <v>0.38961945145188126</v>
      </c>
      <c r="U218" s="332">
        <f>SUM(U164)/SUM(U211,U174,U179)</f>
        <v>0.38675664276676508</v>
      </c>
      <c r="V218" s="332">
        <f>SUM(V164)/SUM(V211,V174,V179)</f>
        <v>0.38367773999476851</v>
      </c>
      <c r="W218" s="373">
        <f>SUM(W164)/SUM(W211,W174,W179)</f>
        <v>0.35228110841850174</v>
      </c>
      <c r="X218" s="292">
        <f>SUM(X164)/SUM(X211,X174:X179)</f>
        <v>0.22468248101606075</v>
      </c>
      <c r="Y218" s="372">
        <f>SUM(Y164)/SUM(Y211,Y174,Y179)</f>
        <v>0.3645773732119636</v>
      </c>
      <c r="Z218" s="332">
        <f>SUM(Z164)/SUM(Z211,Z174,Z179)</f>
        <v>0.38158232066861508</v>
      </c>
      <c r="AA218" s="332">
        <f>SUM(AA164)/SUM(AA211,AA174,AA179)</f>
        <v>0.3771186440677966</v>
      </c>
      <c r="AB218" s="373">
        <f>SUM(AB164)/SUM(AB211,AB174,AB179)</f>
        <v>0.38708089212741864</v>
      </c>
      <c r="AC218" s="292">
        <f>SUM(AC164)/SUM(AC211,AC174:AC179)</f>
        <v>0.24631097465459445</v>
      </c>
      <c r="AD218" s="372">
        <f>SUM(AD164)/SUM(AD211,AD174,AD179)</f>
        <v>0.38269485456418306</v>
      </c>
      <c r="AE218" s="332">
        <f>SUM(AE164)/SUM(AE211,AE174,AE179)</f>
        <v>0.38006708193579303</v>
      </c>
      <c r="AF218" s="332">
        <f>SUM(AF164)/SUM(AF211,AF174,AF179)</f>
        <v>0.39860305996388862</v>
      </c>
      <c r="AG218" s="373">
        <f>SUM(AG164)/SUM(AG211,AG174,AG179)</f>
        <v>0.38731304796286747</v>
      </c>
      <c r="AH218" s="292">
        <f>SUM(AH164)/SUM(AH211,AH174:AH179)</f>
        <v>0.24649400250641523</v>
      </c>
      <c r="AI218" s="372">
        <f>SUM(AI164)/SUM(AI211,AI174,AI179)</f>
        <v>0.37382745714153692</v>
      </c>
      <c r="AJ218" s="332">
        <f>SUM(AJ164)/SUM(AJ211,AJ174,AJ179)</f>
        <v>0.39457790291085781</v>
      </c>
      <c r="AK218" s="332">
        <f>SUM(AK164)/SUM(AK211,AK174,AK179)</f>
        <v>0.36645486909107294</v>
      </c>
      <c r="AL218" s="373">
        <f>SUM(AL164)/SUM(AL211,AL174,AL179)</f>
        <v>0.3841203582920254</v>
      </c>
      <c r="AM218" s="292">
        <f>SUM(AM164)/SUM(AM211,AM174:AM179)</f>
        <v>0.24495341614906832</v>
      </c>
      <c r="AN218" s="372">
        <f>SUM(AN164)/SUM(AN211,AN174,AN179)</f>
        <v>0.41055668703326542</v>
      </c>
      <c r="AO218" s="332">
        <f>SUM(AO164)/SUM(AO211,AO174,AO179)</f>
        <v>0.42357646476724531</v>
      </c>
      <c r="AP218" s="332">
        <f>SUM(AP164)/SUM(AP211,AP174,AP179)</f>
        <v>0.43789913214344195</v>
      </c>
      <c r="AQ218" s="373">
        <f>SUM(AQ164)/SUM(AQ211,AQ174,AQ179)</f>
        <v>0.4373218801428973</v>
      </c>
      <c r="AR218" s="292">
        <f>SUM(AR164)/SUM(AR211,AR174:AR179)</f>
        <v>0.28638645742975055</v>
      </c>
      <c r="AS218" s="372">
        <f>SUM(AS164)/SUM(AS211,AS174,AS179)</f>
        <v>0.44089327615502871</v>
      </c>
      <c r="AT218" s="332">
        <f>SUM(AT164)/SUM(AT211,AT174,AT179)</f>
        <v>0.45681827115845747</v>
      </c>
      <c r="AU218" s="332">
        <f>SUM(AU164)/SUM(AU211,AU174,AU179)</f>
        <v>0.43613152804642169</v>
      </c>
      <c r="AV218" s="373">
        <f>SUM(AV164)/SUM(AV211,AV174,AV179)</f>
        <v>0.43952361874931711</v>
      </c>
      <c r="AW218" s="292">
        <f>SUM(AW164)/SUM(AW211,AW174:AW179)</f>
        <v>0.29217509200077474</v>
      </c>
      <c r="AX218" s="372">
        <f>SUM(AX164)/SUM(AX211,AX174,AX179)</f>
        <v>0.46156883550576722</v>
      </c>
      <c r="AY218" s="332">
        <f>SUM(AY164)/SUM(AY211,AY174,AY179)</f>
        <v>0.46880060335615747</v>
      </c>
      <c r="AZ218" s="332">
        <f>SUM(AZ164)/SUM(AZ211,AZ174,AZ179)</f>
        <v>0.46106524090391926</v>
      </c>
      <c r="BA218" s="373">
        <f>SUM(BA164)/SUM(BA211,BA174,BA179)</f>
        <v>0.45055819455422991</v>
      </c>
      <c r="BB218" s="292">
        <f>SUM(BB164)/SUM(BB211,BB174:BB179)</f>
        <v>0.30165119905807813</v>
      </c>
      <c r="BC218" s="372">
        <f>SUM(BC164)/SUM(BC211,BC174,BC179)</f>
        <v>0.4453340524086592</v>
      </c>
      <c r="BD218" s="332">
        <f>SUM(BD164)/SUM(BD211,BD174,BD179)</f>
        <v>0.46290097871420022</v>
      </c>
      <c r="BE218" s="332">
        <f>SUM(BE164)/SUM(BE211,BE174,BE179)</f>
        <v>0.48816709257767749</v>
      </c>
      <c r="BF218" s="373">
        <f>SUM(BF164)/SUM(BF211,BF174,BF179)</f>
        <v>0.49396701396739418</v>
      </c>
      <c r="BG218" s="292">
        <f>SUM(BG164)/SUM(BG211,BG174:BG179)</f>
        <v>0.3326707615469166</v>
      </c>
      <c r="BH218" s="372">
        <f>SUM(BH164)/SUM(BH211,BH174,BH179)</f>
        <v>0.47897068132903114</v>
      </c>
      <c r="BI218" s="332">
        <f>SUM(BI164)/SUM(BI211,BI174,BI179)</f>
        <v>0.48343699156933317</v>
      </c>
      <c r="BJ218" s="332">
        <f>SUM(BJ164)/SUM(BJ211,BJ174,BJ179)</f>
        <v>0.48139433270422671</v>
      </c>
      <c r="BK218" s="373">
        <f>SUM(BK164)/SUM(BK211,BK174,BK179)</f>
        <v>0.47179458245643252</v>
      </c>
      <c r="BL218" s="292">
        <f>SUM(BL164)/SUM(BL211,BL174:BL179)</f>
        <v>0.31928047825063749</v>
      </c>
      <c r="BM218" s="372">
        <f>SUM(BM164)/SUM(BM211,BM174,BM179)</f>
        <v>0.46870854032791309</v>
      </c>
      <c r="BN218" s="332">
        <f>SUM(BN164)/SUM(BN211,BN174,BN179)</f>
        <v>0.49594147598022265</v>
      </c>
      <c r="BO218" s="332">
        <f>SUM(BO164)/SUM(BO211,BO174,BO179)</f>
        <v>0.51608699872932218</v>
      </c>
      <c r="BP218" s="373">
        <f>SUM(BP164)/SUM(BP211,BP174,BP179)</f>
        <v>0.51869733138448737</v>
      </c>
      <c r="BQ218" s="292">
        <f>SUM(BQ164)/SUM(BQ211,BQ174:BQ179)</f>
        <v>0.350162962893521</v>
      </c>
      <c r="CL218"/>
      <c r="CM218"/>
      <c r="CN218"/>
      <c r="CO218"/>
      <c r="CP218"/>
      <c r="CQ218"/>
    </row>
    <row r="219" spans="1:95" s="2" customFormat="1">
      <c r="A219" s="1523"/>
      <c r="C219" s="37" t="s">
        <v>437</v>
      </c>
      <c r="E219" s="372">
        <f>E211/SUM(E211,E174,E179)</f>
        <v>0.51846681789100213</v>
      </c>
      <c r="F219" s="332">
        <f>F211/SUM(F211,F174,F179)</f>
        <v>0.51195758658445223</v>
      </c>
      <c r="G219" s="332">
        <f>G211/SUM(G211,G174,G179)</f>
        <v>0.49105794913482753</v>
      </c>
      <c r="H219" s="373">
        <f>H211/SUM(H211,H174,H179)</f>
        <v>0.49619361436200432</v>
      </c>
      <c r="I219" s="292">
        <f>I211/SUM(I211,I174:I179)</f>
        <v>0.33095869647593784</v>
      </c>
      <c r="J219" s="372">
        <f>J211/SUM(J211,J174,J179)</f>
        <v>0.47041556348566826</v>
      </c>
      <c r="K219" s="332">
        <f>K211/SUM(K211,K174,K179)</f>
        <v>0.50030115534140063</v>
      </c>
      <c r="L219" s="332">
        <f>L211/SUM(L211,L174,L179)</f>
        <v>0.4892855234329076</v>
      </c>
      <c r="M219" s="373">
        <f>M211/SUM(M211,M174,M179)</f>
        <v>0.48403856454204608</v>
      </c>
      <c r="N219" s="292">
        <f>N211/SUM(N211,N174:N179)</f>
        <v>0.31929477440554005</v>
      </c>
      <c r="O219" s="372">
        <f>O211/SUM(O211,O174,O179)</f>
        <v>0.47219719056453752</v>
      </c>
      <c r="P219" s="332">
        <f>P211/SUM(P211,P174,P179)</f>
        <v>0.45816583587929466</v>
      </c>
      <c r="Q219" s="332">
        <f>Q211/SUM(Q211,Q174,Q179)</f>
        <v>0.46288463571957278</v>
      </c>
      <c r="R219" s="373">
        <f>R211/SUM(R211,R174,R179)</f>
        <v>0.44075364844260512</v>
      </c>
      <c r="S219" s="292">
        <f>S211/SUM(S211,S174:S179)</f>
        <v>0.28267095061814623</v>
      </c>
      <c r="T219" s="372">
        <f>T211/SUM(T211,T174,T179)</f>
        <v>0.42976759164832806</v>
      </c>
      <c r="U219" s="332">
        <f>U211/SUM(U211,U174,U179)</f>
        <v>0.43884436946436101</v>
      </c>
      <c r="V219" s="332">
        <f>V211/SUM(V211,V174,V179)</f>
        <v>0.43468480251111691</v>
      </c>
      <c r="W219" s="373">
        <f>W211/SUM(W211,W174,W179)</f>
        <v>0.43209356232219998</v>
      </c>
      <c r="X219" s="292">
        <f>X211/SUM(X211,X174:X179)</f>
        <v>0.27558631812378198</v>
      </c>
      <c r="Y219" s="372">
        <f>Y211/SUM(Y211,Y174,Y179)</f>
        <v>0.43063719115734722</v>
      </c>
      <c r="Z219" s="332">
        <f>Z211/SUM(Z211,Z174,Z179)</f>
        <v>0.43106188791467981</v>
      </c>
      <c r="AA219" s="332">
        <f>AA211/SUM(AA211,AA174,AA179)</f>
        <v>0.42806698950766747</v>
      </c>
      <c r="AB219" s="373">
        <f>AB211/SUM(AB211,AB174,AB179)</f>
        <v>0.42848702673428191</v>
      </c>
      <c r="AC219" s="292">
        <f>AC211/SUM(AC211,AC174:AC179)</f>
        <v>0.27265891788589869</v>
      </c>
      <c r="AD219" s="372">
        <f>AD211/SUM(AD211,AD174,AD179)</f>
        <v>0.4212488350419385</v>
      </c>
      <c r="AE219" s="332">
        <f>AE211/SUM(AE211,AE174,AE179)</f>
        <v>0.43253473885960708</v>
      </c>
      <c r="AF219" s="332">
        <f>AF211/SUM(AF211,AF174,AF179)</f>
        <v>0.4258766511451107</v>
      </c>
      <c r="AG219" s="373">
        <f>AG211/SUM(AG211,AG174,AG179)</f>
        <v>0.42871208214168505</v>
      </c>
      <c r="AH219" s="292">
        <f>AH211/SUM(AH211,AH174:AH179)</f>
        <v>0.27284120069224804</v>
      </c>
      <c r="AI219" s="372">
        <f>AI211/SUM(AI211,AI174,AI179)</f>
        <v>0.41975879118340187</v>
      </c>
      <c r="AJ219" s="332">
        <f>AJ211/SUM(AJ211,AJ174,AJ179)</f>
        <v>0.42295990191181143</v>
      </c>
      <c r="AK219" s="332">
        <f>AK211/SUM(AK211,AK174,AK179)</f>
        <v>0.41719616060565096</v>
      </c>
      <c r="AL219" s="373">
        <f>AL211/SUM(AL211,AL174,AL179)</f>
        <v>0.43186364031654928</v>
      </c>
      <c r="AM219" s="292">
        <f>AM211/SUM(AM211,AM174:AM179)</f>
        <v>0.27539929015084297</v>
      </c>
      <c r="AN219" s="372">
        <f>AN211/SUM(AN211,AN174,AN179)</f>
        <v>0.43491174473862865</v>
      </c>
      <c r="AO219" s="332">
        <f>AO211/SUM(AO211,AO174,AO179)</f>
        <v>0.45087205706510536</v>
      </c>
      <c r="AP219" s="332">
        <f>AP211/SUM(AP211,AP174,AP179)</f>
        <v>0.44833797281807763</v>
      </c>
      <c r="AQ219" s="373">
        <f>AQ211/SUM(AQ211,AQ174,AQ179)</f>
        <v>0.47296592140649463</v>
      </c>
      <c r="AR219" s="292">
        <f>AR211/SUM(AR211,AR174:AR179)</f>
        <v>0.30972846515784769</v>
      </c>
      <c r="AS219" s="372">
        <f>AS211/SUM(AS211,AS174,AS179)</f>
        <v>0.47386519944979366</v>
      </c>
      <c r="AT219" s="332">
        <f>AT211/SUM(AT211,AT174,AT179)</f>
        <v>0.4921970203231259</v>
      </c>
      <c r="AU219" s="332">
        <f>AU211/SUM(AU211,AU174,AU179)</f>
        <v>0.4923017408123791</v>
      </c>
      <c r="AV219" s="373">
        <f>AV211/SUM(AV211,AV174,AV179)</f>
        <v>0.49568416068762067</v>
      </c>
      <c r="AW219" s="292">
        <f>AW211/SUM(AW211,AW174:AW179)</f>
        <v>0.32950803796242495</v>
      </c>
      <c r="AX219" s="372">
        <f>AX211/SUM(AX211,AX174,AX179)</f>
        <v>0.49856805727081793</v>
      </c>
      <c r="AY219" s="332">
        <f>AY211/SUM(AY211,AY174,AY179)</f>
        <v>0.51145000737656554</v>
      </c>
      <c r="AZ219" s="332">
        <f>AZ211/SUM(AZ211,AZ174,AZ179)</f>
        <v>0.51144051294651516</v>
      </c>
      <c r="BA219" s="373">
        <f>BA211/SUM(BA211,BA174,BA179)</f>
        <v>0.50636033948772052</v>
      </c>
      <c r="BB219" s="292">
        <f>BB211/SUM(BB211,BB174:BB179)</f>
        <v>0.33901104320840819</v>
      </c>
      <c r="BC219" s="372">
        <f>BC211/SUM(BC211,BC174,BC179)</f>
        <v>0.50014114968441581</v>
      </c>
      <c r="BD219" s="332">
        <f>BD211/SUM(BD211,BD174,BD179)</f>
        <v>0.50572210622523195</v>
      </c>
      <c r="BE219" s="332">
        <f>BE211/SUM(BE211,BE174,BE179)</f>
        <v>0.52138686637340037</v>
      </c>
      <c r="BF219" s="373">
        <f>BF211/SUM(BF211,BF174,BF179)</f>
        <v>0.51514749396535131</v>
      </c>
      <c r="BG219" s="292">
        <f>BG211/SUM(BG211,BG174:BG179)</f>
        <v>0.34693512781351665</v>
      </c>
      <c r="BH219" s="372">
        <f>BH211/SUM(BH211,BH174,BH179)</f>
        <v>0.5093610230663258</v>
      </c>
      <c r="BI219" s="332">
        <f>BI211/SUM(BI211,BI174,BI179)</f>
        <v>0.51846510449255012</v>
      </c>
      <c r="BJ219" s="332">
        <f>BJ211/SUM(BJ211,BJ174,BJ179)</f>
        <v>0.52324034240513084</v>
      </c>
      <c r="BK219" s="373">
        <f>BK211/SUM(BK211,BK174,BK179)</f>
        <v>0.52231935681933439</v>
      </c>
      <c r="BL219" s="292">
        <f>BL211/SUM(BL211,BL174:BL179)</f>
        <v>0.35347242263054679</v>
      </c>
      <c r="BM219" s="372">
        <f>BM211/SUM(BM211,BM174,BM179)</f>
        <v>0.5146289064885794</v>
      </c>
      <c r="BN219" s="332">
        <f>BN211/SUM(BN211,BN174,BN179)</f>
        <v>0.51461957629114197</v>
      </c>
      <c r="BO219" s="332">
        <f>BO211/SUM(BO211,BO174,BO179)</f>
        <v>0.52465275804433165</v>
      </c>
      <c r="BP219" s="373">
        <f>BP211/SUM(BP211,BP174,BP179)</f>
        <v>0.51869733138448737</v>
      </c>
      <c r="BQ219" s="292">
        <f>BQ211/SUM(BQ211,BQ174:BQ179)</f>
        <v>0.350162962893521</v>
      </c>
      <c r="CL219"/>
      <c r="CM219"/>
      <c r="CN219"/>
      <c r="CO219"/>
      <c r="CP219"/>
      <c r="CQ219"/>
    </row>
    <row r="220" spans="1:95" s="2" customFormat="1">
      <c r="A220" s="1523"/>
      <c r="C220" s="37" t="s">
        <v>438</v>
      </c>
      <c r="E220" s="374"/>
      <c r="F220" s="333"/>
      <c r="G220" s="333"/>
      <c r="H220" s="375"/>
      <c r="I220" s="48">
        <f>I212/SUM(I28)</f>
        <v>2.095476130967258</v>
      </c>
      <c r="J220" s="374"/>
      <c r="K220" s="333"/>
      <c r="L220" s="333"/>
      <c r="M220" s="375"/>
      <c r="N220" s="48">
        <f>N212/SUM(N28)</f>
        <v>2.1659658669304971</v>
      </c>
      <c r="O220" s="374"/>
      <c r="P220" s="333"/>
      <c r="Q220" s="333"/>
      <c r="R220" s="375"/>
      <c r="S220" s="48">
        <f>S212/SUM(S28)</f>
        <v>1.893089960886571</v>
      </c>
      <c r="T220" s="374"/>
      <c r="U220" s="333"/>
      <c r="V220" s="333"/>
      <c r="W220" s="375"/>
      <c r="X220" s="48">
        <f>X212/SUM(X28)</f>
        <v>2.2428325688073394</v>
      </c>
      <c r="Y220" s="374"/>
      <c r="Z220" s="333"/>
      <c r="AA220" s="333"/>
      <c r="AB220" s="375"/>
      <c r="AC220" s="48">
        <f>AC212/SUM(AC28)</f>
        <v>2.2585969738651994</v>
      </c>
      <c r="AD220" s="374"/>
      <c r="AE220" s="333"/>
      <c r="AF220" s="333"/>
      <c r="AG220" s="375"/>
      <c r="AH220" s="48">
        <f>AH212/SUM(AH28)</f>
        <v>2.1468565815324165</v>
      </c>
      <c r="AI220" s="374"/>
      <c r="AJ220" s="333"/>
      <c r="AK220" s="333"/>
      <c r="AL220" s="375"/>
      <c r="AM220" s="48">
        <f>AM212/SUM(AM28)</f>
        <v>2.2248658735712619</v>
      </c>
      <c r="AN220" s="374"/>
      <c r="AO220" s="333"/>
      <c r="AP220" s="333"/>
      <c r="AQ220" s="375"/>
      <c r="AR220" s="48">
        <f>AR212/SUM(AR28)</f>
        <v>3.5960747071858181</v>
      </c>
      <c r="AS220" s="374"/>
      <c r="AT220" s="333"/>
      <c r="AU220" s="333"/>
      <c r="AV220" s="375"/>
      <c r="AW220" s="48">
        <f>AW212/SUM(AW28)</f>
        <v>3.6480109739368998</v>
      </c>
      <c r="AX220" s="374"/>
      <c r="AY220" s="333"/>
      <c r="AZ220" s="333"/>
      <c r="BA220" s="375"/>
      <c r="BB220" s="48">
        <f>BB212/SUM(BB28)</f>
        <v>4.1894516437255644</v>
      </c>
      <c r="BC220" s="374"/>
      <c r="BD220" s="333"/>
      <c r="BE220" s="333"/>
      <c r="BF220" s="375"/>
      <c r="BG220" s="48">
        <f>BG212/SUM(BG28)</f>
        <v>4.3282861748830159</v>
      </c>
      <c r="BH220" s="374"/>
      <c r="BI220" s="333"/>
      <c r="BJ220" s="333"/>
      <c r="BK220" s="375"/>
      <c r="BL220" s="48">
        <f>BL212/SUM(BL28)</f>
        <v>4.4178265164277448</v>
      </c>
      <c r="BM220" s="374"/>
      <c r="BN220" s="333"/>
      <c r="BO220" s="333"/>
      <c r="BP220" s="375"/>
      <c r="BQ220" s="48">
        <f>BQ212/SUM(BQ28)</f>
        <v>4.186725418077069</v>
      </c>
      <c r="CL220"/>
      <c r="CM220"/>
      <c r="CN220"/>
      <c r="CO220"/>
      <c r="CP220"/>
      <c r="CQ220"/>
    </row>
    <row r="221" spans="1:95" s="2" customFormat="1">
      <c r="A221" s="1523"/>
      <c r="C221" s="37" t="s">
        <v>439</v>
      </c>
      <c r="E221" s="376"/>
      <c r="F221" s="334"/>
      <c r="G221" s="334"/>
      <c r="H221" s="377"/>
      <c r="I221" s="293">
        <f>SUM(I213:I213)/I211</f>
        <v>0.28566521639569498</v>
      </c>
      <c r="J221" s="376"/>
      <c r="K221" s="334"/>
      <c r="L221" s="334"/>
      <c r="M221" s="377"/>
      <c r="N221" s="293">
        <f>SUM(N213:N213)/N211</f>
        <v>0.28527166094943013</v>
      </c>
      <c r="O221" s="376"/>
      <c r="P221" s="334"/>
      <c r="Q221" s="334"/>
      <c r="R221" s="377"/>
      <c r="S221" s="293">
        <f>SUM(S213:S213)/S211</f>
        <v>0.29552755127254754</v>
      </c>
      <c r="T221" s="376"/>
      <c r="U221" s="334"/>
      <c r="V221" s="334"/>
      <c r="W221" s="377"/>
      <c r="X221" s="293">
        <f>SUM(X213:X213)/X211</f>
        <v>0.2792001950743721</v>
      </c>
      <c r="Y221" s="376"/>
      <c r="Z221" s="334"/>
      <c r="AA221" s="334"/>
      <c r="AB221" s="377"/>
      <c r="AC221" s="293">
        <f>SUM(AC213:AC213)/AC211</f>
        <v>0.28587038952085486</v>
      </c>
      <c r="AD221" s="376"/>
      <c r="AE221" s="334"/>
      <c r="AF221" s="334"/>
      <c r="AG221" s="377"/>
      <c r="AH221" s="293">
        <f>SUM(AH213:AH213)/AH211</f>
        <v>0.30928797711504807</v>
      </c>
      <c r="AI221" s="376"/>
      <c r="AJ221" s="334"/>
      <c r="AK221" s="334"/>
      <c r="AL221" s="377"/>
      <c r="AM221" s="293">
        <f>SUM(AM213:AM213)/AM211</f>
        <v>0.29247226450724928</v>
      </c>
      <c r="AN221" s="376"/>
      <c r="AO221" s="334"/>
      <c r="AP221" s="334"/>
      <c r="AQ221" s="377"/>
      <c r="AR221" s="293">
        <f>SUM(AR213:AR213)/AR211</f>
        <v>0.26957028550535889</v>
      </c>
      <c r="AS221" s="376"/>
      <c r="AT221" s="334"/>
      <c r="AU221" s="334"/>
      <c r="AV221" s="377"/>
      <c r="AW221" s="293">
        <f>SUM(AW213:AW213)/AW211</f>
        <v>0.2716552404390154</v>
      </c>
      <c r="AX221" s="376"/>
      <c r="AY221" s="334"/>
      <c r="AZ221" s="334"/>
      <c r="BA221" s="377"/>
      <c r="BB221" s="293">
        <f>SUM(BB213:BB213)/BB211</f>
        <v>0.18684742381613909</v>
      </c>
      <c r="BC221" s="376"/>
      <c r="BD221" s="334"/>
      <c r="BE221" s="334"/>
      <c r="BF221" s="377"/>
      <c r="BG221" s="293">
        <f>SUM(BG213:BG213)/BG211</f>
        <v>0.17671567516143644</v>
      </c>
      <c r="BH221" s="376"/>
      <c r="BI221" s="334"/>
      <c r="BJ221" s="334"/>
      <c r="BK221" s="377"/>
      <c r="BL221" s="293">
        <f>SUM(BL213:BL213)/BL211</f>
        <v>0.17066410138873594</v>
      </c>
      <c r="BM221" s="376"/>
      <c r="BN221" s="334"/>
      <c r="BO221" s="334"/>
      <c r="BP221" s="377"/>
      <c r="BQ221" s="293">
        <f>SUM(BQ213:BQ213)/BQ211</f>
        <v>0.1779535757843487</v>
      </c>
      <c r="CL221"/>
      <c r="CM221"/>
      <c r="CN221"/>
      <c r="CO221"/>
      <c r="CP221"/>
      <c r="CQ221"/>
    </row>
    <row r="222" spans="1:95" s="2" customFormat="1">
      <c r="A222" s="1523"/>
      <c r="C222" s="37"/>
      <c r="E222" s="365"/>
      <c r="F222" s="6"/>
      <c r="G222" s="6"/>
      <c r="H222" s="366"/>
      <c r="J222" s="365"/>
      <c r="K222" s="6"/>
      <c r="L222" s="6"/>
      <c r="M222" s="366"/>
      <c r="O222" s="365"/>
      <c r="P222" s="6"/>
      <c r="Q222" s="6"/>
      <c r="R222" s="366"/>
      <c r="T222" s="365"/>
      <c r="U222" s="6"/>
      <c r="V222" s="6"/>
      <c r="W222" s="366"/>
      <c r="Y222" s="365"/>
      <c r="Z222" s="6"/>
      <c r="AA222" s="6"/>
      <c r="AB222" s="366"/>
      <c r="AD222" s="365"/>
      <c r="AE222" s="6"/>
      <c r="AF222" s="6"/>
      <c r="AG222" s="366"/>
      <c r="AI222" s="365"/>
      <c r="AJ222" s="6"/>
      <c r="AK222" s="6"/>
      <c r="AL222" s="366"/>
      <c r="AN222" s="365"/>
      <c r="AO222" s="6"/>
      <c r="AP222" s="6"/>
      <c r="AQ222" s="366"/>
      <c r="AS222" s="365"/>
      <c r="AT222" s="6"/>
      <c r="AU222" s="6"/>
      <c r="AV222" s="366"/>
      <c r="AX222" s="365"/>
      <c r="AY222" s="6"/>
      <c r="AZ222" s="6"/>
      <c r="BA222" s="366"/>
      <c r="BC222" s="365"/>
      <c r="BD222" s="6"/>
      <c r="BE222" s="6"/>
      <c r="BF222" s="366"/>
      <c r="BH222" s="365"/>
      <c r="BI222" s="6"/>
      <c r="BJ222" s="6"/>
      <c r="BK222" s="366"/>
      <c r="BM222" s="365"/>
      <c r="BN222" s="6"/>
      <c r="BO222" s="6"/>
      <c r="BP222" s="366"/>
      <c r="CL222"/>
      <c r="CM222"/>
      <c r="CN222"/>
      <c r="CO222"/>
      <c r="CP222"/>
      <c r="CQ222"/>
    </row>
    <row r="223" spans="1:95" s="2" customFormat="1">
      <c r="A223" s="1523"/>
      <c r="C223" s="49" t="s">
        <v>277</v>
      </c>
      <c r="E223" s="365"/>
      <c r="F223" s="6"/>
      <c r="G223" s="6"/>
      <c r="H223" s="366"/>
      <c r="J223" s="365"/>
      <c r="K223" s="6"/>
      <c r="L223" s="6"/>
      <c r="M223" s="366"/>
      <c r="O223" s="365"/>
      <c r="P223" s="6"/>
      <c r="Q223" s="6"/>
      <c r="R223" s="366"/>
      <c r="T223" s="365"/>
      <c r="U223" s="6"/>
      <c r="V223" s="6"/>
      <c r="W223" s="366"/>
      <c r="Y223" s="365"/>
      <c r="Z223" s="6"/>
      <c r="AA223" s="6"/>
      <c r="AB223" s="366"/>
      <c r="AD223" s="365"/>
      <c r="AE223" s="6"/>
      <c r="AF223" s="6"/>
      <c r="AG223" s="366"/>
      <c r="AI223" s="365"/>
      <c r="AJ223" s="6"/>
      <c r="AK223" s="6"/>
      <c r="AL223" s="366"/>
      <c r="AN223" s="365"/>
      <c r="AO223" s="6"/>
      <c r="AP223" s="6"/>
      <c r="AQ223" s="366"/>
      <c r="AS223" s="365"/>
      <c r="AT223" s="6"/>
      <c r="AU223" s="6"/>
      <c r="AV223" s="366"/>
      <c r="AX223" s="365"/>
      <c r="AY223" s="6"/>
      <c r="AZ223" s="6"/>
      <c r="BA223" s="366"/>
      <c r="BC223" s="365"/>
      <c r="BD223" s="6"/>
      <c r="BE223" s="6"/>
      <c r="BF223" s="366"/>
      <c r="BH223" s="365"/>
      <c r="BI223" s="6"/>
      <c r="BJ223" s="6"/>
      <c r="BK223" s="366"/>
      <c r="BM223" s="365"/>
      <c r="BN223" s="6"/>
      <c r="BO223" s="6"/>
      <c r="BP223" s="366"/>
      <c r="CA223" s="3"/>
      <c r="CL223"/>
      <c r="CM223"/>
      <c r="CN223"/>
      <c r="CO223"/>
      <c r="CP223"/>
      <c r="CQ223"/>
    </row>
    <row r="224" spans="1:95" s="2" customFormat="1">
      <c r="A224" s="1523"/>
      <c r="C224" s="37" t="s">
        <v>278</v>
      </c>
      <c r="E224" s="374"/>
      <c r="F224" s="333"/>
      <c r="G224" s="333"/>
      <c r="H224" s="375"/>
      <c r="I224" s="48">
        <f>(I213+I30)/I215</f>
        <v>5.7343453510436433</v>
      </c>
      <c r="J224" s="374"/>
      <c r="K224" s="333"/>
      <c r="L224" s="333"/>
      <c r="M224" s="375"/>
      <c r="N224" s="48">
        <f>(N213+N30)/N215</f>
        <v>6.4618644067796609</v>
      </c>
      <c r="O224" s="374"/>
      <c r="P224" s="333"/>
      <c r="Q224" s="333"/>
      <c r="R224" s="375"/>
      <c r="S224" s="48">
        <f>(S213+S30)/S215</f>
        <v>6.0357894736842104</v>
      </c>
      <c r="T224" s="374"/>
      <c r="U224" s="333"/>
      <c r="V224" s="333"/>
      <c r="W224" s="375"/>
      <c r="X224" s="48">
        <f>(X213+X30)/X215</f>
        <v>6.4137115839243499</v>
      </c>
      <c r="Y224" s="374"/>
      <c r="Z224" s="333"/>
      <c r="AA224" s="333"/>
      <c r="AB224" s="375"/>
      <c r="AC224" s="48">
        <f>(AC213+AC30)/AC215</f>
        <v>7.1888805970149248</v>
      </c>
      <c r="AD224" s="374"/>
      <c r="AE224" s="333"/>
      <c r="AF224" s="333"/>
      <c r="AG224" s="375"/>
      <c r="AH224" s="48">
        <f>(AH213+AH30)/AH215</f>
        <v>8.2702551741388177</v>
      </c>
      <c r="AI224" s="374"/>
      <c r="AJ224" s="333"/>
      <c r="AK224" s="333"/>
      <c r="AL224" s="375"/>
      <c r="AM224" s="48">
        <f>(AM213+AM30)/AM215</f>
        <v>8.3914364658676845</v>
      </c>
      <c r="AN224" s="374"/>
      <c r="AO224" s="333"/>
      <c r="AP224" s="333"/>
      <c r="AQ224" s="375"/>
      <c r="AR224" s="48">
        <f>(AR213+AR30)/AR215</f>
        <v>9.2502511015834905</v>
      </c>
      <c r="AS224" s="374"/>
      <c r="AT224" s="333"/>
      <c r="AU224" s="333"/>
      <c r="AV224" s="375"/>
      <c r="AW224" s="48">
        <f>(AW213+AW30)/AW215</f>
        <v>10.455825632672633</v>
      </c>
      <c r="AX224" s="374"/>
      <c r="AY224" s="333"/>
      <c r="AZ224" s="333"/>
      <c r="BA224" s="375"/>
      <c r="BB224" s="48">
        <f>(BB213+BB30)/BB215</f>
        <v>6.700005358843895</v>
      </c>
      <c r="BC224" s="374"/>
      <c r="BD224" s="333"/>
      <c r="BE224" s="333"/>
      <c r="BF224" s="375"/>
      <c r="BG224" s="48">
        <f>(BG213+BG30)/BG215</f>
        <v>6.0215459216423817</v>
      </c>
      <c r="BH224" s="374"/>
      <c r="BI224" s="333"/>
      <c r="BJ224" s="333"/>
      <c r="BK224" s="375"/>
      <c r="BL224" s="48">
        <f>(BL213+BL30)/BL215</f>
        <v>5.5630375538836594</v>
      </c>
      <c r="BM224" s="374"/>
      <c r="BN224" s="333"/>
      <c r="BO224" s="333"/>
      <c r="BP224" s="375"/>
      <c r="BQ224" s="48">
        <f>(BQ213+BQ30)/BQ215</f>
        <v>5.4695546519985978</v>
      </c>
      <c r="CA224" s="48"/>
      <c r="CL224"/>
      <c r="CM224"/>
      <c r="CN224"/>
      <c r="CO224"/>
      <c r="CP224"/>
      <c r="CQ224"/>
    </row>
    <row r="225" spans="3:95" s="2" customFormat="1">
      <c r="C225" s="37" t="s">
        <v>279</v>
      </c>
      <c r="E225" s="374"/>
      <c r="F225" s="333"/>
      <c r="G225" s="333"/>
      <c r="H225" s="375"/>
      <c r="I225" s="48">
        <f>I214/I215</f>
        <v>5.0018975332068312</v>
      </c>
      <c r="J225" s="374"/>
      <c r="K225" s="333"/>
      <c r="L225" s="333"/>
      <c r="M225" s="375"/>
      <c r="N225" s="48">
        <f>N214/N215</f>
        <v>5.5423728813559325</v>
      </c>
      <c r="O225" s="374"/>
      <c r="P225" s="333"/>
      <c r="Q225" s="333"/>
      <c r="R225" s="375"/>
      <c r="S225" s="48">
        <f>S214/S215</f>
        <v>5.0189473684210526</v>
      </c>
      <c r="T225" s="374"/>
      <c r="U225" s="333"/>
      <c r="V225" s="333"/>
      <c r="W225" s="375"/>
      <c r="X225" s="48">
        <f>X214/X215</f>
        <v>4.7541371158392431</v>
      </c>
      <c r="Y225" s="374"/>
      <c r="Z225" s="333"/>
      <c r="AA225" s="333"/>
      <c r="AB225" s="375"/>
      <c r="AC225" s="48">
        <f>AC214/AC215</f>
        <v>5.1119402985074629</v>
      </c>
      <c r="AD225" s="374"/>
      <c r="AE225" s="333"/>
      <c r="AF225" s="333"/>
      <c r="AG225" s="375"/>
      <c r="AH225" s="48">
        <f>AH214/AH215</f>
        <v>6.3136246786632393</v>
      </c>
      <c r="AI225" s="374"/>
      <c r="AJ225" s="333"/>
      <c r="AK225" s="333"/>
      <c r="AL225" s="375"/>
      <c r="AM225" s="48">
        <f>AM214/AM215</f>
        <v>6.8193384223918576</v>
      </c>
      <c r="AN225" s="374"/>
      <c r="AO225" s="333"/>
      <c r="AP225" s="333"/>
      <c r="AQ225" s="375"/>
      <c r="AR225" s="48">
        <f>AR214/AR215</f>
        <v>3.3714285714285714</v>
      </c>
      <c r="AS225" s="374"/>
      <c r="AT225" s="333"/>
      <c r="AU225" s="333"/>
      <c r="AV225" s="375"/>
      <c r="AW225" s="48">
        <f>AW214/AW215</f>
        <v>3.2429667519181584</v>
      </c>
      <c r="AX225" s="374"/>
      <c r="AY225" s="333"/>
      <c r="AZ225" s="333"/>
      <c r="BA225" s="375"/>
      <c r="BB225" s="48">
        <f>BB214/BB215</f>
        <v>4.2596072214958509</v>
      </c>
      <c r="BC225" s="374"/>
      <c r="BD225" s="333"/>
      <c r="BE225" s="333"/>
      <c r="BF225" s="375"/>
      <c r="BG225" s="48">
        <f>BG214/BG215</f>
        <v>3.7148741927060103</v>
      </c>
      <c r="BH225" s="374"/>
      <c r="BI225" s="333"/>
      <c r="BJ225" s="333"/>
      <c r="BK225" s="375"/>
      <c r="BL225" s="48">
        <f>BL214/BL215</f>
        <v>3.3699445098229672</v>
      </c>
      <c r="BM225" s="374"/>
      <c r="BN225" s="333"/>
      <c r="BO225" s="333"/>
      <c r="BP225" s="375"/>
      <c r="BQ225" s="48">
        <f>BQ214/BQ215</f>
        <v>3.4045267078065642</v>
      </c>
      <c r="CL225"/>
      <c r="CM225"/>
      <c r="CN225"/>
      <c r="CO225"/>
      <c r="CP225"/>
      <c r="CQ225"/>
    </row>
    <row r="226" spans="3:95" s="2" customFormat="1">
      <c r="C226" s="37"/>
      <c r="E226" s="374"/>
      <c r="F226" s="333"/>
      <c r="G226" s="333"/>
      <c r="H226" s="375"/>
      <c r="I226" s="48"/>
      <c r="J226" s="374"/>
      <c r="K226" s="333"/>
      <c r="L226" s="333"/>
      <c r="M226" s="375"/>
      <c r="N226" s="48"/>
      <c r="O226" s="374"/>
      <c r="P226" s="333"/>
      <c r="Q226" s="333"/>
      <c r="R226" s="375"/>
      <c r="S226" s="48"/>
      <c r="T226" s="374"/>
      <c r="U226" s="333"/>
      <c r="V226" s="333"/>
      <c r="W226" s="375"/>
      <c r="X226" s="48"/>
      <c r="Y226" s="374"/>
      <c r="Z226" s="333"/>
      <c r="AA226" s="333"/>
      <c r="AB226" s="375"/>
      <c r="AC226" s="48"/>
      <c r="AD226" s="374"/>
      <c r="AE226" s="333"/>
      <c r="AF226" s="333"/>
      <c r="AG226" s="375"/>
      <c r="AH226" s="48"/>
      <c r="AI226" s="374"/>
      <c r="AJ226" s="333"/>
      <c r="AK226" s="333"/>
      <c r="AL226" s="375"/>
      <c r="AM226" s="48"/>
      <c r="AN226" s="374"/>
      <c r="AO226" s="333"/>
      <c r="AP226" s="333"/>
      <c r="AQ226" s="375"/>
      <c r="AR226" s="48"/>
      <c r="AS226" s="374"/>
      <c r="AT226" s="333"/>
      <c r="AU226" s="333"/>
      <c r="AV226" s="375"/>
      <c r="AW226" s="48"/>
      <c r="AX226" s="374"/>
      <c r="AY226" s="333"/>
      <c r="AZ226" s="333"/>
      <c r="BA226" s="375"/>
      <c r="BB226" s="48"/>
      <c r="BC226" s="374"/>
      <c r="BD226" s="333"/>
      <c r="BE226" s="333"/>
      <c r="BF226" s="375"/>
      <c r="BG226" s="48"/>
      <c r="BH226" s="374"/>
      <c r="BI226" s="333"/>
      <c r="BJ226" s="333"/>
      <c r="BK226" s="375"/>
      <c r="BL226" s="48"/>
      <c r="BM226" s="374"/>
      <c r="BN226" s="333"/>
      <c r="BO226" s="333"/>
      <c r="BP226" s="375"/>
      <c r="BQ226" s="48"/>
      <c r="CL226"/>
      <c r="CM226"/>
      <c r="CN226"/>
      <c r="CO226"/>
      <c r="CP226"/>
      <c r="CQ226"/>
    </row>
    <row r="325" spans="1:70">
      <c r="A325" s="52" t="s">
        <v>587</v>
      </c>
    </row>
    <row r="326" spans="1:70">
      <c r="A326" s="52" t="s">
        <v>590</v>
      </c>
    </row>
    <row r="327" spans="1:70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  <c r="AB327" s="18"/>
      <c r="AC327" s="41"/>
      <c r="AD327" s="18"/>
      <c r="AE327" s="18"/>
      <c r="AF327" s="18"/>
      <c r="AG327" s="18"/>
      <c r="AH327" s="41"/>
      <c r="AI327" s="18"/>
      <c r="AJ327" s="18"/>
      <c r="AK327" s="18"/>
      <c r="AL327" s="18"/>
      <c r="AM327" s="41"/>
      <c r="AN327" s="18"/>
      <c r="AO327" s="18"/>
      <c r="AP327" s="18"/>
      <c r="AQ327" s="18"/>
      <c r="AR327" s="41"/>
      <c r="AS327" s="18"/>
      <c r="AT327" s="18"/>
      <c r="AU327" s="18"/>
      <c r="AV327" s="18"/>
      <c r="AW327" s="41"/>
      <c r="AX327" s="18"/>
      <c r="AY327" s="18"/>
      <c r="AZ327" s="18"/>
      <c r="BA327" s="18"/>
      <c r="BB327" s="41"/>
      <c r="BC327" s="18"/>
      <c r="BD327" s="18"/>
      <c r="BE327" s="18"/>
      <c r="BF327" s="18"/>
      <c r="BG327" s="41"/>
      <c r="BH327" s="18"/>
      <c r="BI327" s="18"/>
      <c r="BJ327" s="18"/>
      <c r="BK327" s="18"/>
      <c r="BL327" s="41"/>
      <c r="BM327" s="18"/>
      <c r="BN327" s="18"/>
      <c r="BO327" s="18"/>
      <c r="BP327" s="18"/>
      <c r="BQ327" s="41"/>
      <c r="BR327" s="18"/>
    </row>
    <row r="328" spans="1:70">
      <c r="A328" s="51"/>
      <c r="B328" s="51"/>
      <c r="C328" s="51"/>
      <c r="D328" s="51"/>
      <c r="E328" s="22"/>
      <c r="F328" s="24"/>
      <c r="G328" s="24"/>
      <c r="H328" s="23"/>
      <c r="J328" s="22"/>
      <c r="K328" s="24"/>
      <c r="L328" s="24"/>
      <c r="M328" s="23"/>
      <c r="O328" s="22"/>
      <c r="P328" s="24"/>
      <c r="Q328" s="24"/>
      <c r="R328" s="23"/>
      <c r="T328" s="22"/>
      <c r="U328" s="24"/>
      <c r="V328" s="24"/>
      <c r="W328" s="23"/>
      <c r="Y328" s="22"/>
      <c r="Z328" s="24"/>
      <c r="AA328" s="24"/>
      <c r="AB328" s="23"/>
      <c r="AC328" s="24"/>
      <c r="AD328" s="22"/>
      <c r="AE328" s="24"/>
      <c r="AF328" s="24"/>
      <c r="AG328" s="23"/>
      <c r="AH328" s="24"/>
      <c r="AI328" s="22"/>
      <c r="AJ328" s="24"/>
      <c r="AK328" s="24"/>
      <c r="AL328" s="23"/>
      <c r="AM328" s="24"/>
      <c r="AN328" s="22"/>
      <c r="AO328" s="24"/>
      <c r="AP328" s="24"/>
      <c r="AQ328" s="23"/>
      <c r="AR328" s="24"/>
      <c r="AS328" s="22"/>
      <c r="AT328" s="24"/>
      <c r="AU328" s="24"/>
      <c r="AV328" s="23"/>
      <c r="AW328" s="24"/>
      <c r="AX328" s="22"/>
      <c r="AY328" s="24"/>
      <c r="AZ328" s="24"/>
      <c r="BA328" s="23"/>
      <c r="BB328" s="24"/>
      <c r="BC328" s="22"/>
      <c r="BD328" s="24"/>
      <c r="BE328" s="24"/>
      <c r="BF328" s="23"/>
      <c r="BG328" s="24"/>
      <c r="BH328" s="22"/>
      <c r="BI328" s="24"/>
      <c r="BJ328" s="24"/>
      <c r="BK328" s="23"/>
      <c r="BL328" s="24"/>
      <c r="BM328" s="22"/>
      <c r="BN328" s="24"/>
      <c r="BO328" s="24"/>
      <c r="BP328" s="23"/>
      <c r="BQ328" s="24"/>
      <c r="BR328" s="22"/>
    </row>
    <row r="329" spans="1:70">
      <c r="A329" s="51"/>
      <c r="B329" s="36" t="s">
        <v>588</v>
      </c>
      <c r="C329" s="51"/>
      <c r="D329" s="51"/>
      <c r="E329" s="22"/>
      <c r="F329" s="24"/>
      <c r="G329" s="24"/>
      <c r="H329" s="23"/>
      <c r="J329" s="22"/>
      <c r="K329" s="24"/>
      <c r="L329" s="24"/>
      <c r="M329" s="23"/>
      <c r="O329" s="22"/>
      <c r="P329" s="24"/>
      <c r="Q329" s="24"/>
      <c r="R329" s="23"/>
      <c r="T329" s="22"/>
      <c r="U329" s="24"/>
      <c r="V329" s="24"/>
      <c r="W329" s="23"/>
      <c r="Y329" s="22"/>
      <c r="Z329" s="24"/>
      <c r="AA329" s="24"/>
      <c r="AB329" s="23"/>
      <c r="AC329" s="24"/>
      <c r="AD329" s="22"/>
      <c r="AE329" s="24"/>
      <c r="AF329" s="24"/>
      <c r="AG329" s="23"/>
      <c r="AH329" s="24"/>
      <c r="AI329" s="22"/>
      <c r="AJ329" s="24"/>
      <c r="AK329" s="24"/>
      <c r="AL329" s="23"/>
      <c r="AM329" s="24"/>
      <c r="AN329" s="22"/>
      <c r="AO329" s="24"/>
      <c r="AP329" s="24"/>
      <c r="AQ329" s="23"/>
      <c r="AR329" s="24"/>
      <c r="AS329" s="22"/>
      <c r="AT329" s="24"/>
      <c r="AU329" s="24"/>
      <c r="AV329" s="23"/>
      <c r="AW329" s="24"/>
      <c r="AX329" s="22"/>
      <c r="AY329" s="24"/>
      <c r="AZ329" s="24"/>
      <c r="BA329" s="23"/>
      <c r="BB329" s="24"/>
      <c r="BC329" s="22"/>
      <c r="BD329" s="24"/>
      <c r="BE329" s="24"/>
      <c r="BF329" s="23"/>
      <c r="BG329" s="24"/>
      <c r="BH329" s="22"/>
      <c r="BI329" s="24"/>
      <c r="BJ329" s="24"/>
      <c r="BK329" s="23"/>
      <c r="BL329" s="24"/>
      <c r="BM329" s="22"/>
      <c r="BN329" s="24"/>
      <c r="BO329" s="24"/>
      <c r="BP329" s="23"/>
      <c r="BQ329" s="24"/>
      <c r="BR329" s="22"/>
    </row>
    <row r="330" spans="1:70">
      <c r="A330" s="56" t="s">
        <v>450</v>
      </c>
      <c r="B330" s="45" t="s">
        <v>591</v>
      </c>
      <c r="C330" s="51"/>
      <c r="D330" s="51"/>
      <c r="E330" s="43">
        <v>0.38500000000000001</v>
      </c>
      <c r="F330" s="42">
        <f>+E330</f>
        <v>0.38500000000000001</v>
      </c>
      <c r="G330" s="42">
        <f>+F330</f>
        <v>0.38500000000000001</v>
      </c>
      <c r="H330" s="42">
        <f>+G330</f>
        <v>0.38500000000000001</v>
      </c>
      <c r="I330" s="447">
        <f>+E330</f>
        <v>0.38500000000000001</v>
      </c>
      <c r="J330" s="43">
        <v>0.38500000000000001</v>
      </c>
      <c r="K330" s="42">
        <f>+J330</f>
        <v>0.38500000000000001</v>
      </c>
      <c r="L330" s="42">
        <f>+K330</f>
        <v>0.38500000000000001</v>
      </c>
      <c r="M330" s="42">
        <f>+L330</f>
        <v>0.38500000000000001</v>
      </c>
      <c r="N330" s="447">
        <f>I330</f>
        <v>0.38500000000000001</v>
      </c>
      <c r="O330" s="43">
        <v>0.38500000000000001</v>
      </c>
      <c r="P330" s="42">
        <f>+O330</f>
        <v>0.38500000000000001</v>
      </c>
      <c r="Q330" s="42">
        <f>+P330</f>
        <v>0.38500000000000001</v>
      </c>
      <c r="R330" s="42">
        <f>+Q330</f>
        <v>0.38500000000000001</v>
      </c>
      <c r="S330" s="447">
        <f>N330</f>
        <v>0.38500000000000001</v>
      </c>
      <c r="T330" s="43">
        <v>0.38500000000000001</v>
      </c>
      <c r="U330" s="42">
        <f>+T330</f>
        <v>0.38500000000000001</v>
      </c>
      <c r="V330" s="42">
        <f>+U330</f>
        <v>0.38500000000000001</v>
      </c>
      <c r="W330" s="42">
        <f>+V330</f>
        <v>0.38500000000000001</v>
      </c>
      <c r="X330" s="447">
        <f>S330</f>
        <v>0.38500000000000001</v>
      </c>
      <c r="Y330" s="43">
        <v>0.38500000000000001</v>
      </c>
      <c r="Z330" s="42">
        <f>+Y330</f>
        <v>0.38500000000000001</v>
      </c>
      <c r="AA330" s="42">
        <f>+Z330</f>
        <v>0.38500000000000001</v>
      </c>
      <c r="AB330" s="42">
        <f>+AA330</f>
        <v>0.38500000000000001</v>
      </c>
      <c r="AC330" s="447">
        <f>X330</f>
        <v>0.38500000000000001</v>
      </c>
      <c r="AD330" s="43">
        <v>0.38500000000000001</v>
      </c>
      <c r="AE330" s="42">
        <f>+AD330</f>
        <v>0.38500000000000001</v>
      </c>
      <c r="AF330" s="42">
        <f>+AE330</f>
        <v>0.38500000000000001</v>
      </c>
      <c r="AG330" s="42">
        <f>+AF330</f>
        <v>0.38500000000000001</v>
      </c>
      <c r="AH330" s="447">
        <f>AC330</f>
        <v>0.38500000000000001</v>
      </c>
      <c r="AI330" s="43">
        <v>0.38500000000000001</v>
      </c>
      <c r="AJ330" s="42">
        <f>+AI330</f>
        <v>0.38500000000000001</v>
      </c>
      <c r="AK330" s="42">
        <f>+AJ330</f>
        <v>0.38500000000000001</v>
      </c>
      <c r="AL330" s="42">
        <f>+AK330</f>
        <v>0.38500000000000001</v>
      </c>
      <c r="AM330" s="447">
        <f>AH330</f>
        <v>0.38500000000000001</v>
      </c>
      <c r="AN330" s="43">
        <v>0.38500000000000001</v>
      </c>
      <c r="AO330" s="42">
        <f>+AN330</f>
        <v>0.38500000000000001</v>
      </c>
      <c r="AP330" s="42">
        <f>+AO330</f>
        <v>0.38500000000000001</v>
      </c>
      <c r="AQ330" s="42">
        <f>+AP330</f>
        <v>0.38500000000000001</v>
      </c>
      <c r="AR330" s="447">
        <f>AM330</f>
        <v>0.38500000000000001</v>
      </c>
      <c r="AS330" s="43">
        <v>0.38500000000000001</v>
      </c>
      <c r="AT330" s="42">
        <f>+AS330</f>
        <v>0.38500000000000001</v>
      </c>
      <c r="AU330" s="42">
        <f>+AT330</f>
        <v>0.38500000000000001</v>
      </c>
      <c r="AV330" s="42">
        <f>+AU330</f>
        <v>0.38500000000000001</v>
      </c>
      <c r="AW330" s="447">
        <f>AR330</f>
        <v>0.38500000000000001</v>
      </c>
      <c r="AX330" s="43">
        <v>0.38500000000000001</v>
      </c>
      <c r="AY330" s="42">
        <f>+AX330</f>
        <v>0.38500000000000001</v>
      </c>
      <c r="AZ330" s="42">
        <f>+AY330</f>
        <v>0.38500000000000001</v>
      </c>
      <c r="BA330" s="42">
        <f>+AY330</f>
        <v>0.38500000000000001</v>
      </c>
      <c r="BB330" s="447">
        <f>AW330</f>
        <v>0.38500000000000001</v>
      </c>
      <c r="BC330" s="43">
        <v>0.38500000000000001</v>
      </c>
      <c r="BD330" s="42">
        <f>+BC330</f>
        <v>0.38500000000000001</v>
      </c>
      <c r="BE330" s="42">
        <f>+BD330</f>
        <v>0.38500000000000001</v>
      </c>
      <c r="BF330" s="42">
        <f>+BE330</f>
        <v>0.38500000000000001</v>
      </c>
      <c r="BG330" s="447">
        <f>BB330</f>
        <v>0.38500000000000001</v>
      </c>
      <c r="BH330" s="43">
        <v>0.38500000000000001</v>
      </c>
      <c r="BI330" s="42">
        <f>+BH330</f>
        <v>0.38500000000000001</v>
      </c>
      <c r="BJ330" s="42">
        <f>+BI330</f>
        <v>0.38500000000000001</v>
      </c>
      <c r="BK330" s="42">
        <f>+BJ330</f>
        <v>0.38500000000000001</v>
      </c>
      <c r="BL330" s="447">
        <f>BG330</f>
        <v>0.38500000000000001</v>
      </c>
      <c r="BM330" s="43">
        <v>0.38500000000000001</v>
      </c>
      <c r="BN330" s="42">
        <f>+BM330</f>
        <v>0.38500000000000001</v>
      </c>
      <c r="BO330" s="42">
        <f>+BN330</f>
        <v>0.38500000000000001</v>
      </c>
      <c r="BP330" s="42">
        <f>+BO330</f>
        <v>0.38500000000000001</v>
      </c>
      <c r="BQ330" s="447">
        <f>BL330</f>
        <v>0.38500000000000001</v>
      </c>
      <c r="BR330" s="43"/>
    </row>
    <row r="331" spans="1:70">
      <c r="A331" s="56"/>
      <c r="B331" s="45" t="s">
        <v>592</v>
      </c>
      <c r="C331" s="51"/>
      <c r="D331" s="51"/>
      <c r="E331" s="446">
        <f>533.55666-27.570896</f>
        <v>505.98576399999996</v>
      </c>
      <c r="F331" s="446">
        <f>533.55666-27.571375</f>
        <v>505.98528499999998</v>
      </c>
      <c r="G331" s="446">
        <f>533.55666-27.575156</f>
        <v>505.98150399999997</v>
      </c>
      <c r="H331" s="446">
        <f>533.55666-27.56703</f>
        <v>505.98962999999998</v>
      </c>
      <c r="I331" s="448">
        <f>H331</f>
        <v>505.98962999999998</v>
      </c>
      <c r="J331" s="446">
        <f>533.55666-27.621816</f>
        <v>505.93484399999994</v>
      </c>
      <c r="K331" s="446">
        <f>533.55666-27.593877</f>
        <v>505.96278299999994</v>
      </c>
      <c r="L331" s="446">
        <f>533.55666-27.622433</f>
        <v>505.93422699999996</v>
      </c>
      <c r="M331" s="446">
        <f>533.55666-27.582437</f>
        <v>505.97422299999994</v>
      </c>
      <c r="N331" s="448">
        <f>M331</f>
        <v>505.97422299999994</v>
      </c>
      <c r="O331" s="446">
        <f>533.55666-27.651927</f>
        <v>505.90473299999996</v>
      </c>
      <c r="P331" s="446">
        <f>533.55666-27.651927</f>
        <v>505.90473299999996</v>
      </c>
      <c r="Q331" s="446">
        <f>533.55666-27.651927</f>
        <v>505.90473299999996</v>
      </c>
      <c r="R331" s="446">
        <f>533.55666-27.611374</f>
        <v>505.94528599999995</v>
      </c>
      <c r="S331" s="448">
        <f>R331</f>
        <v>505.94528599999995</v>
      </c>
      <c r="T331" s="446">
        <f t="shared" ref="T331:AL331" si="315">T46</f>
        <v>507.029</v>
      </c>
      <c r="U331" s="446">
        <f t="shared" si="315"/>
        <v>506.96899999999999</v>
      </c>
      <c r="V331" s="446">
        <f t="shared" si="315"/>
        <v>507.11099999999999</v>
      </c>
      <c r="W331" s="446">
        <f t="shared" si="315"/>
        <v>507.23099999999999</v>
      </c>
      <c r="X331" s="448">
        <f>W331</f>
        <v>507.23099999999999</v>
      </c>
      <c r="Y331" s="446">
        <f t="shared" si="315"/>
        <v>507.22</v>
      </c>
      <c r="Z331" s="446">
        <f t="shared" si="315"/>
        <v>507.38099999999997</v>
      </c>
      <c r="AA331" s="446">
        <f t="shared" si="315"/>
        <v>507.69400000000002</v>
      </c>
      <c r="AB331" s="446">
        <f t="shared" si="315"/>
        <v>507.79599999999999</v>
      </c>
      <c r="AC331" s="448">
        <f>AB331</f>
        <v>507.79599999999999</v>
      </c>
      <c r="AD331" s="446">
        <f t="shared" si="315"/>
        <v>507.83100000000002</v>
      </c>
      <c r="AE331" s="446">
        <f t="shared" si="315"/>
        <v>508.05599999999998</v>
      </c>
      <c r="AF331" s="446">
        <f t="shared" si="315"/>
        <v>507.42200000000003</v>
      </c>
      <c r="AG331" s="446">
        <f t="shared" si="315"/>
        <v>508</v>
      </c>
      <c r="AH331" s="448">
        <f>AD331</f>
        <v>507.83100000000002</v>
      </c>
      <c r="AI331" s="446">
        <f t="shared" si="315"/>
        <v>507.83100000000002</v>
      </c>
      <c r="AJ331" s="446">
        <f t="shared" si="315"/>
        <v>508</v>
      </c>
      <c r="AK331" s="446">
        <f t="shared" si="315"/>
        <v>508</v>
      </c>
      <c r="AL331" s="446">
        <f t="shared" si="315"/>
        <v>508</v>
      </c>
      <c r="AM331" s="448">
        <f>AE331</f>
        <v>508.05599999999998</v>
      </c>
      <c r="AN331" s="446">
        <f>AN46</f>
        <v>508</v>
      </c>
      <c r="AO331" s="446">
        <f>AO46</f>
        <v>508</v>
      </c>
      <c r="AP331" s="446">
        <f>AP46</f>
        <v>508</v>
      </c>
      <c r="AQ331" s="446">
        <f>AQ46</f>
        <v>508</v>
      </c>
      <c r="AR331" s="448">
        <f>AJ331</f>
        <v>508</v>
      </c>
      <c r="AS331" s="446">
        <f>AS46</f>
        <v>508</v>
      </c>
      <c r="AT331" s="446">
        <f>AT46</f>
        <v>507</v>
      </c>
      <c r="AU331" s="446">
        <f>AU46</f>
        <v>507</v>
      </c>
      <c r="AV331" s="446">
        <f>AV46</f>
        <v>508</v>
      </c>
      <c r="AW331" s="448">
        <f>AO331</f>
        <v>508</v>
      </c>
      <c r="AX331" s="446">
        <f>AX46</f>
        <v>508</v>
      </c>
      <c r="AY331" s="446">
        <f>AY46</f>
        <v>508</v>
      </c>
      <c r="AZ331" s="446">
        <f>AY46</f>
        <v>508</v>
      </c>
      <c r="BA331" s="446">
        <f>BA46</f>
        <v>508</v>
      </c>
      <c r="BB331" s="448">
        <f>AT331</f>
        <v>507</v>
      </c>
      <c r="BC331" s="446">
        <f>BC46</f>
        <v>508</v>
      </c>
      <c r="BD331" s="446">
        <f>BD46</f>
        <v>508</v>
      </c>
      <c r="BE331" s="446">
        <f>BE46</f>
        <v>508</v>
      </c>
      <c r="BF331" s="446">
        <f>BF46</f>
        <v>508</v>
      </c>
      <c r="BG331" s="448">
        <f>AY331</f>
        <v>508</v>
      </c>
      <c r="BH331" s="446">
        <f>BH46</f>
        <v>508</v>
      </c>
      <c r="BI331" s="446">
        <f>BI46</f>
        <v>508</v>
      </c>
      <c r="BJ331" s="446">
        <f>BJ46</f>
        <v>508</v>
      </c>
      <c r="BK331" s="446">
        <f>BK46</f>
        <v>508</v>
      </c>
      <c r="BL331" s="448">
        <f>BD331</f>
        <v>508</v>
      </c>
      <c r="BM331" s="446">
        <f>BM46</f>
        <v>508</v>
      </c>
      <c r="BN331" s="446">
        <f>BN46</f>
        <v>508</v>
      </c>
      <c r="BO331" s="446">
        <f>BO46</f>
        <v>508</v>
      </c>
      <c r="BP331" s="446">
        <f>BP46</f>
        <v>508</v>
      </c>
      <c r="BQ331" s="448">
        <f>BI331</f>
        <v>508</v>
      </c>
      <c r="BR331" s="34"/>
    </row>
    <row r="332" spans="1:70">
      <c r="A332" s="56"/>
      <c r="B332" s="45" t="s">
        <v>589</v>
      </c>
      <c r="C332" s="45"/>
      <c r="D332" s="51"/>
      <c r="E332" s="24">
        <v>0</v>
      </c>
      <c r="F332" s="24">
        <f t="shared" ref="F332:AB332" si="316">E332</f>
        <v>0</v>
      </c>
      <c r="G332" s="24">
        <f t="shared" si="316"/>
        <v>0</v>
      </c>
      <c r="H332" s="24">
        <f t="shared" si="316"/>
        <v>0</v>
      </c>
      <c r="I332" s="449">
        <f>+E332</f>
        <v>0</v>
      </c>
      <c r="J332" s="24">
        <f>H332</f>
        <v>0</v>
      </c>
      <c r="K332" s="24">
        <f t="shared" si="316"/>
        <v>0</v>
      </c>
      <c r="L332" s="24">
        <f t="shared" si="316"/>
        <v>0</v>
      </c>
      <c r="M332" s="24">
        <f t="shared" si="316"/>
        <v>0</v>
      </c>
      <c r="N332" s="449">
        <f>I332</f>
        <v>0</v>
      </c>
      <c r="O332" s="24">
        <f>M332</f>
        <v>0</v>
      </c>
      <c r="P332" s="24">
        <f t="shared" si="316"/>
        <v>0</v>
      </c>
      <c r="Q332" s="24">
        <f t="shared" si="316"/>
        <v>0</v>
      </c>
      <c r="R332" s="24">
        <f t="shared" si="316"/>
        <v>0</v>
      </c>
      <c r="S332" s="449">
        <f>N332</f>
        <v>0</v>
      </c>
      <c r="T332" s="24">
        <f>R332</f>
        <v>0</v>
      </c>
      <c r="U332" s="24">
        <f t="shared" si="316"/>
        <v>0</v>
      </c>
      <c r="V332" s="24">
        <f t="shared" si="316"/>
        <v>0</v>
      </c>
      <c r="W332" s="24">
        <f t="shared" si="316"/>
        <v>0</v>
      </c>
      <c r="X332" s="449">
        <f>S332</f>
        <v>0</v>
      </c>
      <c r="Y332" s="24">
        <f>W332</f>
        <v>0</v>
      </c>
      <c r="Z332" s="24">
        <f t="shared" si="316"/>
        <v>0</v>
      </c>
      <c r="AA332" s="24">
        <f t="shared" si="316"/>
        <v>0</v>
      </c>
      <c r="AB332" s="24">
        <f t="shared" si="316"/>
        <v>0</v>
      </c>
      <c r="AC332" s="449">
        <f>X332</f>
        <v>0</v>
      </c>
      <c r="AD332" s="24">
        <f>AB332</f>
        <v>0</v>
      </c>
      <c r="AE332" s="24">
        <f t="shared" ref="AE332:AL332" si="317">AD332</f>
        <v>0</v>
      </c>
      <c r="AF332" s="24">
        <f t="shared" si="317"/>
        <v>0</v>
      </c>
      <c r="AG332" s="24">
        <f t="shared" si="317"/>
        <v>0</v>
      </c>
      <c r="AH332" s="449">
        <f>AC332</f>
        <v>0</v>
      </c>
      <c r="AI332" s="24">
        <f>AG332</f>
        <v>0</v>
      </c>
      <c r="AJ332" s="24">
        <f t="shared" si="317"/>
        <v>0</v>
      </c>
      <c r="AK332" s="24">
        <f t="shared" si="317"/>
        <v>0</v>
      </c>
      <c r="AL332" s="24">
        <f t="shared" si="317"/>
        <v>0</v>
      </c>
      <c r="AM332" s="449">
        <f>AH332</f>
        <v>0</v>
      </c>
      <c r="AN332" s="24">
        <f>AL332</f>
        <v>0</v>
      </c>
      <c r="AO332" s="24">
        <f>AN332</f>
        <v>0</v>
      </c>
      <c r="AP332" s="24">
        <f>AO332</f>
        <v>0</v>
      </c>
      <c r="AQ332" s="24">
        <f>AP332</f>
        <v>0</v>
      </c>
      <c r="AR332" s="449">
        <f>AM332</f>
        <v>0</v>
      </c>
      <c r="AS332" s="24">
        <f>AQ332</f>
        <v>0</v>
      </c>
      <c r="AT332" s="24">
        <f>AS332</f>
        <v>0</v>
      </c>
      <c r="AU332" s="24">
        <f>AT332</f>
        <v>0</v>
      </c>
      <c r="AV332" s="24">
        <f>AU332</f>
        <v>0</v>
      </c>
      <c r="AW332" s="449">
        <f>AR332</f>
        <v>0</v>
      </c>
      <c r="AX332" s="24">
        <f>AV332</f>
        <v>0</v>
      </c>
      <c r="AY332" s="24">
        <f>AX332</f>
        <v>0</v>
      </c>
      <c r="AZ332" s="24">
        <f>AY332</f>
        <v>0</v>
      </c>
      <c r="BA332" s="24">
        <f>AY332</f>
        <v>0</v>
      </c>
      <c r="BB332" s="449">
        <f>AW332</f>
        <v>0</v>
      </c>
      <c r="BC332" s="24">
        <f>BA332</f>
        <v>0</v>
      </c>
      <c r="BD332" s="24">
        <f>BC332</f>
        <v>0</v>
      </c>
      <c r="BE332" s="24">
        <f>BD332</f>
        <v>0</v>
      </c>
      <c r="BF332" s="24">
        <f>BE332</f>
        <v>0</v>
      </c>
      <c r="BG332" s="449">
        <f>BB332</f>
        <v>0</v>
      </c>
      <c r="BH332" s="24">
        <f>BF332</f>
        <v>0</v>
      </c>
      <c r="BI332" s="24">
        <f>BH332</f>
        <v>0</v>
      </c>
      <c r="BJ332" s="24">
        <f>BI332</f>
        <v>0</v>
      </c>
      <c r="BK332" s="24">
        <f>BJ332</f>
        <v>0</v>
      </c>
      <c r="BL332" s="449">
        <f>BG332</f>
        <v>0</v>
      </c>
      <c r="BM332" s="24">
        <f>BK332</f>
        <v>0</v>
      </c>
      <c r="BN332" s="24">
        <f>BM332</f>
        <v>0</v>
      </c>
      <c r="BO332" s="24">
        <f>BN332</f>
        <v>0</v>
      </c>
      <c r="BP332" s="24">
        <f>BO332</f>
        <v>0</v>
      </c>
      <c r="BQ332" s="449">
        <f>BL332</f>
        <v>0</v>
      </c>
      <c r="BR332" s="22"/>
    </row>
    <row r="333" spans="1:70">
      <c r="A333" s="51"/>
      <c r="B333" s="45" t="s">
        <v>602</v>
      </c>
      <c r="C333" s="51"/>
      <c r="D333" s="51"/>
      <c r="E333" s="28">
        <f>-E127</f>
        <v>168</v>
      </c>
      <c r="F333" s="28">
        <f>-F127</f>
        <v>168</v>
      </c>
      <c r="G333" s="28">
        <f>-G127</f>
        <v>169</v>
      </c>
      <c r="H333" s="28">
        <f>-H127</f>
        <v>168</v>
      </c>
      <c r="I333" s="450">
        <f>SUM(E333:H333)</f>
        <v>673</v>
      </c>
      <c r="J333" s="28">
        <f>-J127</f>
        <v>173</v>
      </c>
      <c r="K333" s="28">
        <f>-K127</f>
        <v>174</v>
      </c>
      <c r="L333" s="28">
        <f>-L127</f>
        <v>173</v>
      </c>
      <c r="M333" s="28">
        <f>-M127</f>
        <v>173</v>
      </c>
      <c r="N333" s="450">
        <f>SUM(J333:M333)</f>
        <v>693</v>
      </c>
      <c r="O333" s="28">
        <f>-O127</f>
        <v>173</v>
      </c>
      <c r="P333" s="28">
        <f>-P127</f>
        <v>174</v>
      </c>
      <c r="Q333" s="28">
        <f>-Q127</f>
        <v>173</v>
      </c>
      <c r="R333" s="28">
        <f>-R127</f>
        <v>173</v>
      </c>
      <c r="S333" s="450">
        <f>SUM(O333:R333)</f>
        <v>693</v>
      </c>
      <c r="T333" s="28">
        <f>-T127</f>
        <v>179</v>
      </c>
      <c r="U333" s="28">
        <f>-U127</f>
        <v>180</v>
      </c>
      <c r="V333" s="28">
        <f>-V127</f>
        <v>179</v>
      </c>
      <c r="W333" s="28">
        <f>-W127</f>
        <v>180</v>
      </c>
      <c r="X333" s="450">
        <f>SUM(T333:W333)</f>
        <v>718</v>
      </c>
      <c r="Y333" s="28">
        <f>-Y127</f>
        <v>182</v>
      </c>
      <c r="Z333" s="28">
        <f>-Z127</f>
        <v>182</v>
      </c>
      <c r="AA333" s="28">
        <f>-AA127</f>
        <v>182</v>
      </c>
      <c r="AB333" s="28">
        <f>-AB127</f>
        <v>182</v>
      </c>
      <c r="AC333" s="450">
        <f>SUM(Y333:AB333)</f>
        <v>728</v>
      </c>
      <c r="AD333" s="28">
        <f>-AD127</f>
        <v>187</v>
      </c>
      <c r="AE333" s="28">
        <f>-AE127</f>
        <v>187</v>
      </c>
      <c r="AF333" s="28">
        <f>-AF127</f>
        <v>187</v>
      </c>
      <c r="AG333" s="28">
        <f>-AG127</f>
        <v>187</v>
      </c>
      <c r="AH333" s="450">
        <f>SUM(AD333:AG333)</f>
        <v>748</v>
      </c>
      <c r="AI333" s="28">
        <f>-AI127</f>
        <v>197</v>
      </c>
      <c r="AJ333" s="28">
        <f>-AJ127</f>
        <v>197</v>
      </c>
      <c r="AK333" s="28">
        <f>-AK127</f>
        <v>198</v>
      </c>
      <c r="AL333" s="28">
        <f>-AL127</f>
        <v>197</v>
      </c>
      <c r="AM333" s="450">
        <f>SUM(AI333:AL333)</f>
        <v>789</v>
      </c>
      <c r="AN333" s="28">
        <f>-AN127</f>
        <v>207</v>
      </c>
      <c r="AO333" s="28">
        <f>-AO127</f>
        <v>208</v>
      </c>
      <c r="AP333" s="28">
        <f>-AP127</f>
        <v>207</v>
      </c>
      <c r="AQ333" s="28">
        <f>-AQ127</f>
        <v>208</v>
      </c>
      <c r="AR333" s="450">
        <f>SUM(AN333:AQ333)</f>
        <v>830</v>
      </c>
      <c r="AS333" s="28">
        <f>-AS127</f>
        <v>218</v>
      </c>
      <c r="AT333" s="28">
        <f>-AT127</f>
        <v>217</v>
      </c>
      <c r="AU333" s="28">
        <f>-AU127</f>
        <v>217</v>
      </c>
      <c r="AV333" s="28">
        <f>-AV127</f>
        <v>218</v>
      </c>
      <c r="AW333" s="450">
        <f>SUM(AS333:AV333)</f>
        <v>870</v>
      </c>
      <c r="AX333" s="28">
        <f>-AX127</f>
        <v>226.92174999999997</v>
      </c>
      <c r="AY333" s="28">
        <f>-AY127</f>
        <v>226.92174999999997</v>
      </c>
      <c r="AZ333" s="28">
        <f>-AY127</f>
        <v>226.92174999999997</v>
      </c>
      <c r="BA333" s="28">
        <f>-BA127</f>
        <v>226.92174999999997</v>
      </c>
      <c r="BB333" s="450">
        <f>SUM(AX333:BA333)</f>
        <v>907.6869999999999</v>
      </c>
      <c r="BC333" s="28">
        <f>-BC127</f>
        <v>237.13322874999997</v>
      </c>
      <c r="BD333" s="28">
        <f>-BD127</f>
        <v>237.13322874999997</v>
      </c>
      <c r="BE333" s="28">
        <f>-BE127</f>
        <v>237.13322874999997</v>
      </c>
      <c r="BF333" s="28">
        <f>-BF127</f>
        <v>237.13322874999997</v>
      </c>
      <c r="BG333" s="450">
        <f>SUM(BC333:BF333)</f>
        <v>948.53291499999989</v>
      </c>
      <c r="BH333" s="28">
        <f>-BH127</f>
        <v>247.80422404374997</v>
      </c>
      <c r="BI333" s="28">
        <f>-BI127</f>
        <v>247.80422404374997</v>
      </c>
      <c r="BJ333" s="28">
        <f>-BJ127</f>
        <v>247.80422404374997</v>
      </c>
      <c r="BK333" s="28">
        <f>-BK127</f>
        <v>247.80422404374997</v>
      </c>
      <c r="BL333" s="450">
        <f>SUM(BH333:BK333)</f>
        <v>991.21689617499987</v>
      </c>
      <c r="BM333" s="28">
        <f>-BM127</f>
        <v>258.95541412571868</v>
      </c>
      <c r="BN333" s="28">
        <f>-BN127</f>
        <v>258.95541412571868</v>
      </c>
      <c r="BO333" s="28">
        <f>-BO127</f>
        <v>258.95541412571868</v>
      </c>
      <c r="BP333" s="28">
        <f>-BP127</f>
        <v>258.95541412571868</v>
      </c>
      <c r="BQ333" s="450">
        <f>SUM(BM333:BP333)</f>
        <v>1035.8216565028747</v>
      </c>
      <c r="BR333" s="22"/>
    </row>
    <row r="334" spans="1:70">
      <c r="A334" s="51"/>
      <c r="B334" s="45"/>
      <c r="C334" s="51"/>
      <c r="D334" s="51"/>
      <c r="E334" s="28"/>
      <c r="F334" s="28"/>
      <c r="G334" s="28"/>
      <c r="H334" s="28"/>
      <c r="I334" s="450"/>
      <c r="J334" s="28"/>
      <c r="K334" s="28"/>
      <c r="L334" s="28"/>
      <c r="M334" s="28"/>
      <c r="N334" s="450"/>
      <c r="O334" s="28"/>
      <c r="P334" s="28"/>
      <c r="Q334" s="28"/>
      <c r="R334" s="28"/>
      <c r="S334" s="450"/>
      <c r="T334" s="28"/>
      <c r="U334" s="28"/>
      <c r="V334" s="28"/>
      <c r="W334" s="28"/>
      <c r="X334" s="450"/>
      <c r="Y334" s="28"/>
      <c r="Z334" s="28"/>
      <c r="AA334" s="28"/>
      <c r="AB334" s="28"/>
      <c r="AC334" s="450"/>
      <c r="AD334" s="28"/>
      <c r="AE334" s="28"/>
      <c r="AF334" s="28"/>
      <c r="AG334" s="28"/>
      <c r="AH334" s="450"/>
      <c r="AI334" s="28"/>
      <c r="AJ334" s="28"/>
      <c r="AK334" s="28"/>
      <c r="AL334" s="28"/>
      <c r="AM334" s="450"/>
      <c r="AN334" s="28"/>
      <c r="AO334" s="28"/>
      <c r="AP334" s="28"/>
      <c r="AQ334" s="28"/>
      <c r="AR334" s="450"/>
      <c r="AS334" s="28"/>
      <c r="AT334" s="28"/>
      <c r="AU334" s="28"/>
      <c r="AV334" s="28"/>
      <c r="AW334" s="450"/>
      <c r="AX334" s="28"/>
      <c r="AY334" s="28"/>
      <c r="AZ334" s="28"/>
      <c r="BA334" s="28"/>
      <c r="BB334" s="450"/>
      <c r="BC334" s="28"/>
      <c r="BD334" s="28"/>
      <c r="BE334" s="28"/>
      <c r="BF334" s="28"/>
      <c r="BG334" s="450"/>
      <c r="BH334" s="28"/>
      <c r="BI334" s="28"/>
      <c r="BJ334" s="28"/>
      <c r="BK334" s="28"/>
      <c r="BL334" s="450"/>
      <c r="BM334" s="28"/>
      <c r="BN334" s="28"/>
      <c r="BO334" s="28"/>
      <c r="BP334" s="28"/>
      <c r="BQ334" s="450"/>
      <c r="BR334" s="22"/>
    </row>
    <row r="335" spans="1:70">
      <c r="A335" s="51"/>
      <c r="B335" s="45"/>
      <c r="C335" s="51"/>
      <c r="D335" s="51"/>
      <c r="E335" s="28"/>
      <c r="F335" s="28"/>
      <c r="G335" s="28"/>
      <c r="H335" s="28"/>
      <c r="I335" s="450"/>
      <c r="J335" s="28"/>
      <c r="K335" s="28"/>
      <c r="L335" s="28"/>
      <c r="M335" s="28"/>
      <c r="N335" s="450"/>
      <c r="O335" s="28"/>
      <c r="P335" s="28"/>
      <c r="Q335" s="28"/>
      <c r="R335" s="28"/>
      <c r="S335" s="450"/>
      <c r="T335" s="28"/>
      <c r="U335" s="28"/>
      <c r="V335" s="28"/>
      <c r="W335" s="28"/>
      <c r="X335" s="450"/>
      <c r="Y335" s="28"/>
      <c r="Z335" s="28"/>
      <c r="AA335" s="28"/>
      <c r="AB335" s="28"/>
      <c r="AC335" s="450"/>
      <c r="AD335" s="28"/>
      <c r="AE335" s="28"/>
      <c r="AF335" s="28"/>
      <c r="AG335" s="28"/>
      <c r="AH335" s="450"/>
      <c r="AI335" s="28"/>
      <c r="AJ335" s="28"/>
      <c r="AK335" s="28"/>
      <c r="AL335" s="28"/>
      <c r="AM335" s="450"/>
      <c r="AN335" s="28"/>
      <c r="AO335" s="28"/>
      <c r="AP335" s="28"/>
      <c r="AQ335" s="28"/>
      <c r="AR335" s="450"/>
      <c r="AS335" s="28"/>
      <c r="AT335" s="28"/>
      <c r="AU335" s="28"/>
      <c r="AV335" s="28"/>
      <c r="AW335" s="450"/>
      <c r="AX335" s="28"/>
      <c r="AY335" s="28"/>
      <c r="AZ335" s="28"/>
      <c r="BA335" s="28"/>
      <c r="BB335" s="450"/>
      <c r="BC335" s="28"/>
      <c r="BD335" s="28"/>
      <c r="BE335" s="28"/>
      <c r="BF335" s="28"/>
      <c r="BG335" s="450"/>
      <c r="BH335" s="28"/>
      <c r="BI335" s="28"/>
      <c r="BJ335" s="28"/>
      <c r="BK335" s="28"/>
      <c r="BL335" s="450"/>
      <c r="BM335" s="28"/>
      <c r="BN335" s="28"/>
      <c r="BO335" s="28"/>
      <c r="BP335" s="28"/>
      <c r="BQ335" s="450"/>
      <c r="BR335" s="22"/>
    </row>
    <row r="336" spans="1:70">
      <c r="A336" s="51"/>
      <c r="B336" s="45" t="s">
        <v>612</v>
      </c>
      <c r="C336" s="51"/>
      <c r="D336" s="51"/>
      <c r="E336" s="527">
        <f>E126</f>
        <v>0</v>
      </c>
      <c r="F336" s="24">
        <f t="shared" ref="F336:AR336" si="318">F126</f>
        <v>0</v>
      </c>
      <c r="G336" s="24">
        <f t="shared" si="318"/>
        <v>0</v>
      </c>
      <c r="H336" s="24">
        <f t="shared" si="318"/>
        <v>0</v>
      </c>
      <c r="I336" s="635">
        <f t="shared" si="318"/>
        <v>0</v>
      </c>
      <c r="J336" s="636">
        <f t="shared" si="318"/>
        <v>0</v>
      </c>
      <c r="K336" s="636">
        <f t="shared" si="318"/>
        <v>0</v>
      </c>
      <c r="L336" s="636">
        <f t="shared" si="318"/>
        <v>0</v>
      </c>
      <c r="M336" s="637">
        <f t="shared" si="318"/>
        <v>0</v>
      </c>
      <c r="N336" s="638">
        <f t="shared" si="318"/>
        <v>0</v>
      </c>
      <c r="O336" s="639">
        <f t="shared" si="318"/>
        <v>0</v>
      </c>
      <c r="P336" s="636">
        <f t="shared" si="318"/>
        <v>0</v>
      </c>
      <c r="Q336" s="636">
        <f t="shared" si="318"/>
        <v>0</v>
      </c>
      <c r="R336" s="637">
        <f t="shared" si="318"/>
        <v>0</v>
      </c>
      <c r="S336" s="638">
        <f t="shared" si="318"/>
        <v>0</v>
      </c>
      <c r="T336" s="639">
        <f t="shared" si="318"/>
        <v>0</v>
      </c>
      <c r="U336" s="636">
        <f t="shared" si="318"/>
        <v>0</v>
      </c>
      <c r="V336" s="636">
        <f t="shared" si="318"/>
        <v>0</v>
      </c>
      <c r="W336" s="637">
        <f t="shared" si="318"/>
        <v>0</v>
      </c>
      <c r="X336" s="638">
        <f t="shared" si="318"/>
        <v>0</v>
      </c>
      <c r="Y336" s="639">
        <f t="shared" si="318"/>
        <v>0</v>
      </c>
      <c r="Z336" s="636">
        <f t="shared" si="318"/>
        <v>0</v>
      </c>
      <c r="AA336" s="636">
        <f t="shared" si="318"/>
        <v>0</v>
      </c>
      <c r="AB336" s="637">
        <f t="shared" si="318"/>
        <v>0</v>
      </c>
      <c r="AC336" s="636">
        <f t="shared" si="318"/>
        <v>0</v>
      </c>
      <c r="AD336" s="639">
        <f t="shared" si="318"/>
        <v>0</v>
      </c>
      <c r="AE336" s="636">
        <f t="shared" si="318"/>
        <v>0</v>
      </c>
      <c r="AF336" s="636">
        <f t="shared" si="318"/>
        <v>0</v>
      </c>
      <c r="AG336" s="637">
        <f t="shared" si="318"/>
        <v>0</v>
      </c>
      <c r="AH336" s="636">
        <f t="shared" si="318"/>
        <v>0</v>
      </c>
      <c r="AI336" s="639">
        <f t="shared" si="318"/>
        <v>0</v>
      </c>
      <c r="AJ336" s="636">
        <f t="shared" si="318"/>
        <v>0</v>
      </c>
      <c r="AK336" s="636">
        <f t="shared" si="318"/>
        <v>0</v>
      </c>
      <c r="AL336" s="637">
        <f t="shared" si="318"/>
        <v>0</v>
      </c>
      <c r="AM336" s="636">
        <f t="shared" si="318"/>
        <v>0</v>
      </c>
      <c r="AN336" s="639">
        <f t="shared" si="318"/>
        <v>0</v>
      </c>
      <c r="AO336" s="636">
        <f t="shared" si="318"/>
        <v>0</v>
      </c>
      <c r="AP336" s="636">
        <f t="shared" si="318"/>
        <v>0</v>
      </c>
      <c r="AQ336" s="637">
        <f t="shared" si="318"/>
        <v>0</v>
      </c>
      <c r="AR336" s="636">
        <f t="shared" si="318"/>
        <v>0</v>
      </c>
      <c r="AS336" s="639">
        <f t="shared" ref="AS336:BB336" si="319">AS126</f>
        <v>0</v>
      </c>
      <c r="AT336" s="636">
        <f t="shared" si="319"/>
        <v>0</v>
      </c>
      <c r="AU336" s="636">
        <f t="shared" si="319"/>
        <v>0</v>
      </c>
      <c r="AV336" s="637">
        <f t="shared" si="319"/>
        <v>0</v>
      </c>
      <c r="AW336" s="636">
        <f t="shared" si="319"/>
        <v>0</v>
      </c>
      <c r="AX336" s="639">
        <f t="shared" si="319"/>
        <v>0</v>
      </c>
      <c r="AY336" s="636">
        <f t="shared" si="319"/>
        <v>0</v>
      </c>
      <c r="AZ336" s="636">
        <f>AY126</f>
        <v>0</v>
      </c>
      <c r="BA336" s="637">
        <f t="shared" si="319"/>
        <v>0</v>
      </c>
      <c r="BB336" s="636">
        <f t="shared" si="319"/>
        <v>0</v>
      </c>
      <c r="BC336" s="639">
        <f t="shared" ref="BC336:BL336" si="320">BC126</f>
        <v>0</v>
      </c>
      <c r="BD336" s="636">
        <f t="shared" si="320"/>
        <v>0</v>
      </c>
      <c r="BE336" s="636">
        <f t="shared" si="320"/>
        <v>0</v>
      </c>
      <c r="BF336" s="637">
        <f t="shared" si="320"/>
        <v>0</v>
      </c>
      <c r="BG336" s="636">
        <f t="shared" si="320"/>
        <v>0</v>
      </c>
      <c r="BH336" s="639">
        <f t="shared" si="320"/>
        <v>0</v>
      </c>
      <c r="BI336" s="636">
        <f t="shared" si="320"/>
        <v>0</v>
      </c>
      <c r="BJ336" s="636">
        <f t="shared" si="320"/>
        <v>0</v>
      </c>
      <c r="BK336" s="637">
        <f t="shared" si="320"/>
        <v>0</v>
      </c>
      <c r="BL336" s="636">
        <f t="shared" si="320"/>
        <v>0</v>
      </c>
      <c r="BM336" s="639">
        <f>BM126</f>
        <v>0</v>
      </c>
      <c r="BN336" s="636">
        <f>BN126</f>
        <v>0</v>
      </c>
      <c r="BO336" s="636">
        <f>BO126</f>
        <v>0</v>
      </c>
      <c r="BP336" s="637">
        <f>BP126</f>
        <v>0</v>
      </c>
      <c r="BQ336" s="636">
        <f>BQ126</f>
        <v>0</v>
      </c>
      <c r="BR336" s="22"/>
    </row>
    <row r="337" spans="1:89">
      <c r="A337" s="51"/>
      <c r="B337" s="45" t="s">
        <v>417</v>
      </c>
      <c r="C337" s="51"/>
      <c r="D337" s="51"/>
      <c r="E337" s="639">
        <f>E41+E38</f>
        <v>99</v>
      </c>
      <c r="F337" s="636">
        <f t="shared" ref="F337:AR337" si="321">F41+F38</f>
        <v>8</v>
      </c>
      <c r="G337" s="636">
        <f t="shared" si="321"/>
        <v>-24</v>
      </c>
      <c r="H337" s="637">
        <f t="shared" si="321"/>
        <v>-18</v>
      </c>
      <c r="I337" s="638">
        <f t="shared" si="321"/>
        <v>65</v>
      </c>
      <c r="J337" s="639">
        <f t="shared" si="321"/>
        <v>-117</v>
      </c>
      <c r="K337" s="636">
        <f t="shared" si="321"/>
        <v>109</v>
      </c>
      <c r="L337" s="636">
        <f t="shared" si="321"/>
        <v>-29</v>
      </c>
      <c r="M337" s="637">
        <f t="shared" si="321"/>
        <v>25</v>
      </c>
      <c r="N337" s="638">
        <f t="shared" si="321"/>
        <v>47</v>
      </c>
      <c r="O337" s="639">
        <f t="shared" si="321"/>
        <v>-27</v>
      </c>
      <c r="P337" s="636">
        <f t="shared" si="321"/>
        <v>-18</v>
      </c>
      <c r="Q337" s="636">
        <f t="shared" si="321"/>
        <v>163</v>
      </c>
      <c r="R337" s="637">
        <f t="shared" si="321"/>
        <v>-114</v>
      </c>
      <c r="S337" s="638">
        <f t="shared" si="321"/>
        <v>4</v>
      </c>
      <c r="T337" s="639">
        <f t="shared" si="321"/>
        <v>-56</v>
      </c>
      <c r="U337" s="636">
        <f t="shared" si="321"/>
        <v>11</v>
      </c>
      <c r="V337" s="636">
        <f t="shared" si="321"/>
        <v>35</v>
      </c>
      <c r="W337" s="637">
        <f t="shared" si="321"/>
        <v>-29</v>
      </c>
      <c r="X337" s="638">
        <f t="shared" si="321"/>
        <v>-39</v>
      </c>
      <c r="Y337" s="639">
        <f t="shared" si="321"/>
        <v>113</v>
      </c>
      <c r="Z337" s="636">
        <f t="shared" si="321"/>
        <v>-90</v>
      </c>
      <c r="AA337" s="636">
        <f t="shared" si="321"/>
        <v>-5</v>
      </c>
      <c r="AB337" s="637">
        <f t="shared" si="321"/>
        <v>48</v>
      </c>
      <c r="AC337" s="636">
        <f t="shared" si="321"/>
        <v>66</v>
      </c>
      <c r="AD337" s="639">
        <f t="shared" si="321"/>
        <v>129</v>
      </c>
      <c r="AE337" s="636">
        <f t="shared" si="321"/>
        <v>33</v>
      </c>
      <c r="AF337" s="636">
        <f t="shared" si="321"/>
        <v>-51</v>
      </c>
      <c r="AG337" s="637">
        <f t="shared" si="321"/>
        <v>-229</v>
      </c>
      <c r="AH337" s="636">
        <f t="shared" si="321"/>
        <v>-118</v>
      </c>
      <c r="AI337" s="639">
        <f t="shared" si="321"/>
        <v>-57</v>
      </c>
      <c r="AJ337" s="636">
        <f t="shared" si="321"/>
        <v>-56</v>
      </c>
      <c r="AK337" s="636">
        <f t="shared" si="321"/>
        <v>-36</v>
      </c>
      <c r="AL337" s="637">
        <f t="shared" si="321"/>
        <v>-54</v>
      </c>
      <c r="AM337" s="636">
        <f t="shared" si="321"/>
        <v>-203</v>
      </c>
      <c r="AN337" s="639">
        <f t="shared" si="321"/>
        <v>-8</v>
      </c>
      <c r="AO337" s="636">
        <f t="shared" si="321"/>
        <v>102</v>
      </c>
      <c r="AP337" s="636">
        <f t="shared" si="321"/>
        <v>117</v>
      </c>
      <c r="AQ337" s="637">
        <f t="shared" si="321"/>
        <v>377</v>
      </c>
      <c r="AR337" s="636">
        <f t="shared" si="321"/>
        <v>588</v>
      </c>
      <c r="AS337" s="639">
        <f t="shared" ref="AS337:BB337" si="322">AS41+AS38</f>
        <v>352</v>
      </c>
      <c r="AT337" s="636">
        <f t="shared" si="322"/>
        <v>207</v>
      </c>
      <c r="AU337" s="636">
        <f t="shared" si="322"/>
        <v>22</v>
      </c>
      <c r="AV337" s="637">
        <f t="shared" si="322"/>
        <v>-667</v>
      </c>
      <c r="AW337" s="636">
        <f t="shared" si="322"/>
        <v>-86</v>
      </c>
      <c r="AX337" s="639">
        <f t="shared" si="322"/>
        <v>0</v>
      </c>
      <c r="AY337" s="636">
        <f t="shared" si="322"/>
        <v>0</v>
      </c>
      <c r="AZ337" s="636">
        <f>AY41+AY38</f>
        <v>0</v>
      </c>
      <c r="BA337" s="637">
        <f t="shared" si="322"/>
        <v>0</v>
      </c>
      <c r="BB337" s="636">
        <f t="shared" si="322"/>
        <v>0</v>
      </c>
      <c r="BC337" s="639">
        <f t="shared" ref="BC337:BL337" si="323">BC41+BC38</f>
        <v>0</v>
      </c>
      <c r="BD337" s="636">
        <f t="shared" si="323"/>
        <v>0</v>
      </c>
      <c r="BE337" s="636">
        <f t="shared" si="323"/>
        <v>0</v>
      </c>
      <c r="BF337" s="637">
        <f t="shared" si="323"/>
        <v>0</v>
      </c>
      <c r="BG337" s="636">
        <f t="shared" si="323"/>
        <v>0</v>
      </c>
      <c r="BH337" s="639">
        <f t="shared" si="323"/>
        <v>0</v>
      </c>
      <c r="BI337" s="636">
        <f t="shared" si="323"/>
        <v>0</v>
      </c>
      <c r="BJ337" s="636">
        <f t="shared" si="323"/>
        <v>0</v>
      </c>
      <c r="BK337" s="637">
        <f t="shared" si="323"/>
        <v>0</v>
      </c>
      <c r="BL337" s="636">
        <f t="shared" si="323"/>
        <v>0</v>
      </c>
      <c r="BM337" s="639">
        <f>BM41+BM38</f>
        <v>0</v>
      </c>
      <c r="BN337" s="636">
        <f>BN41+BN38</f>
        <v>0</v>
      </c>
      <c r="BO337" s="636">
        <f>BO41+BO38</f>
        <v>0</v>
      </c>
      <c r="BP337" s="637">
        <f>BP41+BP38</f>
        <v>0</v>
      </c>
      <c r="BQ337" s="636">
        <f>BQ41+BQ38</f>
        <v>0</v>
      </c>
      <c r="BR337" s="22"/>
    </row>
    <row r="338" spans="1:89">
      <c r="A338" s="51"/>
      <c r="B338" s="45"/>
      <c r="C338" s="51"/>
      <c r="D338" s="51"/>
      <c r="E338" s="22"/>
      <c r="F338" s="24"/>
      <c r="G338" s="24"/>
      <c r="H338" s="23"/>
      <c r="J338" s="22"/>
      <c r="K338" s="24"/>
      <c r="L338" s="24"/>
      <c r="M338" s="23"/>
      <c r="O338" s="22"/>
      <c r="P338" s="24"/>
      <c r="Q338" s="24"/>
      <c r="R338" s="23"/>
      <c r="T338" s="22"/>
      <c r="U338" s="24"/>
      <c r="V338" s="24"/>
      <c r="W338" s="23"/>
      <c r="Y338" s="22"/>
      <c r="Z338" s="24"/>
      <c r="AA338" s="24"/>
      <c r="AB338" s="23"/>
      <c r="AC338" s="24"/>
      <c r="AD338" s="22"/>
      <c r="AE338" s="24"/>
      <c r="AF338" s="24"/>
      <c r="AG338" s="23"/>
      <c r="AH338" s="24"/>
      <c r="AI338" s="22"/>
      <c r="AJ338" s="24"/>
      <c r="AK338" s="24"/>
      <c r="AL338" s="23"/>
      <c r="AM338" s="24"/>
      <c r="AN338" s="22"/>
      <c r="AO338" s="24"/>
      <c r="AP338" s="24"/>
      <c r="AQ338" s="23"/>
      <c r="AR338" s="24"/>
      <c r="AS338" s="22"/>
      <c r="AT338" s="24"/>
      <c r="AU338" s="24"/>
      <c r="AV338" s="23"/>
      <c r="AW338" s="24"/>
      <c r="AX338" s="22"/>
      <c r="AY338" s="24"/>
      <c r="AZ338" s="24"/>
      <c r="BA338" s="23"/>
      <c r="BB338" s="24"/>
      <c r="BC338" s="22"/>
      <c r="BD338" s="24"/>
      <c r="BE338" s="24"/>
      <c r="BF338" s="23"/>
      <c r="BG338" s="24"/>
      <c r="BH338" s="22"/>
      <c r="BI338" s="24"/>
      <c r="BJ338" s="24"/>
      <c r="BK338" s="23"/>
      <c r="BL338" s="24"/>
      <c r="BM338" s="22"/>
      <c r="BN338" s="24"/>
      <c r="BO338" s="24"/>
      <c r="BP338" s="23"/>
      <c r="BQ338" s="24"/>
      <c r="BR338" s="22"/>
    </row>
    <row r="339" spans="1:89">
      <c r="A339" s="51"/>
      <c r="B339" s="45"/>
      <c r="C339" s="51"/>
      <c r="D339" s="51"/>
      <c r="E339" s="22"/>
      <c r="F339" s="24"/>
      <c r="G339" s="24"/>
      <c r="H339" s="23"/>
      <c r="J339" s="22"/>
      <c r="K339" s="24"/>
      <c r="L339" s="24"/>
      <c r="M339" s="23"/>
      <c r="O339" s="22"/>
      <c r="P339" s="24"/>
      <c r="Q339" s="24"/>
      <c r="R339" s="23"/>
      <c r="T339" s="22"/>
      <c r="U339" s="24"/>
      <c r="V339" s="24"/>
      <c r="W339" s="23"/>
      <c r="Y339" s="22"/>
      <c r="Z339" s="24"/>
      <c r="AA339" s="24"/>
      <c r="AB339" s="23"/>
      <c r="AC339" s="24"/>
      <c r="AD339" s="22"/>
      <c r="AE339" s="24"/>
      <c r="AF339" s="24"/>
      <c r="AG339" s="23"/>
      <c r="AH339" s="24"/>
      <c r="AI339" s="22"/>
      <c r="AJ339" s="24"/>
      <c r="AK339" s="24"/>
      <c r="AL339" s="23"/>
      <c r="AM339" s="24"/>
      <c r="AN339" s="22"/>
      <c r="AO339" s="24"/>
      <c r="AP339" s="24"/>
      <c r="AQ339" s="23"/>
      <c r="AR339" s="24"/>
      <c r="AS339" s="22"/>
      <c r="AT339" s="24"/>
      <c r="AU339" s="24"/>
      <c r="AV339" s="23"/>
      <c r="AW339" s="24"/>
      <c r="AX339" s="22"/>
      <c r="AY339" s="24"/>
      <c r="AZ339" s="24"/>
      <c r="BA339" s="23"/>
      <c r="BB339" s="24"/>
      <c r="BC339" s="22"/>
      <c r="BD339" s="24"/>
      <c r="BE339" s="24"/>
      <c r="BF339" s="23"/>
      <c r="BG339" s="24"/>
      <c r="BH339" s="22"/>
      <c r="BI339" s="24"/>
      <c r="BJ339" s="24"/>
      <c r="BK339" s="23"/>
      <c r="BL339" s="24"/>
      <c r="BM339" s="22"/>
      <c r="BN339" s="24"/>
      <c r="BO339" s="24"/>
      <c r="BP339" s="23"/>
      <c r="BQ339" s="24"/>
      <c r="BR339" s="22"/>
    </row>
    <row r="340" spans="1:89">
      <c r="A340" s="51"/>
      <c r="B340" s="45"/>
      <c r="C340" s="51"/>
      <c r="D340" s="51"/>
      <c r="E340" s="22"/>
      <c r="F340" s="24"/>
      <c r="G340" s="24"/>
      <c r="H340" s="23"/>
      <c r="J340" s="22"/>
      <c r="K340" s="24"/>
      <c r="L340" s="24"/>
      <c r="M340" s="23"/>
      <c r="O340" s="22"/>
      <c r="P340" s="24"/>
      <c r="Q340" s="24"/>
      <c r="R340" s="23"/>
      <c r="T340" s="22"/>
      <c r="U340" s="24"/>
      <c r="V340" s="24"/>
      <c r="W340" s="23"/>
      <c r="Y340" s="22"/>
      <c r="Z340" s="24"/>
      <c r="AA340" s="24"/>
      <c r="AB340" s="23"/>
      <c r="AC340" s="24"/>
      <c r="AD340" s="22"/>
      <c r="AE340" s="24"/>
      <c r="AF340" s="24"/>
      <c r="AG340" s="23"/>
      <c r="AH340" s="24"/>
      <c r="AI340" s="22"/>
      <c r="AJ340" s="24"/>
      <c r="AK340" s="24"/>
      <c r="AL340" s="23"/>
      <c r="AM340" s="24"/>
      <c r="AN340" s="22"/>
      <c r="AO340" s="24"/>
      <c r="AP340" s="24"/>
      <c r="AQ340" s="23"/>
      <c r="AR340" s="24"/>
      <c r="AS340" s="22"/>
      <c r="AT340" s="24"/>
      <c r="AU340" s="24"/>
      <c r="AV340" s="23"/>
      <c r="AW340" s="24"/>
      <c r="AX340" s="22"/>
      <c r="AY340" s="24"/>
      <c r="AZ340" s="24"/>
      <c r="BA340" s="23"/>
      <c r="BB340" s="24"/>
      <c r="BC340" s="22"/>
      <c r="BD340" s="24"/>
      <c r="BE340" s="24"/>
      <c r="BF340" s="23"/>
      <c r="BG340" s="24"/>
      <c r="BH340" s="22"/>
      <c r="BI340" s="24"/>
      <c r="BJ340" s="24"/>
      <c r="BK340" s="23"/>
      <c r="BL340" s="24"/>
      <c r="BM340" s="22"/>
      <c r="BN340" s="24"/>
      <c r="BO340" s="24"/>
      <c r="BP340" s="23"/>
      <c r="BQ340" s="24"/>
      <c r="BR340" s="22"/>
    </row>
    <row r="341" spans="1:89">
      <c r="A341" s="51"/>
      <c r="B341" s="45"/>
      <c r="C341" s="51"/>
      <c r="D341" s="51"/>
      <c r="E341" s="22"/>
      <c r="F341" s="24"/>
      <c r="G341" s="24"/>
      <c r="H341" s="23"/>
      <c r="J341" s="22"/>
      <c r="K341" s="24"/>
      <c r="L341" s="24"/>
      <c r="M341" s="23"/>
      <c r="O341" s="22"/>
      <c r="P341" s="24"/>
      <c r="Q341" s="24"/>
      <c r="R341" s="23"/>
      <c r="T341" s="22"/>
      <c r="U341" s="24"/>
      <c r="V341" s="24"/>
      <c r="W341" s="23"/>
      <c r="Y341" s="22"/>
      <c r="Z341" s="24"/>
      <c r="AA341" s="24"/>
      <c r="AB341" s="23"/>
      <c r="AC341" s="24"/>
      <c r="AD341" s="22"/>
      <c r="AE341" s="24"/>
      <c r="AF341" s="24"/>
      <c r="AG341" s="23"/>
      <c r="AH341" s="24"/>
      <c r="AI341" s="22"/>
      <c r="AJ341" s="24"/>
      <c r="AK341" s="24"/>
      <c r="AL341" s="23"/>
      <c r="AM341" s="24"/>
      <c r="AN341" s="22"/>
      <c r="AO341" s="24"/>
      <c r="AP341" s="24"/>
      <c r="AQ341" s="23"/>
      <c r="AR341" s="24"/>
      <c r="AS341" s="22"/>
      <c r="AT341" s="24"/>
      <c r="AU341" s="24"/>
      <c r="AV341" s="23"/>
      <c r="AW341" s="24"/>
      <c r="AX341" s="22"/>
      <c r="AY341" s="24"/>
      <c r="AZ341" s="24"/>
      <c r="BA341" s="23"/>
      <c r="BB341" s="24"/>
      <c r="BC341" s="22"/>
      <c r="BD341" s="24"/>
      <c r="BE341" s="24"/>
      <c r="BF341" s="23"/>
      <c r="BG341" s="24"/>
      <c r="BH341" s="22"/>
      <c r="BI341" s="24"/>
      <c r="BJ341" s="24"/>
      <c r="BK341" s="23"/>
      <c r="BL341" s="24"/>
      <c r="BM341" s="22"/>
      <c r="BN341" s="24"/>
      <c r="BO341" s="24"/>
      <c r="BP341" s="23"/>
      <c r="BQ341" s="24"/>
      <c r="BR341" s="22"/>
    </row>
    <row r="342" spans="1:89">
      <c r="A342" s="51"/>
      <c r="B342" s="45"/>
      <c r="C342" s="51"/>
      <c r="D342" s="51"/>
      <c r="E342" s="22"/>
      <c r="F342" s="24"/>
      <c r="G342" s="24"/>
      <c r="H342" s="23"/>
      <c r="J342" s="22"/>
      <c r="K342" s="24"/>
      <c r="L342" s="24"/>
      <c r="M342" s="23"/>
      <c r="O342" s="22"/>
      <c r="P342" s="24"/>
      <c r="Q342" s="24"/>
      <c r="R342" s="23"/>
      <c r="T342" s="22"/>
      <c r="U342" s="24"/>
      <c r="V342" s="24"/>
      <c r="W342" s="23"/>
      <c r="Y342" s="22"/>
      <c r="Z342" s="24"/>
      <c r="AA342" s="24"/>
      <c r="AB342" s="23"/>
      <c r="AC342" s="24"/>
      <c r="AD342" s="22"/>
      <c r="AE342" s="24"/>
      <c r="AF342" s="24"/>
      <c r="AG342" s="23"/>
      <c r="AH342" s="24"/>
      <c r="AI342" s="22"/>
      <c r="AJ342" s="24"/>
      <c r="AK342" s="24"/>
      <c r="AL342" s="23"/>
      <c r="AM342" s="24"/>
      <c r="AN342" s="22"/>
      <c r="AO342" s="24"/>
      <c r="AP342" s="24"/>
      <c r="AQ342" s="23"/>
      <c r="AR342" s="24"/>
      <c r="AS342" s="22"/>
      <c r="AT342" s="24"/>
      <c r="AU342" s="24"/>
      <c r="AV342" s="23"/>
      <c r="AW342" s="24"/>
      <c r="AX342" s="22"/>
      <c r="AY342" s="24"/>
      <c r="AZ342" s="24"/>
      <c r="BA342" s="23"/>
      <c r="BB342" s="24"/>
      <c r="BC342" s="22"/>
      <c r="BD342" s="24"/>
      <c r="BE342" s="24"/>
      <c r="BF342" s="23"/>
      <c r="BG342" s="24"/>
      <c r="BH342" s="22"/>
      <c r="BI342" s="24"/>
      <c r="BJ342" s="24"/>
      <c r="BK342" s="23"/>
      <c r="BL342" s="24"/>
      <c r="BM342" s="22"/>
      <c r="BN342" s="24"/>
      <c r="BO342" s="24"/>
      <c r="BP342" s="23"/>
      <c r="BQ342" s="24"/>
      <c r="BR342" s="22"/>
    </row>
    <row r="343" spans="1:89">
      <c r="A343" s="51"/>
      <c r="B343" s="45"/>
      <c r="C343" s="51"/>
      <c r="D343" s="51"/>
      <c r="E343" s="22"/>
      <c r="F343" s="24"/>
      <c r="G343" s="24"/>
      <c r="H343" s="23"/>
      <c r="J343" s="22"/>
      <c r="K343" s="24"/>
      <c r="L343" s="24"/>
      <c r="M343" s="23"/>
      <c r="O343" s="22"/>
      <c r="P343" s="24"/>
      <c r="Q343" s="24"/>
      <c r="R343" s="23"/>
      <c r="T343" s="22"/>
      <c r="U343" s="24"/>
      <c r="V343" s="24"/>
      <c r="W343" s="23"/>
      <c r="Y343" s="22"/>
      <c r="Z343" s="24"/>
      <c r="AA343" s="24"/>
      <c r="AB343" s="23"/>
      <c r="AC343" s="24"/>
      <c r="AD343" s="22"/>
      <c r="AE343" s="24"/>
      <c r="AF343" s="24"/>
      <c r="AG343" s="23"/>
      <c r="AH343" s="24"/>
      <c r="AI343" s="22"/>
      <c r="AJ343" s="24"/>
      <c r="AK343" s="24"/>
      <c r="AL343" s="23"/>
      <c r="AM343" s="24"/>
      <c r="AN343" s="22"/>
      <c r="AO343" s="24"/>
      <c r="AP343" s="24"/>
      <c r="AQ343" s="23"/>
      <c r="AR343" s="24"/>
      <c r="AS343" s="22"/>
      <c r="AT343" s="24"/>
      <c r="AU343" s="24"/>
      <c r="AV343" s="23"/>
      <c r="AW343" s="24"/>
      <c r="AX343" s="22"/>
      <c r="AY343" s="24"/>
      <c r="AZ343" s="24"/>
      <c r="BA343" s="23"/>
      <c r="BB343" s="24"/>
      <c r="BC343" s="22"/>
      <c r="BD343" s="24"/>
      <c r="BE343" s="24"/>
      <c r="BF343" s="23"/>
      <c r="BG343" s="24"/>
      <c r="BH343" s="22"/>
      <c r="BI343" s="24"/>
      <c r="BJ343" s="24"/>
      <c r="BK343" s="23"/>
      <c r="BL343" s="24"/>
      <c r="BM343" s="22"/>
      <c r="BN343" s="24"/>
      <c r="BO343" s="24"/>
      <c r="BP343" s="23"/>
      <c r="BQ343" s="24"/>
      <c r="BR343" s="22"/>
    </row>
    <row r="344" spans="1:89">
      <c r="A344" s="51"/>
      <c r="B344" s="45"/>
      <c r="C344" s="51"/>
      <c r="D344" s="51"/>
      <c r="E344" s="22"/>
      <c r="F344" s="24"/>
      <c r="G344" s="24"/>
      <c r="H344" s="23"/>
      <c r="J344" s="22"/>
      <c r="K344" s="24"/>
      <c r="L344" s="24"/>
      <c r="M344" s="23"/>
      <c r="O344" s="22"/>
      <c r="P344" s="24"/>
      <c r="Q344" s="24"/>
      <c r="R344" s="23"/>
      <c r="T344" s="22"/>
      <c r="U344" s="24"/>
      <c r="V344" s="24"/>
      <c r="W344" s="23"/>
      <c r="Y344" s="22"/>
      <c r="Z344" s="24"/>
      <c r="AA344" s="24"/>
      <c r="AB344" s="23"/>
      <c r="AC344" s="24"/>
      <c r="AD344" s="22"/>
      <c r="AE344" s="24"/>
      <c r="AF344" s="24"/>
      <c r="AG344" s="23"/>
      <c r="AH344" s="24"/>
      <c r="AI344" s="22"/>
      <c r="AJ344" s="24"/>
      <c r="AK344" s="24"/>
      <c r="AL344" s="23"/>
      <c r="AM344" s="24"/>
      <c r="AN344" s="22"/>
      <c r="AO344" s="24"/>
      <c r="AP344" s="24"/>
      <c r="AQ344" s="23"/>
      <c r="AR344" s="24"/>
      <c r="AS344" s="22"/>
      <c r="AT344" s="24"/>
      <c r="AU344" s="24"/>
      <c r="AV344" s="23"/>
      <c r="AW344" s="24"/>
      <c r="AX344" s="22"/>
      <c r="AY344" s="24"/>
      <c r="AZ344" s="24"/>
      <c r="BA344" s="23"/>
      <c r="BB344" s="24"/>
      <c r="BC344" s="22"/>
      <c r="BD344" s="24"/>
      <c r="BE344" s="24"/>
      <c r="BF344" s="23"/>
      <c r="BG344" s="24"/>
      <c r="BH344" s="22"/>
      <c r="BI344" s="24"/>
      <c r="BJ344" s="24"/>
      <c r="BK344" s="23"/>
      <c r="BL344" s="24"/>
      <c r="BM344" s="22"/>
      <c r="BN344" s="24"/>
      <c r="BO344" s="24"/>
      <c r="BP344" s="23"/>
      <c r="BQ344" s="24"/>
      <c r="BR344" s="22"/>
    </row>
    <row r="345" spans="1:89">
      <c r="A345" s="51"/>
      <c r="B345" s="45"/>
      <c r="C345" s="51"/>
      <c r="D345" s="51"/>
      <c r="E345" s="22"/>
      <c r="F345" s="24"/>
      <c r="G345" s="24"/>
      <c r="H345" s="23"/>
      <c r="J345" s="22"/>
      <c r="K345" s="24"/>
      <c r="L345" s="24"/>
      <c r="M345" s="23"/>
      <c r="O345" s="22"/>
      <c r="P345" s="24"/>
      <c r="Q345" s="24"/>
      <c r="R345" s="23"/>
      <c r="T345" s="22"/>
      <c r="U345" s="24"/>
      <c r="V345" s="24"/>
      <c r="W345" s="23"/>
      <c r="Y345" s="22"/>
      <c r="Z345" s="24"/>
      <c r="AA345" s="24"/>
      <c r="AB345" s="23"/>
      <c r="AC345" s="24"/>
      <c r="AD345" s="22"/>
      <c r="AE345" s="24"/>
      <c r="AF345" s="24"/>
      <c r="AG345" s="23"/>
      <c r="AH345" s="24"/>
      <c r="AI345" s="22"/>
      <c r="AJ345" s="24"/>
      <c r="AK345" s="24"/>
      <c r="AL345" s="23"/>
      <c r="AM345" s="24"/>
      <c r="AN345" s="22"/>
      <c r="AO345" s="24"/>
      <c r="AP345" s="24"/>
      <c r="AQ345" s="23"/>
      <c r="AR345" s="24"/>
      <c r="AS345" s="22"/>
      <c r="AT345" s="24"/>
      <c r="AU345" s="24"/>
      <c r="AV345" s="23"/>
      <c r="AW345" s="24"/>
      <c r="AX345" s="22"/>
      <c r="AY345" s="24"/>
      <c r="AZ345" s="24"/>
      <c r="BA345" s="23"/>
      <c r="BB345" s="24"/>
      <c r="BC345" s="22"/>
      <c r="BD345" s="24"/>
      <c r="BE345" s="24"/>
      <c r="BF345" s="23"/>
      <c r="BG345" s="24"/>
      <c r="BH345" s="22"/>
      <c r="BI345" s="24"/>
      <c r="BJ345" s="24"/>
      <c r="BK345" s="23"/>
      <c r="BL345" s="24"/>
      <c r="BM345" s="22"/>
      <c r="BN345" s="24"/>
      <c r="BO345" s="24"/>
      <c r="BP345" s="23"/>
      <c r="BQ345" s="24"/>
      <c r="BR345" s="22"/>
    </row>
    <row r="346" spans="1:89">
      <c r="A346" s="51"/>
      <c r="B346" s="45"/>
      <c r="C346" s="51"/>
      <c r="D346" s="51"/>
      <c r="E346" s="22"/>
      <c r="F346" s="24"/>
      <c r="G346" s="24"/>
      <c r="H346" s="23"/>
      <c r="J346" s="22"/>
      <c r="K346" s="24"/>
      <c r="L346" s="24"/>
      <c r="M346" s="23"/>
      <c r="O346" s="22"/>
      <c r="P346" s="24"/>
      <c r="Q346" s="24"/>
      <c r="R346" s="23"/>
      <c r="T346" s="22"/>
      <c r="U346" s="24"/>
      <c r="V346" s="24"/>
      <c r="W346" s="23"/>
      <c r="Y346" s="22"/>
      <c r="Z346" s="24"/>
      <c r="AA346" s="24"/>
      <c r="AB346" s="23"/>
      <c r="AC346" s="24"/>
      <c r="AD346" s="22"/>
      <c r="AE346" s="24"/>
      <c r="AF346" s="24"/>
      <c r="AG346" s="23"/>
      <c r="AH346" s="24"/>
      <c r="AI346" s="22"/>
      <c r="AJ346" s="24"/>
      <c r="AK346" s="24"/>
      <c r="AL346" s="23"/>
      <c r="AM346" s="24"/>
      <c r="AN346" s="22"/>
      <c r="AO346" s="24"/>
      <c r="AP346" s="24"/>
      <c r="AQ346" s="23"/>
      <c r="AR346" s="24"/>
      <c r="AS346" s="22"/>
      <c r="AT346" s="24"/>
      <c r="AU346" s="24"/>
      <c r="AV346" s="23"/>
      <c r="AW346" s="24"/>
      <c r="AX346" s="22"/>
      <c r="AY346" s="24"/>
      <c r="AZ346" s="24"/>
      <c r="BA346" s="23"/>
      <c r="BB346" s="24"/>
      <c r="BC346" s="22"/>
      <c r="BD346" s="24"/>
      <c r="BE346" s="24"/>
      <c r="BF346" s="23"/>
      <c r="BG346" s="24"/>
      <c r="BH346" s="22"/>
      <c r="BI346" s="24"/>
      <c r="BJ346" s="24"/>
      <c r="BK346" s="23"/>
      <c r="BL346" s="24"/>
      <c r="BM346" s="22"/>
      <c r="BN346" s="24"/>
      <c r="BO346" s="24"/>
      <c r="BP346" s="23"/>
      <c r="BQ346" s="24"/>
      <c r="BR346" s="22"/>
    </row>
    <row r="347" spans="1:89">
      <c r="A347" s="51"/>
      <c r="B347" s="45"/>
      <c r="C347" s="51"/>
      <c r="D347" s="51"/>
      <c r="E347" s="22"/>
      <c r="F347" s="24"/>
      <c r="G347" s="24"/>
      <c r="H347" s="23"/>
      <c r="J347" s="22"/>
      <c r="K347" s="24"/>
      <c r="L347" s="24"/>
      <c r="M347" s="23"/>
      <c r="O347" s="22"/>
      <c r="P347" s="24"/>
      <c r="Q347" s="24"/>
      <c r="R347" s="23"/>
      <c r="T347" s="22"/>
      <c r="U347" s="24"/>
      <c r="V347" s="24"/>
      <c r="W347" s="23"/>
      <c r="Y347" s="22"/>
      <c r="Z347" s="24"/>
      <c r="AA347" s="24"/>
      <c r="AB347" s="23"/>
      <c r="AC347" s="24"/>
      <c r="AD347" s="22"/>
      <c r="AE347" s="24"/>
      <c r="AF347" s="24"/>
      <c r="AG347" s="23"/>
      <c r="AH347" s="24"/>
      <c r="AI347" s="22"/>
      <c r="AJ347" s="24"/>
      <c r="AK347" s="24"/>
      <c r="AL347" s="23"/>
      <c r="AM347" s="24"/>
      <c r="AN347" s="22"/>
      <c r="AO347" s="24"/>
      <c r="AP347" s="24"/>
      <c r="AQ347" s="23"/>
      <c r="AR347" s="24"/>
      <c r="AS347" s="22"/>
      <c r="AT347" s="24"/>
      <c r="AU347" s="24"/>
      <c r="AV347" s="23"/>
      <c r="AW347" s="24"/>
      <c r="AX347" s="22"/>
      <c r="AY347" s="24"/>
      <c r="AZ347" s="24"/>
      <c r="BA347" s="23"/>
      <c r="BB347" s="24"/>
      <c r="BC347" s="22"/>
      <c r="BD347" s="24"/>
      <c r="BE347" s="24"/>
      <c r="BF347" s="23"/>
      <c r="BG347" s="24"/>
      <c r="BH347" s="22"/>
      <c r="BI347" s="24"/>
      <c r="BJ347" s="24"/>
      <c r="BK347" s="23"/>
      <c r="BL347" s="24"/>
      <c r="BM347" s="22"/>
      <c r="BN347" s="24"/>
      <c r="BO347" s="24"/>
      <c r="BP347" s="23"/>
      <c r="BQ347" s="24"/>
      <c r="BR347" s="22"/>
    </row>
    <row r="348" spans="1:89">
      <c r="A348" s="55"/>
      <c r="B348" s="45"/>
      <c r="C348" s="55"/>
      <c r="D348" s="55"/>
      <c r="E348" s="61"/>
      <c r="F348" s="40"/>
      <c r="G348" s="40"/>
      <c r="H348" s="59"/>
      <c r="I348" s="40"/>
      <c r="J348" s="61"/>
      <c r="K348" s="40"/>
      <c r="L348" s="40"/>
      <c r="M348" s="59"/>
      <c r="N348" s="40"/>
      <c r="O348" s="61"/>
      <c r="P348" s="40"/>
      <c r="Q348" s="40"/>
      <c r="R348" s="59"/>
      <c r="S348" s="40"/>
      <c r="T348" s="61"/>
      <c r="U348" s="40"/>
      <c r="V348" s="40"/>
      <c r="W348" s="59"/>
      <c r="X348" s="40"/>
      <c r="Y348" s="61"/>
      <c r="Z348" s="40"/>
      <c r="AA348" s="40"/>
      <c r="AB348" s="59"/>
      <c r="AC348" s="24"/>
      <c r="AD348" s="61"/>
      <c r="AE348" s="40"/>
      <c r="AF348" s="40"/>
      <c r="AG348" s="59"/>
      <c r="AH348" s="74"/>
      <c r="AI348" s="61"/>
      <c r="AJ348" s="40"/>
      <c r="AK348" s="40"/>
      <c r="AL348" s="59"/>
      <c r="AM348" s="74"/>
      <c r="AN348" s="61"/>
      <c r="AO348" s="40"/>
      <c r="AP348" s="40"/>
      <c r="AQ348" s="59"/>
      <c r="AR348" s="74"/>
      <c r="AS348" s="61"/>
      <c r="AT348" s="40"/>
      <c r="AU348" s="40"/>
      <c r="AV348" s="59"/>
      <c r="AW348" s="74"/>
      <c r="AX348" s="61"/>
      <c r="AY348" s="40"/>
      <c r="AZ348" s="40"/>
      <c r="BA348" s="59"/>
      <c r="BB348" s="74"/>
      <c r="BC348" s="61"/>
      <c r="BD348" s="40"/>
      <c r="BE348" s="40"/>
      <c r="BF348" s="59"/>
      <c r="BG348" s="74"/>
      <c r="BH348" s="61"/>
      <c r="BI348" s="40"/>
      <c r="BJ348" s="40"/>
      <c r="BK348" s="59"/>
      <c r="BL348" s="74"/>
      <c r="BM348" s="61"/>
      <c r="BN348" s="40"/>
      <c r="BO348" s="40"/>
      <c r="BP348" s="59"/>
      <c r="BQ348" s="74"/>
      <c r="BR348" s="61"/>
    </row>
    <row r="349" spans="1:89">
      <c r="A349" s="53"/>
      <c r="B349" s="54"/>
      <c r="C349" s="54"/>
      <c r="D349" s="54"/>
      <c r="E349" s="62"/>
      <c r="F349" s="57"/>
      <c r="G349" s="57"/>
      <c r="H349" s="60"/>
      <c r="I349" s="57"/>
      <c r="J349" s="62"/>
      <c r="K349" s="57"/>
      <c r="L349" s="57"/>
      <c r="M349" s="60"/>
      <c r="N349" s="57"/>
      <c r="O349" s="62"/>
      <c r="P349" s="57"/>
      <c r="Q349" s="57"/>
      <c r="R349" s="60"/>
      <c r="S349" s="57"/>
      <c r="T349" s="62"/>
      <c r="U349" s="57"/>
      <c r="V349" s="57"/>
      <c r="W349" s="60"/>
      <c r="X349" s="57"/>
      <c r="Y349" s="62"/>
      <c r="Z349" s="57"/>
      <c r="AA349" s="57"/>
      <c r="AB349" s="60"/>
      <c r="AC349" s="58"/>
      <c r="AD349" s="62"/>
      <c r="AE349" s="57"/>
      <c r="AF349" s="57"/>
      <c r="AG349" s="60"/>
      <c r="AH349" s="76"/>
      <c r="AI349" s="62"/>
      <c r="AJ349" s="57"/>
      <c r="AK349" s="57"/>
      <c r="AL349" s="60"/>
      <c r="AM349" s="76"/>
      <c r="AN349" s="62"/>
      <c r="AO349" s="57"/>
      <c r="AP349" s="57"/>
      <c r="AQ349" s="60"/>
      <c r="AR349" s="76"/>
      <c r="AS349" s="62"/>
      <c r="AT349" s="57"/>
      <c r="AU349" s="57"/>
      <c r="AV349" s="60"/>
      <c r="AW349" s="76"/>
      <c r="AX349" s="62"/>
      <c r="AY349" s="57"/>
      <c r="AZ349" s="57"/>
      <c r="BA349" s="60"/>
      <c r="BB349" s="76"/>
      <c r="BC349" s="62"/>
      <c r="BD349" s="57"/>
      <c r="BE349" s="57"/>
      <c r="BF349" s="60"/>
      <c r="BG349" s="76"/>
      <c r="BH349" s="62"/>
      <c r="BI349" s="57"/>
      <c r="BJ349" s="57"/>
      <c r="BK349" s="60"/>
      <c r="BL349" s="76"/>
      <c r="BM349" s="62"/>
      <c r="BN349" s="57"/>
      <c r="BO349" s="57"/>
      <c r="BP349" s="60"/>
      <c r="BQ349" s="76"/>
      <c r="BR349" s="62"/>
      <c r="BS349" s="50"/>
      <c r="BT349" s="50"/>
      <c r="BU349" s="50"/>
      <c r="BV349" s="50"/>
      <c r="BW349" s="50"/>
      <c r="BX349" s="50"/>
      <c r="BY349" s="50"/>
      <c r="BZ349" s="50"/>
      <c r="CA349" s="50"/>
      <c r="CB349" s="50"/>
      <c r="CC349" s="50"/>
      <c r="CD349" s="50"/>
      <c r="CE349" s="50"/>
      <c r="CF349" s="50"/>
      <c r="CG349" s="50"/>
      <c r="CH349" s="50"/>
      <c r="CI349" s="50"/>
      <c r="CJ349" s="50"/>
      <c r="CK349" s="50"/>
    </row>
  </sheetData>
  <phoneticPr fontId="2" type="noConversion"/>
  <conditionalFormatting sqref="J91:M92 AJ91:AL92 O91:R92 T91:W92 AX91:BA92 E91:H92 AT91:AT92 Y91:AB92 AD91:AE92">
    <cfRule type="expression" dxfId="66" priority="23" stopIfTrue="1">
      <formula>AND(E$6&gt;LastQtr,E$6&lt;=LastQtr+365)</formula>
    </cfRule>
  </conditionalFormatting>
  <conditionalFormatting sqref="C111">
    <cfRule type="cellIs" dxfId="65" priority="24" stopIfTrue="1" operator="equal">
      <formula>0</formula>
    </cfRule>
  </conditionalFormatting>
  <conditionalFormatting sqref="AF91:AF92">
    <cfRule type="expression" dxfId="64" priority="21" stopIfTrue="1">
      <formula>AND(AF$6&gt;LastQtr,AF$6&lt;=LastQtr+365)</formula>
    </cfRule>
  </conditionalFormatting>
  <conditionalFormatting sqref="AG91:AG92">
    <cfRule type="expression" dxfId="63" priority="20" stopIfTrue="1">
      <formula>AND(AG$6&gt;LastQtr,AG$6&lt;=LastQtr+365)</formula>
    </cfRule>
  </conditionalFormatting>
  <conditionalFormatting sqref="AI91:AI92">
    <cfRule type="expression" dxfId="62" priority="19" stopIfTrue="1">
      <formula>AND(AI$6&gt;LastQtr,AI$6&lt;=LastQtr+365)</formula>
    </cfRule>
  </conditionalFormatting>
  <conditionalFormatting sqref="BH91:BK92 BC91:BF92">
    <cfRule type="expression" dxfId="61" priority="16" stopIfTrue="1">
      <formula>AND(BC$6&gt;LastQtr,BC$6&lt;=LastQtr+365)</formula>
    </cfRule>
  </conditionalFormatting>
  <conditionalFormatting sqref="AN92">
    <cfRule type="expression" dxfId="60" priority="15" stopIfTrue="1">
      <formula>AND(AN$6&gt;LastQtr,AN$6&lt;=LastQtr+365)</formula>
    </cfRule>
  </conditionalFormatting>
  <conditionalFormatting sqref="AN91">
    <cfRule type="expression" dxfId="59" priority="14" stopIfTrue="1">
      <formula>AND(AN$6&gt;LastQtr,AN$6&lt;=LastQtr+365)</formula>
    </cfRule>
  </conditionalFormatting>
  <conditionalFormatting sqref="AO91:AO92">
    <cfRule type="expression" dxfId="58" priority="13" stopIfTrue="1">
      <formula>AND(AO$6&gt;LastQtr,AO$6&lt;=LastQtr+365)</formula>
    </cfRule>
  </conditionalFormatting>
  <conditionalFormatting sqref="AP91:AP92">
    <cfRule type="expression" dxfId="57" priority="11" stopIfTrue="1">
      <formula>AND(AP$6&gt;LastQtr,AP$6&lt;=LastQtr+365)</formula>
    </cfRule>
  </conditionalFormatting>
  <conditionalFormatting sqref="BM91:BP92">
    <cfRule type="expression" dxfId="56" priority="10" stopIfTrue="1">
      <formula>AND(BM$6&gt;LastQtr,BM$6&lt;=LastQtr+365)</formula>
    </cfRule>
  </conditionalFormatting>
  <conditionalFormatting sqref="AQ91:AQ92">
    <cfRule type="expression" dxfId="55" priority="9" stopIfTrue="1">
      <formula>AND(AQ$6&gt;LastQtr,AQ$6&lt;=LastQtr+365)</formula>
    </cfRule>
  </conditionalFormatting>
  <conditionalFormatting sqref="AS92">
    <cfRule type="expression" dxfId="54" priority="6" stopIfTrue="1">
      <formula>AND(AS$6&gt;LastQtr,AS$6&lt;=LastQtr+365)</formula>
    </cfRule>
  </conditionalFormatting>
  <conditionalFormatting sqref="AS91">
    <cfRule type="expression" dxfId="53" priority="4" stopIfTrue="1">
      <formula>AND(AS$6&gt;LastQtr,AS$6&lt;=LastQtr+365)</formula>
    </cfRule>
  </conditionalFormatting>
  <conditionalFormatting sqref="AU91:AU92">
    <cfRule type="expression" dxfId="52" priority="3" stopIfTrue="1">
      <formula>AND(AU$6&gt;LastQtr,AU$6&lt;=LastQtr+365)</formula>
    </cfRule>
  </conditionalFormatting>
  <conditionalFormatting sqref="AV91:AV92">
    <cfRule type="expression" dxfId="51" priority="2" stopIfTrue="1">
      <formula>AND(AV$6&gt;LastQtr,AV$6&lt;=LastQtr+365)</formula>
    </cfRule>
  </conditionalFormatting>
  <printOptions headings="1"/>
  <pageMargins left="0.75" right="0.75" top="1" bottom="1" header="0.5" footer="0.5"/>
  <pageSetup scale="60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DF275"/>
  <sheetViews>
    <sheetView zoomScale="85" zoomScaleNormal="85" workbookViewId="0">
      <pane xSplit="4" ySplit="5" topLeftCell="I6" activePane="bottomRight" state="frozen"/>
      <selection activeCell="AH248" sqref="AH248"/>
      <selection pane="topRight" activeCell="AH248" sqref="AH248"/>
      <selection pane="bottomLeft" activeCell="AH248" sqref="AH248"/>
      <selection pane="bottomRight" activeCell="I6" sqref="I6"/>
    </sheetView>
  </sheetViews>
  <sheetFormatPr defaultRowHeight="12.75" outlineLevelCol="1"/>
  <cols>
    <col min="1" max="2" width="2.7109375" customWidth="1"/>
    <col min="3" max="3" width="47.5703125" customWidth="1"/>
    <col min="4" max="4" width="2.7109375" customWidth="1"/>
    <col min="5" max="8" width="9" hidden="1" customWidth="1" outlineLevel="1"/>
    <col min="9" max="9" width="9" customWidth="1" collapsed="1"/>
    <col min="10" max="13" width="9" hidden="1" customWidth="1" outlineLevel="1"/>
    <col min="14" max="14" width="9" customWidth="1" collapsed="1"/>
    <col min="15" max="18" width="9" hidden="1" customWidth="1" outlineLevel="1"/>
    <col min="19" max="19" width="9" customWidth="1" collapsed="1"/>
    <col min="20" max="23" width="9" hidden="1" customWidth="1" outlineLevel="1"/>
    <col min="24" max="24" width="9" customWidth="1" collapsed="1"/>
    <col min="25" max="28" width="9" hidden="1" customWidth="1" outlineLevel="1"/>
    <col min="29" max="29" width="9" customWidth="1" collapsed="1"/>
    <col min="30" max="33" width="9" hidden="1" customWidth="1" outlineLevel="1"/>
    <col min="34" max="34" width="9" customWidth="1" collapsed="1"/>
    <col min="35" max="38" width="9" hidden="1" customWidth="1" outlineLevel="1"/>
    <col min="39" max="39" width="9" customWidth="1" collapsed="1"/>
    <col min="40" max="43" width="9" hidden="1" customWidth="1" outlineLevel="1"/>
    <col min="44" max="44" width="9" customWidth="1" collapsed="1"/>
    <col min="45" max="48" width="9" hidden="1" customWidth="1" outlineLevel="1"/>
    <col min="49" max="49" width="9" customWidth="1" collapsed="1"/>
    <col min="50" max="53" width="9" hidden="1" customWidth="1" outlineLevel="1"/>
    <col min="54" max="54" width="9" customWidth="1" collapsed="1"/>
    <col min="55" max="58" width="9" hidden="1" customWidth="1" outlineLevel="1"/>
    <col min="59" max="59" width="9" customWidth="1" collapsed="1"/>
    <col min="60" max="63" width="9" hidden="1" customWidth="1" outlineLevel="1"/>
    <col min="64" max="64" width="9" customWidth="1" collapsed="1"/>
    <col min="65" max="68" width="9" hidden="1" customWidth="1" outlineLevel="1"/>
    <col min="69" max="69" width="9" customWidth="1" collapsed="1"/>
    <col min="70" max="70" width="9" customWidth="1"/>
    <col min="71" max="71" width="9.140625" style="1543"/>
    <col min="74" max="74" width="40.85546875" customWidth="1"/>
    <col min="75" max="75" width="9.28515625" bestFit="1" customWidth="1"/>
    <col min="76" max="79" width="9.5703125" bestFit="1" customWidth="1"/>
  </cols>
  <sheetData>
    <row r="1" spans="1:105" ht="15" customHeight="1">
      <c r="A1" s="644"/>
      <c r="B1" s="644"/>
      <c r="C1" s="644"/>
      <c r="D1" s="645"/>
      <c r="E1" s="646"/>
      <c r="F1" s="646"/>
      <c r="G1" s="646"/>
      <c r="H1" s="646"/>
      <c r="I1" s="646"/>
      <c r="J1" s="646"/>
      <c r="K1" s="646"/>
      <c r="L1" s="646"/>
      <c r="M1" s="646"/>
      <c r="N1" s="646"/>
      <c r="O1" s="646"/>
      <c r="P1" s="646"/>
      <c r="Q1" s="646"/>
      <c r="R1" s="646"/>
      <c r="S1" s="646"/>
      <c r="T1" s="646"/>
      <c r="U1" s="646"/>
      <c r="V1" s="646"/>
      <c r="W1" s="646"/>
      <c r="X1" s="646"/>
      <c r="Y1" s="646"/>
      <c r="Z1" s="646"/>
      <c r="AA1" s="646"/>
      <c r="AB1" s="646"/>
      <c r="AC1" s="646"/>
      <c r="AD1" s="646"/>
      <c r="AE1" s="646"/>
      <c r="AF1" s="646"/>
      <c r="AG1" s="646"/>
      <c r="AH1" s="646"/>
      <c r="AI1" s="646"/>
      <c r="AJ1" s="646"/>
      <c r="AK1" s="646"/>
      <c r="AL1" s="646"/>
      <c r="AM1" s="646"/>
      <c r="AN1" s="646"/>
      <c r="AO1" s="646"/>
      <c r="AP1" s="646"/>
      <c r="AQ1" s="646"/>
      <c r="AR1" s="646"/>
      <c r="AS1" s="646"/>
      <c r="AT1" s="646"/>
      <c r="AU1" s="646"/>
      <c r="AV1" s="646"/>
      <c r="AW1" s="646"/>
      <c r="AX1" s="646"/>
      <c r="AY1" s="646"/>
      <c r="AZ1" s="646"/>
      <c r="BA1" s="646"/>
      <c r="BB1" s="646"/>
      <c r="BC1" s="646"/>
      <c r="BD1" s="646"/>
      <c r="BE1" s="646"/>
      <c r="BF1" s="646"/>
      <c r="BG1" s="646"/>
      <c r="BH1" s="646"/>
      <c r="BI1" s="646"/>
      <c r="BJ1" s="646"/>
      <c r="BK1" s="646"/>
      <c r="BL1" s="646"/>
      <c r="BM1" s="646"/>
      <c r="BN1" s="646"/>
      <c r="BO1" s="646"/>
      <c r="BP1" s="646"/>
      <c r="BQ1" s="646"/>
      <c r="BR1" s="1737"/>
      <c r="BS1" s="1737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</row>
    <row r="2" spans="1:105" ht="15" customHeight="1">
      <c r="A2" s="644"/>
      <c r="B2" s="644" t="str">
        <f>Cover!$B$2</f>
        <v>Public Service Enterprise Group</v>
      </c>
      <c r="C2" s="644"/>
      <c r="D2" s="645"/>
      <c r="E2" s="646"/>
      <c r="F2" s="646"/>
      <c r="G2" s="646"/>
      <c r="H2" s="646"/>
      <c r="I2" s="646"/>
      <c r="J2" s="646"/>
      <c r="K2" s="646"/>
      <c r="L2" s="646"/>
      <c r="M2" s="646"/>
      <c r="N2" s="646"/>
      <c r="O2" s="646"/>
      <c r="P2" s="646"/>
      <c r="Q2" s="646"/>
      <c r="R2" s="646"/>
      <c r="S2" s="646"/>
      <c r="T2" s="646"/>
      <c r="U2" s="646"/>
      <c r="V2" s="646"/>
      <c r="W2" s="646"/>
      <c r="X2" s="646"/>
      <c r="Y2" s="646"/>
      <c r="Z2" s="646"/>
      <c r="AA2" s="646"/>
      <c r="AB2" s="646"/>
      <c r="AC2" s="646"/>
      <c r="AD2" s="646"/>
      <c r="AE2" s="646"/>
      <c r="AF2" s="646"/>
      <c r="AG2" s="646"/>
      <c r="AH2" s="646"/>
      <c r="AI2" s="646"/>
      <c r="AJ2" s="646"/>
      <c r="AK2" s="646"/>
      <c r="AL2" s="646"/>
      <c r="AM2" s="646"/>
      <c r="AN2" s="646"/>
      <c r="AO2" s="646"/>
      <c r="AP2" s="646"/>
      <c r="AQ2" s="646"/>
      <c r="AR2" s="646"/>
      <c r="AS2" s="646"/>
      <c r="AT2" s="646"/>
      <c r="AU2" s="646"/>
      <c r="AV2" s="646"/>
      <c r="AW2" s="646"/>
      <c r="AX2" s="646"/>
      <c r="AY2" s="646"/>
      <c r="AZ2" s="646"/>
      <c r="BA2" s="646"/>
      <c r="BB2" s="646"/>
      <c r="BC2" s="646"/>
      <c r="BD2" s="646"/>
      <c r="BE2" s="646"/>
      <c r="BF2" s="646"/>
      <c r="BG2" s="646"/>
      <c r="BH2" s="646"/>
      <c r="BI2" s="646"/>
      <c r="BJ2" s="646"/>
      <c r="BK2" s="646"/>
      <c r="BL2" s="646"/>
      <c r="BM2" s="646"/>
      <c r="BN2" s="646"/>
      <c r="BO2" s="646"/>
      <c r="BP2" s="646"/>
      <c r="BQ2" s="646"/>
      <c r="BR2" s="1737"/>
      <c r="BS2" s="1737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</row>
    <row r="3" spans="1:105" ht="15" customHeight="1">
      <c r="A3" s="778"/>
      <c r="B3" s="9" t="s">
        <v>477</v>
      </c>
      <c r="C3" s="644"/>
      <c r="D3" s="646"/>
      <c r="E3" s="646"/>
      <c r="F3" s="646"/>
      <c r="G3" s="646"/>
      <c r="H3" s="646"/>
      <c r="I3" s="646"/>
      <c r="J3" s="646"/>
      <c r="K3" s="646"/>
      <c r="L3" s="646"/>
      <c r="M3" s="646"/>
      <c r="N3" s="646"/>
      <c r="O3" s="646"/>
      <c r="P3" s="646"/>
      <c r="Q3" s="646"/>
      <c r="R3" s="646"/>
      <c r="S3" s="646"/>
      <c r="T3" s="646"/>
      <c r="U3" s="646"/>
      <c r="V3" s="646"/>
      <c r="W3" s="646"/>
      <c r="X3" s="646"/>
      <c r="Y3" s="646"/>
      <c r="Z3" s="646"/>
      <c r="AA3" s="646"/>
      <c r="AB3" s="646"/>
      <c r="AC3" s="646"/>
      <c r="AD3" s="646"/>
      <c r="AE3" s="646"/>
      <c r="AF3" s="646"/>
      <c r="AG3" s="646"/>
      <c r="AH3" s="646"/>
      <c r="AI3" s="646"/>
      <c r="AJ3" s="646"/>
      <c r="AK3" s="646"/>
      <c r="AL3" s="646"/>
      <c r="AM3" s="646"/>
      <c r="AN3" s="646"/>
      <c r="AO3" s="646"/>
      <c r="AP3" s="646"/>
      <c r="AQ3" s="646"/>
      <c r="AR3" s="646"/>
      <c r="AS3" s="646"/>
      <c r="AT3" s="646"/>
      <c r="AU3" s="646"/>
      <c r="AV3" s="646"/>
      <c r="AW3" s="646"/>
      <c r="AX3" s="646"/>
      <c r="AY3" s="646"/>
      <c r="AZ3" s="646"/>
      <c r="BA3" s="646"/>
      <c r="BB3" s="646"/>
      <c r="BC3" s="646"/>
      <c r="BD3" s="646"/>
      <c r="BE3" s="646"/>
      <c r="BF3" s="646"/>
      <c r="BG3" s="646"/>
      <c r="BH3" s="646"/>
      <c r="BI3" s="646"/>
      <c r="BJ3" s="646"/>
      <c r="BK3" s="646"/>
      <c r="BL3" s="646"/>
      <c r="BM3" s="646"/>
      <c r="BN3" s="646"/>
      <c r="BO3" s="646"/>
      <c r="BP3" s="646"/>
      <c r="BQ3" s="646"/>
      <c r="BR3" s="1737"/>
      <c r="BS3" s="1737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</row>
    <row r="4" spans="1:105" ht="15" customHeight="1">
      <c r="A4" s="735"/>
      <c r="B4" s="16" t="s">
        <v>78</v>
      </c>
      <c r="C4" s="16"/>
      <c r="D4" s="736"/>
      <c r="E4" s="648"/>
      <c r="F4" s="648"/>
      <c r="G4" s="648"/>
      <c r="H4" s="648"/>
      <c r="I4" s="648"/>
      <c r="J4" s="648"/>
      <c r="K4" s="648"/>
      <c r="L4" s="648"/>
      <c r="M4" s="648"/>
      <c r="N4" s="648"/>
      <c r="O4" s="648"/>
      <c r="P4" s="648"/>
      <c r="Q4" s="648"/>
      <c r="R4" s="648"/>
      <c r="S4" s="648"/>
      <c r="T4" s="648"/>
      <c r="U4" s="648"/>
      <c r="V4" s="648"/>
      <c r="W4" s="648"/>
      <c r="X4" s="648"/>
      <c r="Y4" s="648"/>
      <c r="Z4" s="648"/>
      <c r="AA4" s="648"/>
      <c r="AB4" s="648"/>
      <c r="AC4" s="648"/>
      <c r="AD4" s="648"/>
      <c r="AE4" s="648"/>
      <c r="AF4" s="648"/>
      <c r="AG4" s="648"/>
      <c r="AH4" s="648"/>
      <c r="AI4" s="648"/>
      <c r="AJ4" s="648"/>
      <c r="AK4" s="648"/>
      <c r="AL4" s="648"/>
      <c r="AM4" s="648"/>
      <c r="AN4" s="648"/>
      <c r="AO4" s="648"/>
      <c r="AP4" s="648"/>
      <c r="AQ4" s="648"/>
      <c r="AR4" s="648"/>
      <c r="AS4" s="648"/>
      <c r="AT4" s="648"/>
      <c r="AU4" s="648"/>
      <c r="AV4" s="648"/>
      <c r="AW4" s="648"/>
      <c r="AX4" s="648"/>
      <c r="AY4" s="648"/>
      <c r="AZ4" s="648"/>
      <c r="BA4" s="648"/>
      <c r="BB4" s="648"/>
      <c r="BC4" s="648"/>
      <c r="BD4" s="648"/>
      <c r="BE4" s="648"/>
      <c r="BF4" s="648"/>
      <c r="BG4" s="648"/>
      <c r="BH4" s="648"/>
      <c r="BI4" s="648"/>
      <c r="BJ4" s="648"/>
      <c r="BK4" s="648"/>
      <c r="BL4" s="648"/>
      <c r="BM4" s="648"/>
      <c r="BN4" s="648"/>
      <c r="BO4" s="648"/>
      <c r="BP4" s="648"/>
      <c r="BQ4" s="648"/>
      <c r="BR4" s="1738"/>
      <c r="BS4" s="1738"/>
      <c r="BT4" s="737"/>
      <c r="BU4" s="737"/>
      <c r="BV4" s="737"/>
      <c r="BW4" s="737"/>
      <c r="BX4" s="737"/>
      <c r="BY4" s="737"/>
      <c r="BZ4" s="737"/>
      <c r="CA4" s="737"/>
      <c r="CB4" s="737"/>
      <c r="CC4" s="737"/>
      <c r="CD4" s="737"/>
      <c r="CE4" s="737"/>
      <c r="CF4" s="737"/>
      <c r="CG4" s="737"/>
      <c r="CH4" s="737"/>
      <c r="CI4" s="737"/>
      <c r="CJ4" s="737"/>
      <c r="CK4" s="737"/>
      <c r="CL4" s="737"/>
      <c r="CM4" s="737"/>
      <c r="CN4" s="737"/>
      <c r="CO4" s="737"/>
      <c r="CP4" s="737"/>
      <c r="CQ4" s="737"/>
      <c r="CR4" s="737"/>
      <c r="CS4" s="737"/>
      <c r="CT4" s="737"/>
      <c r="CU4" s="737"/>
      <c r="CV4" s="737"/>
      <c r="CW4" s="737"/>
      <c r="CX4" s="737"/>
      <c r="CY4" s="737"/>
      <c r="CZ4" s="737"/>
      <c r="DA4" s="737"/>
    </row>
    <row r="5" spans="1:105" ht="12.75" customHeight="1">
      <c r="B5" s="738" t="s">
        <v>574</v>
      </c>
      <c r="C5" s="738"/>
      <c r="D5" s="739"/>
      <c r="E5" s="1206" t="s">
        <v>419</v>
      </c>
      <c r="F5" s="1207" t="s">
        <v>420</v>
      </c>
      <c r="G5" s="1207" t="s">
        <v>389</v>
      </c>
      <c r="H5" s="1208" t="s">
        <v>390</v>
      </c>
      <c r="I5" s="1209">
        <v>2009</v>
      </c>
      <c r="J5" s="1206" t="s">
        <v>391</v>
      </c>
      <c r="K5" s="1207" t="s">
        <v>392</v>
      </c>
      <c r="L5" s="1207" t="s">
        <v>393</v>
      </c>
      <c r="M5" s="1208" t="s">
        <v>394</v>
      </c>
      <c r="N5" s="1209" t="s">
        <v>111</v>
      </c>
      <c r="O5" s="1206" t="s">
        <v>336</v>
      </c>
      <c r="P5" s="1207" t="s">
        <v>337</v>
      </c>
      <c r="Q5" s="1207" t="s">
        <v>338</v>
      </c>
      <c r="R5" s="1208" t="s">
        <v>339</v>
      </c>
      <c r="S5" s="1209">
        <v>2011</v>
      </c>
      <c r="T5" s="740" t="s">
        <v>660</v>
      </c>
      <c r="U5" s="741" t="s">
        <v>723</v>
      </c>
      <c r="V5" s="741" t="s">
        <v>791</v>
      </c>
      <c r="W5" s="742" t="s">
        <v>796</v>
      </c>
      <c r="X5" s="1210" t="s">
        <v>797</v>
      </c>
      <c r="Y5" s="1206" t="s">
        <v>805</v>
      </c>
      <c r="Z5" s="1207" t="s">
        <v>806</v>
      </c>
      <c r="AA5" s="1207" t="s">
        <v>868</v>
      </c>
      <c r="AB5" s="1208" t="s">
        <v>869</v>
      </c>
      <c r="AC5" s="1210" t="s">
        <v>870</v>
      </c>
      <c r="AD5" s="1206" t="s">
        <v>891</v>
      </c>
      <c r="AE5" s="1207" t="s">
        <v>892</v>
      </c>
      <c r="AF5" s="1207" t="s">
        <v>930</v>
      </c>
      <c r="AG5" s="1208" t="s">
        <v>931</v>
      </c>
      <c r="AH5" s="1210" t="s">
        <v>929</v>
      </c>
      <c r="AI5" s="1206" t="s">
        <v>932</v>
      </c>
      <c r="AJ5" s="1207" t="s">
        <v>1000</v>
      </c>
      <c r="AK5" s="1207" t="s">
        <v>1001</v>
      </c>
      <c r="AL5" s="1208" t="s">
        <v>1013</v>
      </c>
      <c r="AM5" s="743" t="s">
        <v>1014</v>
      </c>
      <c r="AN5" s="740" t="s">
        <v>1028</v>
      </c>
      <c r="AO5" s="741" t="s">
        <v>1031</v>
      </c>
      <c r="AP5" s="741" t="s">
        <v>1040</v>
      </c>
      <c r="AQ5" s="742" t="s">
        <v>1073</v>
      </c>
      <c r="AR5" s="743" t="s">
        <v>1072</v>
      </c>
      <c r="AS5" s="740" t="s">
        <v>1078</v>
      </c>
      <c r="AT5" s="741" t="s">
        <v>1079</v>
      </c>
      <c r="AU5" s="741" t="s">
        <v>1096</v>
      </c>
      <c r="AV5" s="742" t="s">
        <v>1111</v>
      </c>
      <c r="AW5" s="743" t="s">
        <v>1110</v>
      </c>
      <c r="AX5" s="740" t="s">
        <v>875</v>
      </c>
      <c r="AY5" s="741" t="s">
        <v>876</v>
      </c>
      <c r="AZ5" s="741" t="s">
        <v>877</v>
      </c>
      <c r="BA5" s="742" t="s">
        <v>878</v>
      </c>
      <c r="BB5" s="743" t="s">
        <v>879</v>
      </c>
      <c r="BC5" s="740" t="s">
        <v>937</v>
      </c>
      <c r="BD5" s="741" t="s">
        <v>938</v>
      </c>
      <c r="BE5" s="741" t="s">
        <v>939</v>
      </c>
      <c r="BF5" s="742" t="s">
        <v>940</v>
      </c>
      <c r="BG5" s="743" t="s">
        <v>941</v>
      </c>
      <c r="BH5" s="740" t="s">
        <v>942</v>
      </c>
      <c r="BI5" s="741" t="s">
        <v>943</v>
      </c>
      <c r="BJ5" s="741" t="s">
        <v>944</v>
      </c>
      <c r="BK5" s="742" t="s">
        <v>945</v>
      </c>
      <c r="BL5" s="743" t="s">
        <v>946</v>
      </c>
      <c r="BM5" s="740" t="s">
        <v>1042</v>
      </c>
      <c r="BN5" s="741" t="s">
        <v>1043</v>
      </c>
      <c r="BO5" s="741" t="s">
        <v>1044</v>
      </c>
      <c r="BP5" s="742" t="s">
        <v>1045</v>
      </c>
      <c r="BQ5" s="743" t="s">
        <v>1046</v>
      </c>
      <c r="BR5" s="743"/>
      <c r="BS5" s="744"/>
      <c r="BT5" s="744"/>
      <c r="BU5" s="744"/>
      <c r="BV5" s="744"/>
      <c r="BW5" s="744"/>
      <c r="BX5" s="744"/>
      <c r="BY5" s="744"/>
      <c r="BZ5" s="744"/>
      <c r="CA5" s="744"/>
      <c r="CB5" s="744"/>
      <c r="CC5" s="744"/>
      <c r="CD5" s="744"/>
      <c r="CE5" s="744"/>
      <c r="CF5" s="744"/>
      <c r="CG5" s="744"/>
      <c r="CH5" s="744"/>
      <c r="CI5" s="744"/>
      <c r="CJ5" s="744"/>
      <c r="CK5" s="744"/>
      <c r="CL5" s="744"/>
      <c r="CM5" s="744"/>
      <c r="CN5" s="744"/>
      <c r="CO5" s="744"/>
      <c r="CP5" s="744"/>
      <c r="CQ5" s="744"/>
      <c r="CR5" s="744"/>
      <c r="CS5" s="744"/>
      <c r="CT5" s="744"/>
      <c r="CU5" s="744"/>
      <c r="CV5" s="744"/>
      <c r="CW5" s="744"/>
      <c r="CX5" s="744"/>
      <c r="CY5" s="744"/>
      <c r="CZ5" s="744"/>
      <c r="DA5" s="744"/>
    </row>
    <row r="6" spans="1:105">
      <c r="A6" s="2"/>
      <c r="B6" s="2"/>
      <c r="C6" s="2"/>
      <c r="D6" s="2"/>
      <c r="E6" s="406"/>
      <c r="F6" s="348"/>
      <c r="G6" s="348"/>
      <c r="H6" s="405"/>
      <c r="I6" s="451"/>
      <c r="J6" s="406"/>
      <c r="K6" s="348"/>
      <c r="L6" s="348"/>
      <c r="M6" s="405"/>
      <c r="N6" s="702"/>
      <c r="O6" s="406"/>
      <c r="P6" s="348"/>
      <c r="Q6" s="348"/>
      <c r="R6" s="405"/>
      <c r="S6" s="702"/>
      <c r="T6" s="406"/>
      <c r="U6" s="348"/>
      <c r="V6" s="348"/>
      <c r="W6" s="405"/>
      <c r="X6" s="702"/>
      <c r="Y6" s="406"/>
      <c r="Z6" s="348"/>
      <c r="AA6" s="348"/>
      <c r="AB6" s="405"/>
      <c r="AC6" s="702"/>
      <c r="AD6" s="406"/>
      <c r="AE6" s="348"/>
      <c r="AF6" s="348"/>
      <c r="AG6" s="405"/>
      <c r="AH6" s="702"/>
      <c r="AI6" s="406"/>
      <c r="AJ6" s="348"/>
      <c r="AK6" s="348"/>
      <c r="AL6" s="405"/>
      <c r="AM6" s="702"/>
      <c r="AN6" s="406"/>
      <c r="AO6" s="348"/>
      <c r="AP6" s="348"/>
      <c r="AQ6" s="405"/>
      <c r="AR6" s="702"/>
      <c r="AS6" s="406"/>
      <c r="AT6" s="348"/>
      <c r="AU6" s="348"/>
      <c r="AV6" s="405"/>
      <c r="AW6" s="702"/>
      <c r="AX6" s="406"/>
      <c r="AY6" s="348"/>
      <c r="AZ6" s="348"/>
      <c r="BA6" s="405"/>
      <c r="BB6" s="702"/>
      <c r="BC6" s="406"/>
      <c r="BD6" s="348"/>
      <c r="BE6" s="348"/>
      <c r="BF6" s="405"/>
      <c r="BG6" s="702"/>
      <c r="BH6" s="406"/>
      <c r="BI6" s="348"/>
      <c r="BJ6" s="348"/>
      <c r="BK6" s="405"/>
      <c r="BL6" s="702"/>
      <c r="BM6" s="406"/>
      <c r="BN6" s="348"/>
      <c r="BO6" s="348"/>
      <c r="BP6" s="405"/>
      <c r="BQ6" s="702"/>
      <c r="BR6" s="702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  <c r="CO6" s="24"/>
      <c r="CP6" s="24"/>
      <c r="CQ6" s="24"/>
      <c r="CR6" s="24"/>
      <c r="CS6" s="24"/>
      <c r="CT6" s="24"/>
      <c r="CU6" s="24"/>
      <c r="CV6" s="24"/>
      <c r="CW6" s="24"/>
      <c r="CX6" s="24"/>
      <c r="CY6" s="24"/>
      <c r="CZ6" s="24"/>
      <c r="DA6" s="24"/>
    </row>
    <row r="7" spans="1:105">
      <c r="A7" s="1523"/>
      <c r="B7" s="105" t="s">
        <v>345</v>
      </c>
      <c r="C7" s="322"/>
      <c r="D7" s="19"/>
      <c r="E7" s="406"/>
      <c r="F7" s="348"/>
      <c r="G7" s="348"/>
      <c r="H7" s="405"/>
      <c r="I7" s="451"/>
      <c r="J7" s="406"/>
      <c r="K7" s="348"/>
      <c r="L7" s="348"/>
      <c r="M7" s="405"/>
      <c r="N7" s="451"/>
      <c r="O7" s="406"/>
      <c r="P7" s="348"/>
      <c r="Q7" s="348"/>
      <c r="R7" s="405"/>
      <c r="S7" s="702"/>
      <c r="T7" s="406"/>
      <c r="U7" s="348"/>
      <c r="V7" s="348"/>
      <c r="W7" s="405"/>
      <c r="X7" s="702"/>
      <c r="Y7" s="406"/>
      <c r="Z7" s="348"/>
      <c r="AA7" s="348"/>
      <c r="AB7" s="405"/>
      <c r="AC7" s="702"/>
      <c r="AD7" s="406"/>
      <c r="AE7" s="348"/>
      <c r="AF7" s="348"/>
      <c r="AG7" s="405"/>
      <c r="AH7" s="702"/>
      <c r="AI7" s="406"/>
      <c r="AJ7" s="348"/>
      <c r="AK7" s="348"/>
      <c r="AL7" s="405"/>
      <c r="AM7" s="702"/>
      <c r="AN7" s="406"/>
      <c r="AO7" s="348"/>
      <c r="AP7" s="348"/>
      <c r="AQ7" s="405"/>
      <c r="AR7" s="702"/>
      <c r="AS7" s="406"/>
      <c r="AT7" s="348"/>
      <c r="AU7" s="348"/>
      <c r="AV7" s="405"/>
      <c r="AW7" s="702"/>
      <c r="AX7" s="406"/>
      <c r="AY7" s="348"/>
      <c r="AZ7" s="348"/>
      <c r="BA7" s="405"/>
      <c r="BB7" s="702"/>
      <c r="BC7" s="406"/>
      <c r="BD7" s="348"/>
      <c r="BE7" s="348"/>
      <c r="BF7" s="405"/>
      <c r="BG7" s="702"/>
      <c r="BH7" s="406"/>
      <c r="BI7" s="348"/>
      <c r="BJ7" s="348"/>
      <c r="BK7" s="405"/>
      <c r="BL7" s="702"/>
      <c r="BM7" s="406"/>
      <c r="BN7" s="348"/>
      <c r="BO7" s="348"/>
      <c r="BP7" s="405"/>
      <c r="BQ7" s="702"/>
      <c r="BR7" s="702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</row>
    <row r="8" spans="1:105">
      <c r="A8" s="77"/>
      <c r="B8" s="77"/>
      <c r="C8" s="37" t="s">
        <v>130</v>
      </c>
      <c r="E8" s="456">
        <v>1315</v>
      </c>
      <c r="F8" s="457">
        <v>1260</v>
      </c>
      <c r="G8" s="457">
        <v>1685</v>
      </c>
      <c r="H8" s="395">
        <f>I8-SUM(E8:G8)</f>
        <v>1121</v>
      </c>
      <c r="I8" s="590">
        <v>5381</v>
      </c>
      <c r="J8" s="456">
        <v>1225</v>
      </c>
      <c r="K8" s="457">
        <v>1193</v>
      </c>
      <c r="L8" s="457">
        <v>1758</v>
      </c>
      <c r="M8" s="395">
        <f>N8-SUM(J8:L8)</f>
        <v>1126</v>
      </c>
      <c r="N8" s="590">
        <v>5302</v>
      </c>
      <c r="O8" s="456">
        <v>1187</v>
      </c>
      <c r="P8" s="457">
        <v>1220</v>
      </c>
      <c r="Q8" s="457">
        <v>1600</v>
      </c>
      <c r="R8" s="395">
        <f>S8-SUM(O8:Q8)</f>
        <v>1002</v>
      </c>
      <c r="S8" s="590">
        <v>5009</v>
      </c>
      <c r="T8" s="456">
        <v>1095</v>
      </c>
      <c r="U8" s="457">
        <v>1108</v>
      </c>
      <c r="V8" s="457">
        <v>1473</v>
      </c>
      <c r="W8" s="395">
        <f>X8-SUM(T8:V8)</f>
        <v>955</v>
      </c>
      <c r="X8" s="462">
        <v>4631</v>
      </c>
      <c r="Y8" s="459">
        <v>1029</v>
      </c>
      <c r="Z8" s="460">
        <v>1112</v>
      </c>
      <c r="AA8" s="460">
        <v>1452</v>
      </c>
      <c r="AB8" s="395">
        <f>AC8-SUM(Y8:AA8)</f>
        <v>1014</v>
      </c>
      <c r="AC8" s="462">
        <v>4607</v>
      </c>
      <c r="AD8" s="459">
        <v>1140</v>
      </c>
      <c r="AE8" s="460">
        <v>1109</v>
      </c>
      <c r="AF8" s="460">
        <v>1440</v>
      </c>
      <c r="AG8" s="395">
        <f>AH8-SUM(AD8:AF8)</f>
        <v>995</v>
      </c>
      <c r="AH8" s="462">
        <v>4684</v>
      </c>
      <c r="AI8" s="459">
        <v>1157</v>
      </c>
      <c r="AJ8" s="460">
        <v>1194</v>
      </c>
      <c r="AK8" s="460">
        <v>1561</v>
      </c>
      <c r="AL8" s="395">
        <f>AM8-SUM(AI8:AK8)</f>
        <v>930</v>
      </c>
      <c r="AM8" s="462">
        <v>4842</v>
      </c>
      <c r="AN8" s="459">
        <v>994</v>
      </c>
      <c r="AO8" s="460">
        <v>1065</v>
      </c>
      <c r="AP8" s="460">
        <v>1496</v>
      </c>
      <c r="AQ8" s="395">
        <f>AR8-SUM(AN8:AP8)</f>
        <v>905</v>
      </c>
      <c r="AR8" s="462">
        <v>4460</v>
      </c>
      <c r="AS8" s="459">
        <v>992</v>
      </c>
      <c r="AT8" s="460">
        <v>1090</v>
      </c>
      <c r="AU8" s="460">
        <v>1334</v>
      </c>
      <c r="AV8" s="395">
        <f>AW8-SUM(AS8:AU8)</f>
        <v>948</v>
      </c>
      <c r="AW8" s="462">
        <v>4364</v>
      </c>
      <c r="AX8" s="394">
        <f>AX77</f>
        <v>938.07688681055936</v>
      </c>
      <c r="AY8" s="342">
        <f>AY77</f>
        <v>1029.3422077995399</v>
      </c>
      <c r="AZ8" s="342">
        <f>AZ77</f>
        <v>1309.7247935509099</v>
      </c>
      <c r="BA8" s="395">
        <f>BA77</f>
        <v>898.22117708333326</v>
      </c>
      <c r="BB8" s="77">
        <f>SUM(AX8:BA8)</f>
        <v>4175.365065244343</v>
      </c>
      <c r="BC8" s="394">
        <f>BC77</f>
        <v>1004.3143868105593</v>
      </c>
      <c r="BD8" s="342">
        <f>BD77</f>
        <v>1095.5797077995398</v>
      </c>
      <c r="BE8" s="342">
        <f>BE77</f>
        <v>1095.5797077995398</v>
      </c>
      <c r="BF8" s="395">
        <f>BF77</f>
        <v>964.45867708333321</v>
      </c>
      <c r="BG8" s="77">
        <f>SUM(BC8:BF8)</f>
        <v>4159.9324794929726</v>
      </c>
      <c r="BH8" s="394">
        <f>BH77</f>
        <v>1051.0768868105592</v>
      </c>
      <c r="BI8" s="342">
        <f>BI77</f>
        <v>1142.3422077995399</v>
      </c>
      <c r="BJ8" s="342">
        <f>BJ77</f>
        <v>1142.3422077995399</v>
      </c>
      <c r="BK8" s="395">
        <f>BK77</f>
        <v>1011.2211770833333</v>
      </c>
      <c r="BL8" s="77">
        <f>SUM(BH8:BK8)</f>
        <v>4346.9824794929718</v>
      </c>
      <c r="BM8" s="394">
        <f>BM77</f>
        <v>1096.1893868105594</v>
      </c>
      <c r="BN8" s="342">
        <f>BN77</f>
        <v>1187.4547077995398</v>
      </c>
      <c r="BO8" s="342">
        <f>BO77</f>
        <v>1187.4547077995398</v>
      </c>
      <c r="BP8" s="395">
        <f>BP77</f>
        <v>1056.3336770833332</v>
      </c>
      <c r="BQ8" s="77">
        <f>SUM(BM8:BP8)</f>
        <v>4527.4324794929726</v>
      </c>
      <c r="BR8" s="77"/>
      <c r="BS8" s="77"/>
      <c r="BT8" s="77"/>
      <c r="BU8" s="77"/>
      <c r="BV8" s="297"/>
      <c r="BW8" s="1651"/>
      <c r="BX8" s="77"/>
      <c r="BY8" s="77"/>
      <c r="BZ8" s="77"/>
      <c r="CA8" s="77"/>
      <c r="CB8" s="77"/>
      <c r="CC8" s="77"/>
      <c r="CD8" s="77"/>
      <c r="CE8" s="77"/>
      <c r="CF8" s="77"/>
      <c r="CG8" s="77"/>
      <c r="CH8" s="77"/>
      <c r="CI8" s="77"/>
      <c r="CJ8" s="77"/>
      <c r="CK8" s="77"/>
      <c r="CL8" s="77"/>
      <c r="CM8" s="77"/>
      <c r="CN8" s="77"/>
      <c r="CO8" s="77"/>
      <c r="CP8" s="77"/>
      <c r="CQ8" s="77"/>
      <c r="CR8" s="77"/>
      <c r="CS8" s="77"/>
      <c r="CT8" s="77"/>
      <c r="CU8" s="77"/>
      <c r="CV8" s="77"/>
      <c r="CW8" s="77"/>
      <c r="CX8" s="77"/>
      <c r="CY8" s="77"/>
      <c r="CZ8" s="77"/>
      <c r="DA8" s="77"/>
    </row>
    <row r="9" spans="1:105">
      <c r="A9" s="77"/>
      <c r="B9" s="77"/>
      <c r="C9" s="37" t="s">
        <v>131</v>
      </c>
      <c r="D9" s="77"/>
      <c r="E9" s="394">
        <f>E10-E8</f>
        <v>1420</v>
      </c>
      <c r="F9" s="342">
        <f>F10-F8</f>
        <v>383</v>
      </c>
      <c r="G9" s="342">
        <f>G10-G8</f>
        <v>258</v>
      </c>
      <c r="H9" s="395">
        <f>H10-H8</f>
        <v>801</v>
      </c>
      <c r="I9" s="77">
        <f>+I10-I8</f>
        <v>2862</v>
      </c>
      <c r="J9" s="394">
        <f>J10-J8</f>
        <v>1219</v>
      </c>
      <c r="K9" s="342">
        <f>K10-K8</f>
        <v>343</v>
      </c>
      <c r="L9" s="342">
        <f>L10-L8</f>
        <v>249</v>
      </c>
      <c r="M9" s="395">
        <f>M10-M8</f>
        <v>756</v>
      </c>
      <c r="N9" s="77">
        <f>+N10-N8</f>
        <v>2567</v>
      </c>
      <c r="O9" s="394">
        <f>O10-O8</f>
        <v>1119</v>
      </c>
      <c r="P9" s="342">
        <f>P10-P8</f>
        <v>351</v>
      </c>
      <c r="Q9" s="342">
        <f>Q10-Q8</f>
        <v>241</v>
      </c>
      <c r="R9" s="395">
        <f>R10-R8</f>
        <v>606</v>
      </c>
      <c r="S9" s="77">
        <f>+S10-S8</f>
        <v>2317</v>
      </c>
      <c r="T9" s="394">
        <f>T10-T8</f>
        <v>844</v>
      </c>
      <c r="U9" s="342">
        <f>U10-U8</f>
        <v>299</v>
      </c>
      <c r="V9" s="342">
        <f>V10-V8</f>
        <v>210</v>
      </c>
      <c r="W9" s="395">
        <f>W10-W8</f>
        <v>642</v>
      </c>
      <c r="X9" s="77">
        <f>+X10-X8</f>
        <v>1995</v>
      </c>
      <c r="Y9" s="394">
        <f>Y10-Y8</f>
        <v>966</v>
      </c>
      <c r="Z9" s="342">
        <f>Z10-Z8</f>
        <v>311</v>
      </c>
      <c r="AA9" s="342">
        <f>AA10-AA8</f>
        <v>214</v>
      </c>
      <c r="AB9" s="395">
        <f>AB10-AB8</f>
        <v>557</v>
      </c>
      <c r="AC9" s="77">
        <f>+AC10-AC8</f>
        <v>2048</v>
      </c>
      <c r="AD9" s="394">
        <f>AD10-AD8</f>
        <v>1005</v>
      </c>
      <c r="AE9" s="342">
        <f>AE10-AE8</f>
        <v>326</v>
      </c>
      <c r="AF9" s="342">
        <f>AF10-AF8</f>
        <v>215</v>
      </c>
      <c r="AG9" s="395">
        <f>AG10-AG8</f>
        <v>536</v>
      </c>
      <c r="AH9" s="77">
        <f>+AH10-AH8</f>
        <v>2082</v>
      </c>
      <c r="AI9" s="394">
        <f>AI10-AI8</f>
        <v>845</v>
      </c>
      <c r="AJ9" s="342">
        <f>AJ10-AJ8</f>
        <v>272</v>
      </c>
      <c r="AK9" s="342">
        <f>AK10-AK8</f>
        <v>205</v>
      </c>
      <c r="AL9" s="395">
        <f>AL10-AL8</f>
        <v>472</v>
      </c>
      <c r="AM9" s="77">
        <f>+AM10-AM8</f>
        <v>1794</v>
      </c>
      <c r="AN9" s="394">
        <f>AN10-AN8</f>
        <v>718</v>
      </c>
      <c r="AO9" s="342">
        <f>AO10-AO8</f>
        <v>285</v>
      </c>
      <c r="AP9" s="342">
        <f>AP10-AP8</f>
        <v>188</v>
      </c>
      <c r="AQ9" s="395">
        <f>AQ10-AQ8</f>
        <v>570</v>
      </c>
      <c r="AR9" s="77">
        <f>+AR10-AR8</f>
        <v>1761</v>
      </c>
      <c r="AS9" s="394">
        <f>AS10-AS8</f>
        <v>820</v>
      </c>
      <c r="AT9" s="342">
        <f>AT10-AT8</f>
        <v>278</v>
      </c>
      <c r="AU9" s="342">
        <f>AU10-AU8</f>
        <v>175</v>
      </c>
      <c r="AV9" s="395">
        <f>AV10-AV8</f>
        <v>597</v>
      </c>
      <c r="AW9" s="77">
        <f>+AW10-AW8</f>
        <v>1870</v>
      </c>
      <c r="AX9" s="394">
        <f>AX120</f>
        <v>833.13000000000011</v>
      </c>
      <c r="AY9" s="342">
        <f>AY120</f>
        <v>289.12000000000006</v>
      </c>
      <c r="AZ9" s="342">
        <f>AZ120</f>
        <v>178.3475</v>
      </c>
      <c r="BA9" s="395">
        <f>BA120</f>
        <v>609.5</v>
      </c>
      <c r="BB9" s="77">
        <f>SUM(AX9:BA9)</f>
        <v>1910.0975000000003</v>
      </c>
      <c r="BC9" s="394">
        <f>BC120</f>
        <v>846.39130000000011</v>
      </c>
      <c r="BD9" s="342">
        <f>BD120</f>
        <v>300.35120000000006</v>
      </c>
      <c r="BE9" s="342">
        <f>BE120</f>
        <v>300.35120000000006</v>
      </c>
      <c r="BF9" s="395">
        <f>BF120</f>
        <v>622.125</v>
      </c>
      <c r="BG9" s="77">
        <f>SUM(BC9:BF9)</f>
        <v>2069.2187000000004</v>
      </c>
      <c r="BH9" s="394">
        <f>BH120</f>
        <v>859.78521300000011</v>
      </c>
      <c r="BI9" s="342">
        <f>BI120</f>
        <v>311.69471200000004</v>
      </c>
      <c r="BJ9" s="342">
        <f>BJ120</f>
        <v>311.69471200000004</v>
      </c>
      <c r="BK9" s="395">
        <f>BK120</f>
        <v>634.87625000000003</v>
      </c>
      <c r="BL9" s="77">
        <f>SUM(BH9:BK9)</f>
        <v>2118.0508870000003</v>
      </c>
      <c r="BM9" s="394">
        <f>BM120</f>
        <v>873.31306513000004</v>
      </c>
      <c r="BN9" s="342">
        <f>BN120</f>
        <v>323.15165912000003</v>
      </c>
      <c r="BO9" s="342">
        <f>BO120</f>
        <v>323.15165912000003</v>
      </c>
      <c r="BP9" s="395">
        <f>BP120</f>
        <v>647.75501249999991</v>
      </c>
      <c r="BQ9" s="77">
        <f>SUM(BM9:BP9)</f>
        <v>2167.37139587</v>
      </c>
      <c r="BR9" s="77"/>
      <c r="BS9" s="77"/>
      <c r="BT9" s="77"/>
      <c r="BU9" s="77"/>
      <c r="BV9" s="77"/>
      <c r="BW9" s="1651"/>
      <c r="BX9" s="77"/>
      <c r="BY9" s="77"/>
      <c r="BZ9" s="77"/>
      <c r="CA9" s="77"/>
      <c r="CB9" s="77"/>
      <c r="CC9" s="77"/>
      <c r="CD9" s="77"/>
      <c r="CE9" s="77"/>
      <c r="CF9" s="77"/>
      <c r="CG9" s="77"/>
      <c r="CH9" s="77"/>
      <c r="CI9" s="77"/>
      <c r="CJ9" s="77"/>
      <c r="CK9" s="77"/>
      <c r="CL9" s="77"/>
      <c r="CM9" s="77"/>
      <c r="CN9" s="77"/>
      <c r="CO9" s="77"/>
      <c r="CP9" s="77"/>
      <c r="CQ9" s="77"/>
      <c r="CR9" s="77"/>
      <c r="CS9" s="77"/>
      <c r="CT9" s="77"/>
      <c r="CU9" s="77"/>
      <c r="CV9" s="77"/>
      <c r="CW9" s="77"/>
      <c r="CX9" s="77"/>
      <c r="CY9" s="77"/>
      <c r="CZ9" s="77"/>
      <c r="DA9" s="77"/>
    </row>
    <row r="10" spans="1:105" s="64" customFormat="1">
      <c r="A10" s="297"/>
      <c r="B10" s="297"/>
      <c r="C10" s="49" t="s">
        <v>69</v>
      </c>
      <c r="D10" s="297"/>
      <c r="E10" s="467">
        <v>2735</v>
      </c>
      <c r="F10" s="470">
        <v>1643</v>
      </c>
      <c r="G10" s="470">
        <v>1943</v>
      </c>
      <c r="H10" s="397">
        <f>I10-SUM(E10:G10)</f>
        <v>1922</v>
      </c>
      <c r="I10" s="471">
        <v>8243</v>
      </c>
      <c r="J10" s="467">
        <v>2444</v>
      </c>
      <c r="K10" s="470">
        <v>1536</v>
      </c>
      <c r="L10" s="470">
        <v>2007</v>
      </c>
      <c r="M10" s="397">
        <f>N10-SUM(J10:L10)</f>
        <v>1882</v>
      </c>
      <c r="N10" s="471">
        <v>7869</v>
      </c>
      <c r="O10" s="467">
        <v>2306</v>
      </c>
      <c r="P10" s="470">
        <v>1571</v>
      </c>
      <c r="Q10" s="470">
        <v>1841</v>
      </c>
      <c r="R10" s="397">
        <f>S10-SUM(O10:Q10)</f>
        <v>1608</v>
      </c>
      <c r="S10" s="471">
        <v>7326</v>
      </c>
      <c r="T10" s="467">
        <v>1939</v>
      </c>
      <c r="U10" s="470">
        <v>1407</v>
      </c>
      <c r="V10" s="470">
        <v>1683</v>
      </c>
      <c r="W10" s="397">
        <f>X10-SUM(T10:V10)</f>
        <v>1597</v>
      </c>
      <c r="X10" s="471">
        <v>6626</v>
      </c>
      <c r="Y10" s="467">
        <v>1995</v>
      </c>
      <c r="Z10" s="470">
        <v>1423</v>
      </c>
      <c r="AA10" s="470">
        <v>1666</v>
      </c>
      <c r="AB10" s="397">
        <f>AC10-SUM(Y10:AA10)</f>
        <v>1571</v>
      </c>
      <c r="AC10" s="471">
        <v>6655</v>
      </c>
      <c r="AD10" s="467">
        <v>2145</v>
      </c>
      <c r="AE10" s="470">
        <v>1435</v>
      </c>
      <c r="AF10" s="470">
        <v>1655</v>
      </c>
      <c r="AG10" s="397">
        <f>AH10-SUM(AD10:AF10)</f>
        <v>1531</v>
      </c>
      <c r="AH10" s="471">
        <v>6766</v>
      </c>
      <c r="AI10" s="467">
        <v>2002</v>
      </c>
      <c r="AJ10" s="470">
        <v>1466</v>
      </c>
      <c r="AK10" s="470">
        <v>1766</v>
      </c>
      <c r="AL10" s="397">
        <f>AM10-SUM(AI10:AK10)</f>
        <v>1402</v>
      </c>
      <c r="AM10" s="471">
        <v>6636</v>
      </c>
      <c r="AN10" s="467">
        <v>1712</v>
      </c>
      <c r="AO10" s="470">
        <v>1350</v>
      </c>
      <c r="AP10" s="470">
        <v>1684</v>
      </c>
      <c r="AQ10" s="397">
        <f>AR10-SUM(AN10:AP10)</f>
        <v>1475</v>
      </c>
      <c r="AR10" s="471">
        <v>6221</v>
      </c>
      <c r="AS10" s="467">
        <v>1812</v>
      </c>
      <c r="AT10" s="470">
        <v>1368</v>
      </c>
      <c r="AU10" s="470">
        <v>1509</v>
      </c>
      <c r="AV10" s="397">
        <f>AW10-SUM(AS10:AU10)</f>
        <v>1545</v>
      </c>
      <c r="AW10" s="471">
        <v>6234</v>
      </c>
      <c r="AX10" s="396">
        <f>SUM(AX8:AX9)</f>
        <v>1771.2068868105594</v>
      </c>
      <c r="AY10" s="343">
        <f>SUM(AY8:AY9)</f>
        <v>1318.46220779954</v>
      </c>
      <c r="AZ10" s="343">
        <f>SUM(AZ8:AZ9)</f>
        <v>1488.07229355091</v>
      </c>
      <c r="BA10" s="397">
        <f>SUM(BA8:BA9)</f>
        <v>1507.7211770833333</v>
      </c>
      <c r="BB10" s="297">
        <f>SUM(BB8:BB9)</f>
        <v>6085.4625652443428</v>
      </c>
      <c r="BC10" s="396">
        <f t="shared" ref="BC10:BL10" si="0">SUM(BC8:BC9)</f>
        <v>1850.7056868105594</v>
      </c>
      <c r="BD10" s="343">
        <f t="shared" si="0"/>
        <v>1395.9309077995399</v>
      </c>
      <c r="BE10" s="343">
        <f t="shared" si="0"/>
        <v>1395.9309077995399</v>
      </c>
      <c r="BF10" s="397">
        <f t="shared" si="0"/>
        <v>1586.5836770833332</v>
      </c>
      <c r="BG10" s="297">
        <f t="shared" si="0"/>
        <v>6229.1511794929729</v>
      </c>
      <c r="BH10" s="396">
        <f t="shared" si="0"/>
        <v>1910.8620998105594</v>
      </c>
      <c r="BI10" s="343">
        <f t="shared" si="0"/>
        <v>1454.0369197995399</v>
      </c>
      <c r="BJ10" s="343">
        <f t="shared" si="0"/>
        <v>1454.0369197995399</v>
      </c>
      <c r="BK10" s="397">
        <f t="shared" si="0"/>
        <v>1646.0974270833333</v>
      </c>
      <c r="BL10" s="297">
        <f t="shared" si="0"/>
        <v>6465.0333664929722</v>
      </c>
      <c r="BM10" s="396">
        <f>SUM(BM8:BM9)</f>
        <v>1969.5024519405595</v>
      </c>
      <c r="BN10" s="343">
        <f>SUM(BN8:BN9)</f>
        <v>1510.6063669195398</v>
      </c>
      <c r="BO10" s="343">
        <f>SUM(BO8:BO9)</f>
        <v>1510.6063669195398</v>
      </c>
      <c r="BP10" s="397">
        <f>SUM(BP8:BP9)</f>
        <v>1704.0886895833332</v>
      </c>
      <c r="BQ10" s="297">
        <f>SUM(BQ8:BQ9)</f>
        <v>6694.8038753629726</v>
      </c>
      <c r="BR10" s="297"/>
      <c r="BS10" s="297"/>
      <c r="BT10" s="297"/>
      <c r="BU10" s="297"/>
      <c r="BV10" s="77"/>
      <c r="BW10" s="1652"/>
      <c r="BX10" s="77"/>
      <c r="BY10" s="297"/>
      <c r="BZ10" s="297"/>
      <c r="CA10" s="297"/>
      <c r="CB10" s="297"/>
      <c r="CC10" s="297"/>
      <c r="CD10" s="297"/>
      <c r="CE10" s="297"/>
      <c r="CF10" s="297"/>
      <c r="CG10" s="297"/>
      <c r="CH10" s="297"/>
      <c r="CI10" s="297"/>
      <c r="CJ10" s="297"/>
      <c r="CK10" s="297"/>
      <c r="CL10" s="297"/>
      <c r="CM10" s="297"/>
      <c r="CN10" s="297"/>
      <c r="CO10" s="297"/>
      <c r="CP10" s="297"/>
      <c r="CQ10" s="297"/>
      <c r="CR10" s="297"/>
      <c r="CS10" s="297"/>
      <c r="CT10" s="297"/>
      <c r="CU10" s="297"/>
      <c r="CV10" s="297"/>
      <c r="CW10" s="297"/>
      <c r="CX10" s="297"/>
      <c r="CY10" s="297"/>
      <c r="CZ10" s="297"/>
      <c r="DA10" s="297"/>
    </row>
    <row r="11" spans="1:105">
      <c r="A11" s="77"/>
      <c r="B11" s="77"/>
      <c r="C11" s="37"/>
      <c r="D11" s="77"/>
      <c r="E11" s="456"/>
      <c r="F11" s="457"/>
      <c r="G11" s="457"/>
      <c r="H11" s="395"/>
      <c r="I11" s="590"/>
      <c r="J11" s="456"/>
      <c r="K11" s="457"/>
      <c r="L11" s="457"/>
      <c r="M11" s="395"/>
      <c r="N11" s="590"/>
      <c r="O11" s="456"/>
      <c r="P11" s="457"/>
      <c r="Q11" s="457"/>
      <c r="R11" s="395"/>
      <c r="S11" s="590"/>
      <c r="T11" s="456"/>
      <c r="U11" s="457"/>
      <c r="V11" s="457"/>
      <c r="W11" s="395"/>
      <c r="X11" s="462"/>
      <c r="Y11" s="394"/>
      <c r="Z11" s="342"/>
      <c r="AA11" s="460"/>
      <c r="AB11" s="395"/>
      <c r="AC11" s="462"/>
      <c r="AD11" s="394"/>
      <c r="AE11" s="342"/>
      <c r="AF11" s="460"/>
      <c r="AG11" s="395"/>
      <c r="AH11" s="77"/>
      <c r="AI11" s="394"/>
      <c r="AJ11" s="342"/>
      <c r="AK11" s="460"/>
      <c r="AL11" s="395"/>
      <c r="AM11" s="77"/>
      <c r="AN11" s="394"/>
      <c r="AO11" s="342"/>
      <c r="AP11" s="460"/>
      <c r="AQ11" s="395"/>
      <c r="AR11" s="77"/>
      <c r="AS11" s="394"/>
      <c r="AT11" s="342"/>
      <c r="AU11" s="342"/>
      <c r="AV11" s="395"/>
      <c r="AW11" s="77"/>
      <c r="AX11" s="394"/>
      <c r="AY11" s="342"/>
      <c r="AZ11" s="342"/>
      <c r="BA11" s="395"/>
      <c r="BB11" s="77"/>
      <c r="BC11" s="394"/>
      <c r="BD11" s="342"/>
      <c r="BE11" s="342"/>
      <c r="BF11" s="395"/>
      <c r="BG11" s="77"/>
      <c r="BH11" s="394"/>
      <c r="BI11" s="342"/>
      <c r="BJ11" s="342"/>
      <c r="BK11" s="395"/>
      <c r="BL11" s="77"/>
      <c r="BM11" s="394"/>
      <c r="BN11" s="342"/>
      <c r="BO11" s="342"/>
      <c r="BP11" s="395"/>
      <c r="BQ11" s="77"/>
      <c r="BR11" s="77"/>
      <c r="BS11" s="77"/>
      <c r="BT11" s="77"/>
      <c r="BU11" s="77"/>
      <c r="BV11" s="77"/>
      <c r="BW11" s="1651"/>
      <c r="BX11" s="77"/>
      <c r="BY11" s="77"/>
      <c r="BZ11" s="77"/>
      <c r="CA11" s="77"/>
      <c r="CB11" s="77"/>
      <c r="CC11" s="77"/>
      <c r="CD11" s="77"/>
      <c r="CE11" s="77"/>
      <c r="CF11" s="77"/>
      <c r="CG11" s="77"/>
      <c r="CH11" s="77"/>
      <c r="CI11" s="77"/>
      <c r="CJ11" s="77"/>
      <c r="CK11" s="77"/>
      <c r="CL11" s="77"/>
      <c r="CM11" s="77"/>
      <c r="CN11" s="77"/>
      <c r="CO11" s="77"/>
      <c r="CP11" s="77"/>
      <c r="CQ11" s="77"/>
      <c r="CR11" s="77"/>
      <c r="CS11" s="77"/>
      <c r="CT11" s="77"/>
      <c r="CU11" s="77"/>
      <c r="CV11" s="77"/>
      <c r="CW11" s="77"/>
      <c r="CX11" s="77"/>
      <c r="CY11" s="77"/>
      <c r="CZ11" s="77"/>
      <c r="DA11" s="77"/>
    </row>
    <row r="12" spans="1:105">
      <c r="A12" s="77"/>
      <c r="B12" s="77"/>
      <c r="C12" s="37" t="s">
        <v>132</v>
      </c>
      <c r="D12" s="77"/>
      <c r="E12" s="456">
        <v>856.95799999999997</v>
      </c>
      <c r="F12" s="457">
        <v>766.649</v>
      </c>
      <c r="G12" s="457">
        <v>1042.1579999999999</v>
      </c>
      <c r="H12" s="458">
        <v>682.86900000000003</v>
      </c>
      <c r="I12" s="77">
        <f>SUM(E12:H12)</f>
        <v>3348.634</v>
      </c>
      <c r="J12" s="456">
        <v>732.63699999999994</v>
      </c>
      <c r="K12" s="457">
        <v>737.86900000000003</v>
      </c>
      <c r="L12" s="457">
        <v>1002.176</v>
      </c>
      <c r="M12" s="458">
        <v>652.70399999999995</v>
      </c>
      <c r="N12" s="77">
        <f>SUM(J12:M12)</f>
        <v>3125.3859999999995</v>
      </c>
      <c r="O12" s="459">
        <v>695.00400000000002</v>
      </c>
      <c r="P12" s="460">
        <v>651.26199999999994</v>
      </c>
      <c r="Q12" s="460">
        <v>852.96600000000001</v>
      </c>
      <c r="R12" s="458">
        <v>532.37599999999998</v>
      </c>
      <c r="S12" s="77">
        <f>SUM(O12:R12)</f>
        <v>2731.6080000000002</v>
      </c>
      <c r="T12" s="456">
        <f>557.666+15.911</f>
        <v>573.577</v>
      </c>
      <c r="U12" s="457">
        <f>507.205+16.369</f>
        <v>523.57399999999996</v>
      </c>
      <c r="V12" s="457">
        <f>679.506+16.315</f>
        <v>695.82100000000003</v>
      </c>
      <c r="W12" s="458">
        <f>443.94+20.1</f>
        <v>464.04</v>
      </c>
      <c r="X12" s="77">
        <f>SUM(T12:W12)</f>
        <v>2257.0119999999997</v>
      </c>
      <c r="Y12" s="459">
        <f>440.63+17.529</f>
        <v>458.15899999999999</v>
      </c>
      <c r="Z12" s="460">
        <f>447.188+18.31</f>
        <v>465.49799999999999</v>
      </c>
      <c r="AA12" s="460">
        <f>587.889+18.713</f>
        <v>606.60199999999998</v>
      </c>
      <c r="AB12" s="458">
        <f>402.93+30.753</f>
        <v>433.68299999999999</v>
      </c>
      <c r="AC12" s="77">
        <f>SUM(Y12:AB12)</f>
        <v>1963.942</v>
      </c>
      <c r="AD12" s="459">
        <f>488.619+21.788</f>
        <v>510.40700000000004</v>
      </c>
      <c r="AE12" s="460">
        <f>417.724+20.322</f>
        <v>438.04599999999999</v>
      </c>
      <c r="AF12" s="460">
        <f>584.516+18.754</f>
        <v>603.27</v>
      </c>
      <c r="AG12" s="458">
        <f>410.519+27.921</f>
        <v>438.44</v>
      </c>
      <c r="AH12" s="77">
        <f>SUM(AD12:AG12)</f>
        <v>1990.163</v>
      </c>
      <c r="AI12" s="459">
        <f>484.902+14.777</f>
        <v>499.67899999999997</v>
      </c>
      <c r="AJ12" s="460">
        <f>452.054+19.544</f>
        <v>471.59799999999996</v>
      </c>
      <c r="AK12" s="460">
        <f>666.396+25.236</f>
        <v>691.63199999999995</v>
      </c>
      <c r="AL12" s="458">
        <f>381.99+32.531</f>
        <v>414.52100000000002</v>
      </c>
      <c r="AM12" s="77">
        <f>SUM(AI12:AL12)</f>
        <v>2077.4299999999998</v>
      </c>
      <c r="AN12" s="459">
        <f>431.089+23.381</f>
        <v>454.47</v>
      </c>
      <c r="AO12" s="460">
        <f>417.312+23.926</f>
        <v>441.238</v>
      </c>
      <c r="AP12" s="460">
        <f>660.553+25.547</f>
        <v>686.1</v>
      </c>
      <c r="AQ12" s="458">
        <f>335.448+37.028</f>
        <v>372.476</v>
      </c>
      <c r="AR12" s="77">
        <f>SUM(AN12:AQ12)</f>
        <v>1954.2840000000001</v>
      </c>
      <c r="AS12" s="459">
        <f>380.808+23.263</f>
        <v>404.07099999999997</v>
      </c>
      <c r="AT12" s="460">
        <f>377.404+27.249</f>
        <v>404.65300000000002</v>
      </c>
      <c r="AU12" s="460">
        <f>484.326+25.367</f>
        <v>509.69300000000004</v>
      </c>
      <c r="AV12" s="395">
        <f>+AU12</f>
        <v>509.69300000000004</v>
      </c>
      <c r="AW12" s="77">
        <f>SUM(AS12:AV12)</f>
        <v>1828.11</v>
      </c>
      <c r="AX12" s="394">
        <f>AX93</f>
        <v>406.98247400926402</v>
      </c>
      <c r="AY12" s="342">
        <f>AY93</f>
        <v>402.30045538385792</v>
      </c>
      <c r="AZ12" s="342">
        <f>AZ93</f>
        <v>516.4338203924915</v>
      </c>
      <c r="BA12" s="395">
        <f>BA93</f>
        <v>511.73177199999998</v>
      </c>
      <c r="BB12" s="77">
        <f>SUM(AX12:BA12)</f>
        <v>1837.4485217856136</v>
      </c>
      <c r="BC12" s="394">
        <f>BC93</f>
        <v>406.98247400926402</v>
      </c>
      <c r="BD12" s="342">
        <f>BD93</f>
        <v>402.30045538385792</v>
      </c>
      <c r="BE12" s="342">
        <f>BE93</f>
        <v>402.30045538385792</v>
      </c>
      <c r="BF12" s="395">
        <f>BF93</f>
        <v>511.73177199999998</v>
      </c>
      <c r="BG12" s="77">
        <f>SUM(BC12:BF12)</f>
        <v>1723.3151567769801</v>
      </c>
      <c r="BH12" s="394">
        <f>BH93</f>
        <v>406.98247400926402</v>
      </c>
      <c r="BI12" s="342">
        <f>BI93</f>
        <v>402.30045538385792</v>
      </c>
      <c r="BJ12" s="342">
        <f>BJ93</f>
        <v>402.30045538385792</v>
      </c>
      <c r="BK12" s="395">
        <f>BK93</f>
        <v>511.73177199999998</v>
      </c>
      <c r="BL12" s="77">
        <f>SUM(BH12:BK12)</f>
        <v>1723.3151567769801</v>
      </c>
      <c r="BM12" s="394">
        <f>BM93</f>
        <v>406.98247400926402</v>
      </c>
      <c r="BN12" s="342">
        <f>BN93</f>
        <v>402.30045538385792</v>
      </c>
      <c r="BO12" s="342">
        <f>BO93</f>
        <v>402.30045538385792</v>
      </c>
      <c r="BP12" s="395">
        <f>BP93</f>
        <v>511.73177199999998</v>
      </c>
      <c r="BQ12" s="77">
        <f>SUM(BM12:BP12)</f>
        <v>1723.3151567769801</v>
      </c>
      <c r="BR12" s="77"/>
      <c r="BS12" s="77"/>
      <c r="BT12" s="77"/>
      <c r="BU12" s="77"/>
      <c r="BV12" s="77"/>
      <c r="BW12" s="1651"/>
      <c r="BX12" s="77"/>
      <c r="BY12" s="77"/>
      <c r="BZ12" s="77"/>
      <c r="CA12" s="77"/>
      <c r="CB12" s="77"/>
      <c r="CC12" s="77"/>
      <c r="CD12" s="77"/>
      <c r="CE12" s="77"/>
      <c r="CF12" s="77"/>
      <c r="CG12" s="77"/>
      <c r="CH12" s="77"/>
      <c r="CI12" s="77"/>
      <c r="CJ12" s="77"/>
      <c r="CK12" s="77"/>
      <c r="CL12" s="77"/>
      <c r="CM12" s="77"/>
      <c r="CN12" s="77"/>
      <c r="CO12" s="77"/>
      <c r="CP12" s="77"/>
      <c r="CQ12" s="77"/>
      <c r="CR12" s="77"/>
      <c r="CS12" s="77"/>
      <c r="CT12" s="77"/>
      <c r="CU12" s="77"/>
      <c r="CV12" s="77"/>
      <c r="CW12" s="77"/>
      <c r="CX12" s="77"/>
      <c r="CY12" s="77"/>
      <c r="CZ12" s="77"/>
      <c r="DA12" s="77"/>
    </row>
    <row r="13" spans="1:105">
      <c r="A13" s="77"/>
      <c r="B13" s="77"/>
      <c r="C13" s="37" t="s">
        <v>133</v>
      </c>
      <c r="D13" s="77"/>
      <c r="E13" s="394">
        <f>E14-E12</f>
        <v>1002.042</v>
      </c>
      <c r="F13" s="342">
        <f>F14-F12</f>
        <v>212.351</v>
      </c>
      <c r="G13" s="342">
        <f>G14-G12</f>
        <v>124.8420000000001</v>
      </c>
      <c r="H13" s="395">
        <f>H14-H12</f>
        <v>482.13099999999997</v>
      </c>
      <c r="I13" s="77">
        <f>SUM(E13:H13)</f>
        <v>1821.366</v>
      </c>
      <c r="J13" s="394">
        <f>J14-J12</f>
        <v>807.36300000000006</v>
      </c>
      <c r="K13" s="342">
        <f>K14-K12</f>
        <v>179.13099999999997</v>
      </c>
      <c r="L13" s="342">
        <f>L14-L12</f>
        <v>112.82399999999996</v>
      </c>
      <c r="M13" s="395">
        <f>M14-M12</f>
        <v>430.29600000000005</v>
      </c>
      <c r="N13" s="77">
        <f>SUM(J13:M13)</f>
        <v>1529.614</v>
      </c>
      <c r="O13" s="394">
        <f>O14-O12</f>
        <v>670.99599999999998</v>
      </c>
      <c r="P13" s="342">
        <f>P14-P12</f>
        <v>163.73800000000006</v>
      </c>
      <c r="Q13" s="342">
        <f>Q14-Q12</f>
        <v>90.033999999999992</v>
      </c>
      <c r="R13" s="395">
        <f>R14-R12</f>
        <v>294.62400000000002</v>
      </c>
      <c r="S13" s="77">
        <f>SUM(O13:R13)</f>
        <v>1219.3920000000001</v>
      </c>
      <c r="T13" s="394">
        <f>T14-T12</f>
        <v>428.423</v>
      </c>
      <c r="U13" s="342">
        <f>U14-U12</f>
        <v>98.426000000000045</v>
      </c>
      <c r="V13" s="342">
        <f>V14-V12</f>
        <v>60.178999999999974</v>
      </c>
      <c r="W13" s="395">
        <f>W14-W12</f>
        <v>314.95999999999998</v>
      </c>
      <c r="X13" s="77">
        <f>SUM(T13:W13)</f>
        <v>901.98800000000006</v>
      </c>
      <c r="Y13" s="394">
        <f>Y14-Y12</f>
        <v>508.84100000000001</v>
      </c>
      <c r="Z13" s="342">
        <f>Z14-Z12</f>
        <v>114.50200000000001</v>
      </c>
      <c r="AA13" s="342">
        <f>AA14-AA12</f>
        <v>54.398000000000025</v>
      </c>
      <c r="AB13" s="395">
        <f>AB14-AB12</f>
        <v>199.31700000000001</v>
      </c>
      <c r="AC13" s="77">
        <f>SUM(Y13:AB13)</f>
        <v>877.05800000000011</v>
      </c>
      <c r="AD13" s="394">
        <f>AD14-AD12</f>
        <v>534.59299999999996</v>
      </c>
      <c r="AE13" s="342">
        <f>AE14-AE12</f>
        <v>126.95400000000001</v>
      </c>
      <c r="AF13" s="342">
        <f>AF14-AF12</f>
        <v>64.730000000000018</v>
      </c>
      <c r="AG13" s="395">
        <f>AG14-AG12</f>
        <v>192.56</v>
      </c>
      <c r="AH13" s="77">
        <f>SUM(AD13:AG13)</f>
        <v>918.83699999999999</v>
      </c>
      <c r="AI13" s="394">
        <f>AI14-AI12</f>
        <v>392.32100000000003</v>
      </c>
      <c r="AJ13" s="342">
        <f>AJ14-AJ12</f>
        <v>72.402000000000044</v>
      </c>
      <c r="AK13" s="342">
        <f>AK14-AK12</f>
        <v>48.368000000000052</v>
      </c>
      <c r="AL13" s="395">
        <f>AL14-AL12</f>
        <v>131.47899999999998</v>
      </c>
      <c r="AM13" s="77">
        <f>SUM(AI13:AL13)</f>
        <v>644.57000000000016</v>
      </c>
      <c r="AN13" s="394">
        <f>AN14-AN12</f>
        <v>274.52999999999997</v>
      </c>
      <c r="AO13" s="342">
        <f>AO14-AO12</f>
        <v>87.762</v>
      </c>
      <c r="AP13" s="342">
        <f>AP14-AP12</f>
        <v>34.899999999999977</v>
      </c>
      <c r="AQ13" s="395">
        <f>AQ14-AQ12</f>
        <v>215.524</v>
      </c>
      <c r="AR13" s="77">
        <f>SUM(AN13:AQ13)</f>
        <v>612.71599999999989</v>
      </c>
      <c r="AS13" s="394">
        <f>AS14-AS12</f>
        <v>348.92900000000003</v>
      </c>
      <c r="AT13" s="342">
        <f>AT14-AT12</f>
        <v>67.34699999999998</v>
      </c>
      <c r="AU13" s="342">
        <f>AU14-AU12</f>
        <v>25.30699999999996</v>
      </c>
      <c r="AV13" s="395">
        <f>AV14-AV12</f>
        <v>93.30699999999996</v>
      </c>
      <c r="AW13" s="77">
        <f>SUM(AS13:AV13)</f>
        <v>534.88999999999987</v>
      </c>
      <c r="AX13" s="394">
        <f>AX129</f>
        <v>352.41829000000007</v>
      </c>
      <c r="AY13" s="342">
        <f>AY129</f>
        <v>68.020469999999989</v>
      </c>
      <c r="AZ13" s="342">
        <f>AZ129</f>
        <v>25.560069999999961</v>
      </c>
      <c r="BA13" s="395">
        <f>BA129</f>
        <v>94.24006999999996</v>
      </c>
      <c r="BB13" s="77">
        <f>SUM(AX13:BA13)</f>
        <v>540.23889999999994</v>
      </c>
      <c r="BC13" s="394">
        <f>BC129</f>
        <v>355.94247290000004</v>
      </c>
      <c r="BD13" s="342">
        <f>BD129</f>
        <v>68.700674699999993</v>
      </c>
      <c r="BE13" s="342">
        <f>BE129</f>
        <v>68.700674699999993</v>
      </c>
      <c r="BF13" s="395">
        <f>BF129</f>
        <v>95.182470699999953</v>
      </c>
      <c r="BG13" s="77">
        <f>SUM(BC13:BF13)</f>
        <v>588.5262929999999</v>
      </c>
      <c r="BH13" s="394">
        <f>BH129</f>
        <v>359.50189762900004</v>
      </c>
      <c r="BI13" s="342">
        <f>BI129</f>
        <v>69.387681446999977</v>
      </c>
      <c r="BJ13" s="342">
        <f>BJ129</f>
        <v>69.387681446999977</v>
      </c>
      <c r="BK13" s="395">
        <f>BK129</f>
        <v>96.134295406999954</v>
      </c>
      <c r="BL13" s="77">
        <f>SUM(BH13:BK13)</f>
        <v>594.41155592999996</v>
      </c>
      <c r="BM13" s="394">
        <f>BM129</f>
        <v>363.09691660529001</v>
      </c>
      <c r="BN13" s="342">
        <f>BN129</f>
        <v>70.081558261469979</v>
      </c>
      <c r="BO13" s="342">
        <f>BO129</f>
        <v>70.081558261469979</v>
      </c>
      <c r="BP13" s="395">
        <f>BP129</f>
        <v>97.095638361069945</v>
      </c>
      <c r="BQ13" s="77">
        <f>SUM(BM13:BP13)</f>
        <v>600.35567148929988</v>
      </c>
      <c r="BR13" s="77"/>
      <c r="BS13" s="77"/>
      <c r="BT13" s="77"/>
      <c r="BU13" s="77"/>
      <c r="BV13" s="77"/>
      <c r="BW13" s="1651"/>
      <c r="BX13" s="77"/>
      <c r="BY13" s="77"/>
      <c r="BZ13" s="77"/>
      <c r="CA13" s="77"/>
      <c r="CB13" s="77"/>
      <c r="CC13" s="77"/>
      <c r="CD13" s="77"/>
      <c r="CE13" s="77"/>
      <c r="CF13" s="77"/>
      <c r="CG13" s="77"/>
      <c r="CH13" s="77"/>
      <c r="CI13" s="77"/>
      <c r="CJ13" s="77"/>
      <c r="CK13" s="77"/>
      <c r="CL13" s="77"/>
      <c r="CM13" s="77"/>
      <c r="CN13" s="77"/>
      <c r="CO13" s="77"/>
      <c r="CP13" s="77"/>
      <c r="CQ13" s="77"/>
      <c r="CR13" s="77"/>
      <c r="CS13" s="77"/>
      <c r="CT13" s="77"/>
      <c r="CU13" s="77"/>
      <c r="CV13" s="77"/>
      <c r="CW13" s="77"/>
      <c r="CX13" s="77"/>
      <c r="CY13" s="77"/>
      <c r="CZ13" s="77"/>
      <c r="DA13" s="77"/>
    </row>
    <row r="14" spans="1:105" s="64" customFormat="1">
      <c r="A14" s="297"/>
      <c r="B14" s="297"/>
      <c r="C14" s="49" t="s">
        <v>134</v>
      </c>
      <c r="D14" s="297"/>
      <c r="E14" s="467">
        <v>1859</v>
      </c>
      <c r="F14" s="470">
        <v>979</v>
      </c>
      <c r="G14" s="470">
        <v>1167</v>
      </c>
      <c r="H14" s="397">
        <f>I14-SUM(E14:G14)</f>
        <v>1165</v>
      </c>
      <c r="I14" s="471">
        <v>5170</v>
      </c>
      <c r="J14" s="467">
        <v>1540</v>
      </c>
      <c r="K14" s="470">
        <v>917</v>
      </c>
      <c r="L14" s="470">
        <v>1115</v>
      </c>
      <c r="M14" s="397">
        <f>N14-SUM(J14:L14)</f>
        <v>1083</v>
      </c>
      <c r="N14" s="471">
        <v>4655</v>
      </c>
      <c r="O14" s="467">
        <v>1366</v>
      </c>
      <c r="P14" s="470">
        <v>815</v>
      </c>
      <c r="Q14" s="470">
        <v>943</v>
      </c>
      <c r="R14" s="397">
        <f>S14-SUM(O14:Q14)</f>
        <v>827</v>
      </c>
      <c r="S14" s="471">
        <v>3951</v>
      </c>
      <c r="T14" s="467">
        <v>1002</v>
      </c>
      <c r="U14" s="470">
        <v>622</v>
      </c>
      <c r="V14" s="470">
        <v>756</v>
      </c>
      <c r="W14" s="397">
        <f>X14-SUM(T14:V14)</f>
        <v>779</v>
      </c>
      <c r="X14" s="471">
        <v>3159</v>
      </c>
      <c r="Y14" s="467">
        <v>967</v>
      </c>
      <c r="Z14" s="470">
        <v>580</v>
      </c>
      <c r="AA14" s="470">
        <v>661</v>
      </c>
      <c r="AB14" s="397">
        <f>AC14-SUM(Y14:AA14)</f>
        <v>633</v>
      </c>
      <c r="AC14" s="471">
        <v>2841</v>
      </c>
      <c r="AD14" s="467">
        <v>1045</v>
      </c>
      <c r="AE14" s="470">
        <v>565</v>
      </c>
      <c r="AF14" s="470">
        <v>668</v>
      </c>
      <c r="AG14" s="397">
        <f>AH14-SUM(AD14:AF14)</f>
        <v>631</v>
      </c>
      <c r="AH14" s="471">
        <v>2909</v>
      </c>
      <c r="AI14" s="467">
        <v>892</v>
      </c>
      <c r="AJ14" s="470">
        <v>544</v>
      </c>
      <c r="AK14" s="470">
        <v>740</v>
      </c>
      <c r="AL14" s="397">
        <f>AM14-SUM(AI14:AK14)</f>
        <v>546</v>
      </c>
      <c r="AM14" s="471">
        <v>2722</v>
      </c>
      <c r="AN14" s="467">
        <v>729</v>
      </c>
      <c r="AO14" s="470">
        <v>529</v>
      </c>
      <c r="AP14" s="470">
        <v>721</v>
      </c>
      <c r="AQ14" s="397">
        <f>AR14-SUM(AN14:AP14)</f>
        <v>588</v>
      </c>
      <c r="AR14" s="471">
        <v>2567</v>
      </c>
      <c r="AS14" s="467">
        <v>753</v>
      </c>
      <c r="AT14" s="470">
        <v>472</v>
      </c>
      <c r="AU14" s="470">
        <v>535</v>
      </c>
      <c r="AV14" s="397">
        <f>AW14-SUM(AS14:AU14)</f>
        <v>603</v>
      </c>
      <c r="AW14" s="471">
        <v>2363</v>
      </c>
      <c r="AX14" s="396">
        <f>SUM(AX12:AX13)</f>
        <v>759.40076400926409</v>
      </c>
      <c r="AY14" s="343">
        <f>SUM(AY12:AY13)</f>
        <v>470.32092538385791</v>
      </c>
      <c r="AZ14" s="343">
        <f>SUM(AZ12:AZ13)</f>
        <v>541.99389039249149</v>
      </c>
      <c r="BA14" s="397">
        <f>SUM(BA12:BA13)</f>
        <v>605.97184199999992</v>
      </c>
      <c r="BB14" s="297">
        <f>SUM(BB12:BB13)</f>
        <v>2377.6874217856134</v>
      </c>
      <c r="BC14" s="396">
        <f t="shared" ref="BC14:BL14" si="1">SUM(BC12:BC13)</f>
        <v>762.92494690926401</v>
      </c>
      <c r="BD14" s="343">
        <f t="shared" si="1"/>
        <v>471.0011300838579</v>
      </c>
      <c r="BE14" s="343">
        <f t="shared" si="1"/>
        <v>471.0011300838579</v>
      </c>
      <c r="BF14" s="397">
        <f t="shared" si="1"/>
        <v>606.91424269999993</v>
      </c>
      <c r="BG14" s="297">
        <f t="shared" si="1"/>
        <v>2311.84144977698</v>
      </c>
      <c r="BH14" s="396">
        <f t="shared" si="1"/>
        <v>766.48437163826407</v>
      </c>
      <c r="BI14" s="343">
        <f t="shared" si="1"/>
        <v>471.6881368308579</v>
      </c>
      <c r="BJ14" s="343">
        <f t="shared" si="1"/>
        <v>471.6881368308579</v>
      </c>
      <c r="BK14" s="397">
        <f t="shared" si="1"/>
        <v>607.86606740699995</v>
      </c>
      <c r="BL14" s="297">
        <f t="shared" si="1"/>
        <v>2317.7267127069799</v>
      </c>
      <c r="BM14" s="396">
        <f>SUM(BM12:BM13)</f>
        <v>770.07939061455409</v>
      </c>
      <c r="BN14" s="343">
        <f>SUM(BN12:BN13)</f>
        <v>472.3820136453279</v>
      </c>
      <c r="BO14" s="343">
        <f>SUM(BO12:BO13)</f>
        <v>472.3820136453279</v>
      </c>
      <c r="BP14" s="397">
        <f>SUM(BP12:BP13)</f>
        <v>608.82741036106995</v>
      </c>
      <c r="BQ14" s="297">
        <f>SUM(BQ12:BQ13)</f>
        <v>2323.6708282662798</v>
      </c>
      <c r="BR14" s="297"/>
      <c r="BS14" s="297"/>
      <c r="BT14" s="297"/>
      <c r="BU14" s="297"/>
      <c r="BV14" s="297"/>
      <c r="BW14" s="1652"/>
      <c r="BX14" s="7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</row>
    <row r="15" spans="1:105">
      <c r="A15" s="77"/>
      <c r="B15" s="77"/>
      <c r="C15" s="37"/>
      <c r="D15" s="77"/>
      <c r="E15" s="459"/>
      <c r="F15" s="460"/>
      <c r="G15" s="460"/>
      <c r="H15" s="395"/>
      <c r="I15" s="462"/>
      <c r="J15" s="459"/>
      <c r="K15" s="460"/>
      <c r="L15" s="460"/>
      <c r="M15" s="405"/>
      <c r="N15" s="462"/>
      <c r="O15" s="459"/>
      <c r="P15" s="460"/>
      <c r="Q15" s="460"/>
      <c r="R15" s="405"/>
      <c r="S15" s="462"/>
      <c r="T15" s="459"/>
      <c r="U15" s="460"/>
      <c r="V15" s="460"/>
      <c r="W15" s="395"/>
      <c r="X15" s="462"/>
      <c r="Y15" s="394"/>
      <c r="Z15" s="342"/>
      <c r="AA15" s="460"/>
      <c r="AB15" s="395"/>
      <c r="AC15" s="462"/>
      <c r="AD15" s="394"/>
      <c r="AE15" s="342"/>
      <c r="AF15" s="460"/>
      <c r="AG15" s="395"/>
      <c r="AH15" s="462"/>
      <c r="AI15" s="394"/>
      <c r="AJ15" s="342"/>
      <c r="AK15" s="460"/>
      <c r="AL15" s="395"/>
      <c r="AM15" s="462"/>
      <c r="AN15" s="394"/>
      <c r="AO15" s="342"/>
      <c r="AP15" s="342"/>
      <c r="AQ15" s="395"/>
      <c r="AR15" s="462"/>
      <c r="AS15" s="394"/>
      <c r="AT15" s="342"/>
      <c r="AU15" s="342"/>
      <c r="AV15" s="395"/>
      <c r="AW15" s="462"/>
      <c r="AX15" s="394"/>
      <c r="AY15" s="342"/>
      <c r="AZ15" s="342"/>
      <c r="BA15" s="395"/>
      <c r="BB15" s="77"/>
      <c r="BC15" s="394"/>
      <c r="BD15" s="342"/>
      <c r="BE15" s="342"/>
      <c r="BF15" s="395"/>
      <c r="BG15" s="77"/>
      <c r="BH15" s="394"/>
      <c r="BI15" s="342"/>
      <c r="BJ15" s="342"/>
      <c r="BK15" s="395"/>
      <c r="BL15" s="77"/>
      <c r="BM15" s="394"/>
      <c r="BN15" s="342"/>
      <c r="BO15" s="342"/>
      <c r="BP15" s="395"/>
      <c r="BQ15" s="77"/>
      <c r="BR15" s="77"/>
      <c r="BS15" s="77"/>
      <c r="BT15" s="77"/>
      <c r="BU15" s="77"/>
      <c r="BV15" s="77"/>
      <c r="BW15" s="1651"/>
      <c r="BX15" s="77"/>
      <c r="BY15" s="77"/>
      <c r="BZ15" s="77"/>
      <c r="CA15" s="77"/>
      <c r="CB15" s="77"/>
      <c r="CC15" s="77"/>
      <c r="CD15" s="77"/>
      <c r="CE15" s="77"/>
      <c r="CF15" s="77"/>
      <c r="CG15" s="77"/>
      <c r="CH15" s="77"/>
      <c r="CI15" s="77"/>
      <c r="CJ15" s="77"/>
      <c r="CK15" s="77"/>
      <c r="CL15" s="77"/>
      <c r="CM15" s="77"/>
      <c r="CN15" s="77"/>
      <c r="CO15" s="77"/>
      <c r="CP15" s="77"/>
      <c r="CQ15" s="77"/>
      <c r="CR15" s="77"/>
      <c r="CS15" s="77"/>
      <c r="CT15" s="77"/>
      <c r="CU15" s="77"/>
      <c r="CV15" s="77"/>
      <c r="CW15" s="77"/>
      <c r="CX15" s="77"/>
      <c r="CY15" s="77"/>
      <c r="CZ15" s="77"/>
      <c r="DA15" s="77"/>
    </row>
    <row r="16" spans="1:105">
      <c r="A16" s="297"/>
      <c r="B16" s="297"/>
      <c r="C16" s="49" t="s">
        <v>72</v>
      </c>
      <c r="D16" s="297"/>
      <c r="E16" s="396">
        <f t="shared" ref="E16:V16" si="2">E10-E14</f>
        <v>876</v>
      </c>
      <c r="F16" s="343">
        <f t="shared" si="2"/>
        <v>664</v>
      </c>
      <c r="G16" s="343">
        <f t="shared" si="2"/>
        <v>776</v>
      </c>
      <c r="H16" s="397">
        <f t="shared" si="2"/>
        <v>757</v>
      </c>
      <c r="I16" s="297">
        <f t="shared" si="2"/>
        <v>3073</v>
      </c>
      <c r="J16" s="396">
        <f t="shared" si="2"/>
        <v>904</v>
      </c>
      <c r="K16" s="343">
        <f t="shared" si="2"/>
        <v>619</v>
      </c>
      <c r="L16" s="343">
        <f t="shared" si="2"/>
        <v>892</v>
      </c>
      <c r="M16" s="397">
        <f t="shared" si="2"/>
        <v>799</v>
      </c>
      <c r="N16" s="297">
        <f t="shared" si="2"/>
        <v>3214</v>
      </c>
      <c r="O16" s="396">
        <f t="shared" si="2"/>
        <v>940</v>
      </c>
      <c r="P16" s="343">
        <f t="shared" si="2"/>
        <v>756</v>
      </c>
      <c r="Q16" s="343">
        <f t="shared" si="2"/>
        <v>898</v>
      </c>
      <c r="R16" s="397">
        <f t="shared" si="2"/>
        <v>781</v>
      </c>
      <c r="S16" s="297">
        <f t="shared" si="2"/>
        <v>3375</v>
      </c>
      <c r="T16" s="396">
        <f t="shared" si="2"/>
        <v>937</v>
      </c>
      <c r="U16" s="343">
        <f t="shared" si="2"/>
        <v>785</v>
      </c>
      <c r="V16" s="343">
        <f t="shared" si="2"/>
        <v>927</v>
      </c>
      <c r="W16" s="397">
        <f t="shared" ref="W16:AE16" si="3">W10-W14</f>
        <v>818</v>
      </c>
      <c r="X16" s="297">
        <f t="shared" si="3"/>
        <v>3467</v>
      </c>
      <c r="Y16" s="396">
        <f t="shared" si="3"/>
        <v>1028</v>
      </c>
      <c r="Z16" s="343">
        <f t="shared" si="3"/>
        <v>843</v>
      </c>
      <c r="AA16" s="343">
        <f t="shared" si="3"/>
        <v>1005</v>
      </c>
      <c r="AB16" s="397">
        <f t="shared" si="3"/>
        <v>938</v>
      </c>
      <c r="AC16" s="297">
        <f t="shared" si="3"/>
        <v>3814</v>
      </c>
      <c r="AD16" s="396">
        <f t="shared" si="3"/>
        <v>1100</v>
      </c>
      <c r="AE16" s="343">
        <f t="shared" si="3"/>
        <v>870</v>
      </c>
      <c r="AF16" s="343">
        <f t="shared" ref="AF16:AK16" si="4">AF10-AF14</f>
        <v>987</v>
      </c>
      <c r="AG16" s="397">
        <f t="shared" si="4"/>
        <v>900</v>
      </c>
      <c r="AH16" s="297">
        <f t="shared" si="4"/>
        <v>3857</v>
      </c>
      <c r="AI16" s="396">
        <f t="shared" si="4"/>
        <v>1110</v>
      </c>
      <c r="AJ16" s="343">
        <f t="shared" si="4"/>
        <v>922</v>
      </c>
      <c r="AK16" s="343">
        <f t="shared" si="4"/>
        <v>1026</v>
      </c>
      <c r="AL16" s="397">
        <f t="shared" ref="AL16:AR16" si="5">AL10-AL14</f>
        <v>856</v>
      </c>
      <c r="AM16" s="297">
        <f t="shared" si="5"/>
        <v>3914</v>
      </c>
      <c r="AN16" s="396">
        <f t="shared" si="5"/>
        <v>983</v>
      </c>
      <c r="AO16" s="343">
        <f t="shared" si="5"/>
        <v>821</v>
      </c>
      <c r="AP16" s="343">
        <f t="shared" si="5"/>
        <v>963</v>
      </c>
      <c r="AQ16" s="397">
        <f t="shared" si="5"/>
        <v>887</v>
      </c>
      <c r="AR16" s="297">
        <f t="shared" si="5"/>
        <v>3654</v>
      </c>
      <c r="AS16" s="396">
        <f t="shared" ref="AS16:AY16" si="6">AS10-AS14</f>
        <v>1059</v>
      </c>
      <c r="AT16" s="343">
        <f t="shared" si="6"/>
        <v>896</v>
      </c>
      <c r="AU16" s="343">
        <f t="shared" si="6"/>
        <v>974</v>
      </c>
      <c r="AV16" s="397">
        <f t="shared" si="6"/>
        <v>942</v>
      </c>
      <c r="AW16" s="297">
        <f t="shared" si="6"/>
        <v>3871</v>
      </c>
      <c r="AX16" s="396">
        <f t="shared" si="6"/>
        <v>1011.8061228012953</v>
      </c>
      <c r="AY16" s="343">
        <f t="shared" si="6"/>
        <v>848.1412824156821</v>
      </c>
      <c r="AZ16" s="343">
        <f>AZ10-AZ14</f>
        <v>946.0784031584185</v>
      </c>
      <c r="BA16" s="397">
        <f>BA10-BA14</f>
        <v>901.74933508333334</v>
      </c>
      <c r="BB16" s="297">
        <f>BB10-BB14</f>
        <v>3707.7751434587294</v>
      </c>
      <c r="BC16" s="396">
        <f t="shared" ref="BC16:BL16" si="7">BC10-BC14</f>
        <v>1087.7807399012954</v>
      </c>
      <c r="BD16" s="343">
        <f t="shared" si="7"/>
        <v>924.92977771568201</v>
      </c>
      <c r="BE16" s="343">
        <f t="shared" si="7"/>
        <v>924.92977771568201</v>
      </c>
      <c r="BF16" s="397">
        <f t="shared" si="7"/>
        <v>979.66943438333328</v>
      </c>
      <c r="BG16" s="297">
        <f t="shared" si="7"/>
        <v>3917.3097297159929</v>
      </c>
      <c r="BH16" s="396">
        <f t="shared" si="7"/>
        <v>1144.3777281722953</v>
      </c>
      <c r="BI16" s="343">
        <f t="shared" si="7"/>
        <v>982.34878296868192</v>
      </c>
      <c r="BJ16" s="343">
        <f t="shared" si="7"/>
        <v>982.34878296868192</v>
      </c>
      <c r="BK16" s="397">
        <f t="shared" si="7"/>
        <v>1038.2313596763333</v>
      </c>
      <c r="BL16" s="297">
        <f t="shared" si="7"/>
        <v>4147.3066537859922</v>
      </c>
      <c r="BM16" s="396">
        <f>BM10-BM14</f>
        <v>1199.4230613260054</v>
      </c>
      <c r="BN16" s="343">
        <f>BN10-BN14</f>
        <v>1038.2243532742118</v>
      </c>
      <c r="BO16" s="343">
        <f>BO10-BO14</f>
        <v>1038.2243532742118</v>
      </c>
      <c r="BP16" s="397">
        <f>BP10-BP14</f>
        <v>1095.2612792222633</v>
      </c>
      <c r="BQ16" s="297">
        <f>BQ10-BQ14</f>
        <v>4371.1330470966932</v>
      </c>
      <c r="BR16" s="297"/>
      <c r="BS16" s="297"/>
      <c r="BT16" s="297"/>
      <c r="BU16" s="297"/>
      <c r="BV16" s="297"/>
      <c r="BW16" s="1652"/>
      <c r="BX16" s="77"/>
      <c r="BY16" s="297"/>
      <c r="BZ16" s="297"/>
      <c r="CA16" s="297"/>
      <c r="CB16" s="297"/>
      <c r="CC16" s="297"/>
      <c r="CD16" s="297"/>
      <c r="CE16" s="297"/>
      <c r="CF16" s="297"/>
      <c r="CG16" s="297"/>
      <c r="CH16" s="297"/>
      <c r="CI16" s="297"/>
      <c r="CJ16" s="297"/>
      <c r="CK16" s="297"/>
      <c r="CL16" s="297"/>
      <c r="CM16" s="297"/>
      <c r="CN16" s="297"/>
      <c r="CO16" s="297"/>
      <c r="CP16" s="297"/>
      <c r="CQ16" s="297"/>
      <c r="CR16" s="297"/>
      <c r="CS16" s="297"/>
      <c r="CT16" s="297"/>
      <c r="CU16" s="297"/>
      <c r="CV16" s="297"/>
      <c r="CW16" s="297"/>
      <c r="CX16" s="297"/>
      <c r="CY16" s="297"/>
      <c r="CZ16" s="297"/>
      <c r="DA16" s="297"/>
    </row>
    <row r="17" spans="1:110">
      <c r="A17" s="451"/>
      <c r="B17" s="451"/>
      <c r="C17" s="37"/>
      <c r="D17" s="451"/>
      <c r="E17" s="406"/>
      <c r="F17" s="348"/>
      <c r="G17" s="348"/>
      <c r="H17" s="405"/>
      <c r="I17" s="451"/>
      <c r="J17" s="406"/>
      <c r="K17" s="348"/>
      <c r="L17" s="348"/>
      <c r="M17" s="405"/>
      <c r="N17" s="451"/>
      <c r="O17" s="406"/>
      <c r="P17" s="348"/>
      <c r="Q17" s="348"/>
      <c r="R17" s="405"/>
      <c r="S17" s="451"/>
      <c r="T17" s="406"/>
      <c r="U17" s="1025"/>
      <c r="V17" s="1025"/>
      <c r="W17" s="405"/>
      <c r="X17" s="77"/>
      <c r="Y17" s="415"/>
      <c r="Z17" s="352"/>
      <c r="AA17" s="352"/>
      <c r="AB17" s="395"/>
      <c r="AC17" s="77"/>
      <c r="AD17" s="415"/>
      <c r="AE17" s="352"/>
      <c r="AF17" s="352"/>
      <c r="AG17" s="395"/>
      <c r="AH17" s="77"/>
      <c r="AI17" s="415"/>
      <c r="AJ17" s="352"/>
      <c r="AK17" s="352"/>
      <c r="AL17" s="395"/>
      <c r="AM17" s="77"/>
      <c r="AN17" s="415"/>
      <c r="AO17" s="352"/>
      <c r="AP17" s="348"/>
      <c r="AQ17" s="395"/>
      <c r="AR17" s="77"/>
      <c r="AS17" s="415"/>
      <c r="AT17" s="352"/>
      <c r="AU17" s="348"/>
      <c r="AV17" s="395"/>
      <c r="AW17" s="77"/>
      <c r="AX17" s="406"/>
      <c r="AY17" s="348"/>
      <c r="AZ17" s="348"/>
      <c r="BA17" s="405"/>
      <c r="BB17" s="451"/>
      <c r="BC17" s="406"/>
      <c r="BD17" s="348"/>
      <c r="BE17" s="348"/>
      <c r="BF17" s="405"/>
      <c r="BG17" s="451"/>
      <c r="BH17" s="406"/>
      <c r="BI17" s="348"/>
      <c r="BJ17" s="348"/>
      <c r="BK17" s="405"/>
      <c r="BL17" s="451"/>
      <c r="BM17" s="406"/>
      <c r="BN17" s="348"/>
      <c r="BO17" s="348"/>
      <c r="BP17" s="405"/>
      <c r="BQ17" s="451"/>
      <c r="BR17" s="451"/>
      <c r="BS17" s="451"/>
      <c r="BT17" s="451"/>
      <c r="BU17" s="451"/>
      <c r="BV17" s="451"/>
      <c r="BW17" s="1651"/>
      <c r="BX17" s="77"/>
      <c r="BY17" s="451"/>
      <c r="BZ17" s="451"/>
      <c r="CA17" s="451"/>
      <c r="CB17" s="451"/>
      <c r="CC17" s="451"/>
      <c r="CD17" s="451"/>
      <c r="CE17" s="451"/>
      <c r="CF17" s="451"/>
      <c r="CG17" s="451"/>
      <c r="CH17" s="451"/>
      <c r="CI17" s="451"/>
      <c r="CJ17" s="451"/>
      <c r="CK17" s="451"/>
      <c r="CL17" s="451"/>
      <c r="CM17" s="451"/>
      <c r="CN17" s="451"/>
      <c r="CO17" s="451"/>
      <c r="CP17" s="451"/>
      <c r="CQ17" s="451"/>
      <c r="CR17" s="451"/>
      <c r="CS17" s="451"/>
      <c r="CT17" s="451"/>
      <c r="CU17" s="451"/>
      <c r="CV17" s="451"/>
      <c r="CW17" s="451"/>
      <c r="CX17" s="451"/>
      <c r="CY17" s="451"/>
      <c r="CZ17" s="451"/>
      <c r="DA17" s="451"/>
    </row>
    <row r="18" spans="1:110">
      <c r="A18" s="451"/>
      <c r="B18" s="451"/>
      <c r="C18" s="37" t="s">
        <v>73</v>
      </c>
      <c r="D18" s="451"/>
      <c r="E18" s="459">
        <v>395</v>
      </c>
      <c r="F18" s="460">
        <v>344</v>
      </c>
      <c r="G18" s="460">
        <v>351</v>
      </c>
      <c r="H18" s="395">
        <f>I18-SUM(E18:G18)</f>
        <v>384</v>
      </c>
      <c r="I18" s="462">
        <v>1474</v>
      </c>
      <c r="J18" s="459">
        <v>414</v>
      </c>
      <c r="K18" s="460">
        <v>343</v>
      </c>
      <c r="L18" s="460">
        <v>327</v>
      </c>
      <c r="M18" s="405">
        <f>N18-SUM(J18:L18)</f>
        <v>358</v>
      </c>
      <c r="N18" s="462">
        <v>1442</v>
      </c>
      <c r="O18" s="459">
        <v>368</v>
      </c>
      <c r="P18" s="460">
        <v>304</v>
      </c>
      <c r="Q18" s="460">
        <v>342</v>
      </c>
      <c r="R18" s="405">
        <f>S18-SUM(O18:Q18)</f>
        <v>358</v>
      </c>
      <c r="S18" s="462">
        <v>1372</v>
      </c>
      <c r="T18" s="459">
        <v>376</v>
      </c>
      <c r="U18" s="460">
        <v>350</v>
      </c>
      <c r="V18" s="460">
        <v>366</v>
      </c>
      <c r="W18" s="405">
        <f>X18-SUM(T18:V18)</f>
        <v>416</v>
      </c>
      <c r="X18" s="462">
        <v>1508</v>
      </c>
      <c r="Y18" s="459">
        <v>427</v>
      </c>
      <c r="Z18" s="460">
        <v>369</v>
      </c>
      <c r="AA18" s="460">
        <v>408</v>
      </c>
      <c r="AB18" s="395">
        <f>AC18-SUM(Y18:AA18)</f>
        <v>435</v>
      </c>
      <c r="AC18" s="462">
        <v>1639</v>
      </c>
      <c r="AD18" s="459">
        <v>462</v>
      </c>
      <c r="AE18" s="460">
        <v>362</v>
      </c>
      <c r="AF18" s="460">
        <v>366</v>
      </c>
      <c r="AG18" s="395">
        <f>AH18-SUM(AD18:AF18)</f>
        <v>368</v>
      </c>
      <c r="AH18" s="462">
        <v>1558</v>
      </c>
      <c r="AI18" s="459">
        <v>412</v>
      </c>
      <c r="AJ18" s="460">
        <v>368</v>
      </c>
      <c r="AK18" s="460">
        <v>391</v>
      </c>
      <c r="AL18" s="395">
        <f>AM18-SUM(AI18:AK18)</f>
        <v>389</v>
      </c>
      <c r="AM18" s="462">
        <v>1560</v>
      </c>
      <c r="AN18" s="459">
        <v>382</v>
      </c>
      <c r="AO18" s="460">
        <v>352</v>
      </c>
      <c r="AP18" s="460">
        <v>376</v>
      </c>
      <c r="AQ18" s="395">
        <f>AR18-SUM(AN18:AP18)</f>
        <v>365</v>
      </c>
      <c r="AR18" s="462">
        <v>1475</v>
      </c>
      <c r="AS18" s="459">
        <v>367</v>
      </c>
      <c r="AT18" s="460">
        <v>351</v>
      </c>
      <c r="AU18" s="460">
        <v>346</v>
      </c>
      <c r="AV18" s="395">
        <f>AW18-SUM(AS18:AU18)</f>
        <v>370</v>
      </c>
      <c r="AW18" s="462">
        <v>1434</v>
      </c>
      <c r="AX18" s="406">
        <f>AX137</f>
        <v>372.50499999999994</v>
      </c>
      <c r="AY18" s="348">
        <f>AY137</f>
        <v>356.26499999999999</v>
      </c>
      <c r="AZ18" s="348">
        <f>AZ137</f>
        <v>351.18999999999994</v>
      </c>
      <c r="BA18" s="405">
        <f>BA137</f>
        <v>375.54999999999995</v>
      </c>
      <c r="BB18" s="77">
        <f>SUM(AX18:BA18)</f>
        <v>1455.51</v>
      </c>
      <c r="BC18" s="406">
        <f>BC137</f>
        <v>378.0925749999999</v>
      </c>
      <c r="BD18" s="348">
        <f>BD137</f>
        <v>361.60897499999993</v>
      </c>
      <c r="BE18" s="348">
        <f>BE137</f>
        <v>361.60897499999993</v>
      </c>
      <c r="BF18" s="405">
        <f>BF137</f>
        <v>381.18324999999993</v>
      </c>
      <c r="BG18" s="77">
        <f>SUM(BC18:BF18)</f>
        <v>1482.4937749999995</v>
      </c>
      <c r="BH18" s="406">
        <f>BH137</f>
        <v>383.76396362499986</v>
      </c>
      <c r="BI18" s="348">
        <f>BI137</f>
        <v>367.0331096249999</v>
      </c>
      <c r="BJ18" s="348">
        <f>BJ137</f>
        <v>367.0331096249999</v>
      </c>
      <c r="BK18" s="405">
        <f>BK137</f>
        <v>386.90099874999987</v>
      </c>
      <c r="BL18" s="77">
        <f>SUM(BH18:BK18)</f>
        <v>1504.7311816249996</v>
      </c>
      <c r="BM18" s="406">
        <f>BM137</f>
        <v>389.52042307937484</v>
      </c>
      <c r="BN18" s="348">
        <f>BN137</f>
        <v>372.53860626937484</v>
      </c>
      <c r="BO18" s="348">
        <f>BO137</f>
        <v>372.53860626937484</v>
      </c>
      <c r="BP18" s="405">
        <f>BP137</f>
        <v>392.70451373124985</v>
      </c>
      <c r="BQ18" s="77">
        <f>SUM(BM18:BP18)</f>
        <v>1527.3021493493743</v>
      </c>
      <c r="BR18" s="77"/>
      <c r="BS18" s="451"/>
      <c r="BT18" s="1220">
        <f>(AR18/AC18-1)^1/3</f>
        <v>-3.335367093756355E-2</v>
      </c>
      <c r="BU18" s="296" t="s">
        <v>862</v>
      </c>
      <c r="BV18" s="451"/>
      <c r="BW18" s="1651"/>
      <c r="BX18" s="77"/>
      <c r="BY18" s="451"/>
      <c r="BZ18" s="451"/>
      <c r="CA18" s="451"/>
      <c r="CB18" s="451"/>
      <c r="CC18" s="451"/>
      <c r="CD18" s="451"/>
      <c r="CE18" s="451"/>
      <c r="CF18" s="451"/>
      <c r="CG18" s="451"/>
      <c r="CH18" s="451"/>
      <c r="CI18" s="451"/>
      <c r="CJ18" s="451"/>
      <c r="CK18" s="451"/>
      <c r="CL18" s="451"/>
      <c r="CM18" s="451"/>
      <c r="CN18" s="451"/>
      <c r="CO18" s="451"/>
      <c r="CP18" s="451"/>
      <c r="CQ18" s="451"/>
      <c r="CR18" s="451"/>
      <c r="CS18" s="451"/>
      <c r="CT18" s="451"/>
      <c r="CU18" s="451"/>
      <c r="CV18" s="451"/>
      <c r="CW18" s="451"/>
      <c r="CX18" s="451"/>
      <c r="CY18" s="451"/>
      <c r="CZ18" s="451"/>
      <c r="DA18" s="451"/>
    </row>
    <row r="19" spans="1:110">
      <c r="A19" s="451"/>
      <c r="B19" s="451"/>
      <c r="C19" s="37" t="s">
        <v>76</v>
      </c>
      <c r="D19" s="451"/>
      <c r="E19" s="459">
        <v>149</v>
      </c>
      <c r="F19" s="460">
        <v>144</v>
      </c>
      <c r="G19" s="460">
        <v>169</v>
      </c>
      <c r="H19" s="395">
        <f>I19-SUM(E19:G19)</f>
        <v>146</v>
      </c>
      <c r="I19" s="462">
        <v>608</v>
      </c>
      <c r="J19" s="459">
        <v>177</v>
      </c>
      <c r="K19" s="460">
        <v>177</v>
      </c>
      <c r="L19" s="460">
        <v>209</v>
      </c>
      <c r="M19" s="405">
        <f>N19-SUM(J19:L19)</f>
        <v>187</v>
      </c>
      <c r="N19" s="462">
        <v>750</v>
      </c>
      <c r="O19" s="459">
        <v>179</v>
      </c>
      <c r="P19" s="460">
        <v>172</v>
      </c>
      <c r="Q19" s="460">
        <v>197</v>
      </c>
      <c r="R19" s="405">
        <f>S19-SUM(O19:Q19)</f>
        <v>171</v>
      </c>
      <c r="S19" s="462">
        <v>719</v>
      </c>
      <c r="T19" s="459">
        <v>190</v>
      </c>
      <c r="U19" s="460">
        <v>188</v>
      </c>
      <c r="V19" s="460">
        <v>216</v>
      </c>
      <c r="W19" s="405">
        <f>X19-SUM(T19:V19)</f>
        <v>184</v>
      </c>
      <c r="X19" s="462">
        <v>778</v>
      </c>
      <c r="Y19" s="459">
        <v>215</v>
      </c>
      <c r="Z19" s="460">
        <v>207</v>
      </c>
      <c r="AA19" s="460">
        <v>236</v>
      </c>
      <c r="AB19" s="395">
        <f>AC19-SUM(Y19:AA19)</f>
        <v>214</v>
      </c>
      <c r="AC19" s="462">
        <v>872</v>
      </c>
      <c r="AD19" s="459">
        <v>227</v>
      </c>
      <c r="AE19" s="460">
        <v>217</v>
      </c>
      <c r="AF19" s="460">
        <v>238</v>
      </c>
      <c r="AG19" s="395">
        <f>AH19-SUM(AD19:AF19)</f>
        <v>224</v>
      </c>
      <c r="AH19" s="462">
        <v>906</v>
      </c>
      <c r="AI19" s="459">
        <v>247</v>
      </c>
      <c r="AJ19" s="460">
        <v>234</v>
      </c>
      <c r="AK19" s="460">
        <v>231</v>
      </c>
      <c r="AL19" s="395">
        <f>AM19-SUM(AI19:AK19)</f>
        <v>180</v>
      </c>
      <c r="AM19" s="462">
        <v>892</v>
      </c>
      <c r="AN19" s="459">
        <v>139</v>
      </c>
      <c r="AO19" s="460">
        <v>136</v>
      </c>
      <c r="AP19" s="460">
        <v>137</v>
      </c>
      <c r="AQ19" s="395">
        <f>AR19-SUM(AN19:AP19)</f>
        <v>153</v>
      </c>
      <c r="AR19" s="462">
        <v>565</v>
      </c>
      <c r="AS19" s="459">
        <v>171</v>
      </c>
      <c r="AT19" s="460">
        <v>166</v>
      </c>
      <c r="AU19" s="460">
        <v>169</v>
      </c>
      <c r="AV19" s="395">
        <f>AW19-SUM(AS19:AU19)</f>
        <v>179</v>
      </c>
      <c r="AW19" s="462">
        <v>685</v>
      </c>
      <c r="AX19" s="406">
        <f>AX154</f>
        <v>151.03060073874286</v>
      </c>
      <c r="AY19" s="348">
        <f>AY154</f>
        <v>155.25751369603324</v>
      </c>
      <c r="AZ19" s="348">
        <f>AZ154</f>
        <v>159.24773128295735</v>
      </c>
      <c r="BA19" s="405">
        <f>BA154</f>
        <v>159.24773128295735</v>
      </c>
      <c r="BB19" s="77">
        <f>SUM(AX19:BA19)</f>
        <v>624.7835770006908</v>
      </c>
      <c r="BC19" s="406">
        <f>BC154</f>
        <v>162.24958898224457</v>
      </c>
      <c r="BD19" s="348">
        <f>BD154</f>
        <v>166.22774665373129</v>
      </c>
      <c r="BE19" s="348">
        <f>BE154</f>
        <v>170.07300016172999</v>
      </c>
      <c r="BF19" s="405">
        <f>BF154</f>
        <v>173.8911245489451</v>
      </c>
      <c r="BG19" s="77">
        <f>SUM(BC19:BF19)</f>
        <v>672.44146034665096</v>
      </c>
      <c r="BH19" s="406">
        <f>BH154</f>
        <v>175.74248366013242</v>
      </c>
      <c r="BI19" s="348">
        <f>BI154</f>
        <v>179.57548783850783</v>
      </c>
      <c r="BJ19" s="348">
        <f>BJ154</f>
        <v>183.21583603613806</v>
      </c>
      <c r="BK19" s="405">
        <f>BK154</f>
        <v>186.83078116213829</v>
      </c>
      <c r="BL19" s="77">
        <f>SUM(BH19:BK19)</f>
        <v>725.3645886969166</v>
      </c>
      <c r="BM19" s="406">
        <f>BM154</f>
        <v>188.61039208530505</v>
      </c>
      <c r="BN19" s="348">
        <f>BN154</f>
        <v>193.20102812173963</v>
      </c>
      <c r="BO19" s="348">
        <f>BO154</f>
        <v>195.95228872442917</v>
      </c>
      <c r="BP19" s="405">
        <f>BP154</f>
        <v>198.68453298631974</v>
      </c>
      <c r="BQ19" s="77">
        <f>SUM(BM19:BP19)</f>
        <v>776.44824191779355</v>
      </c>
      <c r="BR19" s="77"/>
      <c r="BS19" s="451"/>
      <c r="BT19" s="451"/>
      <c r="BU19" s="451"/>
      <c r="BV19" s="451"/>
      <c r="BW19" s="1651"/>
      <c r="BX19" s="77"/>
      <c r="BY19" s="451"/>
      <c r="BZ19" s="451"/>
      <c r="CA19" s="451"/>
      <c r="CB19" s="451"/>
      <c r="CC19" s="451"/>
      <c r="CD19" s="451"/>
      <c r="CE19" s="451"/>
      <c r="CF19" s="451"/>
      <c r="CG19" s="451"/>
      <c r="CH19" s="451"/>
      <c r="CI19" s="451"/>
      <c r="CJ19" s="451"/>
      <c r="CK19" s="451"/>
      <c r="CL19" s="451"/>
      <c r="CM19" s="451"/>
      <c r="CN19" s="451"/>
      <c r="CO19" s="451"/>
      <c r="CP19" s="451"/>
      <c r="CQ19" s="451"/>
      <c r="CR19" s="451"/>
      <c r="CS19" s="451"/>
      <c r="CT19" s="451"/>
      <c r="CU19" s="451"/>
      <c r="CV19" s="451"/>
      <c r="CW19" s="451"/>
      <c r="CX19" s="451"/>
      <c r="CY19" s="451"/>
      <c r="CZ19" s="451"/>
      <c r="DA19" s="451"/>
    </row>
    <row r="20" spans="1:110">
      <c r="A20" s="451"/>
      <c r="B20" s="451"/>
      <c r="C20" s="2" t="s">
        <v>74</v>
      </c>
      <c r="D20" s="451"/>
      <c r="E20" s="459">
        <v>44</v>
      </c>
      <c r="F20" s="460">
        <v>26</v>
      </c>
      <c r="G20" s="460">
        <v>30</v>
      </c>
      <c r="H20" s="395">
        <f>I20-SUM(E20:G20)</f>
        <v>33</v>
      </c>
      <c r="I20" s="462">
        <v>133</v>
      </c>
      <c r="J20" s="459">
        <v>42</v>
      </c>
      <c r="K20" s="460">
        <v>28</v>
      </c>
      <c r="L20" s="460">
        <v>31</v>
      </c>
      <c r="M20" s="405">
        <f>N20-SUM(J20:L20)</f>
        <v>35</v>
      </c>
      <c r="N20" s="462">
        <v>136</v>
      </c>
      <c r="O20" s="459">
        <v>43</v>
      </c>
      <c r="P20" s="460">
        <v>28</v>
      </c>
      <c r="Q20" s="460">
        <v>31</v>
      </c>
      <c r="R20" s="405">
        <f>S20-SUM(O20:Q20)</f>
        <v>31</v>
      </c>
      <c r="S20" s="462">
        <v>133</v>
      </c>
      <c r="T20" s="459">
        <v>29</v>
      </c>
      <c r="U20" s="460">
        <v>20</v>
      </c>
      <c r="V20" s="460">
        <v>24</v>
      </c>
      <c r="W20" s="405">
        <f>X20-SUM(T20:V20)</f>
        <v>25</v>
      </c>
      <c r="X20" s="462">
        <v>98</v>
      </c>
      <c r="Y20" s="459">
        <v>21</v>
      </c>
      <c r="Z20" s="460">
        <v>14</v>
      </c>
      <c r="AA20" s="460">
        <v>15</v>
      </c>
      <c r="AB20" s="395">
        <f>AC20-SUM(Y20:AA20)</f>
        <v>18</v>
      </c>
      <c r="AC20" s="462">
        <v>68</v>
      </c>
      <c r="AD20" s="459">
        <v>0</v>
      </c>
      <c r="AE20" s="460">
        <v>0</v>
      </c>
      <c r="AF20" s="460">
        <v>0</v>
      </c>
      <c r="AG20" s="395">
        <f>AH20-SUM(AD20:AF20)</f>
        <v>0</v>
      </c>
      <c r="AH20" s="462">
        <v>0</v>
      </c>
      <c r="AI20" s="459">
        <v>0</v>
      </c>
      <c r="AJ20" s="460">
        <v>0</v>
      </c>
      <c r="AK20" s="460">
        <v>0</v>
      </c>
      <c r="AL20" s="395">
        <f>AM20-SUM(AI20:AK20)</f>
        <v>0</v>
      </c>
      <c r="AM20" s="462">
        <v>0</v>
      </c>
      <c r="AN20" s="459">
        <v>0</v>
      </c>
      <c r="AO20" s="460">
        <v>0</v>
      </c>
      <c r="AP20" s="460">
        <v>0</v>
      </c>
      <c r="AQ20" s="395">
        <f>AR20-SUM(AN20:AP20)</f>
        <v>0</v>
      </c>
      <c r="AR20" s="462">
        <v>0</v>
      </c>
      <c r="AS20" s="459">
        <v>0</v>
      </c>
      <c r="AT20" s="460">
        <v>0</v>
      </c>
      <c r="AU20" s="460">
        <v>0</v>
      </c>
      <c r="AV20" s="395">
        <f>AW20-SUM(AS20:AU20)</f>
        <v>0</v>
      </c>
      <c r="AW20" s="462">
        <v>0</v>
      </c>
      <c r="AX20" s="406">
        <f>AX142</f>
        <v>0</v>
      </c>
      <c r="AY20" s="348">
        <f>AY142</f>
        <v>0</v>
      </c>
      <c r="AZ20" s="348">
        <f>AZ142</f>
        <v>0</v>
      </c>
      <c r="BA20" s="405">
        <f>BA142</f>
        <v>0</v>
      </c>
      <c r="BB20" s="77">
        <f>SUM(AX20:BA20)</f>
        <v>0</v>
      </c>
      <c r="BC20" s="406">
        <f>BC142</f>
        <v>0</v>
      </c>
      <c r="BD20" s="348">
        <f>BD142</f>
        <v>0</v>
      </c>
      <c r="BE20" s="348">
        <f>BE142</f>
        <v>0</v>
      </c>
      <c r="BF20" s="405">
        <f>BF142</f>
        <v>0</v>
      </c>
      <c r="BG20" s="77">
        <f>SUM(BC20:BF20)</f>
        <v>0</v>
      </c>
      <c r="BH20" s="406">
        <f>BH142</f>
        <v>0</v>
      </c>
      <c r="BI20" s="348">
        <f>BI142</f>
        <v>0</v>
      </c>
      <c r="BJ20" s="348">
        <f>BJ142</f>
        <v>0</v>
      </c>
      <c r="BK20" s="405">
        <f>BK142</f>
        <v>0</v>
      </c>
      <c r="BL20" s="77">
        <f>SUM(BH20:BK20)</f>
        <v>0</v>
      </c>
      <c r="BM20" s="406">
        <f>BM142</f>
        <v>0</v>
      </c>
      <c r="BN20" s="348">
        <f>BN142</f>
        <v>0</v>
      </c>
      <c r="BO20" s="348">
        <f>BO142</f>
        <v>0</v>
      </c>
      <c r="BP20" s="405">
        <f>BP142</f>
        <v>0</v>
      </c>
      <c r="BQ20" s="77">
        <f>SUM(BM20:BP20)</f>
        <v>0</v>
      </c>
      <c r="BR20" s="77"/>
      <c r="BS20" s="451"/>
      <c r="BT20" s="451"/>
      <c r="BU20" s="451"/>
      <c r="BV20" s="451"/>
      <c r="BW20" s="1651"/>
      <c r="BX20" s="77"/>
      <c r="BY20" s="451"/>
      <c r="BZ20" s="451"/>
      <c r="CA20" s="451"/>
      <c r="CB20" s="451"/>
      <c r="CC20" s="451"/>
      <c r="CD20" s="451"/>
      <c r="CE20" s="451"/>
      <c r="CF20" s="451"/>
      <c r="CG20" s="451"/>
      <c r="CH20" s="451"/>
      <c r="CI20" s="451"/>
      <c r="CJ20" s="451"/>
      <c r="CK20" s="451"/>
      <c r="CL20" s="451"/>
      <c r="CM20" s="451"/>
      <c r="CN20" s="451"/>
      <c r="CO20" s="451"/>
      <c r="CP20" s="451"/>
      <c r="CQ20" s="451"/>
      <c r="CR20" s="451"/>
      <c r="CS20" s="451"/>
      <c r="CT20" s="451"/>
      <c r="CU20" s="451"/>
      <c r="CV20" s="451"/>
      <c r="CW20" s="451"/>
      <c r="CX20" s="451"/>
      <c r="CY20" s="451"/>
      <c r="CZ20" s="451"/>
      <c r="DA20" s="451"/>
    </row>
    <row r="21" spans="1:110">
      <c r="A21" s="451"/>
      <c r="B21" s="451"/>
      <c r="C21" s="49" t="s">
        <v>88</v>
      </c>
      <c r="D21" s="451"/>
      <c r="E21" s="396">
        <f>SUM(E18:E20)+E14</f>
        <v>2447</v>
      </c>
      <c r="F21" s="343">
        <f t="shared" ref="F21:AA21" si="8">SUM(F18:F20)+F14</f>
        <v>1493</v>
      </c>
      <c r="G21" s="343">
        <f t="shared" si="8"/>
        <v>1717</v>
      </c>
      <c r="H21" s="397">
        <f t="shared" si="8"/>
        <v>1728</v>
      </c>
      <c r="I21" s="297">
        <f t="shared" si="8"/>
        <v>7385</v>
      </c>
      <c r="J21" s="396">
        <f t="shared" si="8"/>
        <v>2173</v>
      </c>
      <c r="K21" s="343">
        <f t="shared" si="8"/>
        <v>1465</v>
      </c>
      <c r="L21" s="343">
        <f t="shared" si="8"/>
        <v>1682</v>
      </c>
      <c r="M21" s="397">
        <f t="shared" si="8"/>
        <v>1663</v>
      </c>
      <c r="N21" s="297">
        <f t="shared" si="8"/>
        <v>6983</v>
      </c>
      <c r="O21" s="396">
        <f t="shared" si="8"/>
        <v>1956</v>
      </c>
      <c r="P21" s="343">
        <f t="shared" si="8"/>
        <v>1319</v>
      </c>
      <c r="Q21" s="343">
        <f t="shared" si="8"/>
        <v>1513</v>
      </c>
      <c r="R21" s="397">
        <f t="shared" si="8"/>
        <v>1387</v>
      </c>
      <c r="S21" s="297">
        <f t="shared" si="8"/>
        <v>6175</v>
      </c>
      <c r="T21" s="396">
        <f t="shared" si="8"/>
        <v>1597</v>
      </c>
      <c r="U21" s="343">
        <f t="shared" si="8"/>
        <v>1180</v>
      </c>
      <c r="V21" s="343">
        <f t="shared" si="8"/>
        <v>1362</v>
      </c>
      <c r="W21" s="397">
        <f t="shared" si="8"/>
        <v>1404</v>
      </c>
      <c r="X21" s="297">
        <f t="shared" si="8"/>
        <v>5543</v>
      </c>
      <c r="Y21" s="396">
        <f t="shared" si="8"/>
        <v>1630</v>
      </c>
      <c r="Z21" s="343">
        <f t="shared" si="8"/>
        <v>1170</v>
      </c>
      <c r="AA21" s="343">
        <f t="shared" si="8"/>
        <v>1320</v>
      </c>
      <c r="AB21" s="397">
        <f t="shared" ref="AB21:AI21" si="9">SUM(AB18:AB20)+AB14</f>
        <v>1300</v>
      </c>
      <c r="AC21" s="297">
        <f t="shared" si="9"/>
        <v>5420</v>
      </c>
      <c r="AD21" s="396">
        <f t="shared" si="9"/>
        <v>1734</v>
      </c>
      <c r="AE21" s="343">
        <f t="shared" si="9"/>
        <v>1144</v>
      </c>
      <c r="AF21" s="343">
        <f t="shared" si="9"/>
        <v>1272</v>
      </c>
      <c r="AG21" s="397">
        <f t="shared" si="9"/>
        <v>1223</v>
      </c>
      <c r="AH21" s="297">
        <f t="shared" si="9"/>
        <v>5373</v>
      </c>
      <c r="AI21" s="396">
        <f t="shared" si="9"/>
        <v>1551</v>
      </c>
      <c r="AJ21" s="343">
        <f t="shared" ref="AJ21:AP21" si="10">SUM(AJ18:AJ20)+AJ14</f>
        <v>1146</v>
      </c>
      <c r="AK21" s="343">
        <f t="shared" si="10"/>
        <v>1362</v>
      </c>
      <c r="AL21" s="397">
        <f t="shared" si="10"/>
        <v>1115</v>
      </c>
      <c r="AM21" s="297">
        <f t="shared" si="10"/>
        <v>5174</v>
      </c>
      <c r="AN21" s="396">
        <f t="shared" si="10"/>
        <v>1250</v>
      </c>
      <c r="AO21" s="343">
        <f>SUM(AO18:AO20)+AO14</f>
        <v>1017</v>
      </c>
      <c r="AP21" s="343">
        <f t="shared" si="10"/>
        <v>1234</v>
      </c>
      <c r="AQ21" s="397">
        <f t="shared" ref="AQ21:AY21" si="11">SUM(AQ18:AQ20)+AQ14</f>
        <v>1106</v>
      </c>
      <c r="AR21" s="297">
        <f t="shared" si="11"/>
        <v>4607</v>
      </c>
      <c r="AS21" s="396">
        <f t="shared" si="11"/>
        <v>1291</v>
      </c>
      <c r="AT21" s="343">
        <f t="shared" si="11"/>
        <v>989</v>
      </c>
      <c r="AU21" s="343">
        <f t="shared" si="11"/>
        <v>1050</v>
      </c>
      <c r="AV21" s="397">
        <f t="shared" si="11"/>
        <v>1152</v>
      </c>
      <c r="AW21" s="297">
        <f t="shared" si="11"/>
        <v>4482</v>
      </c>
      <c r="AX21" s="396">
        <f t="shared" si="11"/>
        <v>1282.9363647480068</v>
      </c>
      <c r="AY21" s="343">
        <f t="shared" si="11"/>
        <v>981.84343907989114</v>
      </c>
      <c r="AZ21" s="343">
        <f>SUM(AZ18:AZ20)+AZ14</f>
        <v>1052.4316216754487</v>
      </c>
      <c r="BA21" s="397">
        <f>SUM(BA18:BA20)+BA14</f>
        <v>1140.7695732829573</v>
      </c>
      <c r="BB21" s="297">
        <f>SUM(BB18:BB20)+BB14</f>
        <v>4457.9809987863046</v>
      </c>
      <c r="BC21" s="396">
        <f t="shared" ref="BC21:BL21" si="12">SUM(BC18:BC20)+BC14</f>
        <v>1303.2671108915085</v>
      </c>
      <c r="BD21" s="343">
        <f t="shared" si="12"/>
        <v>998.83785173758918</v>
      </c>
      <c r="BE21" s="343">
        <f t="shared" si="12"/>
        <v>1002.6831052455879</v>
      </c>
      <c r="BF21" s="397">
        <f t="shared" si="12"/>
        <v>1161.988617248945</v>
      </c>
      <c r="BG21" s="297">
        <f t="shared" si="12"/>
        <v>4466.7766851236302</v>
      </c>
      <c r="BH21" s="396">
        <f t="shared" si="12"/>
        <v>1325.9908189233963</v>
      </c>
      <c r="BI21" s="343">
        <f t="shared" si="12"/>
        <v>1018.2967342943657</v>
      </c>
      <c r="BJ21" s="343">
        <f t="shared" si="12"/>
        <v>1021.9370824919959</v>
      </c>
      <c r="BK21" s="397">
        <f t="shared" si="12"/>
        <v>1181.5978473191381</v>
      </c>
      <c r="BL21" s="297">
        <f t="shared" si="12"/>
        <v>4547.8224830288964</v>
      </c>
      <c r="BM21" s="396">
        <f>SUM(BM18:BM20)+BM14</f>
        <v>1348.210205779234</v>
      </c>
      <c r="BN21" s="343">
        <f>SUM(BN18:BN20)+BN14</f>
        <v>1038.1216480364424</v>
      </c>
      <c r="BO21" s="343">
        <f>SUM(BO18:BO20)+BO14</f>
        <v>1040.8729086391318</v>
      </c>
      <c r="BP21" s="397">
        <f>SUM(BP18:BP20)+BP14</f>
        <v>1200.2164570786395</v>
      </c>
      <c r="BQ21" s="297">
        <f>SUM(BQ18:BQ20)+BQ14</f>
        <v>4627.4212195334476</v>
      </c>
      <c r="BR21" s="297"/>
      <c r="BS21" s="451"/>
      <c r="BT21" s="451"/>
      <c r="BU21" s="451"/>
      <c r="BV21" s="451"/>
      <c r="BW21" s="1652"/>
      <c r="BX21" s="77"/>
      <c r="BY21" s="451"/>
      <c r="BZ21" s="451"/>
      <c r="CA21" s="451"/>
      <c r="CB21" s="451"/>
      <c r="CC21" s="451"/>
      <c r="CD21" s="451"/>
      <c r="CE21" s="451"/>
      <c r="CF21" s="451"/>
      <c r="CG21" s="451"/>
      <c r="CH21" s="451"/>
      <c r="CI21" s="451"/>
      <c r="CJ21" s="451"/>
      <c r="CK21" s="451"/>
      <c r="CL21" s="451"/>
      <c r="CM21" s="451"/>
      <c r="CN21" s="451"/>
      <c r="CO21" s="451"/>
      <c r="CP21" s="451"/>
      <c r="CQ21" s="451"/>
      <c r="CR21" s="451"/>
      <c r="CS21" s="451"/>
      <c r="CT21" s="451"/>
      <c r="CU21" s="451"/>
      <c r="CV21" s="451"/>
      <c r="CW21" s="451"/>
      <c r="CX21" s="451"/>
      <c r="CY21" s="451"/>
      <c r="CZ21" s="451"/>
      <c r="DA21" s="451"/>
    </row>
    <row r="22" spans="1:110">
      <c r="A22" s="451"/>
      <c r="B22" s="451"/>
      <c r="C22" s="37"/>
      <c r="D22" s="451"/>
      <c r="E22" s="456"/>
      <c r="F22" s="457"/>
      <c r="G22" s="457"/>
      <c r="H22" s="395"/>
      <c r="I22" s="590"/>
      <c r="J22" s="456"/>
      <c r="K22" s="457"/>
      <c r="L22" s="457"/>
      <c r="M22" s="395"/>
      <c r="N22" s="590"/>
      <c r="O22" s="406"/>
      <c r="P22" s="348"/>
      <c r="Q22" s="348"/>
      <c r="R22" s="405"/>
      <c r="S22" s="451"/>
      <c r="T22" s="406"/>
      <c r="U22" s="348"/>
      <c r="V22" s="348"/>
      <c r="W22" s="405"/>
      <c r="X22" s="77"/>
      <c r="Y22" s="394"/>
      <c r="Z22" s="342"/>
      <c r="AA22" s="342"/>
      <c r="AB22" s="395"/>
      <c r="AC22" s="77"/>
      <c r="AD22" s="394"/>
      <c r="AE22" s="342"/>
      <c r="AF22" s="342"/>
      <c r="AG22" s="395"/>
      <c r="AH22" s="77"/>
      <c r="AI22" s="394"/>
      <c r="AJ22" s="342"/>
      <c r="AK22" s="342"/>
      <c r="AL22" s="395"/>
      <c r="AM22" s="77"/>
      <c r="AN22" s="394"/>
      <c r="AO22" s="342"/>
      <c r="AP22" s="342"/>
      <c r="AQ22" s="395"/>
      <c r="AR22" s="77"/>
      <c r="AS22" s="394"/>
      <c r="AT22" s="342"/>
      <c r="AU22" s="342"/>
      <c r="AV22" s="395"/>
      <c r="AW22" s="77"/>
      <c r="AX22" s="406"/>
      <c r="AY22" s="348"/>
      <c r="AZ22" s="348"/>
      <c r="BA22" s="405"/>
      <c r="BB22" s="451"/>
      <c r="BC22" s="406"/>
      <c r="BD22" s="348"/>
      <c r="BE22" s="348"/>
      <c r="BF22" s="405"/>
      <c r="BG22" s="451"/>
      <c r="BH22" s="406"/>
      <c r="BI22" s="348"/>
      <c r="BJ22" s="348"/>
      <c r="BK22" s="405"/>
      <c r="BL22" s="451"/>
      <c r="BM22" s="406"/>
      <c r="BN22" s="348"/>
      <c r="BO22" s="348"/>
      <c r="BP22" s="405"/>
      <c r="BQ22" s="451"/>
      <c r="BR22" s="451"/>
      <c r="BS22" s="451"/>
      <c r="BT22" s="451"/>
      <c r="BU22" s="451"/>
      <c r="BV22" s="451"/>
      <c r="BW22" s="1651"/>
      <c r="BX22" s="77"/>
      <c r="BY22" s="451"/>
      <c r="BZ22" s="451"/>
      <c r="CA22" s="451"/>
      <c r="CB22" s="451"/>
      <c r="CC22" s="451"/>
      <c r="CD22" s="451"/>
      <c r="CE22" s="451"/>
      <c r="CF22" s="451"/>
      <c r="CG22" s="451"/>
      <c r="CH22" s="451"/>
      <c r="CI22" s="451"/>
      <c r="CJ22" s="451"/>
      <c r="CK22" s="451"/>
      <c r="CL22" s="451"/>
      <c r="CM22" s="451"/>
      <c r="CN22" s="451"/>
      <c r="CO22" s="451"/>
      <c r="CP22" s="451"/>
      <c r="CQ22" s="451"/>
      <c r="CR22" s="451"/>
      <c r="CS22" s="451"/>
      <c r="CT22" s="451"/>
      <c r="CU22" s="451"/>
      <c r="CV22" s="451"/>
      <c r="CW22" s="451"/>
      <c r="CX22" s="451"/>
      <c r="CY22" s="451"/>
      <c r="CZ22" s="451"/>
      <c r="DA22" s="451"/>
    </row>
    <row r="23" spans="1:110">
      <c r="A23" s="451"/>
      <c r="B23" s="451"/>
      <c r="C23" s="49" t="s">
        <v>79</v>
      </c>
      <c r="D23" s="451"/>
      <c r="E23" s="396">
        <f t="shared" ref="E23:S23" si="13">E10-E21</f>
        <v>288</v>
      </c>
      <c r="F23" s="343">
        <f t="shared" si="13"/>
        <v>150</v>
      </c>
      <c r="G23" s="343">
        <f t="shared" si="13"/>
        <v>226</v>
      </c>
      <c r="H23" s="397">
        <f t="shared" si="13"/>
        <v>194</v>
      </c>
      <c r="I23" s="297">
        <f t="shared" si="13"/>
        <v>858</v>
      </c>
      <c r="J23" s="396">
        <f t="shared" si="13"/>
        <v>271</v>
      </c>
      <c r="K23" s="343">
        <f t="shared" si="13"/>
        <v>71</v>
      </c>
      <c r="L23" s="343">
        <f t="shared" si="13"/>
        <v>325</v>
      </c>
      <c r="M23" s="397">
        <f t="shared" si="13"/>
        <v>219</v>
      </c>
      <c r="N23" s="297">
        <f t="shared" si="13"/>
        <v>886</v>
      </c>
      <c r="O23" s="396">
        <f t="shared" si="13"/>
        <v>350</v>
      </c>
      <c r="P23" s="343">
        <f t="shared" si="13"/>
        <v>252</v>
      </c>
      <c r="Q23" s="343">
        <f t="shared" si="13"/>
        <v>328</v>
      </c>
      <c r="R23" s="397">
        <f t="shared" si="13"/>
        <v>221</v>
      </c>
      <c r="S23" s="297">
        <f t="shared" si="13"/>
        <v>1151</v>
      </c>
      <c r="T23" s="396">
        <f t="shared" ref="T23:AE23" si="14">T10-T21</f>
        <v>342</v>
      </c>
      <c r="U23" s="343">
        <f t="shared" si="14"/>
        <v>227</v>
      </c>
      <c r="V23" s="343">
        <f t="shared" si="14"/>
        <v>321</v>
      </c>
      <c r="W23" s="397">
        <f t="shared" si="14"/>
        <v>193</v>
      </c>
      <c r="X23" s="297">
        <f t="shared" si="14"/>
        <v>1083</v>
      </c>
      <c r="Y23" s="396">
        <f t="shared" si="14"/>
        <v>365</v>
      </c>
      <c r="Z23" s="343">
        <f t="shared" si="14"/>
        <v>253</v>
      </c>
      <c r="AA23" s="343">
        <f t="shared" si="14"/>
        <v>346</v>
      </c>
      <c r="AB23" s="397">
        <f t="shared" si="14"/>
        <v>271</v>
      </c>
      <c r="AC23" s="297">
        <f t="shared" si="14"/>
        <v>1235</v>
      </c>
      <c r="AD23" s="396">
        <f t="shared" si="14"/>
        <v>411</v>
      </c>
      <c r="AE23" s="343">
        <f t="shared" si="14"/>
        <v>291</v>
      </c>
      <c r="AF23" s="343">
        <f t="shared" ref="AF23:AK23" si="15">AF10-AF21</f>
        <v>383</v>
      </c>
      <c r="AG23" s="397">
        <f t="shared" si="15"/>
        <v>308</v>
      </c>
      <c r="AH23" s="297">
        <f t="shared" si="15"/>
        <v>1393</v>
      </c>
      <c r="AI23" s="396">
        <f t="shared" si="15"/>
        <v>451</v>
      </c>
      <c r="AJ23" s="343">
        <f t="shared" si="15"/>
        <v>320</v>
      </c>
      <c r="AK23" s="343">
        <f t="shared" si="15"/>
        <v>404</v>
      </c>
      <c r="AL23" s="397">
        <f t="shared" ref="AL23:AR23" si="16">AL10-AL21</f>
        <v>287</v>
      </c>
      <c r="AM23" s="297">
        <f t="shared" si="16"/>
        <v>1462</v>
      </c>
      <c r="AN23" s="396">
        <f t="shared" si="16"/>
        <v>462</v>
      </c>
      <c r="AO23" s="343">
        <f t="shared" si="16"/>
        <v>333</v>
      </c>
      <c r="AP23" s="343">
        <f t="shared" si="16"/>
        <v>450</v>
      </c>
      <c r="AQ23" s="397">
        <f t="shared" si="16"/>
        <v>369</v>
      </c>
      <c r="AR23" s="297">
        <f t="shared" si="16"/>
        <v>1614</v>
      </c>
      <c r="AS23" s="396">
        <f t="shared" ref="AS23:AY23" si="17">AS10-AS21</f>
        <v>521</v>
      </c>
      <c r="AT23" s="343">
        <f t="shared" si="17"/>
        <v>379</v>
      </c>
      <c r="AU23" s="343">
        <f t="shared" si="17"/>
        <v>459</v>
      </c>
      <c r="AV23" s="397">
        <f t="shared" si="17"/>
        <v>393</v>
      </c>
      <c r="AW23" s="297">
        <f t="shared" si="17"/>
        <v>1752</v>
      </c>
      <c r="AX23" s="396">
        <f t="shared" si="17"/>
        <v>488.27052206255257</v>
      </c>
      <c r="AY23" s="343">
        <f t="shared" si="17"/>
        <v>336.61876871964887</v>
      </c>
      <c r="AZ23" s="343">
        <f>AZ10-AZ21</f>
        <v>435.64067187546129</v>
      </c>
      <c r="BA23" s="397">
        <f>BA10-BA21</f>
        <v>366.95160380037601</v>
      </c>
      <c r="BB23" s="297">
        <f>BB10-BB21</f>
        <v>1627.4815664580383</v>
      </c>
      <c r="BC23" s="396">
        <f t="shared" ref="BC23:BL23" si="18">BC10-BC21</f>
        <v>547.43857591905089</v>
      </c>
      <c r="BD23" s="343">
        <f t="shared" si="18"/>
        <v>397.09305606195073</v>
      </c>
      <c r="BE23" s="343">
        <f t="shared" si="18"/>
        <v>393.24780255395206</v>
      </c>
      <c r="BF23" s="397">
        <f t="shared" si="18"/>
        <v>424.59505983438817</v>
      </c>
      <c r="BG23" s="297">
        <f t="shared" si="18"/>
        <v>1762.3744943693428</v>
      </c>
      <c r="BH23" s="396">
        <f t="shared" si="18"/>
        <v>584.87128088716304</v>
      </c>
      <c r="BI23" s="343">
        <f t="shared" si="18"/>
        <v>435.74018550517417</v>
      </c>
      <c r="BJ23" s="343">
        <f t="shared" si="18"/>
        <v>432.09983730754402</v>
      </c>
      <c r="BK23" s="397">
        <f t="shared" si="18"/>
        <v>464.49957976419523</v>
      </c>
      <c r="BL23" s="297">
        <f t="shared" si="18"/>
        <v>1917.2108834640758</v>
      </c>
      <c r="BM23" s="396">
        <f>BM10-BM21</f>
        <v>621.29224616132547</v>
      </c>
      <c r="BN23" s="343">
        <f>BN10-BN21</f>
        <v>472.48471888309746</v>
      </c>
      <c r="BO23" s="343">
        <f>BO10-BO21</f>
        <v>469.73345828040806</v>
      </c>
      <c r="BP23" s="397">
        <f>BP10-BP21</f>
        <v>503.87223250469378</v>
      </c>
      <c r="BQ23" s="297">
        <f>BQ10-BQ21</f>
        <v>2067.382655829525</v>
      </c>
      <c r="BR23" s="297"/>
      <c r="BS23" s="451"/>
      <c r="BT23" s="451"/>
      <c r="BU23" s="451"/>
      <c r="BV23" s="451"/>
      <c r="BW23" s="1652"/>
      <c r="BX23" s="77"/>
      <c r="BY23" s="451"/>
      <c r="BZ23" s="451"/>
      <c r="CA23" s="451"/>
      <c r="CB23" s="451"/>
      <c r="CC23" s="451"/>
      <c r="CD23" s="451"/>
      <c r="CE23" s="451"/>
      <c r="CF23" s="451"/>
      <c r="CG23" s="451"/>
      <c r="CH23" s="451"/>
      <c r="CI23" s="451"/>
      <c r="CJ23" s="451"/>
      <c r="CK23" s="451"/>
      <c r="CL23" s="451"/>
      <c r="CM23" s="451"/>
      <c r="CN23" s="451"/>
      <c r="CO23" s="451"/>
      <c r="CP23" s="451"/>
      <c r="CQ23" s="451"/>
      <c r="CR23" s="451"/>
      <c r="CS23" s="451"/>
      <c r="CT23" s="451"/>
      <c r="CU23" s="451"/>
      <c r="CV23" s="451"/>
      <c r="CW23" s="451"/>
      <c r="CX23" s="451"/>
      <c r="CY23" s="451"/>
      <c r="CZ23" s="451"/>
      <c r="DA23" s="451"/>
    </row>
    <row r="24" spans="1:110">
      <c r="A24" s="451"/>
      <c r="B24" s="451"/>
      <c r="C24" s="37"/>
      <c r="D24" s="451"/>
      <c r="E24" s="406"/>
      <c r="F24" s="348"/>
      <c r="G24" s="348"/>
      <c r="H24" s="405"/>
      <c r="I24" s="451"/>
      <c r="J24" s="406"/>
      <c r="K24" s="348"/>
      <c r="L24" s="348"/>
      <c r="M24" s="405"/>
      <c r="N24" s="451"/>
      <c r="O24" s="406"/>
      <c r="P24" s="348"/>
      <c r="Q24" s="348"/>
      <c r="R24" s="405"/>
      <c r="S24" s="451"/>
      <c r="T24" s="406"/>
      <c r="U24" s="1025"/>
      <c r="V24" s="1025"/>
      <c r="W24" s="405"/>
      <c r="X24" s="77"/>
      <c r="Y24" s="415"/>
      <c r="Z24" s="352"/>
      <c r="AA24" s="352"/>
      <c r="AB24" s="395"/>
      <c r="AC24" s="77"/>
      <c r="AD24" s="415"/>
      <c r="AE24" s="352"/>
      <c r="AF24" s="352"/>
      <c r="AG24" s="395"/>
      <c r="AH24" s="77"/>
      <c r="AI24" s="415"/>
      <c r="AJ24" s="352"/>
      <c r="AK24" s="352"/>
      <c r="AL24" s="395"/>
      <c r="AM24" s="77"/>
      <c r="AN24" s="406"/>
      <c r="AO24" s="352"/>
      <c r="AP24" s="352"/>
      <c r="AQ24" s="395"/>
      <c r="AR24" s="77"/>
      <c r="AS24" s="406"/>
      <c r="AT24" s="352"/>
      <c r="AU24" s="352"/>
      <c r="AV24" s="395"/>
      <c r="AW24" s="77"/>
      <c r="AX24" s="406"/>
      <c r="AY24" s="348"/>
      <c r="AZ24" s="348"/>
      <c r="BA24" s="405"/>
      <c r="BB24" s="451"/>
      <c r="BC24" s="406"/>
      <c r="BD24" s="348"/>
      <c r="BE24" s="348"/>
      <c r="BF24" s="405"/>
      <c r="BG24" s="451"/>
      <c r="BH24" s="406"/>
      <c r="BI24" s="348"/>
      <c r="BJ24" s="348"/>
      <c r="BK24" s="405"/>
      <c r="BL24" s="451"/>
      <c r="BM24" s="406"/>
      <c r="BN24" s="348"/>
      <c r="BO24" s="348"/>
      <c r="BP24" s="405"/>
      <c r="BQ24" s="451"/>
      <c r="BR24" s="451"/>
      <c r="BS24" s="451"/>
      <c r="BT24" s="451"/>
      <c r="BU24" s="451"/>
      <c r="BV24" s="451"/>
      <c r="BW24" s="1651"/>
      <c r="BX24" s="77"/>
      <c r="BY24" s="451"/>
      <c r="BZ24" s="451"/>
      <c r="CA24" s="451"/>
      <c r="CB24" s="451"/>
      <c r="CC24" s="451"/>
      <c r="CD24" s="451"/>
      <c r="CE24" s="451"/>
      <c r="CF24" s="451"/>
      <c r="CG24" s="451"/>
      <c r="CH24" s="451"/>
      <c r="CI24" s="451"/>
      <c r="CJ24" s="451"/>
      <c r="CK24" s="451"/>
      <c r="CL24" s="451"/>
      <c r="CM24" s="451"/>
      <c r="CN24" s="451"/>
      <c r="CO24" s="451"/>
      <c r="CP24" s="451"/>
      <c r="CQ24" s="451"/>
      <c r="CR24" s="451"/>
      <c r="CS24" s="451"/>
      <c r="CT24" s="451"/>
      <c r="CU24" s="451"/>
      <c r="CV24" s="451"/>
      <c r="CW24" s="451"/>
      <c r="CX24" s="451"/>
      <c r="CY24" s="451"/>
      <c r="CZ24" s="451"/>
      <c r="DA24" s="451"/>
    </row>
    <row r="25" spans="1:110">
      <c r="A25" s="451"/>
      <c r="B25" s="451"/>
      <c r="C25" s="37" t="s">
        <v>135</v>
      </c>
      <c r="D25" s="451"/>
      <c r="E25" s="456">
        <v>-0.25</v>
      </c>
      <c r="F25" s="457">
        <v>2.75</v>
      </c>
      <c r="G25" s="457">
        <v>1.75</v>
      </c>
      <c r="H25" s="395">
        <f>I25-SUM(E25:G25)</f>
        <v>-0.25</v>
      </c>
      <c r="I25" s="590">
        <v>4</v>
      </c>
      <c r="J25" s="456">
        <v>4</v>
      </c>
      <c r="K25" s="457">
        <v>3</v>
      </c>
      <c r="L25" s="457">
        <v>13</v>
      </c>
      <c r="M25" s="395">
        <f>N25-SUM(J25:L25)</f>
        <v>2</v>
      </c>
      <c r="N25" s="590">
        <v>22</v>
      </c>
      <c r="O25" s="456">
        <v>3</v>
      </c>
      <c r="P25" s="457">
        <v>4</v>
      </c>
      <c r="Q25" s="457">
        <v>6</v>
      </c>
      <c r="R25" s="395">
        <f>S25-SUM(O25:Q25)</f>
        <v>7</v>
      </c>
      <c r="S25" s="590">
        <v>20</v>
      </c>
      <c r="T25" s="456">
        <v>10</v>
      </c>
      <c r="U25" s="457">
        <f>12-1</f>
        <v>11</v>
      </c>
      <c r="V25" s="457">
        <f>16-6</f>
        <v>10</v>
      </c>
      <c r="W25" s="395">
        <f>X25-SUM(T25:V25)</f>
        <v>16</v>
      </c>
      <c r="X25" s="462">
        <f>52-5</f>
        <v>47</v>
      </c>
      <c r="Y25" s="459">
        <f>13-1</f>
        <v>12</v>
      </c>
      <c r="Z25" s="460">
        <f>15-1</f>
        <v>14</v>
      </c>
      <c r="AA25" s="460">
        <f>13-1</f>
        <v>12</v>
      </c>
      <c r="AB25" s="395">
        <f>AC25-SUM(Y25:AA25)</f>
        <v>13</v>
      </c>
      <c r="AC25" s="462">
        <f>54-3</f>
        <v>51</v>
      </c>
      <c r="AD25" s="459">
        <v>14</v>
      </c>
      <c r="AE25" s="460">
        <f>14-1</f>
        <v>13</v>
      </c>
      <c r="AF25" s="460">
        <f>16-2</f>
        <v>14</v>
      </c>
      <c r="AG25" s="395">
        <f>AH25-SUM(AD25:AF25)</f>
        <v>17</v>
      </c>
      <c r="AH25" s="462">
        <f>61-3</f>
        <v>58</v>
      </c>
      <c r="AI25" s="459">
        <f>18-1</f>
        <v>17</v>
      </c>
      <c r="AJ25" s="460">
        <f>19-1</f>
        <v>18</v>
      </c>
      <c r="AK25" s="460">
        <v>22</v>
      </c>
      <c r="AL25" s="395">
        <f>AM25-SUM(AI25:AK25)</f>
        <v>18</v>
      </c>
      <c r="AM25" s="462">
        <f>79-4</f>
        <v>75</v>
      </c>
      <c r="AN25" s="459">
        <f>20-1</f>
        <v>19</v>
      </c>
      <c r="AO25" s="460">
        <f>19-1</f>
        <v>18</v>
      </c>
      <c r="AP25" s="460">
        <f>22-1</f>
        <v>21</v>
      </c>
      <c r="AQ25" s="395">
        <f>AR25-SUM(AN25:AP25)</f>
        <v>21</v>
      </c>
      <c r="AR25" s="462">
        <f>83-4</f>
        <v>79</v>
      </c>
      <c r="AS25" s="459">
        <f>25-1</f>
        <v>24</v>
      </c>
      <c r="AT25" s="460">
        <f>22-1</f>
        <v>21</v>
      </c>
      <c r="AU25" s="460">
        <f>23-1</f>
        <v>22</v>
      </c>
      <c r="AV25" s="395">
        <f>AW25-SUM(AS25:AU25)</f>
        <v>20</v>
      </c>
      <c r="AW25" s="462">
        <f>92-5</f>
        <v>87</v>
      </c>
      <c r="AX25" s="406">
        <f>+AS25*(AX152/AS152)</f>
        <v>23.597122302158272</v>
      </c>
      <c r="AY25" s="348">
        <f>+AT25*(AY152/AT152)</f>
        <v>20.647482014388491</v>
      </c>
      <c r="AZ25" s="348">
        <f>+AU25*(AZ152/AU152)</f>
        <v>5.3605686879068175</v>
      </c>
      <c r="BA25" s="405">
        <f>+AV25*(BA152/AV152)</f>
        <v>19.664268585131893</v>
      </c>
      <c r="BB25" s="451">
        <f>SUM(AX25:BA25)</f>
        <v>69.269441589585483</v>
      </c>
      <c r="BC25" s="406">
        <f>+AX25*(BC152/AX152)</f>
        <v>23.39157245632066</v>
      </c>
      <c r="BD25" s="348">
        <f>+AY25*(BD152/AY152)</f>
        <v>20.467625899280577</v>
      </c>
      <c r="BE25" s="348">
        <f>+AY25*(BE152/AY152)</f>
        <v>20.467625899280577</v>
      </c>
      <c r="BF25" s="405">
        <f>+BA25*(BF152/BA152)</f>
        <v>19.492977046933881</v>
      </c>
      <c r="BG25" s="451">
        <f>SUM(BC25:BF25)</f>
        <v>83.819801301815687</v>
      </c>
      <c r="BH25" s="406">
        <f>+BC25*(BH152/BC152)</f>
        <v>23.06269270298047</v>
      </c>
      <c r="BI25" s="348">
        <f>+BD25*(BI152/BD152)</f>
        <v>20.179856115107913</v>
      </c>
      <c r="BJ25" s="348">
        <f>+BE25*(BJ152/BE152)</f>
        <v>20.179856115107913</v>
      </c>
      <c r="BK25" s="405">
        <f>+BF25*(BK152/BF152)</f>
        <v>19.218910585817056</v>
      </c>
      <c r="BL25" s="451">
        <f>SUM(BH25:BK25)</f>
        <v>82.641315519013347</v>
      </c>
      <c r="BM25" s="406">
        <f>+BH25*(BM152/BH152)</f>
        <v>19.445015416238437</v>
      </c>
      <c r="BN25" s="348">
        <f>+BI25*(BN152/BI152)</f>
        <v>17.014388489208631</v>
      </c>
      <c r="BO25" s="348">
        <f>+BJ25*(BO152/BJ152)</f>
        <v>17.014388489208631</v>
      </c>
      <c r="BP25" s="405">
        <f>+BK25*(BP152/BK152)</f>
        <v>16.204179513532029</v>
      </c>
      <c r="BQ25" s="451">
        <f>SUM(BM25:BP25)</f>
        <v>69.677971908187729</v>
      </c>
      <c r="BR25" s="451"/>
      <c r="BS25" s="451"/>
      <c r="BT25" s="451"/>
      <c r="BU25" s="451"/>
      <c r="BV25" s="451"/>
      <c r="BW25" s="1651"/>
      <c r="BX25" s="77"/>
      <c r="BY25" s="451"/>
      <c r="BZ25" s="451"/>
      <c r="CA25" s="451"/>
      <c r="CB25" s="451"/>
      <c r="CC25" s="451"/>
      <c r="CD25" s="451"/>
      <c r="CE25" s="451"/>
      <c r="CF25" s="451"/>
      <c r="CG25" s="451"/>
      <c r="CH25" s="451"/>
      <c r="CI25" s="451"/>
      <c r="CJ25" s="451"/>
      <c r="CK25" s="451"/>
      <c r="CL25" s="451"/>
      <c r="CM25" s="451"/>
      <c r="CN25" s="451"/>
      <c r="CO25" s="451"/>
      <c r="CP25" s="451"/>
      <c r="CQ25" s="451"/>
      <c r="CR25" s="451"/>
      <c r="CS25" s="451"/>
      <c r="CT25" s="451"/>
      <c r="CU25" s="451"/>
      <c r="CV25" s="451"/>
      <c r="CW25" s="451"/>
      <c r="CX25" s="451"/>
      <c r="CY25" s="451"/>
      <c r="CZ25" s="451"/>
      <c r="DA25" s="451"/>
    </row>
    <row r="26" spans="1:110">
      <c r="A26" s="451"/>
      <c r="B26" s="451"/>
      <c r="C26" s="37"/>
      <c r="D26" s="451"/>
      <c r="E26" s="418"/>
      <c r="F26" s="353"/>
      <c r="G26" s="353"/>
      <c r="H26" s="419"/>
      <c r="I26" s="589"/>
      <c r="J26" s="418"/>
      <c r="K26" s="353"/>
      <c r="L26" s="353"/>
      <c r="M26" s="419"/>
      <c r="N26" s="589"/>
      <c r="O26" s="418"/>
      <c r="P26" s="348"/>
      <c r="Q26" s="348"/>
      <c r="R26" s="405"/>
      <c r="S26" s="451"/>
      <c r="T26" s="418"/>
      <c r="U26" s="348"/>
      <c r="V26" s="348"/>
      <c r="W26" s="405"/>
      <c r="X26" s="77"/>
      <c r="Y26" s="398"/>
      <c r="Z26" s="342"/>
      <c r="AA26" s="342"/>
      <c r="AB26" s="395"/>
      <c r="AC26" s="77"/>
      <c r="AD26" s="398"/>
      <c r="AE26" s="342"/>
      <c r="AF26" s="342"/>
      <c r="AG26" s="395"/>
      <c r="AH26" s="77"/>
      <c r="AI26" s="398"/>
      <c r="AJ26" s="342"/>
      <c r="AK26" s="342"/>
      <c r="AL26" s="395"/>
      <c r="AM26" s="77"/>
      <c r="AN26" s="406"/>
      <c r="AO26" s="342"/>
      <c r="AP26" s="342"/>
      <c r="AQ26" s="395"/>
      <c r="AR26" s="77"/>
      <c r="AS26" s="406"/>
      <c r="AT26" s="342"/>
      <c r="AU26" s="342"/>
      <c r="AV26" s="395"/>
      <c r="AW26" s="77"/>
      <c r="AX26" s="406"/>
      <c r="AY26" s="348"/>
      <c r="AZ26" s="348"/>
      <c r="BA26" s="405"/>
      <c r="BB26" s="451"/>
      <c r="BC26" s="406"/>
      <c r="BD26" s="348"/>
      <c r="BE26" s="348"/>
      <c r="BF26" s="405"/>
      <c r="BG26" s="451"/>
      <c r="BH26" s="406"/>
      <c r="BI26" s="348"/>
      <c r="BJ26" s="348"/>
      <c r="BK26" s="405"/>
      <c r="BL26" s="451"/>
      <c r="BM26" s="406"/>
      <c r="BN26" s="348"/>
      <c r="BO26" s="348"/>
      <c r="BP26" s="405"/>
      <c r="BQ26" s="451"/>
      <c r="BR26" s="451"/>
      <c r="BS26" s="451"/>
      <c r="BT26" s="451"/>
      <c r="BU26" s="783"/>
      <c r="BV26" s="451"/>
      <c r="BW26" s="1651"/>
      <c r="BX26" s="77"/>
      <c r="BY26" s="451"/>
      <c r="BZ26" s="451"/>
      <c r="CA26" s="451"/>
      <c r="CB26" s="451"/>
      <c r="CC26" s="451"/>
      <c r="CD26" s="451"/>
      <c r="CE26" s="451"/>
      <c r="CF26" s="451"/>
      <c r="CG26" s="451"/>
      <c r="CH26" s="451"/>
      <c r="CI26" s="451"/>
      <c r="CJ26" s="451"/>
      <c r="CK26" s="451"/>
      <c r="CL26" s="451"/>
      <c r="CM26" s="451"/>
      <c r="CN26" s="451"/>
      <c r="CO26" s="451"/>
      <c r="CP26" s="451"/>
      <c r="CQ26" s="451"/>
      <c r="CR26" s="451"/>
      <c r="CS26" s="451"/>
      <c r="CT26" s="451"/>
      <c r="CU26" s="451"/>
      <c r="CV26" s="451"/>
      <c r="CW26" s="451"/>
      <c r="CX26" s="451"/>
      <c r="CY26" s="451"/>
      <c r="CZ26" s="451"/>
      <c r="DA26" s="451"/>
    </row>
    <row r="27" spans="1:110">
      <c r="A27" s="451"/>
      <c r="B27" s="451"/>
      <c r="C27" s="49" t="s">
        <v>545</v>
      </c>
      <c r="D27" s="451"/>
      <c r="E27" s="396">
        <f>E23+E25</f>
        <v>287.75</v>
      </c>
      <c r="F27" s="343">
        <f t="shared" ref="F27:V27" si="19">F23+F25</f>
        <v>152.75</v>
      </c>
      <c r="G27" s="343">
        <f t="shared" si="19"/>
        <v>227.75</v>
      </c>
      <c r="H27" s="397">
        <f t="shared" si="19"/>
        <v>193.75</v>
      </c>
      <c r="I27" s="297">
        <f t="shared" si="19"/>
        <v>862</v>
      </c>
      <c r="J27" s="396">
        <f t="shared" si="19"/>
        <v>275</v>
      </c>
      <c r="K27" s="343">
        <f t="shared" si="19"/>
        <v>74</v>
      </c>
      <c r="L27" s="343">
        <f t="shared" si="19"/>
        <v>338</v>
      </c>
      <c r="M27" s="397">
        <f t="shared" si="19"/>
        <v>221</v>
      </c>
      <c r="N27" s="297">
        <f t="shared" si="19"/>
        <v>908</v>
      </c>
      <c r="O27" s="396">
        <f t="shared" si="19"/>
        <v>353</v>
      </c>
      <c r="P27" s="343">
        <f t="shared" si="19"/>
        <v>256</v>
      </c>
      <c r="Q27" s="343">
        <f t="shared" si="19"/>
        <v>334</v>
      </c>
      <c r="R27" s="397">
        <f t="shared" si="19"/>
        <v>228</v>
      </c>
      <c r="S27" s="297">
        <f t="shared" si="19"/>
        <v>1171</v>
      </c>
      <c r="T27" s="396">
        <f t="shared" si="19"/>
        <v>352</v>
      </c>
      <c r="U27" s="343">
        <f t="shared" si="19"/>
        <v>238</v>
      </c>
      <c r="V27" s="343">
        <f t="shared" si="19"/>
        <v>331</v>
      </c>
      <c r="W27" s="397">
        <f t="shared" ref="W27:AC27" si="20">W23+W25</f>
        <v>209</v>
      </c>
      <c r="X27" s="297">
        <f t="shared" si="20"/>
        <v>1130</v>
      </c>
      <c r="Y27" s="396">
        <f t="shared" si="20"/>
        <v>377</v>
      </c>
      <c r="Z27" s="343">
        <f t="shared" si="20"/>
        <v>267</v>
      </c>
      <c r="AA27" s="343">
        <f t="shared" si="20"/>
        <v>358</v>
      </c>
      <c r="AB27" s="397">
        <f t="shared" si="20"/>
        <v>284</v>
      </c>
      <c r="AC27" s="297">
        <f t="shared" si="20"/>
        <v>1286</v>
      </c>
      <c r="AD27" s="396">
        <f t="shared" ref="AD27:AI27" si="21">AD23+AD25</f>
        <v>425</v>
      </c>
      <c r="AE27" s="343">
        <f t="shared" si="21"/>
        <v>304</v>
      </c>
      <c r="AF27" s="343">
        <f t="shared" si="21"/>
        <v>397</v>
      </c>
      <c r="AG27" s="397">
        <f t="shared" si="21"/>
        <v>325</v>
      </c>
      <c r="AH27" s="297">
        <f t="shared" si="21"/>
        <v>1451</v>
      </c>
      <c r="AI27" s="396">
        <f t="shared" si="21"/>
        <v>468</v>
      </c>
      <c r="AJ27" s="343">
        <f t="shared" ref="AJ27:AR27" si="22">AJ23+AJ25</f>
        <v>338</v>
      </c>
      <c r="AK27" s="343">
        <f t="shared" si="22"/>
        <v>426</v>
      </c>
      <c r="AL27" s="397">
        <f t="shared" si="22"/>
        <v>305</v>
      </c>
      <c r="AM27" s="297">
        <f t="shared" si="22"/>
        <v>1537</v>
      </c>
      <c r="AN27" s="396">
        <f t="shared" si="22"/>
        <v>481</v>
      </c>
      <c r="AO27" s="343">
        <f t="shared" si="22"/>
        <v>351</v>
      </c>
      <c r="AP27" s="343">
        <f t="shared" si="22"/>
        <v>471</v>
      </c>
      <c r="AQ27" s="397">
        <f t="shared" si="22"/>
        <v>390</v>
      </c>
      <c r="AR27" s="297">
        <f t="shared" si="22"/>
        <v>1693</v>
      </c>
      <c r="AS27" s="396">
        <f t="shared" ref="AS27:AY27" si="23">AS23+AS25</f>
        <v>545</v>
      </c>
      <c r="AT27" s="343">
        <f t="shared" si="23"/>
        <v>400</v>
      </c>
      <c r="AU27" s="343">
        <f t="shared" si="23"/>
        <v>481</v>
      </c>
      <c r="AV27" s="397">
        <f t="shared" si="23"/>
        <v>413</v>
      </c>
      <c r="AW27" s="297">
        <f t="shared" si="23"/>
        <v>1839</v>
      </c>
      <c r="AX27" s="396">
        <f t="shared" si="23"/>
        <v>511.86764436471083</v>
      </c>
      <c r="AY27" s="343">
        <f t="shared" si="23"/>
        <v>357.26625073403738</v>
      </c>
      <c r="AZ27" s="343">
        <f>AZ23+AZ25</f>
        <v>441.00124056336813</v>
      </c>
      <c r="BA27" s="397">
        <f>BA23+BA25</f>
        <v>386.61587238550788</v>
      </c>
      <c r="BB27" s="297">
        <f>BB23+BB25</f>
        <v>1696.7510080476238</v>
      </c>
      <c r="BC27" s="396">
        <f t="shared" ref="BC27:BL27" si="24">BC23+BC25</f>
        <v>570.83014837537155</v>
      </c>
      <c r="BD27" s="343">
        <f t="shared" si="24"/>
        <v>417.5606819612313</v>
      </c>
      <c r="BE27" s="343">
        <f t="shared" si="24"/>
        <v>413.71542845323262</v>
      </c>
      <c r="BF27" s="397">
        <f t="shared" si="24"/>
        <v>444.08803688132207</v>
      </c>
      <c r="BG27" s="297">
        <f t="shared" si="24"/>
        <v>1846.1942956711584</v>
      </c>
      <c r="BH27" s="396">
        <f t="shared" si="24"/>
        <v>607.93397359014352</v>
      </c>
      <c r="BI27" s="343">
        <f t="shared" si="24"/>
        <v>455.92004162028206</v>
      </c>
      <c r="BJ27" s="343">
        <f t="shared" si="24"/>
        <v>452.27969342265192</v>
      </c>
      <c r="BK27" s="397">
        <f t="shared" si="24"/>
        <v>483.7184903500123</v>
      </c>
      <c r="BL27" s="297">
        <f t="shared" si="24"/>
        <v>1999.8521989830892</v>
      </c>
      <c r="BM27" s="396">
        <f>BM23+BM25</f>
        <v>640.73726157756391</v>
      </c>
      <c r="BN27" s="343">
        <f>BN23+BN25</f>
        <v>489.49910737230607</v>
      </c>
      <c r="BO27" s="343">
        <f>BO23+BO25</f>
        <v>486.74784676961667</v>
      </c>
      <c r="BP27" s="397">
        <f>BP23+BP25</f>
        <v>520.07641201822582</v>
      </c>
      <c r="BQ27" s="297">
        <f>BQ23+BQ25</f>
        <v>2137.0606277377128</v>
      </c>
      <c r="BR27" s="297"/>
      <c r="BS27" s="451"/>
      <c r="BT27" s="451"/>
      <c r="BU27" s="783"/>
      <c r="BV27" s="451"/>
      <c r="BW27" s="1652"/>
      <c r="BX27" s="77"/>
      <c r="BY27" s="451"/>
      <c r="BZ27" s="451"/>
      <c r="CA27" s="451"/>
      <c r="CB27" s="451"/>
      <c r="CC27" s="451"/>
      <c r="CD27" s="451"/>
      <c r="CE27" s="451"/>
      <c r="CF27" s="451"/>
      <c r="CG27" s="451"/>
      <c r="CH27" s="451"/>
      <c r="CI27" s="451"/>
      <c r="CJ27" s="451"/>
      <c r="CK27" s="451"/>
      <c r="CL27" s="451"/>
      <c r="CM27" s="451"/>
      <c r="CN27" s="451"/>
      <c r="CO27" s="451"/>
      <c r="CP27" s="451"/>
      <c r="CQ27" s="451"/>
      <c r="CR27" s="451"/>
      <c r="CS27" s="451"/>
      <c r="CT27" s="451"/>
      <c r="CU27" s="451"/>
      <c r="CV27" s="451"/>
      <c r="CW27" s="451"/>
      <c r="CX27" s="451"/>
      <c r="CY27" s="451"/>
      <c r="CZ27" s="451"/>
      <c r="DA27" s="451"/>
    </row>
    <row r="28" spans="1:110">
      <c r="A28" s="451"/>
      <c r="B28" s="451"/>
      <c r="C28" s="49" t="s">
        <v>75</v>
      </c>
      <c r="D28" s="451"/>
      <c r="E28" s="396">
        <f t="shared" ref="E28:AA28" si="25">E27+E19</f>
        <v>436.75</v>
      </c>
      <c r="F28" s="343">
        <f t="shared" si="25"/>
        <v>296.75</v>
      </c>
      <c r="G28" s="343">
        <f t="shared" si="25"/>
        <v>396.75</v>
      </c>
      <c r="H28" s="397">
        <f t="shared" si="25"/>
        <v>339.75</v>
      </c>
      <c r="I28" s="297">
        <f t="shared" si="25"/>
        <v>1470</v>
      </c>
      <c r="J28" s="396">
        <f t="shared" si="25"/>
        <v>452</v>
      </c>
      <c r="K28" s="343">
        <f t="shared" si="25"/>
        <v>251</v>
      </c>
      <c r="L28" s="343">
        <f t="shared" si="25"/>
        <v>547</v>
      </c>
      <c r="M28" s="397">
        <f t="shared" si="25"/>
        <v>408</v>
      </c>
      <c r="N28" s="297">
        <f t="shared" si="25"/>
        <v>1658</v>
      </c>
      <c r="O28" s="396">
        <f t="shared" si="25"/>
        <v>532</v>
      </c>
      <c r="P28" s="343">
        <f t="shared" si="25"/>
        <v>428</v>
      </c>
      <c r="Q28" s="343">
        <f t="shared" si="25"/>
        <v>531</v>
      </c>
      <c r="R28" s="397">
        <f t="shared" si="25"/>
        <v>399</v>
      </c>
      <c r="S28" s="297">
        <f t="shared" si="25"/>
        <v>1890</v>
      </c>
      <c r="T28" s="396">
        <f t="shared" si="25"/>
        <v>542</v>
      </c>
      <c r="U28" s="343">
        <f t="shared" si="25"/>
        <v>426</v>
      </c>
      <c r="V28" s="343">
        <f t="shared" si="25"/>
        <v>547</v>
      </c>
      <c r="W28" s="397">
        <f t="shared" si="25"/>
        <v>393</v>
      </c>
      <c r="X28" s="297">
        <f t="shared" si="25"/>
        <v>1908</v>
      </c>
      <c r="Y28" s="396">
        <f t="shared" si="25"/>
        <v>592</v>
      </c>
      <c r="Z28" s="343">
        <f t="shared" si="25"/>
        <v>474</v>
      </c>
      <c r="AA28" s="343">
        <f t="shared" si="25"/>
        <v>594</v>
      </c>
      <c r="AB28" s="397">
        <f t="shared" ref="AB28:AI28" si="26">AB27+AB19</f>
        <v>498</v>
      </c>
      <c r="AC28" s="297">
        <f t="shared" si="26"/>
        <v>2158</v>
      </c>
      <c r="AD28" s="396">
        <f t="shared" si="26"/>
        <v>652</v>
      </c>
      <c r="AE28" s="343">
        <f t="shared" si="26"/>
        <v>521</v>
      </c>
      <c r="AF28" s="343">
        <f t="shared" si="26"/>
        <v>635</v>
      </c>
      <c r="AG28" s="397">
        <f t="shared" si="26"/>
        <v>549</v>
      </c>
      <c r="AH28" s="297">
        <f t="shared" si="26"/>
        <v>2357</v>
      </c>
      <c r="AI28" s="396">
        <f t="shared" si="26"/>
        <v>715</v>
      </c>
      <c r="AJ28" s="343">
        <f t="shared" ref="AJ28:AR28" si="27">AJ27+AJ19</f>
        <v>572</v>
      </c>
      <c r="AK28" s="343">
        <f t="shared" si="27"/>
        <v>657</v>
      </c>
      <c r="AL28" s="397">
        <f t="shared" si="27"/>
        <v>485</v>
      </c>
      <c r="AM28" s="297">
        <f t="shared" si="27"/>
        <v>2429</v>
      </c>
      <c r="AN28" s="396">
        <f t="shared" si="27"/>
        <v>620</v>
      </c>
      <c r="AO28" s="343">
        <f t="shared" si="27"/>
        <v>487</v>
      </c>
      <c r="AP28" s="343">
        <f t="shared" si="27"/>
        <v>608</v>
      </c>
      <c r="AQ28" s="397">
        <f t="shared" si="27"/>
        <v>543</v>
      </c>
      <c r="AR28" s="297">
        <f t="shared" si="27"/>
        <v>2258</v>
      </c>
      <c r="AS28" s="396">
        <f t="shared" ref="AS28:AY28" si="28">AS27+AS19</f>
        <v>716</v>
      </c>
      <c r="AT28" s="343">
        <f t="shared" si="28"/>
        <v>566</v>
      </c>
      <c r="AU28" s="343">
        <f t="shared" si="28"/>
        <v>650</v>
      </c>
      <c r="AV28" s="397">
        <f t="shared" si="28"/>
        <v>592</v>
      </c>
      <c r="AW28" s="297">
        <f t="shared" si="28"/>
        <v>2524</v>
      </c>
      <c r="AX28" s="396">
        <f t="shared" si="28"/>
        <v>662.89824510345375</v>
      </c>
      <c r="AY28" s="343">
        <f t="shared" si="28"/>
        <v>512.52376443007063</v>
      </c>
      <c r="AZ28" s="343">
        <f>AZ27+AZ19</f>
        <v>600.2489718463255</v>
      </c>
      <c r="BA28" s="397">
        <f>BA27+BA19</f>
        <v>545.8636036684652</v>
      </c>
      <c r="BB28" s="297">
        <f>BB27+BB19</f>
        <v>2321.5345850483145</v>
      </c>
      <c r="BC28" s="396">
        <f t="shared" ref="BC28:BL28" si="29">BC27+BC19</f>
        <v>733.07973735761607</v>
      </c>
      <c r="BD28" s="343">
        <f t="shared" si="29"/>
        <v>583.78842861496264</v>
      </c>
      <c r="BE28" s="343">
        <f t="shared" si="29"/>
        <v>583.78842861496264</v>
      </c>
      <c r="BF28" s="397">
        <f t="shared" si="29"/>
        <v>617.97916143026714</v>
      </c>
      <c r="BG28" s="297">
        <f t="shared" si="29"/>
        <v>2518.6357560178094</v>
      </c>
      <c r="BH28" s="396">
        <f t="shared" si="29"/>
        <v>783.67645725027592</v>
      </c>
      <c r="BI28" s="343">
        <f t="shared" si="29"/>
        <v>635.49552945878986</v>
      </c>
      <c r="BJ28" s="343">
        <f t="shared" si="29"/>
        <v>635.49552945878997</v>
      </c>
      <c r="BK28" s="397">
        <f t="shared" si="29"/>
        <v>670.54927151215065</v>
      </c>
      <c r="BL28" s="297">
        <f t="shared" si="29"/>
        <v>2725.2167876800058</v>
      </c>
      <c r="BM28" s="396">
        <f>BM27+BM19</f>
        <v>829.34765366286899</v>
      </c>
      <c r="BN28" s="343">
        <f>BN27+BN19</f>
        <v>682.70013549404575</v>
      </c>
      <c r="BO28" s="343">
        <f>BO27+BO19</f>
        <v>682.70013549404587</v>
      </c>
      <c r="BP28" s="397">
        <f>BP27+BP19</f>
        <v>718.76094500454553</v>
      </c>
      <c r="BQ28" s="297">
        <f>BQ27+BQ19</f>
        <v>2913.5088696555063</v>
      </c>
      <c r="BR28" s="297"/>
      <c r="BS28" s="451"/>
      <c r="BT28" s="451"/>
      <c r="BU28" s="783"/>
      <c r="BV28" s="451"/>
      <c r="BW28" s="1652"/>
      <c r="BX28" s="77"/>
      <c r="BY28" s="451"/>
      <c r="BZ28" s="451"/>
      <c r="CA28" s="451"/>
      <c r="CB28" s="451"/>
      <c r="CC28" s="451"/>
      <c r="CD28" s="451"/>
      <c r="CE28" s="451"/>
      <c r="CF28" s="451"/>
      <c r="CG28" s="451"/>
      <c r="CH28" s="451"/>
      <c r="CI28" s="451"/>
      <c r="CJ28" s="451"/>
      <c r="CK28" s="451"/>
      <c r="CL28" s="451"/>
      <c r="CM28" s="451"/>
      <c r="CN28" s="451"/>
      <c r="CO28" s="451"/>
      <c r="CP28" s="451"/>
      <c r="CQ28" s="451"/>
      <c r="CR28" s="451"/>
      <c r="CS28" s="451"/>
      <c r="CT28" s="451"/>
      <c r="CU28" s="451"/>
      <c r="CV28" s="451"/>
      <c r="CW28" s="451"/>
      <c r="CX28" s="451"/>
      <c r="CY28" s="451"/>
      <c r="CZ28" s="451"/>
      <c r="DA28" s="451"/>
    </row>
    <row r="29" spans="1:110">
      <c r="A29" s="451"/>
      <c r="B29" s="451"/>
      <c r="C29" s="49"/>
      <c r="D29" s="451"/>
      <c r="E29" s="396"/>
      <c r="F29" s="343"/>
      <c r="G29" s="343"/>
      <c r="H29" s="397"/>
      <c r="I29" s="297"/>
      <c r="J29" s="396"/>
      <c r="K29" s="343"/>
      <c r="L29" s="343"/>
      <c r="M29" s="397"/>
      <c r="N29" s="297"/>
      <c r="O29" s="396"/>
      <c r="P29" s="343"/>
      <c r="Q29" s="343"/>
      <c r="R29" s="397"/>
      <c r="S29" s="297"/>
      <c r="T29" s="396"/>
      <c r="U29" s="343"/>
      <c r="V29" s="343"/>
      <c r="W29" s="397"/>
      <c r="X29" s="297"/>
      <c r="Y29" s="396"/>
      <c r="Z29" s="343"/>
      <c r="AA29" s="343"/>
      <c r="AB29" s="397"/>
      <c r="AC29" s="297"/>
      <c r="AD29" s="396"/>
      <c r="AE29" s="343"/>
      <c r="AF29" s="343"/>
      <c r="AG29" s="397"/>
      <c r="AH29" s="297"/>
      <c r="AI29" s="396"/>
      <c r="AJ29" s="343"/>
      <c r="AK29" s="343"/>
      <c r="AL29" s="397"/>
      <c r="AM29" s="297"/>
      <c r="AN29" s="396"/>
      <c r="AO29" s="343"/>
      <c r="AP29" s="343"/>
      <c r="AQ29" s="397"/>
      <c r="AR29" s="297"/>
      <c r="AS29" s="396"/>
      <c r="AT29" s="343"/>
      <c r="AU29" s="343"/>
      <c r="AV29" s="397"/>
      <c r="AW29" s="297"/>
      <c r="AX29" s="396"/>
      <c r="AY29" s="343"/>
      <c r="AZ29" s="343"/>
      <c r="BA29" s="397"/>
      <c r="BB29" s="297"/>
      <c r="BC29" s="396"/>
      <c r="BD29" s="343"/>
      <c r="BE29" s="343"/>
      <c r="BF29" s="397"/>
      <c r="BG29" s="297"/>
      <c r="BH29" s="396"/>
      <c r="BI29" s="343"/>
      <c r="BJ29" s="343"/>
      <c r="BK29" s="397"/>
      <c r="BL29" s="297"/>
      <c r="BM29" s="396"/>
      <c r="BN29" s="343"/>
      <c r="BO29" s="343"/>
      <c r="BP29" s="397"/>
      <c r="BQ29" s="297"/>
      <c r="BR29" s="297"/>
      <c r="BS29" s="451"/>
      <c r="BT29" s="451"/>
      <c r="BU29" s="783"/>
      <c r="BV29" s="451"/>
      <c r="BW29" s="1652"/>
      <c r="BX29" s="77"/>
      <c r="BY29" s="451"/>
      <c r="BZ29" s="451"/>
      <c r="CA29" s="451"/>
      <c r="CB29" s="451"/>
      <c r="CC29" s="451"/>
      <c r="CD29" s="451"/>
      <c r="CE29" s="451"/>
      <c r="CF29" s="451"/>
      <c r="CG29" s="451"/>
      <c r="CH29" s="451"/>
      <c r="CI29" s="451"/>
      <c r="CJ29" s="451"/>
      <c r="CK29" s="451"/>
      <c r="CL29" s="451"/>
      <c r="CM29" s="451"/>
      <c r="CN29" s="451"/>
      <c r="CO29" s="451"/>
      <c r="CP29" s="451"/>
      <c r="CQ29" s="451"/>
      <c r="CR29" s="451"/>
      <c r="CS29" s="451"/>
      <c r="CT29" s="451"/>
      <c r="CU29" s="451"/>
      <c r="CV29" s="451"/>
      <c r="CW29" s="451"/>
      <c r="CX29" s="451"/>
      <c r="CY29" s="451"/>
      <c r="CZ29" s="451"/>
      <c r="DA29" s="451"/>
    </row>
    <row r="30" spans="1:110" s="305" customFormat="1">
      <c r="A30" s="77"/>
      <c r="B30" s="77"/>
      <c r="C30" s="37" t="s">
        <v>89</v>
      </c>
      <c r="D30" s="77"/>
      <c r="E30" s="456">
        <v>79</v>
      </c>
      <c r="F30" s="457">
        <v>80</v>
      </c>
      <c r="G30" s="457">
        <v>77</v>
      </c>
      <c r="H30" s="395">
        <f>I30-SUM(E30:G30)</f>
        <v>76</v>
      </c>
      <c r="I30" s="590">
        <v>312</v>
      </c>
      <c r="J30" s="456">
        <v>77</v>
      </c>
      <c r="K30" s="457">
        <v>80</v>
      </c>
      <c r="L30" s="457">
        <v>82</v>
      </c>
      <c r="M30" s="395">
        <f>N30-SUM(J30:L30)</f>
        <v>79</v>
      </c>
      <c r="N30" s="590">
        <v>318</v>
      </c>
      <c r="O30" s="456">
        <v>79</v>
      </c>
      <c r="P30" s="457">
        <v>78</v>
      </c>
      <c r="Q30" s="457">
        <v>77</v>
      </c>
      <c r="R30" s="395">
        <f>S30-SUM(O30:Q30)</f>
        <v>76</v>
      </c>
      <c r="S30" s="590">
        <v>310</v>
      </c>
      <c r="T30" s="456">
        <v>73</v>
      </c>
      <c r="U30" s="457">
        <v>74</v>
      </c>
      <c r="V30" s="457">
        <v>73</v>
      </c>
      <c r="W30" s="395">
        <f>X30-SUM(T30:V30)</f>
        <v>75</v>
      </c>
      <c r="X30" s="462">
        <v>295</v>
      </c>
      <c r="Y30" s="459">
        <v>73</v>
      </c>
      <c r="Z30" s="460">
        <v>75</v>
      </c>
      <c r="AA30" s="460">
        <v>75</v>
      </c>
      <c r="AB30" s="395">
        <f>AC30-SUM(Y30:AA30)</f>
        <v>70</v>
      </c>
      <c r="AC30" s="462">
        <v>293</v>
      </c>
      <c r="AD30" s="459">
        <v>68</v>
      </c>
      <c r="AE30" s="460">
        <v>67</v>
      </c>
      <c r="AF30" s="460">
        <v>71</v>
      </c>
      <c r="AG30" s="395">
        <f>AH30-SUM(AD30:AF30)</f>
        <v>71</v>
      </c>
      <c r="AH30" s="462">
        <v>277</v>
      </c>
      <c r="AI30" s="459">
        <v>69</v>
      </c>
      <c r="AJ30" s="460">
        <v>67</v>
      </c>
      <c r="AK30" s="460">
        <v>67</v>
      </c>
      <c r="AL30" s="395">
        <f>AM30-SUM(AI30:AK30)</f>
        <v>77</v>
      </c>
      <c r="AM30" s="462">
        <v>280</v>
      </c>
      <c r="AN30" s="459">
        <v>68</v>
      </c>
      <c r="AO30" s="460">
        <v>74</v>
      </c>
      <c r="AP30" s="460">
        <v>72</v>
      </c>
      <c r="AQ30" s="395">
        <f>AR30-SUM(AN30:AP30)</f>
        <v>75</v>
      </c>
      <c r="AR30" s="462">
        <v>289</v>
      </c>
      <c r="AS30" s="459">
        <v>75</v>
      </c>
      <c r="AT30" s="460">
        <v>69</v>
      </c>
      <c r="AU30" s="460">
        <v>79</v>
      </c>
      <c r="AV30" s="395">
        <f>AW30-SUM(AS30:AU30)</f>
        <v>80</v>
      </c>
      <c r="AW30" s="462">
        <v>303</v>
      </c>
      <c r="AX30" s="394">
        <f>+AS30+SUM(AX181:AX183)</f>
        <v>81.114999999999995</v>
      </c>
      <c r="AY30" s="342">
        <f>+AT30+SUM(AY181:AY183)</f>
        <v>82.249782648835492</v>
      </c>
      <c r="AZ30" s="342">
        <f>+AU30+SUM(AZ181:AZ183)</f>
        <v>94.303174172446973</v>
      </c>
      <c r="BA30" s="395">
        <f>+AV30+SUM(BA181:BA183)</f>
        <v>93.210674172446971</v>
      </c>
      <c r="BB30" s="77">
        <f>SUM(AX30:BA30)</f>
        <v>350.87863099372942</v>
      </c>
      <c r="BC30" s="394">
        <f>+AX30+SUM(BC181:BC183)</f>
        <v>94.817190814503562</v>
      </c>
      <c r="BD30" s="342">
        <f>+AY30+SUM(BD181:BD183)</f>
        <v>101.84260077487367</v>
      </c>
      <c r="BE30" s="342">
        <f>+AY30+SUM(BE181:BE183)</f>
        <v>98.891486286046359</v>
      </c>
      <c r="BF30" s="395">
        <f>+BA30+SUM(BF181:BF183)</f>
        <v>108.73310248360463</v>
      </c>
      <c r="BG30" s="77">
        <f>SUM(BC30:BF30)</f>
        <v>404.28438035902821</v>
      </c>
      <c r="BH30" s="394">
        <f>+BC30+SUM(BH181:BH183)</f>
        <v>110.80127817033917</v>
      </c>
      <c r="BI30" s="342">
        <f>+BD30+SUM(BI181:BI183)</f>
        <v>120.19971265720301</v>
      </c>
      <c r="BJ30" s="342">
        <f>+BE30+SUM(BJ181:BJ183)</f>
        <v>112.72225400469306</v>
      </c>
      <c r="BK30" s="395">
        <f>+BF30+SUM(BK181:BK183)</f>
        <v>122.144446328124</v>
      </c>
      <c r="BL30" s="77">
        <f>SUM(BH30:BK30)</f>
        <v>465.86769116035924</v>
      </c>
      <c r="BM30" s="394">
        <f>+BH30+SUM(BM181:BM183)</f>
        <v>124.11663816740399</v>
      </c>
      <c r="BN30" s="342">
        <f>+BI30+SUM(BN181:BN183)</f>
        <v>136.00901815922265</v>
      </c>
      <c r="BO30" s="342">
        <f>+BJ30+SUM(BO181:BO183)</f>
        <v>121.72063034472822</v>
      </c>
      <c r="BP30" s="395">
        <f>+BK30+SUM(BP181:BP183)</f>
        <v>130.90004675663133</v>
      </c>
      <c r="BQ30" s="77">
        <f>SUM(BM30:BP30)</f>
        <v>512.7463334279862</v>
      </c>
      <c r="BR30" s="77"/>
      <c r="BS30" s="1739"/>
      <c r="BU30" s="698"/>
      <c r="BW30" s="1651"/>
      <c r="BX30" s="77"/>
      <c r="BY30" s="77"/>
      <c r="BZ30" s="77"/>
      <c r="CA30" s="77"/>
      <c r="CB30" s="77"/>
      <c r="CC30" s="77"/>
      <c r="CD30" s="77"/>
      <c r="CE30" s="77"/>
      <c r="CF30" s="77"/>
      <c r="CG30" s="77"/>
      <c r="CH30" s="77"/>
      <c r="CI30" s="77"/>
      <c r="CJ30" s="77"/>
      <c r="CK30" s="77"/>
      <c r="CL30" s="77"/>
      <c r="CM30" s="77"/>
      <c r="CN30" s="77"/>
      <c r="CO30" s="77"/>
      <c r="CP30" s="77"/>
      <c r="CQ30" s="77"/>
      <c r="CR30" s="77"/>
      <c r="CS30" s="77"/>
      <c r="CT30" s="77"/>
      <c r="CU30" s="77"/>
      <c r="CV30" s="77"/>
      <c r="CW30" s="77"/>
      <c r="CX30" s="77"/>
      <c r="CY30" s="77"/>
      <c r="CZ30" s="77"/>
      <c r="DA30" s="77"/>
      <c r="DB30" s="77"/>
      <c r="DC30" s="77"/>
      <c r="DD30" s="77"/>
      <c r="DE30" s="77"/>
      <c r="DF30" s="77"/>
    </row>
    <row r="31" spans="1:110">
      <c r="A31" s="451"/>
      <c r="B31" s="451"/>
      <c r="C31" s="37"/>
      <c r="D31" s="451"/>
      <c r="E31" s="418"/>
      <c r="F31" s="353"/>
      <c r="G31" s="353"/>
      <c r="H31" s="419"/>
      <c r="I31" s="589"/>
      <c r="J31" s="418"/>
      <c r="K31" s="353"/>
      <c r="L31" s="353"/>
      <c r="M31" s="419"/>
      <c r="N31" s="589"/>
      <c r="O31" s="418"/>
      <c r="P31" s="348"/>
      <c r="Q31" s="348"/>
      <c r="R31" s="405"/>
      <c r="S31" s="451"/>
      <c r="T31" s="418"/>
      <c r="U31" s="348"/>
      <c r="V31" s="348"/>
      <c r="W31" s="405"/>
      <c r="X31" s="77"/>
      <c r="Y31" s="398"/>
      <c r="Z31" s="342"/>
      <c r="AA31" s="342"/>
      <c r="AB31" s="395"/>
      <c r="AC31" s="77"/>
      <c r="AD31" s="398"/>
      <c r="AE31" s="342"/>
      <c r="AF31" s="342"/>
      <c r="AG31" s="395"/>
      <c r="AH31" s="77"/>
      <c r="AI31" s="398"/>
      <c r="AJ31" s="342"/>
      <c r="AK31" s="342"/>
      <c r="AL31" s="395"/>
      <c r="AM31" s="77"/>
      <c r="AN31" s="406"/>
      <c r="AO31" s="342"/>
      <c r="AP31" s="342"/>
      <c r="AQ31" s="395"/>
      <c r="AR31" s="77"/>
      <c r="AS31" s="406"/>
      <c r="AT31" s="342"/>
      <c r="AU31" s="342"/>
      <c r="AV31" s="395"/>
      <c r="AW31" s="77"/>
      <c r="AX31" s="406"/>
      <c r="AY31" s="348"/>
      <c r="AZ31" s="348"/>
      <c r="BA31" s="405"/>
      <c r="BB31" s="451"/>
      <c r="BC31" s="406"/>
      <c r="BD31" s="348"/>
      <c r="BE31" s="348"/>
      <c r="BF31" s="405"/>
      <c r="BG31" s="451"/>
      <c r="BH31" s="406"/>
      <c r="BI31" s="348"/>
      <c r="BJ31" s="348"/>
      <c r="BK31" s="405"/>
      <c r="BL31" s="451"/>
      <c r="BM31" s="406"/>
      <c r="BN31" s="348"/>
      <c r="BO31" s="348"/>
      <c r="BP31" s="405"/>
      <c r="BQ31" s="451"/>
      <c r="BR31" s="451"/>
      <c r="BS31" s="451"/>
      <c r="BT31" s="451"/>
      <c r="BU31" s="783"/>
      <c r="BV31" s="451"/>
      <c r="BW31" s="1651"/>
      <c r="BX31" s="77"/>
      <c r="BY31" s="451"/>
      <c r="BZ31" s="451"/>
      <c r="CA31" s="451"/>
      <c r="CB31" s="451"/>
      <c r="CC31" s="451"/>
      <c r="CD31" s="451"/>
      <c r="CE31" s="451"/>
      <c r="CF31" s="451"/>
      <c r="CG31" s="451"/>
      <c r="CH31" s="451"/>
      <c r="CI31" s="451"/>
      <c r="CJ31" s="451"/>
      <c r="CK31" s="451"/>
      <c r="CL31" s="451"/>
      <c r="CM31" s="451"/>
      <c r="CN31" s="451"/>
      <c r="CO31" s="451"/>
      <c r="CP31" s="451"/>
      <c r="CQ31" s="451"/>
      <c r="CR31" s="451"/>
      <c r="CS31" s="451"/>
      <c r="CT31" s="451"/>
      <c r="CU31" s="451"/>
      <c r="CV31" s="451"/>
      <c r="CW31" s="451"/>
      <c r="CX31" s="451"/>
      <c r="CY31" s="451"/>
      <c r="CZ31" s="451"/>
      <c r="DA31" s="451"/>
    </row>
    <row r="32" spans="1:110">
      <c r="A32" s="451"/>
      <c r="B32" s="451"/>
      <c r="C32" s="49" t="s">
        <v>625</v>
      </c>
      <c r="D32" s="77"/>
      <c r="E32" s="396">
        <f>E27-E30</f>
        <v>208.75</v>
      </c>
      <c r="F32" s="343">
        <f t="shared" ref="F32:V32" si="30">F27-F30</f>
        <v>72.75</v>
      </c>
      <c r="G32" s="343">
        <f t="shared" si="30"/>
        <v>150.75</v>
      </c>
      <c r="H32" s="397">
        <f t="shared" si="30"/>
        <v>117.75</v>
      </c>
      <c r="I32" s="297">
        <f t="shared" si="30"/>
        <v>550</v>
      </c>
      <c r="J32" s="396">
        <f t="shared" si="30"/>
        <v>198</v>
      </c>
      <c r="K32" s="343">
        <f t="shared" si="30"/>
        <v>-6</v>
      </c>
      <c r="L32" s="343">
        <f t="shared" si="30"/>
        <v>256</v>
      </c>
      <c r="M32" s="397">
        <f t="shared" si="30"/>
        <v>142</v>
      </c>
      <c r="N32" s="297">
        <f t="shared" si="30"/>
        <v>590</v>
      </c>
      <c r="O32" s="396">
        <f t="shared" si="30"/>
        <v>274</v>
      </c>
      <c r="P32" s="343">
        <f t="shared" si="30"/>
        <v>178</v>
      </c>
      <c r="Q32" s="343">
        <f t="shared" si="30"/>
        <v>257</v>
      </c>
      <c r="R32" s="397">
        <f t="shared" si="30"/>
        <v>152</v>
      </c>
      <c r="S32" s="297">
        <f t="shared" si="30"/>
        <v>861</v>
      </c>
      <c r="T32" s="396">
        <f t="shared" si="30"/>
        <v>279</v>
      </c>
      <c r="U32" s="343">
        <f t="shared" si="30"/>
        <v>164</v>
      </c>
      <c r="V32" s="343">
        <f t="shared" si="30"/>
        <v>258</v>
      </c>
      <c r="W32" s="397">
        <f t="shared" ref="W32:AE32" si="31">W27-W30</f>
        <v>134</v>
      </c>
      <c r="X32" s="297">
        <f t="shared" si="31"/>
        <v>835</v>
      </c>
      <c r="Y32" s="396">
        <f t="shared" si="31"/>
        <v>304</v>
      </c>
      <c r="Z32" s="343">
        <f t="shared" si="31"/>
        <v>192</v>
      </c>
      <c r="AA32" s="343">
        <f t="shared" si="31"/>
        <v>283</v>
      </c>
      <c r="AB32" s="397">
        <f t="shared" si="31"/>
        <v>214</v>
      </c>
      <c r="AC32" s="297">
        <f t="shared" si="31"/>
        <v>993</v>
      </c>
      <c r="AD32" s="396">
        <f>AD27-AD30</f>
        <v>357</v>
      </c>
      <c r="AE32" s="343">
        <f t="shared" si="31"/>
        <v>237</v>
      </c>
      <c r="AF32" s="343">
        <f t="shared" ref="AF32:AK32" si="32">AF27-AF30</f>
        <v>326</v>
      </c>
      <c r="AG32" s="397">
        <f t="shared" si="32"/>
        <v>254</v>
      </c>
      <c r="AH32" s="297">
        <f t="shared" si="32"/>
        <v>1174</v>
      </c>
      <c r="AI32" s="396">
        <f t="shared" si="32"/>
        <v>399</v>
      </c>
      <c r="AJ32" s="343">
        <f t="shared" si="32"/>
        <v>271</v>
      </c>
      <c r="AK32" s="343">
        <f t="shared" si="32"/>
        <v>359</v>
      </c>
      <c r="AL32" s="397">
        <f t="shared" ref="AL32:AR32" si="33">AL27-AL30</f>
        <v>228</v>
      </c>
      <c r="AM32" s="297">
        <f t="shared" si="33"/>
        <v>1257</v>
      </c>
      <c r="AN32" s="396">
        <f t="shared" si="33"/>
        <v>413</v>
      </c>
      <c r="AO32" s="343">
        <f t="shared" si="33"/>
        <v>277</v>
      </c>
      <c r="AP32" s="343">
        <f t="shared" si="33"/>
        <v>399</v>
      </c>
      <c r="AQ32" s="397">
        <f t="shared" si="33"/>
        <v>315</v>
      </c>
      <c r="AR32" s="297">
        <f t="shared" si="33"/>
        <v>1404</v>
      </c>
      <c r="AS32" s="396">
        <f t="shared" ref="AS32:AY32" si="34">AS27-AS30</f>
        <v>470</v>
      </c>
      <c r="AT32" s="343">
        <f t="shared" si="34"/>
        <v>331</v>
      </c>
      <c r="AU32" s="343">
        <f t="shared" si="34"/>
        <v>402</v>
      </c>
      <c r="AV32" s="397">
        <f t="shared" si="34"/>
        <v>333</v>
      </c>
      <c r="AW32" s="297">
        <f t="shared" si="34"/>
        <v>1536</v>
      </c>
      <c r="AX32" s="396">
        <f t="shared" si="34"/>
        <v>430.75264436471082</v>
      </c>
      <c r="AY32" s="343">
        <f t="shared" si="34"/>
        <v>275.01646808520189</v>
      </c>
      <c r="AZ32" s="343">
        <f>AZ27-AZ30</f>
        <v>346.69806639092116</v>
      </c>
      <c r="BA32" s="397">
        <f>BA27-BA30</f>
        <v>293.40519821306088</v>
      </c>
      <c r="BB32" s="297">
        <f>BB27-BB30</f>
        <v>1345.8723770538945</v>
      </c>
      <c r="BC32" s="396">
        <f t="shared" ref="BC32:BL32" si="35">BC27-BC30</f>
        <v>476.01295756086802</v>
      </c>
      <c r="BD32" s="343">
        <f t="shared" si="35"/>
        <v>315.71808118635761</v>
      </c>
      <c r="BE32" s="343">
        <f t="shared" si="35"/>
        <v>314.82394216718626</v>
      </c>
      <c r="BF32" s="397">
        <f t="shared" si="35"/>
        <v>335.35493439771744</v>
      </c>
      <c r="BG32" s="297">
        <f t="shared" si="35"/>
        <v>1441.9099153121301</v>
      </c>
      <c r="BH32" s="396">
        <f t="shared" si="35"/>
        <v>497.13269541980435</v>
      </c>
      <c r="BI32" s="343">
        <f t="shared" si="35"/>
        <v>335.72032896307906</v>
      </c>
      <c r="BJ32" s="343">
        <f t="shared" si="35"/>
        <v>339.55743941795885</v>
      </c>
      <c r="BK32" s="397">
        <f t="shared" si="35"/>
        <v>361.57404402188831</v>
      </c>
      <c r="BL32" s="297">
        <f t="shared" si="35"/>
        <v>1533.9845078227299</v>
      </c>
      <c r="BM32" s="396">
        <f>BM27-BM30</f>
        <v>516.62062341015996</v>
      </c>
      <c r="BN32" s="343">
        <f>BN27-BN30</f>
        <v>353.49008921308342</v>
      </c>
      <c r="BO32" s="343">
        <f>BO27-BO30</f>
        <v>365.02721642488848</v>
      </c>
      <c r="BP32" s="397">
        <f>BP27-BP30</f>
        <v>389.17636526159447</v>
      </c>
      <c r="BQ32" s="297">
        <f>BQ27-BQ30</f>
        <v>1624.3142943097266</v>
      </c>
      <c r="BR32" s="297"/>
      <c r="BS32" s="451"/>
      <c r="BT32" s="451"/>
      <c r="BU32" s="451"/>
      <c r="BV32" s="451"/>
      <c r="BW32" s="1652"/>
      <c r="BX32" s="77"/>
      <c r="BY32" s="451"/>
      <c r="BZ32" s="451"/>
      <c r="CA32" s="451"/>
      <c r="CB32" s="451"/>
      <c r="CC32" s="451"/>
      <c r="CD32" s="451"/>
      <c r="CE32" s="451"/>
      <c r="CF32" s="451"/>
      <c r="CG32" s="451"/>
      <c r="CH32" s="451"/>
      <c r="CI32" s="451"/>
      <c r="CJ32" s="451"/>
      <c r="CK32" s="451"/>
      <c r="CL32" s="451"/>
      <c r="CM32" s="451"/>
      <c r="CN32" s="451"/>
      <c r="CO32" s="451"/>
      <c r="CP32" s="451"/>
      <c r="CQ32" s="451"/>
      <c r="CR32" s="451"/>
      <c r="CS32" s="451"/>
      <c r="CT32" s="451"/>
      <c r="CU32" s="451"/>
      <c r="CV32" s="451"/>
      <c r="CW32" s="451"/>
      <c r="CX32" s="451"/>
      <c r="CY32" s="451"/>
      <c r="CZ32" s="451"/>
      <c r="DA32" s="451"/>
    </row>
    <row r="33" spans="1:105">
      <c r="A33" s="451"/>
      <c r="B33" s="451"/>
      <c r="C33" s="37"/>
      <c r="D33" s="451"/>
      <c r="E33" s="406"/>
      <c r="F33" s="348"/>
      <c r="G33" s="348"/>
      <c r="H33" s="405"/>
      <c r="I33" s="451"/>
      <c r="J33" s="406"/>
      <c r="K33" s="348"/>
      <c r="L33" s="348"/>
      <c r="M33" s="405"/>
      <c r="N33" s="451"/>
      <c r="O33" s="406"/>
      <c r="P33" s="348"/>
      <c r="Q33" s="348"/>
      <c r="R33" s="405"/>
      <c r="S33" s="451"/>
      <c r="T33" s="406"/>
      <c r="U33" s="348"/>
      <c r="V33" s="348"/>
      <c r="W33" s="405"/>
      <c r="X33" s="77"/>
      <c r="Y33" s="394"/>
      <c r="Z33" s="342"/>
      <c r="AA33" s="342"/>
      <c r="AB33" s="395"/>
      <c r="AC33" s="77"/>
      <c r="AD33" s="394"/>
      <c r="AE33" s="342"/>
      <c r="AF33" s="342"/>
      <c r="AG33" s="395"/>
      <c r="AH33" s="77"/>
      <c r="AI33" s="394"/>
      <c r="AJ33" s="342"/>
      <c r="AK33" s="342"/>
      <c r="AL33" s="395"/>
      <c r="AM33" s="77"/>
      <c r="AN33" s="406"/>
      <c r="AO33" s="342"/>
      <c r="AP33" s="342"/>
      <c r="AQ33" s="395"/>
      <c r="AR33" s="77"/>
      <c r="AS33" s="406"/>
      <c r="AT33" s="342"/>
      <c r="AU33" s="342"/>
      <c r="AV33" s="395"/>
      <c r="AW33" s="77"/>
      <c r="AX33" s="406"/>
      <c r="AY33" s="348"/>
      <c r="AZ33" s="348"/>
      <c r="BA33" s="405"/>
      <c r="BB33" s="451"/>
      <c r="BC33" s="406"/>
      <c r="BD33" s="348"/>
      <c r="BE33" s="348"/>
      <c r="BF33" s="405"/>
      <c r="BG33" s="451"/>
      <c r="BH33" s="406"/>
      <c r="BI33" s="348"/>
      <c r="BJ33" s="348"/>
      <c r="BK33" s="405"/>
      <c r="BL33" s="451"/>
      <c r="BM33" s="406"/>
      <c r="BN33" s="348"/>
      <c r="BO33" s="348"/>
      <c r="BP33" s="405"/>
      <c r="BQ33" s="451"/>
      <c r="BR33" s="451"/>
      <c r="BS33" s="451"/>
      <c r="BT33" s="451"/>
      <c r="BU33" s="451"/>
      <c r="BV33" s="451"/>
      <c r="BW33" s="1651"/>
      <c r="BX33" s="77"/>
      <c r="BY33" s="451"/>
      <c r="BZ33" s="451"/>
      <c r="CA33" s="451"/>
      <c r="CB33" s="451"/>
      <c r="CC33" s="451"/>
      <c r="CD33" s="451"/>
      <c r="CE33" s="451"/>
      <c r="CF33" s="451"/>
      <c r="CG33" s="451"/>
      <c r="CH33" s="451"/>
      <c r="CI33" s="451"/>
      <c r="CJ33" s="451"/>
      <c r="CK33" s="451"/>
      <c r="CL33" s="451"/>
      <c r="CM33" s="451"/>
      <c r="CN33" s="451"/>
      <c r="CO33" s="451"/>
      <c r="CP33" s="451"/>
      <c r="CQ33" s="451"/>
      <c r="CR33" s="451"/>
      <c r="CS33" s="451"/>
      <c r="CT33" s="451"/>
      <c r="CU33" s="451"/>
      <c r="CV33" s="451"/>
      <c r="CW33" s="451"/>
      <c r="CX33" s="451"/>
      <c r="CY33" s="451"/>
      <c r="CZ33" s="451"/>
      <c r="DA33" s="451"/>
    </row>
    <row r="34" spans="1:105">
      <c r="A34" s="451"/>
      <c r="B34" s="451"/>
      <c r="C34" s="37" t="s">
        <v>386</v>
      </c>
      <c r="D34" s="451"/>
      <c r="E34" s="456">
        <v>85</v>
      </c>
      <c r="F34" s="457">
        <v>29</v>
      </c>
      <c r="G34" s="457">
        <v>63</v>
      </c>
      <c r="H34" s="784">
        <f>I34-SUM(E34:G34)</f>
        <v>49</v>
      </c>
      <c r="I34" s="590">
        <v>226</v>
      </c>
      <c r="J34" s="456">
        <v>80</v>
      </c>
      <c r="K34" s="457">
        <v>-9</v>
      </c>
      <c r="L34" s="457">
        <v>101</v>
      </c>
      <c r="M34" s="784">
        <f>N34-SUM(J34:L34)</f>
        <v>60</v>
      </c>
      <c r="N34" s="590">
        <v>232</v>
      </c>
      <c r="O34" s="456">
        <v>111</v>
      </c>
      <c r="P34" s="457">
        <v>73</v>
      </c>
      <c r="Q34" s="457">
        <v>103</v>
      </c>
      <c r="R34" s="405">
        <f>S34-SUM(O34:Q34)</f>
        <v>53</v>
      </c>
      <c r="S34" s="590">
        <v>340</v>
      </c>
      <c r="T34" s="456">
        <v>82</v>
      </c>
      <c r="U34" s="457">
        <v>63</v>
      </c>
      <c r="V34" s="457">
        <v>103</v>
      </c>
      <c r="W34" s="405">
        <f>X34-SUM(T34:V34)</f>
        <v>59</v>
      </c>
      <c r="X34" s="462">
        <v>307</v>
      </c>
      <c r="Y34" s="459">
        <v>125</v>
      </c>
      <c r="Z34" s="460">
        <v>71</v>
      </c>
      <c r="AA34" s="460">
        <v>115</v>
      </c>
      <c r="AB34" s="395">
        <f>AC34-SUM(Y34:AA34)</f>
        <v>70</v>
      </c>
      <c r="AC34" s="462">
        <v>381</v>
      </c>
      <c r="AD34" s="459">
        <v>143</v>
      </c>
      <c r="AE34" s="460">
        <v>86</v>
      </c>
      <c r="AF34" s="460">
        <v>126</v>
      </c>
      <c r="AG34" s="395">
        <f>AH34-SUM(AD34:AF34)</f>
        <v>94</v>
      </c>
      <c r="AH34" s="462">
        <v>449</v>
      </c>
      <c r="AI34" s="459">
        <v>157</v>
      </c>
      <c r="AJ34" s="460">
        <v>104</v>
      </c>
      <c r="AK34" s="460">
        <v>137</v>
      </c>
      <c r="AL34" s="395">
        <f>AM34-SUM(AI34:AK34)</f>
        <v>72</v>
      </c>
      <c r="AM34" s="462">
        <v>470</v>
      </c>
      <c r="AN34" s="459">
        <v>151</v>
      </c>
      <c r="AO34" s="460">
        <v>98</v>
      </c>
      <c r="AP34" s="460">
        <v>144</v>
      </c>
      <c r="AQ34" s="395">
        <f>AR34-SUM(AN34:AP34)</f>
        <v>122</v>
      </c>
      <c r="AR34" s="462">
        <v>515</v>
      </c>
      <c r="AS34" s="459">
        <v>171</v>
      </c>
      <c r="AT34" s="460">
        <v>123</v>
      </c>
      <c r="AU34" s="460">
        <v>156</v>
      </c>
      <c r="AV34" s="395">
        <f>AW34-SUM(AS34:AU34)</f>
        <v>113</v>
      </c>
      <c r="AW34" s="462">
        <v>563</v>
      </c>
      <c r="AX34" s="406">
        <f>AX65*(AX32)</f>
        <v>99.073108203883493</v>
      </c>
      <c r="AY34" s="348">
        <f>AY65*(AY32)</f>
        <v>63.253787659596441</v>
      </c>
      <c r="AZ34" s="348">
        <f>AZ65*(AZ32)</f>
        <v>79.740555269911866</v>
      </c>
      <c r="BA34" s="405">
        <f>BA65*(BA32)</f>
        <v>67.483195589004012</v>
      </c>
      <c r="BB34" s="451">
        <f>SUM(AX34:BA34)</f>
        <v>309.55064672239581</v>
      </c>
      <c r="BC34" s="406">
        <f>BC65*(BC32)</f>
        <v>109.48298023899964</v>
      </c>
      <c r="BD34" s="348">
        <f>BD65*(BD32)</f>
        <v>72.61515867286225</v>
      </c>
      <c r="BE34" s="348">
        <f>BE65*(BE32)</f>
        <v>72.409506698452844</v>
      </c>
      <c r="BF34" s="405">
        <f>BF65*(BF32)</f>
        <v>77.131634911475018</v>
      </c>
      <c r="BG34" s="451">
        <f>SUM(BC34:BF34)</f>
        <v>331.63928052178977</v>
      </c>
      <c r="BH34" s="406">
        <f>BH65*(BH32)</f>
        <v>114.34051994655501</v>
      </c>
      <c r="BI34" s="348">
        <f>BI65*(BI32)</f>
        <v>77.215675661508186</v>
      </c>
      <c r="BJ34" s="348">
        <f>BJ65*(BJ32)</f>
        <v>78.098211066130531</v>
      </c>
      <c r="BK34" s="405">
        <f>BK65*(BK32)</f>
        <v>83.16203012503432</v>
      </c>
      <c r="BL34" s="451">
        <f>SUM(BH34:BK34)</f>
        <v>352.81643679922809</v>
      </c>
      <c r="BM34" s="406">
        <f>BM65*(BM32)</f>
        <v>118.8227433843368</v>
      </c>
      <c r="BN34" s="348">
        <f>BN65*(BN32)</f>
        <v>81.302720519009185</v>
      </c>
      <c r="BO34" s="348">
        <f>BO65*(BO32)</f>
        <v>83.956259777724355</v>
      </c>
      <c r="BP34" s="405">
        <f>BP65*(BP32)</f>
        <v>89.510564010166732</v>
      </c>
      <c r="BQ34" s="451">
        <f>SUM(BM34:BP34)</f>
        <v>373.59228769123706</v>
      </c>
      <c r="BR34" s="451"/>
      <c r="BS34" s="451"/>
      <c r="BT34" s="451"/>
      <c r="BU34" s="1582"/>
      <c r="BV34" s="451"/>
      <c r="BW34" s="1651"/>
      <c r="BX34" s="77"/>
      <c r="BY34" s="451"/>
      <c r="BZ34" s="451"/>
      <c r="CA34" s="451"/>
      <c r="CB34" s="451"/>
      <c r="CC34" s="451"/>
      <c r="CD34" s="451"/>
      <c r="CE34" s="451"/>
      <c r="CF34" s="451"/>
      <c r="CG34" s="451"/>
      <c r="CH34" s="451"/>
      <c r="CI34" s="451"/>
      <c r="CJ34" s="451"/>
      <c r="CK34" s="451"/>
      <c r="CL34" s="451"/>
      <c r="CM34" s="451"/>
      <c r="CN34" s="451"/>
      <c r="CO34" s="451"/>
      <c r="CP34" s="451"/>
      <c r="CQ34" s="451"/>
      <c r="CR34" s="451"/>
      <c r="CS34" s="451"/>
      <c r="CT34" s="451"/>
      <c r="CU34" s="451"/>
      <c r="CV34" s="451"/>
      <c r="CW34" s="451"/>
      <c r="CX34" s="451"/>
      <c r="CY34" s="451"/>
      <c r="CZ34" s="451"/>
      <c r="DA34" s="451"/>
    </row>
    <row r="35" spans="1:105">
      <c r="A35" s="451"/>
      <c r="B35" s="451"/>
      <c r="C35" s="37"/>
      <c r="D35" s="451"/>
      <c r="E35" s="456"/>
      <c r="F35" s="457"/>
      <c r="G35" s="457"/>
      <c r="H35" s="458"/>
      <c r="I35" s="590"/>
      <c r="J35" s="456"/>
      <c r="K35" s="457"/>
      <c r="L35" s="457"/>
      <c r="M35" s="458"/>
      <c r="N35" s="590"/>
      <c r="O35" s="456"/>
      <c r="P35" s="457"/>
      <c r="Q35" s="348"/>
      <c r="R35" s="405"/>
      <c r="S35" s="451"/>
      <c r="T35" s="456"/>
      <c r="U35" s="457"/>
      <c r="V35" s="457"/>
      <c r="W35" s="405"/>
      <c r="X35" s="77"/>
      <c r="Y35" s="459"/>
      <c r="Z35" s="460"/>
      <c r="AA35" s="460"/>
      <c r="AB35" s="395"/>
      <c r="AC35" s="77"/>
      <c r="AD35" s="459"/>
      <c r="AE35" s="460"/>
      <c r="AF35" s="460"/>
      <c r="AG35" s="395"/>
      <c r="AH35" s="77"/>
      <c r="AI35" s="459"/>
      <c r="AJ35" s="460"/>
      <c r="AK35" s="460"/>
      <c r="AL35" s="395"/>
      <c r="AM35" s="77"/>
      <c r="AN35" s="406"/>
      <c r="AO35" s="460"/>
      <c r="AP35" s="460"/>
      <c r="AQ35" s="395"/>
      <c r="AR35" s="77"/>
      <c r="AS35" s="406"/>
      <c r="AT35" s="460"/>
      <c r="AU35" s="460"/>
      <c r="AV35" s="395"/>
      <c r="AW35" s="77"/>
      <c r="AX35" s="406"/>
      <c r="AY35" s="348"/>
      <c r="AZ35" s="348"/>
      <c r="BA35" s="405"/>
      <c r="BB35" s="451"/>
      <c r="BC35" s="406"/>
      <c r="BD35" s="348"/>
      <c r="BE35" s="348"/>
      <c r="BF35" s="405"/>
      <c r="BG35" s="451"/>
      <c r="BH35" s="406"/>
      <c r="BI35" s="348"/>
      <c r="BJ35" s="348"/>
      <c r="BK35" s="405"/>
      <c r="BL35" s="451"/>
      <c r="BM35" s="406"/>
      <c r="BN35" s="348"/>
      <c r="BO35" s="348"/>
      <c r="BP35" s="405"/>
      <c r="BQ35" s="451"/>
      <c r="BR35" s="451"/>
      <c r="BS35" s="451"/>
      <c r="BT35" s="451"/>
      <c r="BU35" s="451"/>
      <c r="BV35" s="451"/>
      <c r="BW35" s="1651"/>
      <c r="BX35" s="77"/>
      <c r="BY35" s="451"/>
      <c r="BZ35" s="451"/>
      <c r="CA35" s="451"/>
      <c r="CB35" s="451"/>
      <c r="CC35" s="451"/>
      <c r="CD35" s="451"/>
      <c r="CE35" s="451"/>
      <c r="CF35" s="451"/>
      <c r="CG35" s="451"/>
      <c r="CH35" s="451"/>
      <c r="CI35" s="451"/>
      <c r="CJ35" s="451"/>
      <c r="CK35" s="451"/>
      <c r="CL35" s="451"/>
      <c r="CM35" s="451"/>
      <c r="CN35" s="451"/>
      <c r="CO35" s="451"/>
      <c r="CP35" s="451"/>
      <c r="CQ35" s="451"/>
      <c r="CR35" s="451"/>
      <c r="CS35" s="451"/>
      <c r="CT35" s="451"/>
      <c r="CU35" s="451"/>
      <c r="CV35" s="451"/>
      <c r="CW35" s="451"/>
      <c r="CX35" s="451"/>
      <c r="CY35" s="451"/>
      <c r="CZ35" s="451"/>
      <c r="DA35" s="451"/>
    </row>
    <row r="36" spans="1:105">
      <c r="A36" s="297"/>
      <c r="B36" s="297"/>
      <c r="C36" s="49" t="s">
        <v>90</v>
      </c>
      <c r="D36" s="297"/>
      <c r="E36" s="396">
        <f>E32-E34</f>
        <v>123.75</v>
      </c>
      <c r="F36" s="343">
        <f t="shared" ref="F36:V36" si="36">F32-F34</f>
        <v>43.75</v>
      </c>
      <c r="G36" s="343">
        <f t="shared" si="36"/>
        <v>87.75</v>
      </c>
      <c r="H36" s="397">
        <f t="shared" si="36"/>
        <v>68.75</v>
      </c>
      <c r="I36" s="297">
        <f t="shared" si="36"/>
        <v>324</v>
      </c>
      <c r="J36" s="396">
        <f t="shared" si="36"/>
        <v>118</v>
      </c>
      <c r="K36" s="343">
        <f t="shared" si="36"/>
        <v>3</v>
      </c>
      <c r="L36" s="343">
        <f t="shared" si="36"/>
        <v>155</v>
      </c>
      <c r="M36" s="397">
        <f t="shared" si="36"/>
        <v>82</v>
      </c>
      <c r="N36" s="297">
        <f t="shared" si="36"/>
        <v>358</v>
      </c>
      <c r="O36" s="396">
        <f t="shared" si="36"/>
        <v>163</v>
      </c>
      <c r="P36" s="343">
        <f t="shared" si="36"/>
        <v>105</v>
      </c>
      <c r="Q36" s="343">
        <f t="shared" si="36"/>
        <v>154</v>
      </c>
      <c r="R36" s="397">
        <f t="shared" si="36"/>
        <v>99</v>
      </c>
      <c r="S36" s="297">
        <f t="shared" si="36"/>
        <v>521</v>
      </c>
      <c r="T36" s="396">
        <f t="shared" si="36"/>
        <v>197</v>
      </c>
      <c r="U36" s="343">
        <f t="shared" si="36"/>
        <v>101</v>
      </c>
      <c r="V36" s="343">
        <f t="shared" si="36"/>
        <v>155</v>
      </c>
      <c r="W36" s="397">
        <f t="shared" ref="W36:AC36" si="37">W32-W34</f>
        <v>75</v>
      </c>
      <c r="X36" s="297">
        <f t="shared" si="37"/>
        <v>528</v>
      </c>
      <c r="Y36" s="396">
        <f t="shared" si="37"/>
        <v>179</v>
      </c>
      <c r="Z36" s="343">
        <f t="shared" si="37"/>
        <v>121</v>
      </c>
      <c r="AA36" s="343">
        <f t="shared" si="37"/>
        <v>168</v>
      </c>
      <c r="AB36" s="397">
        <f t="shared" si="37"/>
        <v>144</v>
      </c>
      <c r="AC36" s="297">
        <f t="shared" si="37"/>
        <v>612</v>
      </c>
      <c r="AD36" s="396">
        <f t="shared" ref="AD36:AI36" si="38">AD32-AD34</f>
        <v>214</v>
      </c>
      <c r="AE36" s="343">
        <f t="shared" si="38"/>
        <v>151</v>
      </c>
      <c r="AF36" s="343">
        <f t="shared" si="38"/>
        <v>200</v>
      </c>
      <c r="AG36" s="397">
        <f t="shared" si="38"/>
        <v>160</v>
      </c>
      <c r="AH36" s="297">
        <f t="shared" si="38"/>
        <v>725</v>
      </c>
      <c r="AI36" s="396">
        <f t="shared" si="38"/>
        <v>242</v>
      </c>
      <c r="AJ36" s="343">
        <f t="shared" ref="AJ36:AR36" si="39">AJ32-AJ34</f>
        <v>167</v>
      </c>
      <c r="AK36" s="343">
        <f t="shared" si="39"/>
        <v>222</v>
      </c>
      <c r="AL36" s="397">
        <f t="shared" si="39"/>
        <v>156</v>
      </c>
      <c r="AM36" s="297">
        <f t="shared" si="39"/>
        <v>787</v>
      </c>
      <c r="AN36" s="396">
        <f t="shared" si="39"/>
        <v>262</v>
      </c>
      <c r="AO36" s="343">
        <f t="shared" si="39"/>
        <v>179</v>
      </c>
      <c r="AP36" s="343">
        <f t="shared" si="39"/>
        <v>255</v>
      </c>
      <c r="AQ36" s="397">
        <f t="shared" si="39"/>
        <v>193</v>
      </c>
      <c r="AR36" s="297">
        <f t="shared" si="39"/>
        <v>889</v>
      </c>
      <c r="AS36" s="396">
        <f t="shared" ref="AS36:AY36" si="40">AS32-AS34</f>
        <v>299</v>
      </c>
      <c r="AT36" s="343">
        <f t="shared" si="40"/>
        <v>208</v>
      </c>
      <c r="AU36" s="343">
        <f t="shared" si="40"/>
        <v>246</v>
      </c>
      <c r="AV36" s="397">
        <f t="shared" si="40"/>
        <v>220</v>
      </c>
      <c r="AW36" s="297">
        <f t="shared" si="40"/>
        <v>973</v>
      </c>
      <c r="AX36" s="396">
        <f t="shared" si="40"/>
        <v>331.6795361608273</v>
      </c>
      <c r="AY36" s="343">
        <f t="shared" si="40"/>
        <v>211.76268042560545</v>
      </c>
      <c r="AZ36" s="343">
        <f>AZ32-AZ34</f>
        <v>266.9575111210093</v>
      </c>
      <c r="BA36" s="397">
        <f>BA32-BA34</f>
        <v>225.92200262405686</v>
      </c>
      <c r="BB36" s="297">
        <f>BB32-BB34</f>
        <v>1036.3217303314987</v>
      </c>
      <c r="BC36" s="396">
        <f t="shared" ref="BC36:BL36" si="41">BC32-BC34</f>
        <v>366.52997732186839</v>
      </c>
      <c r="BD36" s="343">
        <f t="shared" si="41"/>
        <v>243.10292251349534</v>
      </c>
      <c r="BE36" s="343">
        <f t="shared" si="41"/>
        <v>242.41443546873342</v>
      </c>
      <c r="BF36" s="397">
        <f t="shared" si="41"/>
        <v>258.22329948624241</v>
      </c>
      <c r="BG36" s="297">
        <f t="shared" si="41"/>
        <v>1110.2706347903404</v>
      </c>
      <c r="BH36" s="396">
        <f t="shared" si="41"/>
        <v>382.79217547324936</v>
      </c>
      <c r="BI36" s="343">
        <f t="shared" si="41"/>
        <v>258.5046533015709</v>
      </c>
      <c r="BJ36" s="343">
        <f t="shared" si="41"/>
        <v>261.4592283518283</v>
      </c>
      <c r="BK36" s="397">
        <f t="shared" si="41"/>
        <v>278.41201389685398</v>
      </c>
      <c r="BL36" s="297">
        <f t="shared" si="41"/>
        <v>1181.1680710235019</v>
      </c>
      <c r="BM36" s="396">
        <f>BM32-BM34</f>
        <v>397.79788002582313</v>
      </c>
      <c r="BN36" s="343">
        <f>BN32-BN34</f>
        <v>272.18736869407422</v>
      </c>
      <c r="BO36" s="343">
        <f>BO32-BO34</f>
        <v>281.07095664716411</v>
      </c>
      <c r="BP36" s="397">
        <f>BP32-BP34</f>
        <v>299.66580125142775</v>
      </c>
      <c r="BQ36" s="297">
        <f>BQ32-BQ34</f>
        <v>1250.7220066184896</v>
      </c>
      <c r="BR36" s="297"/>
      <c r="BS36" s="297"/>
      <c r="BT36" s="297"/>
      <c r="BU36" s="593"/>
      <c r="BV36" s="297"/>
      <c r="BW36" s="1652"/>
      <c r="BX36" s="77"/>
      <c r="BY36" s="297"/>
      <c r="BZ36" s="297"/>
      <c r="CA36" s="297"/>
      <c r="CB36" s="297"/>
      <c r="CC36" s="297"/>
      <c r="CD36" s="297"/>
      <c r="CE36" s="297"/>
      <c r="CF36" s="297"/>
      <c r="CG36" s="297"/>
      <c r="CH36" s="297"/>
      <c r="CI36" s="297"/>
      <c r="CJ36" s="297"/>
      <c r="CK36" s="297"/>
      <c r="CL36" s="297"/>
      <c r="CM36" s="297"/>
      <c r="CN36" s="297"/>
      <c r="CO36" s="297"/>
      <c r="CP36" s="297"/>
      <c r="CQ36" s="297"/>
      <c r="CR36" s="297"/>
      <c r="CS36" s="297"/>
      <c r="CT36" s="297"/>
      <c r="CU36" s="297"/>
      <c r="CV36" s="297"/>
      <c r="CW36" s="297"/>
      <c r="CX36" s="297"/>
      <c r="CY36" s="297"/>
      <c r="CZ36" s="297"/>
      <c r="DA36" s="297"/>
    </row>
    <row r="37" spans="1:105">
      <c r="A37" s="1502"/>
      <c r="C37" s="305" t="s">
        <v>91</v>
      </c>
      <c r="E37" s="456">
        <v>0</v>
      </c>
      <c r="F37" s="457">
        <v>0</v>
      </c>
      <c r="G37" s="457">
        <v>0</v>
      </c>
      <c r="H37" s="395">
        <f>I37-SUM(E37:G37)</f>
        <v>0</v>
      </c>
      <c r="I37" s="590">
        <v>0</v>
      </c>
      <c r="J37" s="456">
        <v>0</v>
      </c>
      <c r="K37" s="457">
        <v>72</v>
      </c>
      <c r="L37" s="457">
        <v>0</v>
      </c>
      <c r="M37" s="395">
        <f>N37-SUM(J37:L37)</f>
        <v>0</v>
      </c>
      <c r="N37" s="590">
        <v>72</v>
      </c>
      <c r="O37" s="456"/>
      <c r="P37" s="457"/>
      <c r="Q37" s="785">
        <v>0</v>
      </c>
      <c r="R37" s="395">
        <v>0</v>
      </c>
      <c r="S37" s="786">
        <v>0</v>
      </c>
      <c r="T37" s="456">
        <v>0</v>
      </c>
      <c r="U37" s="457">
        <v>0</v>
      </c>
      <c r="V37" s="457">
        <v>0</v>
      </c>
      <c r="W37" s="395">
        <v>0</v>
      </c>
      <c r="X37" s="786">
        <f>SUM(T37:W37)</f>
        <v>0</v>
      </c>
      <c r="Y37" s="459">
        <v>0</v>
      </c>
      <c r="Z37" s="460">
        <v>0</v>
      </c>
      <c r="AA37" s="460">
        <v>0</v>
      </c>
      <c r="AB37" s="395">
        <v>0</v>
      </c>
      <c r="AC37" s="786">
        <f>SUM(Y37:AB37)</f>
        <v>0</v>
      </c>
      <c r="AD37" s="459">
        <v>0</v>
      </c>
      <c r="AE37" s="460">
        <v>0</v>
      </c>
      <c r="AF37" s="460">
        <v>0</v>
      </c>
      <c r="AG37" s="395">
        <v>0</v>
      </c>
      <c r="AH37" s="786">
        <f>SUM(AD37:AG37)</f>
        <v>0</v>
      </c>
      <c r="AI37" s="459">
        <v>0</v>
      </c>
      <c r="AJ37" s="460">
        <v>0</v>
      </c>
      <c r="AK37" s="460">
        <v>0</v>
      </c>
      <c r="AL37" s="395">
        <v>0</v>
      </c>
      <c r="AM37" s="786">
        <f>SUM(AI37:AL37)</f>
        <v>0</v>
      </c>
      <c r="AN37" s="459">
        <v>0</v>
      </c>
      <c r="AO37" s="460">
        <v>0</v>
      </c>
      <c r="AP37" s="460">
        <v>0</v>
      </c>
      <c r="AQ37" s="395">
        <f>AR37-SUM(AN37:AP37)</f>
        <v>0</v>
      </c>
      <c r="AR37" s="462">
        <v>0</v>
      </c>
      <c r="AS37" s="459">
        <v>0</v>
      </c>
      <c r="AT37" s="460">
        <v>0</v>
      </c>
      <c r="AU37" s="460">
        <v>0</v>
      </c>
      <c r="AV37" s="395">
        <f>AW37-SUM(AS37:AU37)</f>
        <v>-10</v>
      </c>
      <c r="AW37" s="462">
        <v>-10</v>
      </c>
      <c r="AX37" s="398">
        <v>0</v>
      </c>
      <c r="AY37" s="344">
        <v>0</v>
      </c>
      <c r="AZ37" s="344">
        <v>0</v>
      </c>
      <c r="BA37" s="399">
        <v>0</v>
      </c>
      <c r="BB37" s="451">
        <f>SUM(AX37:BA37)</f>
        <v>0</v>
      </c>
      <c r="BC37" s="398">
        <v>0</v>
      </c>
      <c r="BD37" s="344">
        <v>0</v>
      </c>
      <c r="BE37" s="344">
        <v>0</v>
      </c>
      <c r="BF37" s="399">
        <v>0</v>
      </c>
      <c r="BG37" s="451">
        <f>SUM(BC37:BF37)</f>
        <v>0</v>
      </c>
      <c r="BH37" s="398">
        <v>0</v>
      </c>
      <c r="BI37" s="344">
        <v>0</v>
      </c>
      <c r="BJ37" s="344">
        <v>0</v>
      </c>
      <c r="BK37" s="399">
        <v>0</v>
      </c>
      <c r="BL37" s="451">
        <f>SUM(BH37:BK37)</f>
        <v>0</v>
      </c>
      <c r="BM37" s="398">
        <v>0</v>
      </c>
      <c r="BN37" s="344">
        <v>0</v>
      </c>
      <c r="BO37" s="344">
        <v>0</v>
      </c>
      <c r="BP37" s="399">
        <v>0</v>
      </c>
      <c r="BQ37" s="451">
        <f>SUM(BM37:BP37)</f>
        <v>0</v>
      </c>
      <c r="BR37" s="451"/>
      <c r="BW37" s="1651"/>
      <c r="BX37" s="77"/>
    </row>
    <row r="38" spans="1:105">
      <c r="A38" s="451"/>
      <c r="B38" s="451"/>
      <c r="C38" s="49" t="s">
        <v>421</v>
      </c>
      <c r="D38" s="451"/>
      <c r="E38" s="396">
        <f t="shared" ref="E38:S38" si="42">E36+E37</f>
        <v>123.75</v>
      </c>
      <c r="F38" s="343">
        <f t="shared" si="42"/>
        <v>43.75</v>
      </c>
      <c r="G38" s="343">
        <f t="shared" si="42"/>
        <v>87.75</v>
      </c>
      <c r="H38" s="397">
        <f t="shared" si="42"/>
        <v>68.75</v>
      </c>
      <c r="I38" s="297">
        <f t="shared" si="42"/>
        <v>324</v>
      </c>
      <c r="J38" s="396">
        <f t="shared" si="42"/>
        <v>118</v>
      </c>
      <c r="K38" s="343">
        <f t="shared" si="42"/>
        <v>75</v>
      </c>
      <c r="L38" s="343">
        <f t="shared" si="42"/>
        <v>155</v>
      </c>
      <c r="M38" s="397">
        <f t="shared" si="42"/>
        <v>82</v>
      </c>
      <c r="N38" s="297">
        <f t="shared" si="42"/>
        <v>430</v>
      </c>
      <c r="O38" s="396">
        <f>O36+O37</f>
        <v>163</v>
      </c>
      <c r="P38" s="343">
        <f>P36+P37</f>
        <v>105</v>
      </c>
      <c r="Q38" s="343">
        <f>Q36+Q37</f>
        <v>154</v>
      </c>
      <c r="R38" s="397">
        <f>R36+R37</f>
        <v>99</v>
      </c>
      <c r="S38" s="297">
        <f t="shared" si="42"/>
        <v>521</v>
      </c>
      <c r="T38" s="396">
        <f>T36+T37</f>
        <v>197</v>
      </c>
      <c r="U38" s="343">
        <f>U36+U37</f>
        <v>101</v>
      </c>
      <c r="V38" s="343">
        <f>V36+V37</f>
        <v>155</v>
      </c>
      <c r="W38" s="397">
        <f t="shared" ref="W38:AE38" si="43">W36+W37</f>
        <v>75</v>
      </c>
      <c r="X38" s="297">
        <f t="shared" si="43"/>
        <v>528</v>
      </c>
      <c r="Y38" s="396">
        <f t="shared" si="43"/>
        <v>179</v>
      </c>
      <c r="Z38" s="343">
        <f t="shared" si="43"/>
        <v>121</v>
      </c>
      <c r="AA38" s="343">
        <f t="shared" si="43"/>
        <v>168</v>
      </c>
      <c r="AB38" s="397">
        <f t="shared" si="43"/>
        <v>144</v>
      </c>
      <c r="AC38" s="297">
        <f t="shared" si="43"/>
        <v>612</v>
      </c>
      <c r="AD38" s="396">
        <f t="shared" si="43"/>
        <v>214</v>
      </c>
      <c r="AE38" s="343">
        <f t="shared" si="43"/>
        <v>151</v>
      </c>
      <c r="AF38" s="343">
        <f>AF36+AF37</f>
        <v>200</v>
      </c>
      <c r="AG38" s="397">
        <f>AG36+AG37</f>
        <v>160</v>
      </c>
      <c r="AH38" s="297">
        <f>AH36+AH37</f>
        <v>725</v>
      </c>
      <c r="AI38" s="396">
        <f>AI36+AI37</f>
        <v>242</v>
      </c>
      <c r="AJ38" s="343">
        <f>AJ36+AJ37</f>
        <v>167</v>
      </c>
      <c r="AK38" s="343">
        <f t="shared" ref="AK38:AP38" si="44">AK36+AK37</f>
        <v>222</v>
      </c>
      <c r="AL38" s="397">
        <f t="shared" si="44"/>
        <v>156</v>
      </c>
      <c r="AM38" s="297">
        <f t="shared" si="44"/>
        <v>787</v>
      </c>
      <c r="AN38" s="396">
        <f t="shared" si="44"/>
        <v>262</v>
      </c>
      <c r="AO38" s="343">
        <f t="shared" si="44"/>
        <v>179</v>
      </c>
      <c r="AP38" s="343">
        <f t="shared" si="44"/>
        <v>255</v>
      </c>
      <c r="AQ38" s="397">
        <f t="shared" ref="AQ38:AY38" si="45">AQ36+AQ37</f>
        <v>193</v>
      </c>
      <c r="AR38" s="297">
        <f t="shared" si="45"/>
        <v>889</v>
      </c>
      <c r="AS38" s="396">
        <f t="shared" si="45"/>
        <v>299</v>
      </c>
      <c r="AT38" s="343">
        <f t="shared" si="45"/>
        <v>208</v>
      </c>
      <c r="AU38" s="343">
        <f t="shared" si="45"/>
        <v>246</v>
      </c>
      <c r="AV38" s="397">
        <f t="shared" si="45"/>
        <v>210</v>
      </c>
      <c r="AW38" s="297">
        <f t="shared" si="45"/>
        <v>963</v>
      </c>
      <c r="AX38" s="396">
        <f t="shared" si="45"/>
        <v>331.6795361608273</v>
      </c>
      <c r="AY38" s="343">
        <f t="shared" si="45"/>
        <v>211.76268042560545</v>
      </c>
      <c r="AZ38" s="343">
        <f>AZ36+AZ37</f>
        <v>266.9575111210093</v>
      </c>
      <c r="BA38" s="397">
        <f>BA36+BA37</f>
        <v>225.92200262405686</v>
      </c>
      <c r="BB38" s="297">
        <f>BB36+BB37</f>
        <v>1036.3217303314987</v>
      </c>
      <c r="BC38" s="396">
        <f t="shared" ref="BC38:BL38" si="46">BC36+BC37</f>
        <v>366.52997732186839</v>
      </c>
      <c r="BD38" s="343">
        <f t="shared" si="46"/>
        <v>243.10292251349534</v>
      </c>
      <c r="BE38" s="343">
        <f t="shared" si="46"/>
        <v>242.41443546873342</v>
      </c>
      <c r="BF38" s="397">
        <f t="shared" si="46"/>
        <v>258.22329948624241</v>
      </c>
      <c r="BG38" s="297">
        <f t="shared" si="46"/>
        <v>1110.2706347903404</v>
      </c>
      <c r="BH38" s="396">
        <f t="shared" si="46"/>
        <v>382.79217547324936</v>
      </c>
      <c r="BI38" s="343">
        <f t="shared" si="46"/>
        <v>258.5046533015709</v>
      </c>
      <c r="BJ38" s="343">
        <f t="shared" si="46"/>
        <v>261.4592283518283</v>
      </c>
      <c r="BK38" s="397">
        <f t="shared" si="46"/>
        <v>278.41201389685398</v>
      </c>
      <c r="BL38" s="297">
        <f t="shared" si="46"/>
        <v>1181.1680710235019</v>
      </c>
      <c r="BM38" s="396">
        <f>BM36+BM37</f>
        <v>397.79788002582313</v>
      </c>
      <c r="BN38" s="343">
        <f>BN36+BN37</f>
        <v>272.18736869407422</v>
      </c>
      <c r="BO38" s="343">
        <f>BO36+BO37</f>
        <v>281.07095664716411</v>
      </c>
      <c r="BP38" s="397">
        <f>BP36+BP37</f>
        <v>299.66580125142775</v>
      </c>
      <c r="BQ38" s="297">
        <f>BQ36+BQ37</f>
        <v>1250.7220066184896</v>
      </c>
      <c r="BR38" s="297"/>
      <c r="BS38" s="451"/>
      <c r="BT38" s="451"/>
      <c r="BU38" s="451"/>
      <c r="BV38" s="451"/>
      <c r="BW38" s="1652"/>
      <c r="BX38" s="77"/>
      <c r="BY38" s="451"/>
      <c r="BZ38" s="451"/>
      <c r="CA38" s="451"/>
      <c r="CB38" s="451"/>
      <c r="CC38" s="451"/>
      <c r="CD38" s="451"/>
      <c r="CE38" s="451"/>
      <c r="CF38" s="451"/>
      <c r="CG38" s="451"/>
      <c r="CH38" s="451"/>
      <c r="CI38" s="451"/>
      <c r="CJ38" s="451"/>
      <c r="CK38" s="451"/>
      <c r="CL38" s="451"/>
      <c r="CM38" s="451"/>
      <c r="CN38" s="451"/>
      <c r="CO38" s="451"/>
      <c r="CP38" s="451"/>
      <c r="CQ38" s="451"/>
      <c r="CR38" s="451"/>
      <c r="CS38" s="451"/>
      <c r="CT38" s="451"/>
      <c r="CU38" s="451"/>
      <c r="CV38" s="451"/>
      <c r="CW38" s="451"/>
      <c r="CX38" s="451"/>
      <c r="CY38" s="451"/>
      <c r="CZ38" s="451"/>
      <c r="DA38" s="451"/>
    </row>
    <row r="39" spans="1:105">
      <c r="A39" s="451"/>
      <c r="B39" s="451"/>
      <c r="C39" s="37"/>
      <c r="D39" s="451"/>
      <c r="E39" s="406"/>
      <c r="F39" s="348"/>
      <c r="G39" s="348"/>
      <c r="H39" s="405"/>
      <c r="I39" s="451"/>
      <c r="J39" s="406"/>
      <c r="K39" s="348"/>
      <c r="L39" s="348"/>
      <c r="M39" s="405"/>
      <c r="N39" s="451"/>
      <c r="O39" s="406"/>
      <c r="P39" s="348"/>
      <c r="Q39" s="348"/>
      <c r="R39" s="405"/>
      <c r="S39" s="451"/>
      <c r="T39" s="406"/>
      <c r="U39" s="348"/>
      <c r="V39" s="348"/>
      <c r="W39" s="405"/>
      <c r="X39" s="77"/>
      <c r="Y39" s="394"/>
      <c r="Z39" s="342"/>
      <c r="AA39" s="342"/>
      <c r="AB39" s="395"/>
      <c r="AC39" s="77"/>
      <c r="AD39" s="394"/>
      <c r="AE39" s="342"/>
      <c r="AF39" s="342"/>
      <c r="AG39" s="395"/>
      <c r="AH39" s="77"/>
      <c r="AI39" s="394"/>
      <c r="AJ39" s="342"/>
      <c r="AK39" s="342"/>
      <c r="AL39" s="395"/>
      <c r="AM39" s="77"/>
      <c r="AN39" s="394"/>
      <c r="AO39" s="342"/>
      <c r="AP39" s="342"/>
      <c r="AQ39" s="395"/>
      <c r="AR39" s="77"/>
      <c r="AS39" s="394"/>
      <c r="AT39" s="342"/>
      <c r="AU39" s="342"/>
      <c r="AV39" s="395"/>
      <c r="AW39" s="77"/>
      <c r="AX39" s="406"/>
      <c r="AY39" s="348"/>
      <c r="AZ39" s="348"/>
      <c r="BA39" s="405"/>
      <c r="BB39" s="1636"/>
      <c r="BC39" s="406"/>
      <c r="BD39" s="348"/>
      <c r="BE39" s="348"/>
      <c r="BF39" s="405"/>
      <c r="BG39" s="451"/>
      <c r="BH39" s="406"/>
      <c r="BI39" s="348"/>
      <c r="BJ39" s="348"/>
      <c r="BK39" s="405"/>
      <c r="BL39" s="451"/>
      <c r="BM39" s="406"/>
      <c r="BN39" s="348"/>
      <c r="BO39" s="348"/>
      <c r="BP39" s="405"/>
      <c r="BQ39" s="451"/>
      <c r="BR39" s="451"/>
      <c r="BS39" s="451"/>
      <c r="BT39" s="1315"/>
      <c r="BU39" s="451"/>
      <c r="BV39" s="783"/>
      <c r="BW39" s="1654"/>
      <c r="BX39" s="77"/>
      <c r="BY39" s="451"/>
      <c r="BZ39" s="451"/>
      <c r="CA39" s="451"/>
      <c r="CB39" s="451"/>
      <c r="CC39" s="451"/>
      <c r="CD39" s="451"/>
      <c r="CE39" s="451"/>
      <c r="CF39" s="451"/>
      <c r="CG39" s="451"/>
      <c r="CH39" s="451"/>
      <c r="CI39" s="451"/>
      <c r="CJ39" s="451"/>
      <c r="CK39" s="451"/>
      <c r="CL39" s="451"/>
      <c r="CM39" s="451"/>
      <c r="CN39" s="451"/>
      <c r="CO39" s="451"/>
      <c r="CP39" s="451"/>
      <c r="CQ39" s="451"/>
      <c r="CR39" s="451"/>
      <c r="CS39" s="451"/>
      <c r="CT39" s="451"/>
      <c r="CU39" s="451"/>
      <c r="CV39" s="451"/>
      <c r="CW39" s="451"/>
      <c r="CX39" s="451"/>
      <c r="CY39" s="451"/>
      <c r="CZ39" s="451"/>
      <c r="DA39" s="451"/>
    </row>
    <row r="40" spans="1:105">
      <c r="A40" s="451"/>
      <c r="B40" s="451"/>
      <c r="C40" s="37" t="s">
        <v>106</v>
      </c>
      <c r="D40" s="451"/>
      <c r="E40" s="394">
        <f>PEG!E44</f>
        <v>505.98576399999996</v>
      </c>
      <c r="F40" s="342">
        <f>PEG!F44</f>
        <v>505.98528499999998</v>
      </c>
      <c r="G40" s="342">
        <f>PEG!G44</f>
        <v>505.98150399999997</v>
      </c>
      <c r="H40" s="395">
        <f>PEG!H44</f>
        <v>505.98962999999998</v>
      </c>
      <c r="I40" s="77">
        <f>PEG!I44</f>
        <v>505.98962999999998</v>
      </c>
      <c r="J40" s="394">
        <f>PEG!J44</f>
        <v>505.93484399999994</v>
      </c>
      <c r="K40" s="342">
        <f>PEG!K44</f>
        <v>505.96278299999994</v>
      </c>
      <c r="L40" s="342">
        <f>PEG!L44</f>
        <v>505.93422699999996</v>
      </c>
      <c r="M40" s="395">
        <f>PEG!M44</f>
        <v>505.97422299999994</v>
      </c>
      <c r="N40" s="77">
        <f>PEG!N44</f>
        <v>505.97422299999994</v>
      </c>
      <c r="O40" s="394">
        <f>PEG!O44</f>
        <v>505.90473299999996</v>
      </c>
      <c r="P40" s="342">
        <f>PEG!P44</f>
        <v>505.90473299999996</v>
      </c>
      <c r="Q40" s="342">
        <f>PEG!Q44</f>
        <v>505.90473299999996</v>
      </c>
      <c r="R40" s="395">
        <f>PEG!R44</f>
        <v>505.94528599999995</v>
      </c>
      <c r="S40" s="77">
        <f>PEG!S44</f>
        <v>505.94528599999995</v>
      </c>
      <c r="T40" s="394">
        <f>PEG!T44</f>
        <v>505.89291499999996</v>
      </c>
      <c r="U40" s="342">
        <f>PEG!U44</f>
        <v>505.91037199999994</v>
      </c>
      <c r="V40" s="342">
        <f>PEG!V44</f>
        <v>505.89247199999994</v>
      </c>
      <c r="W40" s="395">
        <f>PEG!W44</f>
        <v>505.89247199999994</v>
      </c>
      <c r="X40" s="77">
        <f>PEG!X44</f>
        <v>505.89247199999994</v>
      </c>
      <c r="Y40" s="394">
        <f>PEG!Y44</f>
        <v>505.86426199999994</v>
      </c>
      <c r="Z40" s="342">
        <f>PEG!Z44</f>
        <v>505.85726199999999</v>
      </c>
      <c r="AA40" s="342">
        <f>PEG!AA44</f>
        <v>505.86126199999995</v>
      </c>
      <c r="AB40" s="395">
        <f>PEG!AB44</f>
        <v>505.85726199999999</v>
      </c>
      <c r="AC40" s="77">
        <f>PEG!AC44</f>
        <v>505.85726199999999</v>
      </c>
      <c r="AD40" s="394">
        <f>PEG!AD44</f>
        <v>505.87582399999997</v>
      </c>
      <c r="AE40" s="342">
        <f>PEG!AE44</f>
        <v>505.83986199999998</v>
      </c>
      <c r="AF40" s="342">
        <f>PEG!AF44</f>
        <v>505.88169199999999</v>
      </c>
      <c r="AG40" s="395">
        <f>PEG!AG44</f>
        <v>505.83659199999994</v>
      </c>
      <c r="AH40" s="77">
        <f>PEG!AH44</f>
        <v>505.83659199999994</v>
      </c>
      <c r="AI40" s="394">
        <f>PEG!AI44</f>
        <v>505.83659199999994</v>
      </c>
      <c r="AJ40" s="342">
        <f>PEG!AJ44</f>
        <v>505.81315399999994</v>
      </c>
      <c r="AK40" s="342">
        <f>PEG!AK44</f>
        <v>505.31774799999994</v>
      </c>
      <c r="AL40" s="395">
        <f>PEG!AL44</f>
        <v>506</v>
      </c>
      <c r="AM40" s="77">
        <f>PEG!AM44</f>
        <v>506</v>
      </c>
      <c r="AN40" s="394">
        <f>PEG!AN44</f>
        <v>505</v>
      </c>
      <c r="AO40" s="342">
        <f>PEG!AO44</f>
        <v>505</v>
      </c>
      <c r="AP40" s="342">
        <f>PEG!AP44</f>
        <v>505</v>
      </c>
      <c r="AQ40" s="395">
        <f>PEG!AQ44</f>
        <v>505</v>
      </c>
      <c r="AR40" s="77">
        <f>PEG!AR44</f>
        <v>505</v>
      </c>
      <c r="AS40" s="394">
        <f>PEG!AS44</f>
        <v>505</v>
      </c>
      <c r="AT40" s="342">
        <f>PEG!AT44</f>
        <v>505</v>
      </c>
      <c r="AU40" s="342">
        <f>PEG!AU44</f>
        <v>505</v>
      </c>
      <c r="AV40" s="395">
        <f>PEG!AV44</f>
        <v>505</v>
      </c>
      <c r="AW40" s="77">
        <f>PEG!AW44</f>
        <v>505</v>
      </c>
      <c r="AX40" s="394">
        <f>PEG!AX44</f>
        <v>505</v>
      </c>
      <c r="AY40" s="342">
        <f>PEG!AY44</f>
        <v>505</v>
      </c>
      <c r="AZ40" s="342">
        <f>PEG!AZ44</f>
        <v>505</v>
      </c>
      <c r="BA40" s="395">
        <f>PEG!BA44</f>
        <v>505</v>
      </c>
      <c r="BB40" s="77">
        <f>PEG!BB44</f>
        <v>505</v>
      </c>
      <c r="BC40" s="394">
        <f>PEG!BC44</f>
        <v>505</v>
      </c>
      <c r="BD40" s="342">
        <f>PEG!BD44</f>
        <v>505</v>
      </c>
      <c r="BE40" s="342">
        <f>PEG!BE44</f>
        <v>505</v>
      </c>
      <c r="BF40" s="395">
        <f>PEG!BF44</f>
        <v>505</v>
      </c>
      <c r="BG40" s="77">
        <f>PEG!BG44</f>
        <v>505</v>
      </c>
      <c r="BH40" s="394">
        <f>PEG!BH44</f>
        <v>505</v>
      </c>
      <c r="BI40" s="342">
        <f>PEG!BI44</f>
        <v>505</v>
      </c>
      <c r="BJ40" s="342">
        <f>PEG!BJ44</f>
        <v>505</v>
      </c>
      <c r="BK40" s="395">
        <f>PEG!BK44</f>
        <v>505</v>
      </c>
      <c r="BL40" s="77">
        <f>PEG!BL44</f>
        <v>505</v>
      </c>
      <c r="BM40" s="394">
        <f>PEG!BM44</f>
        <v>505</v>
      </c>
      <c r="BN40" s="342">
        <f>PEG!BN44</f>
        <v>505</v>
      </c>
      <c r="BO40" s="342">
        <f>PEG!BO44</f>
        <v>505</v>
      </c>
      <c r="BP40" s="395">
        <f>PEG!BP44</f>
        <v>505</v>
      </c>
      <c r="BQ40" s="77">
        <f>PEG!BQ44</f>
        <v>505</v>
      </c>
      <c r="BR40" s="77"/>
      <c r="BS40" s="451"/>
      <c r="BT40" s="451"/>
      <c r="BU40" s="451"/>
      <c r="BV40" s="451"/>
      <c r="BW40" s="1651"/>
      <c r="BX40" s="77"/>
      <c r="BY40" s="451"/>
      <c r="BZ40" s="451"/>
      <c r="CA40" s="451"/>
      <c r="CB40" s="451"/>
      <c r="CC40" s="451"/>
      <c r="CD40" s="451"/>
      <c r="CE40" s="451"/>
      <c r="CF40" s="451"/>
      <c r="CG40" s="451"/>
      <c r="CH40" s="451"/>
      <c r="CI40" s="451"/>
      <c r="CJ40" s="451"/>
      <c r="CK40" s="451"/>
      <c r="CL40" s="451"/>
      <c r="CM40" s="451"/>
      <c r="CN40" s="451"/>
      <c r="CO40" s="451"/>
      <c r="CP40" s="451"/>
      <c r="CQ40" s="451"/>
      <c r="CR40" s="451"/>
      <c r="CS40" s="451"/>
      <c r="CT40" s="451"/>
      <c r="CU40" s="451"/>
      <c r="CV40" s="451"/>
      <c r="CW40" s="451"/>
      <c r="CX40" s="451"/>
      <c r="CY40" s="451"/>
      <c r="CZ40" s="451"/>
      <c r="DA40" s="451"/>
    </row>
    <row r="41" spans="1:105">
      <c r="A41" s="451"/>
      <c r="B41" s="451"/>
      <c r="C41" s="37" t="s">
        <v>108</v>
      </c>
      <c r="D41" s="451"/>
      <c r="E41" s="394">
        <f>PEG!E46</f>
        <v>506.548</v>
      </c>
      <c r="F41" s="342">
        <f>PEG!F46</f>
        <v>507.24200000000002</v>
      </c>
      <c r="G41" s="342">
        <f>PEG!G46</f>
        <v>507.24200000000002</v>
      </c>
      <c r="H41" s="395">
        <f>PEG!H46</f>
        <v>507.38200000000001</v>
      </c>
      <c r="I41" s="77">
        <f>PEG!I46</f>
        <v>507.1035</v>
      </c>
      <c r="J41" s="394">
        <f>PEG!J46</f>
        <v>507.14699999999999</v>
      </c>
      <c r="K41" s="342">
        <f>PEG!K46</f>
        <v>507.09100000000001</v>
      </c>
      <c r="L41" s="342">
        <f>PEG!L46</f>
        <v>506.96800000000002</v>
      </c>
      <c r="M41" s="395">
        <f>PEG!M46</f>
        <v>506.97399999999999</v>
      </c>
      <c r="N41" s="77">
        <f>PEG!N46</f>
        <v>507.04500000000002</v>
      </c>
      <c r="O41" s="394">
        <f>PEG!O46</f>
        <v>507.13200000000001</v>
      </c>
      <c r="P41" s="342">
        <f>PEG!P46</f>
        <v>506.76100000000002</v>
      </c>
      <c r="Q41" s="342">
        <f>PEG!Q46</f>
        <v>506.99900000000002</v>
      </c>
      <c r="R41" s="395">
        <f>PEG!R46</f>
        <v>507.03800000000001</v>
      </c>
      <c r="S41" s="77">
        <f>PEG!S46</f>
        <v>506.98200000000003</v>
      </c>
      <c r="T41" s="394">
        <f>PEG!T46</f>
        <v>507.029</v>
      </c>
      <c r="U41" s="342">
        <f>PEG!U46</f>
        <v>506.96899999999999</v>
      </c>
      <c r="V41" s="342">
        <f>PEG!V46</f>
        <v>507.11099999999999</v>
      </c>
      <c r="W41" s="395">
        <f>PEG!W46</f>
        <v>507.23099999999999</v>
      </c>
      <c r="X41" s="77">
        <f>PEG!X46</f>
        <v>507.08600000000001</v>
      </c>
      <c r="Y41" s="394">
        <f>PEG!Y46</f>
        <v>507.22</v>
      </c>
      <c r="Z41" s="342">
        <f>PEG!Z46</f>
        <v>507.38099999999997</v>
      </c>
      <c r="AA41" s="342">
        <f>PEG!AA46</f>
        <v>507.69400000000002</v>
      </c>
      <c r="AB41" s="395">
        <f>PEG!AB46</f>
        <v>507.79599999999999</v>
      </c>
      <c r="AC41" s="77">
        <f>PEG!AC46</f>
        <v>507.52499999999998</v>
      </c>
      <c r="AD41" s="394">
        <f>PEG!AD46</f>
        <v>507.83100000000002</v>
      </c>
      <c r="AE41" s="342">
        <f>PEG!AE46</f>
        <v>508.05599999999998</v>
      </c>
      <c r="AF41" s="342">
        <f>PEG!AF46</f>
        <v>507.42200000000003</v>
      </c>
      <c r="AG41" s="395">
        <f>PEG!AG46</f>
        <v>508</v>
      </c>
      <c r="AH41" s="77">
        <f>PEG!AH46</f>
        <v>508</v>
      </c>
      <c r="AI41" s="394">
        <f>PEG!AI46</f>
        <v>507.83100000000002</v>
      </c>
      <c r="AJ41" s="342">
        <f>PEG!AJ46</f>
        <v>508</v>
      </c>
      <c r="AK41" s="342">
        <f>PEG!AK46</f>
        <v>508</v>
      </c>
      <c r="AL41" s="395">
        <f>PEG!AL46</f>
        <v>508</v>
      </c>
      <c r="AM41" s="77">
        <f>PEG!AM46</f>
        <v>508</v>
      </c>
      <c r="AN41" s="394">
        <f>PEG!AN46</f>
        <v>508</v>
      </c>
      <c r="AO41" s="342">
        <f>PEG!AO46</f>
        <v>508</v>
      </c>
      <c r="AP41" s="342">
        <f>PEG!AP46</f>
        <v>508</v>
      </c>
      <c r="AQ41" s="395">
        <f>PEG!AQ46</f>
        <v>508</v>
      </c>
      <c r="AR41" s="77">
        <f>PEG!AR46</f>
        <v>508</v>
      </c>
      <c r="AS41" s="394">
        <f>PEG!AS46</f>
        <v>508</v>
      </c>
      <c r="AT41" s="342">
        <f>PEG!AT46</f>
        <v>507</v>
      </c>
      <c r="AU41" s="342">
        <f>PEG!AU46</f>
        <v>507</v>
      </c>
      <c r="AV41" s="395">
        <f>PEG!AV46</f>
        <v>508</v>
      </c>
      <c r="AW41" s="77">
        <f>PEG!AW46</f>
        <v>507</v>
      </c>
      <c r="AX41" s="394">
        <f>PEG!AX46</f>
        <v>508</v>
      </c>
      <c r="AY41" s="342">
        <f>PEG!AY46</f>
        <v>508</v>
      </c>
      <c r="AZ41" s="342">
        <f>PEG!AZ46</f>
        <v>508</v>
      </c>
      <c r="BA41" s="395">
        <f>PEG!BA46</f>
        <v>508</v>
      </c>
      <c r="BB41" s="77">
        <f>PEG!BB46</f>
        <v>508</v>
      </c>
      <c r="BC41" s="394">
        <f>PEG!BC46</f>
        <v>508</v>
      </c>
      <c r="BD41" s="342">
        <f>PEG!BD46</f>
        <v>508</v>
      </c>
      <c r="BE41" s="342">
        <f>PEG!BE46</f>
        <v>508</v>
      </c>
      <c r="BF41" s="395">
        <f>PEG!BF46</f>
        <v>508</v>
      </c>
      <c r="BG41" s="77">
        <f>PEG!BG46</f>
        <v>508</v>
      </c>
      <c r="BH41" s="394">
        <f>PEG!BH46</f>
        <v>508</v>
      </c>
      <c r="BI41" s="342">
        <f>PEG!BI46</f>
        <v>508</v>
      </c>
      <c r="BJ41" s="342">
        <f>PEG!BJ46</f>
        <v>508</v>
      </c>
      <c r="BK41" s="395">
        <f>PEG!BK46</f>
        <v>508</v>
      </c>
      <c r="BL41" s="77">
        <f>PEG!BL46</f>
        <v>508</v>
      </c>
      <c r="BM41" s="394">
        <f>PEG!BM46</f>
        <v>508</v>
      </c>
      <c r="BN41" s="342">
        <f>PEG!BN46</f>
        <v>508</v>
      </c>
      <c r="BO41" s="342">
        <f>PEG!BO46</f>
        <v>508</v>
      </c>
      <c r="BP41" s="395">
        <f>PEG!BP46</f>
        <v>508</v>
      </c>
      <c r="BQ41" s="77">
        <f>PEG!BQ46</f>
        <v>508</v>
      </c>
      <c r="BR41" s="77"/>
      <c r="BS41" s="451"/>
      <c r="BT41" s="451"/>
      <c r="BU41" s="451"/>
      <c r="BV41" s="451"/>
      <c r="BW41" s="1651"/>
      <c r="BX41" s="77"/>
      <c r="BY41" s="451"/>
      <c r="BZ41" s="451"/>
      <c r="CA41" s="451"/>
      <c r="CB41" s="451"/>
      <c r="CC41" s="451"/>
      <c r="CD41" s="451"/>
      <c r="CE41" s="451"/>
      <c r="CF41" s="451"/>
      <c r="CG41" s="451"/>
      <c r="CH41" s="451"/>
      <c r="CI41" s="451"/>
      <c r="CJ41" s="451"/>
      <c r="CK41" s="451"/>
      <c r="CL41" s="451"/>
      <c r="CM41" s="451"/>
      <c r="CN41" s="451"/>
      <c r="CO41" s="451"/>
      <c r="CP41" s="451"/>
      <c r="CQ41" s="451"/>
      <c r="CR41" s="451"/>
      <c r="CS41" s="451"/>
      <c r="CT41" s="451"/>
      <c r="CU41" s="451"/>
      <c r="CV41" s="451"/>
      <c r="CW41" s="451"/>
      <c r="CX41" s="451"/>
      <c r="CY41" s="451"/>
      <c r="CZ41" s="451"/>
      <c r="DA41" s="451"/>
    </row>
    <row r="42" spans="1:105">
      <c r="A42" s="451"/>
      <c r="B42" s="451"/>
      <c r="C42" s="297"/>
      <c r="D42" s="451"/>
      <c r="E42" s="406"/>
      <c r="F42" s="348"/>
      <c r="G42" s="348"/>
      <c r="H42" s="405"/>
      <c r="I42" s="451"/>
      <c r="J42" s="406"/>
      <c r="K42" s="348"/>
      <c r="L42" s="348"/>
      <c r="M42" s="405"/>
      <c r="N42" s="451"/>
      <c r="O42" s="406"/>
      <c r="P42" s="348"/>
      <c r="Q42" s="348"/>
      <c r="R42" s="405"/>
      <c r="S42" s="451"/>
      <c r="T42" s="406"/>
      <c r="U42" s="348"/>
      <c r="V42" s="348"/>
      <c r="W42" s="405"/>
      <c r="X42" s="77"/>
      <c r="Y42" s="394"/>
      <c r="Z42" s="342"/>
      <c r="AA42" s="342"/>
      <c r="AB42" s="395"/>
      <c r="AC42" s="77"/>
      <c r="AD42" s="394"/>
      <c r="AE42" s="342"/>
      <c r="AF42" s="342"/>
      <c r="AG42" s="395"/>
      <c r="AH42" s="77"/>
      <c r="AI42" s="394"/>
      <c r="AJ42" s="342"/>
      <c r="AK42" s="342"/>
      <c r="AL42" s="405"/>
      <c r="AM42" s="451"/>
      <c r="AN42" s="394"/>
      <c r="AO42" s="342"/>
      <c r="AP42" s="342"/>
      <c r="AQ42" s="405"/>
      <c r="AR42" s="451"/>
      <c r="AS42" s="394"/>
      <c r="AT42" s="342"/>
      <c r="AU42" s="342"/>
      <c r="AV42" s="405"/>
      <c r="AW42" s="451"/>
      <c r="AX42" s="406"/>
      <c r="AY42" s="348"/>
      <c r="AZ42" s="348"/>
      <c r="BA42" s="405"/>
      <c r="BB42" s="451"/>
      <c r="BC42" s="406"/>
      <c r="BD42" s="348"/>
      <c r="BE42" s="348"/>
      <c r="BF42" s="405"/>
      <c r="BG42" s="451"/>
      <c r="BH42" s="406"/>
      <c r="BI42" s="348"/>
      <c r="BJ42" s="348"/>
      <c r="BK42" s="405"/>
      <c r="BL42" s="451"/>
      <c r="BM42" s="406"/>
      <c r="BN42" s="348"/>
      <c r="BO42" s="348"/>
      <c r="BP42" s="405"/>
      <c r="BQ42" s="451"/>
      <c r="BR42" s="451"/>
      <c r="BS42" s="451"/>
      <c r="BT42" s="451"/>
      <c r="BU42" s="451"/>
      <c r="BV42" s="451"/>
      <c r="BW42" s="1651"/>
      <c r="BX42" s="77"/>
      <c r="BY42" s="451"/>
      <c r="BZ42" s="451"/>
      <c r="CA42" s="451"/>
      <c r="CB42" s="451"/>
      <c r="CC42" s="451"/>
      <c r="CD42" s="451"/>
      <c r="CE42" s="451"/>
      <c r="CF42" s="451"/>
      <c r="CG42" s="451"/>
      <c r="CH42" s="451"/>
      <c r="CI42" s="451"/>
      <c r="CJ42" s="451"/>
      <c r="CK42" s="451"/>
      <c r="CL42" s="451"/>
      <c r="CM42" s="451"/>
      <c r="CN42" s="451"/>
      <c r="CO42" s="451"/>
      <c r="CP42" s="451"/>
      <c r="CQ42" s="451"/>
      <c r="CR42" s="451"/>
      <c r="CS42" s="451"/>
      <c r="CT42" s="451"/>
      <c r="CU42" s="451"/>
      <c r="CV42" s="451"/>
      <c r="CW42" s="451"/>
      <c r="CX42" s="451"/>
      <c r="CY42" s="451"/>
      <c r="CZ42" s="451"/>
      <c r="DA42" s="451"/>
    </row>
    <row r="43" spans="1:105">
      <c r="A43" s="37"/>
      <c r="B43" s="37"/>
      <c r="C43" s="37" t="s">
        <v>522</v>
      </c>
      <c r="D43" s="37"/>
      <c r="E43" s="493">
        <f>E36/E41</f>
        <v>0.24430063883383213</v>
      </c>
      <c r="F43" s="494">
        <f t="shared" ref="F43:V43" si="47">F36/F41</f>
        <v>8.6250744220707276E-2</v>
      </c>
      <c r="G43" s="494">
        <f t="shared" si="47"/>
        <v>0.17299434983696144</v>
      </c>
      <c r="H43" s="495">
        <f t="shared" si="47"/>
        <v>0.13549948559468014</v>
      </c>
      <c r="I43" s="496">
        <f t="shared" si="47"/>
        <v>0.63892282344728446</v>
      </c>
      <c r="J43" s="493">
        <f t="shared" si="47"/>
        <v>0.2326741556195738</v>
      </c>
      <c r="K43" s="494">
        <f t="shared" si="47"/>
        <v>5.9160978995880424E-3</v>
      </c>
      <c r="L43" s="494">
        <f t="shared" si="47"/>
        <v>0.30573921825440659</v>
      </c>
      <c r="M43" s="495">
        <f t="shared" si="47"/>
        <v>0.16174399476107257</v>
      </c>
      <c r="N43" s="496">
        <f t="shared" si="47"/>
        <v>0.70605173110867869</v>
      </c>
      <c r="O43" s="493">
        <f t="shared" si="47"/>
        <v>0.32141533170850983</v>
      </c>
      <c r="P43" s="494">
        <f t="shared" si="47"/>
        <v>0.20719826505986055</v>
      </c>
      <c r="Q43" s="494">
        <f t="shared" si="47"/>
        <v>0.30374813362551012</v>
      </c>
      <c r="R43" s="495">
        <f t="shared" si="47"/>
        <v>0.19525163794429609</v>
      </c>
      <c r="S43" s="496">
        <f t="shared" si="47"/>
        <v>1.027649896840519</v>
      </c>
      <c r="T43" s="493">
        <f t="shared" si="47"/>
        <v>0.3885379337276566</v>
      </c>
      <c r="U43" s="494">
        <f t="shared" si="47"/>
        <v>0.19922322666671927</v>
      </c>
      <c r="V43" s="494">
        <f t="shared" si="47"/>
        <v>0.30565300299145554</v>
      </c>
      <c r="W43" s="495">
        <f t="shared" ref="W43:AC43" si="48">W36/W41</f>
        <v>0.14786162517669466</v>
      </c>
      <c r="X43" s="496">
        <f t="shared" si="48"/>
        <v>1.0412434971582729</v>
      </c>
      <c r="Y43" s="493">
        <f t="shared" si="48"/>
        <v>0.35290406529710971</v>
      </c>
      <c r="Z43" s="494">
        <f t="shared" si="48"/>
        <v>0.23847956466639469</v>
      </c>
      <c r="AA43" s="494">
        <f t="shared" si="48"/>
        <v>0.33090798788246462</v>
      </c>
      <c r="AB43" s="495">
        <f t="shared" si="48"/>
        <v>0.28357844488731698</v>
      </c>
      <c r="AC43" s="496">
        <f t="shared" si="48"/>
        <v>1.2058519284764297</v>
      </c>
      <c r="AD43" s="493">
        <f t="shared" ref="AD43:AI43" si="49">AD36/AD41</f>
        <v>0.42140003268803988</v>
      </c>
      <c r="AE43" s="494">
        <f t="shared" si="49"/>
        <v>0.29721133103437419</v>
      </c>
      <c r="AF43" s="494">
        <f t="shared" si="49"/>
        <v>0.3941492485544576</v>
      </c>
      <c r="AG43" s="495">
        <f t="shared" si="49"/>
        <v>0.31496062992125984</v>
      </c>
      <c r="AH43" s="496">
        <f t="shared" si="49"/>
        <v>1.4271653543307086</v>
      </c>
      <c r="AI43" s="493">
        <f t="shared" si="49"/>
        <v>0.47653648556311057</v>
      </c>
      <c r="AJ43" s="494">
        <f t="shared" ref="AJ43:AR43" si="50">AJ36/AJ41</f>
        <v>0.32874015748031499</v>
      </c>
      <c r="AK43" s="494">
        <f t="shared" si="50"/>
        <v>0.43700787401574803</v>
      </c>
      <c r="AL43" s="495">
        <f t="shared" si="50"/>
        <v>0.30708661417322836</v>
      </c>
      <c r="AM43" s="496">
        <f t="shared" si="50"/>
        <v>1.5492125984251968</v>
      </c>
      <c r="AN43" s="493">
        <f t="shared" si="50"/>
        <v>0.51574803149606296</v>
      </c>
      <c r="AO43" s="494">
        <f t="shared" si="50"/>
        <v>0.35236220472440943</v>
      </c>
      <c r="AP43" s="494">
        <f t="shared" si="50"/>
        <v>0.50196850393700787</v>
      </c>
      <c r="AQ43" s="495">
        <f t="shared" si="50"/>
        <v>0.37992125984251968</v>
      </c>
      <c r="AR43" s="496">
        <f t="shared" si="50"/>
        <v>1.75</v>
      </c>
      <c r="AS43" s="493">
        <f t="shared" ref="AS43:AY43" si="51">AS36/AS41</f>
        <v>0.58858267716535428</v>
      </c>
      <c r="AT43" s="494">
        <f t="shared" si="51"/>
        <v>0.41025641025641024</v>
      </c>
      <c r="AU43" s="494">
        <f t="shared" si="51"/>
        <v>0.48520710059171596</v>
      </c>
      <c r="AV43" s="495">
        <f t="shared" si="51"/>
        <v>0.43307086614173229</v>
      </c>
      <c r="AW43" s="496">
        <f t="shared" si="51"/>
        <v>1.9191321499013807</v>
      </c>
      <c r="AX43" s="493">
        <f t="shared" si="51"/>
        <v>0.65291247275753406</v>
      </c>
      <c r="AY43" s="494">
        <f t="shared" si="51"/>
        <v>0.4168556701291446</v>
      </c>
      <c r="AZ43" s="494">
        <f>AZ36/AZ41</f>
        <v>0.5255069116555301</v>
      </c>
      <c r="BA43" s="495">
        <f>BA36/BA41</f>
        <v>0.44472835162215918</v>
      </c>
      <c r="BB43" s="496">
        <f>BB36/BB41</f>
        <v>2.0400034061643675</v>
      </c>
      <c r="BC43" s="493">
        <f t="shared" ref="BC43:BL43" si="52">BC36/BC41</f>
        <v>0.72151570338950466</v>
      </c>
      <c r="BD43" s="494">
        <f t="shared" si="52"/>
        <v>0.47854906006593573</v>
      </c>
      <c r="BE43" s="494">
        <f t="shared" si="52"/>
        <v>0.47719377060774293</v>
      </c>
      <c r="BF43" s="495">
        <f t="shared" si="52"/>
        <v>0.50831358166583152</v>
      </c>
      <c r="BG43" s="496">
        <f t="shared" si="52"/>
        <v>2.1855721157290167</v>
      </c>
      <c r="BH43" s="493">
        <f t="shared" si="52"/>
        <v>0.75352790447490026</v>
      </c>
      <c r="BI43" s="494">
        <f t="shared" si="52"/>
        <v>0.50886742775899785</v>
      </c>
      <c r="BJ43" s="494">
        <f t="shared" si="52"/>
        <v>0.51468352037761478</v>
      </c>
      <c r="BK43" s="495">
        <f t="shared" si="52"/>
        <v>0.54805514546624801</v>
      </c>
      <c r="BL43" s="496">
        <f t="shared" si="52"/>
        <v>2.3251339980777597</v>
      </c>
      <c r="BM43" s="493">
        <f>BM36/BM41</f>
        <v>0.78306669296421871</v>
      </c>
      <c r="BN43" s="494">
        <f>BN36/BN41</f>
        <v>0.53580190687809881</v>
      </c>
      <c r="BO43" s="494">
        <f>BO36/BO41</f>
        <v>0.55328928473851202</v>
      </c>
      <c r="BP43" s="495">
        <f>BP36/BP41</f>
        <v>0.58989330955005459</v>
      </c>
      <c r="BQ43" s="496">
        <f>BQ36/BQ41</f>
        <v>2.4620511941308849</v>
      </c>
      <c r="BR43" s="496"/>
      <c r="BS43" s="37"/>
      <c r="BT43" s="32"/>
      <c r="BU43" s="37"/>
      <c r="BV43" s="37"/>
      <c r="BW43" s="1650"/>
      <c r="BX43" s="1024"/>
      <c r="BY43" s="37"/>
      <c r="BZ43" s="37"/>
      <c r="CA43" s="37"/>
      <c r="CB43" s="37"/>
      <c r="CC43" s="37"/>
      <c r="CD43" s="37"/>
      <c r="CE43" s="37"/>
      <c r="CF43" s="37"/>
      <c r="CG43" s="37"/>
      <c r="CH43" s="37"/>
      <c r="CI43" s="37"/>
      <c r="CJ43" s="37"/>
      <c r="CK43" s="37"/>
      <c r="CL43" s="37"/>
      <c r="CM43" s="37"/>
      <c r="CN43" s="37"/>
      <c r="CO43" s="37"/>
      <c r="CP43" s="37"/>
      <c r="CQ43" s="37"/>
      <c r="CR43" s="37"/>
      <c r="CS43" s="37"/>
      <c r="CT43" s="37"/>
      <c r="CU43" s="37"/>
      <c r="CV43" s="37"/>
      <c r="CW43" s="37"/>
      <c r="CX43" s="37"/>
      <c r="CY43" s="37"/>
      <c r="CZ43" s="37"/>
      <c r="DA43" s="37"/>
    </row>
    <row r="44" spans="1:105">
      <c r="A44" s="37"/>
      <c r="B44" s="17"/>
      <c r="C44" s="497" t="s">
        <v>521</v>
      </c>
      <c r="D44" s="498"/>
      <c r="E44" s="499">
        <f>E38/E41</f>
        <v>0.24430063883383213</v>
      </c>
      <c r="F44" s="500">
        <f t="shared" ref="F44:V44" si="53">F38/F41</f>
        <v>8.6250744220707276E-2</v>
      </c>
      <c r="G44" s="500">
        <f t="shared" si="53"/>
        <v>0.17299434983696144</v>
      </c>
      <c r="H44" s="501">
        <f t="shared" si="53"/>
        <v>0.13549948559468014</v>
      </c>
      <c r="I44" s="502">
        <f t="shared" si="53"/>
        <v>0.63892282344728446</v>
      </c>
      <c r="J44" s="499">
        <f t="shared" si="53"/>
        <v>0.2326741556195738</v>
      </c>
      <c r="K44" s="500">
        <f t="shared" si="53"/>
        <v>0.14790244748970105</v>
      </c>
      <c r="L44" s="500">
        <f t="shared" si="53"/>
        <v>0.30573921825440659</v>
      </c>
      <c r="M44" s="501">
        <f t="shared" si="53"/>
        <v>0.16174399476107257</v>
      </c>
      <c r="N44" s="502">
        <f t="shared" si="53"/>
        <v>0.84805096194617835</v>
      </c>
      <c r="O44" s="499">
        <f t="shared" si="53"/>
        <v>0.32141533170850983</v>
      </c>
      <c r="P44" s="500">
        <f t="shared" si="53"/>
        <v>0.20719826505986055</v>
      </c>
      <c r="Q44" s="500">
        <f t="shared" si="53"/>
        <v>0.30374813362551012</v>
      </c>
      <c r="R44" s="501">
        <f t="shared" si="53"/>
        <v>0.19525163794429609</v>
      </c>
      <c r="S44" s="502">
        <f t="shared" si="53"/>
        <v>1.027649896840519</v>
      </c>
      <c r="T44" s="499">
        <f t="shared" si="53"/>
        <v>0.3885379337276566</v>
      </c>
      <c r="U44" s="500">
        <f t="shared" si="53"/>
        <v>0.19922322666671927</v>
      </c>
      <c r="V44" s="500">
        <f t="shared" si="53"/>
        <v>0.30565300299145554</v>
      </c>
      <c r="W44" s="501">
        <f t="shared" ref="W44:AC44" si="54">W38/W41</f>
        <v>0.14786162517669466</v>
      </c>
      <c r="X44" s="502">
        <f t="shared" si="54"/>
        <v>1.0412434971582729</v>
      </c>
      <c r="Y44" s="499">
        <f t="shared" si="54"/>
        <v>0.35290406529710971</v>
      </c>
      <c r="Z44" s="500">
        <f t="shared" si="54"/>
        <v>0.23847956466639469</v>
      </c>
      <c r="AA44" s="500">
        <f t="shared" si="54"/>
        <v>0.33090798788246462</v>
      </c>
      <c r="AB44" s="501">
        <f t="shared" si="54"/>
        <v>0.28357844488731698</v>
      </c>
      <c r="AC44" s="502">
        <f t="shared" si="54"/>
        <v>1.2058519284764297</v>
      </c>
      <c r="AD44" s="499">
        <f t="shared" ref="AD44:AI44" si="55">AD38/AD41</f>
        <v>0.42140003268803988</v>
      </c>
      <c r="AE44" s="500">
        <f t="shared" si="55"/>
        <v>0.29721133103437419</v>
      </c>
      <c r="AF44" s="500">
        <f t="shared" si="55"/>
        <v>0.3941492485544576</v>
      </c>
      <c r="AG44" s="501">
        <f t="shared" si="55"/>
        <v>0.31496062992125984</v>
      </c>
      <c r="AH44" s="502">
        <f t="shared" si="55"/>
        <v>1.4271653543307086</v>
      </c>
      <c r="AI44" s="499">
        <f t="shared" si="55"/>
        <v>0.47653648556311057</v>
      </c>
      <c r="AJ44" s="500">
        <f t="shared" ref="AJ44:AR44" si="56">AJ38/AJ41</f>
        <v>0.32874015748031499</v>
      </c>
      <c r="AK44" s="500">
        <f t="shared" si="56"/>
        <v>0.43700787401574803</v>
      </c>
      <c r="AL44" s="501">
        <f t="shared" si="56"/>
        <v>0.30708661417322836</v>
      </c>
      <c r="AM44" s="502">
        <f t="shared" si="56"/>
        <v>1.5492125984251968</v>
      </c>
      <c r="AN44" s="499">
        <f t="shared" si="56"/>
        <v>0.51574803149606296</v>
      </c>
      <c r="AO44" s="500">
        <f t="shared" si="56"/>
        <v>0.35236220472440943</v>
      </c>
      <c r="AP44" s="500">
        <f t="shared" si="56"/>
        <v>0.50196850393700787</v>
      </c>
      <c r="AQ44" s="501">
        <f t="shared" si="56"/>
        <v>0.37992125984251968</v>
      </c>
      <c r="AR44" s="502">
        <f t="shared" si="56"/>
        <v>1.75</v>
      </c>
      <c r="AS44" s="499">
        <f t="shared" ref="AS44:AY44" si="57">AS38/AS41</f>
        <v>0.58858267716535428</v>
      </c>
      <c r="AT44" s="500">
        <f t="shared" si="57"/>
        <v>0.41025641025641024</v>
      </c>
      <c r="AU44" s="500">
        <f t="shared" si="57"/>
        <v>0.48520710059171596</v>
      </c>
      <c r="AV44" s="501">
        <f t="shared" si="57"/>
        <v>0.41338582677165353</v>
      </c>
      <c r="AW44" s="502">
        <f t="shared" si="57"/>
        <v>1.8994082840236686</v>
      </c>
      <c r="AX44" s="499">
        <f t="shared" si="57"/>
        <v>0.65291247275753406</v>
      </c>
      <c r="AY44" s="500">
        <f t="shared" si="57"/>
        <v>0.4168556701291446</v>
      </c>
      <c r="AZ44" s="500">
        <f>AZ38/AZ41</f>
        <v>0.5255069116555301</v>
      </c>
      <c r="BA44" s="501">
        <f>BA38/BA41</f>
        <v>0.44472835162215918</v>
      </c>
      <c r="BB44" s="502">
        <f>BB38/BB41</f>
        <v>2.0400034061643675</v>
      </c>
      <c r="BC44" s="499">
        <f t="shared" ref="BC44:BL44" si="58">BC38/BC41</f>
        <v>0.72151570338950466</v>
      </c>
      <c r="BD44" s="500">
        <f t="shared" si="58"/>
        <v>0.47854906006593573</v>
      </c>
      <c r="BE44" s="500">
        <f t="shared" si="58"/>
        <v>0.47719377060774293</v>
      </c>
      <c r="BF44" s="501">
        <f t="shared" si="58"/>
        <v>0.50831358166583152</v>
      </c>
      <c r="BG44" s="502">
        <f t="shared" si="58"/>
        <v>2.1855721157290167</v>
      </c>
      <c r="BH44" s="499">
        <f t="shared" si="58"/>
        <v>0.75352790447490026</v>
      </c>
      <c r="BI44" s="500">
        <f t="shared" si="58"/>
        <v>0.50886742775899785</v>
      </c>
      <c r="BJ44" s="500">
        <f t="shared" si="58"/>
        <v>0.51468352037761478</v>
      </c>
      <c r="BK44" s="501">
        <f t="shared" si="58"/>
        <v>0.54805514546624801</v>
      </c>
      <c r="BL44" s="502">
        <f t="shared" si="58"/>
        <v>2.3251339980777597</v>
      </c>
      <c r="BM44" s="499">
        <f>BM38/BM41</f>
        <v>0.78306669296421871</v>
      </c>
      <c r="BN44" s="500">
        <f>BN38/BN41</f>
        <v>0.53580190687809881</v>
      </c>
      <c r="BO44" s="500">
        <f>BO38/BO41</f>
        <v>0.55328928473851202</v>
      </c>
      <c r="BP44" s="501">
        <f>BP38/BP41</f>
        <v>0.58989330955005459</v>
      </c>
      <c r="BQ44" s="502">
        <f>BQ38/BQ41</f>
        <v>2.4620511941308849</v>
      </c>
      <c r="BR44" s="1736"/>
      <c r="BS44" s="37"/>
      <c r="BT44" s="32">
        <f>RATE(5,0,AR44,-BQ44)</f>
        <v>7.0660563080095176E-2</v>
      </c>
      <c r="BU44" s="37"/>
      <c r="BV44" s="37"/>
      <c r="BW44" s="1655"/>
      <c r="BX44" s="1024"/>
      <c r="BY44" s="37"/>
      <c r="BZ44" s="37"/>
      <c r="CA44" s="37"/>
      <c r="CB44" s="37"/>
      <c r="CC44" s="37"/>
      <c r="CD44" s="37"/>
      <c r="CE44" s="37"/>
      <c r="CF44" s="37"/>
      <c r="CG44" s="37"/>
      <c r="CH44" s="37"/>
      <c r="CI44" s="37"/>
      <c r="CJ44" s="37"/>
      <c r="CK44" s="37"/>
      <c r="CL44" s="37"/>
      <c r="CM44" s="37"/>
      <c r="CN44" s="37"/>
      <c r="CO44" s="37"/>
      <c r="CP44" s="37"/>
      <c r="CQ44" s="37"/>
      <c r="CR44" s="37"/>
      <c r="CS44" s="37"/>
      <c r="CT44" s="37"/>
      <c r="CU44" s="37"/>
      <c r="CV44" s="37"/>
      <c r="CW44" s="37"/>
      <c r="CX44" s="37"/>
      <c r="CY44" s="37"/>
      <c r="CZ44" s="37"/>
      <c r="DA44" s="37"/>
    </row>
    <row r="45" spans="1:105" s="303" customFormat="1">
      <c r="C45" s="290" t="s">
        <v>379</v>
      </c>
      <c r="E45" s="517"/>
      <c r="F45" s="518"/>
      <c r="G45" s="518"/>
      <c r="H45" s="519"/>
      <c r="I45" s="520"/>
      <c r="J45" s="541">
        <f t="shared" ref="J45:AA45" si="59">J44/E44-1</f>
        <v>-4.7590883387605087E-2</v>
      </c>
      <c r="K45" s="542">
        <f t="shared" si="59"/>
        <v>0.71479618901876441</v>
      </c>
      <c r="L45" s="542">
        <f t="shared" si="59"/>
        <v>0.76733643926839568</v>
      </c>
      <c r="M45" s="543">
        <f t="shared" si="59"/>
        <v>0.19368714981618207</v>
      </c>
      <c r="N45" s="540">
        <f t="shared" si="59"/>
        <v>0.32731361413973414</v>
      </c>
      <c r="O45" s="541">
        <f t="shared" si="59"/>
        <v>0.38139679008453942</v>
      </c>
      <c r="P45" s="542">
        <f t="shared" si="59"/>
        <v>0.40091167236626335</v>
      </c>
      <c r="Q45" s="542">
        <f t="shared" si="59"/>
        <v>-6.5123625299509103E-3</v>
      </c>
      <c r="R45" s="543">
        <f t="shared" si="59"/>
        <v>0.2071646816484336</v>
      </c>
      <c r="S45" s="540">
        <f t="shared" si="59"/>
        <v>0.21177846963604874</v>
      </c>
      <c r="T45" s="541">
        <f t="shared" si="59"/>
        <v>0.20883447489063767</v>
      </c>
      <c r="U45" s="542">
        <f t="shared" si="59"/>
        <v>-3.8489889820444545E-2</v>
      </c>
      <c r="V45" s="542">
        <f t="shared" si="59"/>
        <v>6.2712134004219156E-3</v>
      </c>
      <c r="W45" s="543">
        <f t="shared" si="59"/>
        <v>-0.24271249791574845</v>
      </c>
      <c r="X45" s="540">
        <f t="shared" si="59"/>
        <v>1.3227851585979833E-2</v>
      </c>
      <c r="Y45" s="541">
        <f t="shared" si="59"/>
        <v>-9.1712714093765246E-2</v>
      </c>
      <c r="Z45" s="542">
        <f t="shared" si="59"/>
        <v>0.19704699425106398</v>
      </c>
      <c r="AA45" s="542">
        <f t="shared" si="59"/>
        <v>8.2626326729448474E-2</v>
      </c>
      <c r="AB45" s="543">
        <f t="shared" ref="AB45:AI45" si="60">AB44/W44-1</f>
        <v>0.91786370904851555</v>
      </c>
      <c r="AC45" s="540">
        <f t="shared" si="60"/>
        <v>0.15808831629431608</v>
      </c>
      <c r="AD45" s="541">
        <f t="shared" si="60"/>
        <v>0.19409231608953958</v>
      </c>
      <c r="AE45" s="542">
        <f t="shared" si="60"/>
        <v>0.24627588720290738</v>
      </c>
      <c r="AF45" s="542">
        <f t="shared" si="60"/>
        <v>0.1911143368786119</v>
      </c>
      <c r="AG45" s="543">
        <f t="shared" si="60"/>
        <v>0.11066491688538926</v>
      </c>
      <c r="AH45" s="540">
        <f t="shared" si="60"/>
        <v>0.18353283734753734</v>
      </c>
      <c r="AI45" s="541">
        <f t="shared" si="60"/>
        <v>0.13084112149532712</v>
      </c>
      <c r="AJ45" s="542">
        <f t="shared" ref="AJ45:AU45" si="61">AJ44/AE44-1</f>
        <v>0.10608218178025752</v>
      </c>
      <c r="AK45" s="542">
        <f t="shared" si="61"/>
        <v>0.1087370472440945</v>
      </c>
      <c r="AL45" s="543">
        <f t="shared" si="61"/>
        <v>-2.4999999999999911E-2</v>
      </c>
      <c r="AM45" s="540">
        <f t="shared" si="61"/>
        <v>8.5517241379310382E-2</v>
      </c>
      <c r="AN45" s="541">
        <f t="shared" si="61"/>
        <v>8.2284456953211293E-2</v>
      </c>
      <c r="AO45" s="542">
        <f t="shared" si="61"/>
        <v>7.1856287425149601E-2</v>
      </c>
      <c r="AP45" s="542">
        <f t="shared" si="61"/>
        <v>0.14864864864864868</v>
      </c>
      <c r="AQ45" s="543">
        <f t="shared" si="61"/>
        <v>0.237179487179487</v>
      </c>
      <c r="AR45" s="540">
        <f t="shared" si="61"/>
        <v>0.12960609911054655</v>
      </c>
      <c r="AS45" s="541">
        <f t="shared" si="61"/>
        <v>0.14122137404580148</v>
      </c>
      <c r="AT45" s="542">
        <f t="shared" si="61"/>
        <v>0.16430310843718665</v>
      </c>
      <c r="AU45" s="542">
        <f t="shared" si="61"/>
        <v>-3.3391344703561976E-2</v>
      </c>
      <c r="AV45" s="543">
        <f t="shared" ref="AV45:BB45" si="62">AV44/AQ44-1</f>
        <v>8.8082901554404236E-2</v>
      </c>
      <c r="AW45" s="540">
        <f t="shared" si="62"/>
        <v>8.5376162299239278E-2</v>
      </c>
      <c r="AX45" s="541">
        <f t="shared" si="62"/>
        <v>0.10929610756129549</v>
      </c>
      <c r="AY45" s="542">
        <f t="shared" si="62"/>
        <v>1.6085695939789924E-2</v>
      </c>
      <c r="AZ45" s="542">
        <f t="shared" si="62"/>
        <v>8.305692768029993E-2</v>
      </c>
      <c r="BA45" s="543">
        <f t="shared" si="62"/>
        <v>7.5819060114556525E-2</v>
      </c>
      <c r="BB45" s="540">
        <f t="shared" si="62"/>
        <v>7.4020484865352287E-2</v>
      </c>
      <c r="BC45" s="541">
        <f t="shared" ref="BC45:BL45" si="63">BC44/AX44-1</f>
        <v>0.10507262993802091</v>
      </c>
      <c r="BD45" s="542">
        <f t="shared" si="63"/>
        <v>0.14799700317780995</v>
      </c>
      <c r="BE45" s="542">
        <f>BE44/AY44-1</f>
        <v>0.14474578325852017</v>
      </c>
      <c r="BF45" s="543">
        <f t="shared" si="63"/>
        <v>0.14297543615499975</v>
      </c>
      <c r="BG45" s="540">
        <f t="shared" si="63"/>
        <v>7.1357091426797581E-2</v>
      </c>
      <c r="BH45" s="541">
        <f t="shared" si="63"/>
        <v>4.4367989407590347E-2</v>
      </c>
      <c r="BI45" s="542">
        <f t="shared" si="63"/>
        <v>6.335477430231462E-2</v>
      </c>
      <c r="BJ45" s="542">
        <f t="shared" si="63"/>
        <v>7.8562948804058674E-2</v>
      </c>
      <c r="BK45" s="543">
        <f t="shared" si="63"/>
        <v>7.8183163373633402E-2</v>
      </c>
      <c r="BL45" s="540">
        <f t="shared" si="63"/>
        <v>6.3855995116496533E-2</v>
      </c>
      <c r="BM45" s="541">
        <f>BM44/BH44-1</f>
        <v>3.9200656424134284E-2</v>
      </c>
      <c r="BN45" s="542">
        <f>BN44/BI44-1</f>
        <v>5.2930247938481223E-2</v>
      </c>
      <c r="BO45" s="542">
        <f>BO44/BJ44-1</f>
        <v>7.5008743883178575E-2</v>
      </c>
      <c r="BP45" s="543">
        <f>BP44/BK44-1</f>
        <v>7.6339332692905382E-2</v>
      </c>
      <c r="BQ45" s="540">
        <f>BQ44/BL44-1</f>
        <v>5.8885722786866435E-2</v>
      </c>
      <c r="BR45" s="540"/>
      <c r="BT45" s="1220">
        <f>AVERAGE(AH45,AM45,AR45,AW45,BB45,BG45,BL45)</f>
        <v>9.9037987363611427E-2</v>
      </c>
      <c r="BU45" s="37" t="s">
        <v>1039</v>
      </c>
      <c r="BW45" s="1653"/>
      <c r="BX45" s="1024"/>
      <c r="CN45" s="466"/>
      <c r="CO45" s="466"/>
      <c r="CP45" s="466"/>
      <c r="CQ45" s="466"/>
      <c r="CR45" s="469"/>
      <c r="CS45" s="469"/>
    </row>
    <row r="46" spans="1:105">
      <c r="A46" s="1523"/>
      <c r="B46" s="2"/>
      <c r="C46" s="49"/>
      <c r="D46" s="2"/>
      <c r="E46" s="627"/>
      <c r="F46" s="628"/>
      <c r="G46" s="628"/>
      <c r="H46" s="629"/>
      <c r="I46" s="787"/>
      <c r="J46" s="627"/>
      <c r="K46" s="628"/>
      <c r="L46" s="628"/>
      <c r="M46" s="629"/>
      <c r="N46" s="788"/>
      <c r="O46" s="627"/>
      <c r="P46" s="628"/>
      <c r="Q46" s="628"/>
      <c r="R46" s="629"/>
      <c r="S46" s="788"/>
      <c r="T46" s="627"/>
      <c r="U46" s="1018"/>
      <c r="V46" s="1018"/>
      <c r="W46" s="1019"/>
      <c r="X46" s="1020"/>
      <c r="Y46" s="1021"/>
      <c r="Z46" s="1018"/>
      <c r="AA46" s="1018"/>
      <c r="AB46" s="1019"/>
      <c r="AC46" s="1040"/>
      <c r="AD46" s="1021"/>
      <c r="AE46" s="1018"/>
      <c r="AF46" s="628"/>
      <c r="AG46" s="629"/>
      <c r="AH46" s="788"/>
      <c r="AI46" s="627"/>
      <c r="AJ46" s="628"/>
      <c r="AK46" s="628"/>
      <c r="AL46" s="629"/>
      <c r="AM46" s="788"/>
      <c r="AN46" s="627"/>
      <c r="AO46" s="628"/>
      <c r="AP46" s="628"/>
      <c r="AQ46" s="629"/>
      <c r="AR46" s="1036"/>
      <c r="AS46" s="627"/>
      <c r="AT46" s="628"/>
      <c r="AU46" s="628"/>
      <c r="AV46" s="629"/>
      <c r="AW46" s="788"/>
      <c r="AX46" s="627"/>
      <c r="AY46" s="628"/>
      <c r="AZ46" s="628"/>
      <c r="BA46" s="629"/>
      <c r="BB46" s="788"/>
      <c r="BC46" s="627"/>
      <c r="BD46" s="628"/>
      <c r="BE46" s="628"/>
      <c r="BF46" s="629"/>
      <c r="BG46" s="788"/>
      <c r="BH46" s="627"/>
      <c r="BI46" s="628"/>
      <c r="BJ46" s="628"/>
      <c r="BK46" s="629"/>
      <c r="BL46" s="788"/>
      <c r="BM46" s="627"/>
      <c r="BN46" s="628"/>
      <c r="BO46" s="628"/>
      <c r="BP46" s="629"/>
      <c r="BQ46" s="788"/>
      <c r="BR46" s="788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</row>
    <row r="47" spans="1:105">
      <c r="A47" s="1523"/>
      <c r="B47" s="2"/>
      <c r="C47" s="49"/>
      <c r="D47" s="2"/>
      <c r="E47" s="789"/>
      <c r="F47" s="329"/>
      <c r="G47" s="329"/>
      <c r="H47" s="790"/>
      <c r="I47" s="791"/>
      <c r="J47" s="789"/>
      <c r="K47" s="329"/>
      <c r="L47" s="329"/>
      <c r="M47" s="790"/>
      <c r="N47" s="791"/>
      <c r="O47" s="789"/>
      <c r="P47" s="329"/>
      <c r="Q47" s="329"/>
      <c r="R47" s="790"/>
      <c r="S47" s="791"/>
      <c r="T47" s="789"/>
      <c r="U47" s="329"/>
      <c r="V47" s="329"/>
      <c r="W47" s="790"/>
      <c r="X47" s="1024"/>
      <c r="Y47" s="394"/>
      <c r="Z47" s="342"/>
      <c r="AA47" s="342"/>
      <c r="AB47" s="395"/>
      <c r="AC47" s="1024"/>
      <c r="AD47" s="394"/>
      <c r="AE47" s="342"/>
      <c r="AF47" s="342"/>
      <c r="AG47" s="395"/>
      <c r="AH47" s="630"/>
      <c r="AI47" s="394"/>
      <c r="AJ47" s="342"/>
      <c r="AK47" s="342"/>
      <c r="AL47" s="395"/>
      <c r="AM47" s="630"/>
      <c r="AN47" s="627"/>
      <c r="AO47" s="342"/>
      <c r="AP47" s="628"/>
      <c r="AQ47" s="629"/>
      <c r="AR47" s="630"/>
      <c r="AS47" s="627"/>
      <c r="AT47" s="628"/>
      <c r="AU47" s="628"/>
      <c r="AV47" s="629"/>
      <c r="AW47" s="630"/>
      <c r="AX47" s="627"/>
      <c r="AY47" s="628"/>
      <c r="AZ47" s="628"/>
      <c r="BA47" s="629"/>
      <c r="BB47" s="630"/>
      <c r="BC47" s="627"/>
      <c r="BD47" s="628"/>
      <c r="BE47" s="628"/>
      <c r="BF47" s="629"/>
      <c r="BG47" s="630"/>
      <c r="BH47" s="627"/>
      <c r="BI47" s="628"/>
      <c r="BJ47" s="628"/>
      <c r="BK47" s="629"/>
      <c r="BL47" s="630"/>
      <c r="BM47" s="627"/>
      <c r="BN47" s="628"/>
      <c r="BO47" s="628"/>
      <c r="BP47" s="629"/>
      <c r="BQ47" s="630"/>
      <c r="BR47" s="630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</row>
    <row r="48" spans="1:105">
      <c r="A48" s="1523"/>
      <c r="B48" s="105" t="s">
        <v>428</v>
      </c>
      <c r="C48" s="322"/>
      <c r="D48" s="19"/>
      <c r="E48" s="789"/>
      <c r="F48" s="329"/>
      <c r="G48" s="329"/>
      <c r="H48" s="790"/>
      <c r="I48" s="33"/>
      <c r="J48" s="789"/>
      <c r="K48" s="329"/>
      <c r="L48" s="329"/>
      <c r="M48" s="790"/>
      <c r="N48" s="33"/>
      <c r="O48" s="789"/>
      <c r="P48" s="329"/>
      <c r="Q48" s="329"/>
      <c r="R48" s="790"/>
      <c r="S48" s="33"/>
      <c r="T48" s="789"/>
      <c r="U48" s="329"/>
      <c r="V48" s="329"/>
      <c r="W48" s="790"/>
      <c r="X48" s="33"/>
      <c r="Y48" s="789"/>
      <c r="Z48" s="329"/>
      <c r="AA48" s="329"/>
      <c r="AB48" s="790"/>
      <c r="AC48" s="33"/>
      <c r="AD48" s="789"/>
      <c r="AE48" s="329"/>
      <c r="AF48" s="329"/>
      <c r="AG48" s="790"/>
      <c r="AH48" s="33"/>
      <c r="AI48" s="789"/>
      <c r="AJ48" s="329"/>
      <c r="AK48" s="329"/>
      <c r="AL48" s="790"/>
      <c r="AM48" s="33"/>
      <c r="AN48" s="789"/>
      <c r="AO48" s="329"/>
      <c r="AP48" s="329"/>
      <c r="AQ48" s="790"/>
      <c r="AR48" s="33"/>
      <c r="AS48" s="789"/>
      <c r="AT48" s="329"/>
      <c r="AU48" s="329"/>
      <c r="AV48" s="790"/>
      <c r="AW48" s="33"/>
      <c r="AX48" s="789"/>
      <c r="AY48" s="329"/>
      <c r="AZ48" s="329"/>
      <c r="BA48" s="790"/>
      <c r="BB48" s="33"/>
      <c r="BC48" s="789"/>
      <c r="BD48" s="329"/>
      <c r="BE48" s="329"/>
      <c r="BF48" s="790"/>
      <c r="BG48" s="33"/>
      <c r="BH48" s="789"/>
      <c r="BI48" s="329"/>
      <c r="BJ48" s="329"/>
      <c r="BK48" s="790"/>
      <c r="BL48" s="33"/>
      <c r="BM48" s="789"/>
      <c r="BN48" s="329"/>
      <c r="BO48" s="329"/>
      <c r="BP48" s="790"/>
      <c r="BQ48" s="33"/>
      <c r="BR48" s="33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</row>
    <row r="49" spans="1:105">
      <c r="A49" s="1523"/>
      <c r="B49" s="2"/>
      <c r="C49" s="752" t="s">
        <v>136</v>
      </c>
      <c r="D49" s="534"/>
      <c r="E49" s="792"/>
      <c r="F49" s="793"/>
      <c r="G49" s="793"/>
      <c r="H49" s="794"/>
      <c r="I49" s="795"/>
      <c r="J49" s="796"/>
      <c r="K49" s="797"/>
      <c r="L49" s="797"/>
      <c r="M49" s="798"/>
      <c r="N49" s="799"/>
      <c r="O49" s="796">
        <f t="shared" ref="O49:AE49" si="64">O86</f>
        <v>9.2719109896544083E-3</v>
      </c>
      <c r="P49" s="797">
        <f t="shared" si="64"/>
        <v>-2.5519400436391226E-2</v>
      </c>
      <c r="Q49" s="797">
        <f t="shared" si="64"/>
        <v>-2.4727609921953442E-2</v>
      </c>
      <c r="R49" s="798">
        <f t="shared" si="64"/>
        <v>-6.4974312481112073E-2</v>
      </c>
      <c r="S49" s="799">
        <f t="shared" si="64"/>
        <v>-2.6090940327568424E-2</v>
      </c>
      <c r="T49" s="796">
        <f t="shared" si="64"/>
        <v>-4.902814041195247E-2</v>
      </c>
      <c r="U49" s="797">
        <f t="shared" si="64"/>
        <v>-2.8621495327102786E-2</v>
      </c>
      <c r="V49" s="797">
        <f t="shared" si="64"/>
        <v>-5.7047777513667963E-3</v>
      </c>
      <c r="W49" s="798">
        <f t="shared" si="64"/>
        <v>-2.1547080370609706E-4</v>
      </c>
      <c r="X49" s="799">
        <f t="shared" si="64"/>
        <v>-2.0580487345940313E-2</v>
      </c>
      <c r="Y49" s="796">
        <f t="shared" si="64"/>
        <v>9.0502338824487438E-3</v>
      </c>
      <c r="Z49" s="797">
        <f t="shared" si="64"/>
        <v>-2.5456003207055544E-2</v>
      </c>
      <c r="AA49" s="797">
        <f t="shared" si="64"/>
        <v>-4.3748505857040376E-2</v>
      </c>
      <c r="AB49" s="798">
        <f t="shared" si="64"/>
        <v>3.8685344827586121E-2</v>
      </c>
      <c r="AC49" s="799">
        <f t="shared" si="64"/>
        <v>-8.5252515549578689E-3</v>
      </c>
      <c r="AD49" s="796">
        <f t="shared" si="64"/>
        <v>3.6077799052705917E-2</v>
      </c>
      <c r="AE49" s="797">
        <f t="shared" si="64"/>
        <v>-9.8724804607157601E-3</v>
      </c>
      <c r="AF49" s="797">
        <f t="shared" ref="AF49:AK49" si="65">AF86</f>
        <v>-3.9083333333333359E-2</v>
      </c>
      <c r="AG49" s="798">
        <f t="shared" si="65"/>
        <v>-3.4443406992426651E-2</v>
      </c>
      <c r="AH49" s="799">
        <f t="shared" si="65"/>
        <v>-1.305527297388942E-2</v>
      </c>
      <c r="AI49" s="796">
        <f t="shared" si="65"/>
        <v>9.7266802840190181E-3</v>
      </c>
      <c r="AJ49" s="797">
        <f t="shared" si="65"/>
        <v>2.4615704196094823E-2</v>
      </c>
      <c r="AK49" s="797">
        <f t="shared" si="65"/>
        <v>7.0679039111959163E-2</v>
      </c>
      <c r="AL49" s="798">
        <f t="shared" ref="AL49:AR49" si="66">AL86</f>
        <v>-1.8695605458257214E-2</v>
      </c>
      <c r="AM49" s="799">
        <f t="shared" si="66"/>
        <v>2.4001767001251562E-2</v>
      </c>
      <c r="AN49" s="796">
        <f t="shared" si="66"/>
        <v>-6.251806184375297E-2</v>
      </c>
      <c r="AO49" s="797">
        <f t="shared" si="66"/>
        <v>-2.0577800304105387E-2</v>
      </c>
      <c r="AP49" s="797">
        <f t="shared" si="66"/>
        <v>3.6125060748420479E-2</v>
      </c>
      <c r="AQ49" s="798">
        <f t="shared" si="66"/>
        <v>2.967261578889735E-2</v>
      </c>
      <c r="AR49" s="799">
        <f t="shared" si="66"/>
        <v>-3.2354703415218289E-3</v>
      </c>
      <c r="AS49" s="796">
        <f>AS86</f>
        <v>1.6132346896835292E-2</v>
      </c>
      <c r="AT49" s="797">
        <f>AT86</f>
        <v>-8.1763610018629196E-3</v>
      </c>
      <c r="AU49" s="797">
        <f>AU86</f>
        <v>-8.2629768605378406E-2</v>
      </c>
      <c r="AV49" s="798">
        <f>AV86</f>
        <v>1.4674606550403979E-2</v>
      </c>
      <c r="AW49" s="799">
        <f>AW86</f>
        <v>-2.0221207020918452E-2</v>
      </c>
      <c r="AX49" s="796">
        <f>BB49-AS104</f>
        <v>7.2053525476067932E-3</v>
      </c>
      <c r="AY49" s="797">
        <f>BB49-AT104</f>
        <v>-5.8137332878839525E-3</v>
      </c>
      <c r="AZ49" s="797">
        <f>BB49-AU104</f>
        <v>1.3225255972696248E-2</v>
      </c>
      <c r="BA49" s="798">
        <f>BB49-AV104</f>
        <v>4.0000000000000001E-3</v>
      </c>
      <c r="BB49" s="800">
        <v>0</v>
      </c>
      <c r="BC49" s="796">
        <f>BD49</f>
        <v>0</v>
      </c>
      <c r="BD49" s="797">
        <f>BE49</f>
        <v>0</v>
      </c>
      <c r="BE49" s="797">
        <f>BF49</f>
        <v>0</v>
      </c>
      <c r="BF49" s="798">
        <f>BG49</f>
        <v>0</v>
      </c>
      <c r="BG49" s="800">
        <v>0</v>
      </c>
      <c r="BH49" s="796">
        <f>BI49</f>
        <v>0</v>
      </c>
      <c r="BI49" s="797">
        <f>BJ49</f>
        <v>0</v>
      </c>
      <c r="BJ49" s="797">
        <f>BK49</f>
        <v>0</v>
      </c>
      <c r="BK49" s="798">
        <f>BL49</f>
        <v>0</v>
      </c>
      <c r="BL49" s="800">
        <v>0</v>
      </c>
      <c r="BM49" s="796">
        <f>BN49</f>
        <v>0</v>
      </c>
      <c r="BN49" s="797">
        <f>BO49</f>
        <v>0</v>
      </c>
      <c r="BO49" s="797">
        <f>BP49</f>
        <v>0</v>
      </c>
      <c r="BP49" s="798">
        <f>BQ49</f>
        <v>0</v>
      </c>
      <c r="BQ49" s="800">
        <v>0</v>
      </c>
      <c r="BR49" s="174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</row>
    <row r="50" spans="1:105">
      <c r="A50" s="1523"/>
      <c r="B50" s="2"/>
      <c r="C50" s="535"/>
      <c r="D50" s="2"/>
      <c r="E50" s="789"/>
      <c r="F50" s="329"/>
      <c r="G50" s="329"/>
      <c r="H50" s="790"/>
      <c r="I50" s="33"/>
      <c r="J50" s="386"/>
      <c r="K50" s="316"/>
      <c r="L50" s="316"/>
      <c r="M50" s="387"/>
      <c r="N50" s="32"/>
      <c r="O50" s="386"/>
      <c r="P50" s="316"/>
      <c r="Q50" s="316"/>
      <c r="R50" s="387"/>
      <c r="S50" s="32"/>
      <c r="T50" s="386"/>
      <c r="U50" s="316"/>
      <c r="V50" s="316"/>
      <c r="W50" s="387"/>
      <c r="X50" s="32"/>
      <c r="Y50" s="386"/>
      <c r="Z50" s="316"/>
      <c r="AA50" s="316"/>
      <c r="AB50" s="387"/>
      <c r="AC50" s="32"/>
      <c r="AD50" s="386"/>
      <c r="AE50" s="316"/>
      <c r="AF50" s="316"/>
      <c r="AG50" s="387"/>
      <c r="AH50" s="32"/>
      <c r="AI50" s="386"/>
      <c r="AJ50" s="316"/>
      <c r="AK50" s="316"/>
      <c r="AL50" s="387"/>
      <c r="AM50" s="32"/>
      <c r="AN50" s="386"/>
      <c r="AO50" s="316"/>
      <c r="AP50" s="316"/>
      <c r="AQ50" s="387"/>
      <c r="AR50" s="32"/>
      <c r="AS50" s="386"/>
      <c r="AT50" s="316"/>
      <c r="AU50" s="316"/>
      <c r="AV50" s="387"/>
      <c r="AW50" s="32"/>
      <c r="AX50" s="386"/>
      <c r="AY50" s="316"/>
      <c r="AZ50" s="316"/>
      <c r="BA50" s="387"/>
      <c r="BB50" s="801"/>
      <c r="BC50" s="386"/>
      <c r="BD50" s="316"/>
      <c r="BE50" s="316"/>
      <c r="BF50" s="387"/>
      <c r="BG50" s="801"/>
      <c r="BH50" s="386"/>
      <c r="BI50" s="316"/>
      <c r="BJ50" s="316"/>
      <c r="BK50" s="387"/>
      <c r="BL50" s="801"/>
      <c r="BM50" s="386"/>
      <c r="BN50" s="316"/>
      <c r="BO50" s="316"/>
      <c r="BP50" s="387"/>
      <c r="BQ50" s="32"/>
      <c r="BR50" s="174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</row>
    <row r="51" spans="1:105">
      <c r="A51" s="1523"/>
      <c r="B51" s="2"/>
      <c r="C51" s="535" t="s">
        <v>137</v>
      </c>
      <c r="D51" s="2"/>
      <c r="E51" s="789"/>
      <c r="F51" s="329"/>
      <c r="G51" s="329"/>
      <c r="H51" s="790"/>
      <c r="I51" s="33"/>
      <c r="J51" s="386">
        <f t="shared" ref="J51:S51" si="67">J124</f>
        <v>-9.3320235756385039E-2</v>
      </c>
      <c r="K51" s="316">
        <f t="shared" si="67"/>
        <v>-0.12371134020618557</v>
      </c>
      <c r="L51" s="316">
        <f t="shared" si="67"/>
        <v>-5.2910052910052907E-2</v>
      </c>
      <c r="M51" s="387">
        <f t="shared" si="67"/>
        <v>5.3244592346089803E-2</v>
      </c>
      <c r="N51" s="32">
        <f t="shared" si="67"/>
        <v>-5.1929490233444509E-2</v>
      </c>
      <c r="O51" s="386">
        <f t="shared" si="67"/>
        <v>3.0335861321776791E-2</v>
      </c>
      <c r="P51" s="316">
        <f t="shared" si="67"/>
        <v>0.11764705882352944</v>
      </c>
      <c r="Q51" s="316">
        <f t="shared" si="67"/>
        <v>-1.6759776536312887E-2</v>
      </c>
      <c r="R51" s="387">
        <f t="shared" si="67"/>
        <v>-0.22590837282780407</v>
      </c>
      <c r="S51" s="32">
        <f t="shared" si="67"/>
        <v>-4.4221105527638138E-2</v>
      </c>
      <c r="T51" s="386">
        <f>T124</f>
        <v>-0.21871713985278651</v>
      </c>
      <c r="U51" s="802">
        <f>U124</f>
        <v>-0.22456140350877196</v>
      </c>
      <c r="V51" s="802">
        <f>V124</f>
        <v>-0.22727272727272729</v>
      </c>
      <c r="W51" s="387">
        <f>W124</f>
        <v>0.11224489795918369</v>
      </c>
      <c r="X51" s="32">
        <f>X124</f>
        <v>-0.13512092534174558</v>
      </c>
      <c r="Y51" s="386"/>
      <c r="Z51" s="802"/>
      <c r="AA51" s="802"/>
      <c r="AB51" s="387"/>
      <c r="AC51" s="32">
        <f>AC124</f>
        <v>9.2401215805471226E-2</v>
      </c>
      <c r="AD51" s="386"/>
      <c r="AE51" s="802"/>
      <c r="AF51" s="802"/>
      <c r="AG51" s="387"/>
      <c r="AH51" s="32"/>
      <c r="AI51" s="386"/>
      <c r="AJ51" s="802"/>
      <c r="AK51" s="802"/>
      <c r="AL51" s="387"/>
      <c r="AM51" s="32"/>
      <c r="AN51" s="386"/>
      <c r="AO51" s="802"/>
      <c r="AP51" s="802"/>
      <c r="AQ51" s="387"/>
      <c r="AR51" s="32"/>
      <c r="AS51" s="386"/>
      <c r="AT51" s="802"/>
      <c r="AU51" s="802"/>
      <c r="AV51" s="387"/>
      <c r="AW51" s="32"/>
      <c r="AX51" s="386">
        <f t="shared" ref="AX51:BA52" si="68">AY51</f>
        <v>0.01</v>
      </c>
      <c r="AY51" s="802">
        <f t="shared" si="68"/>
        <v>0.01</v>
      </c>
      <c r="AZ51" s="802">
        <f>BA51</f>
        <v>0.01</v>
      </c>
      <c r="BA51" s="803">
        <f t="shared" si="68"/>
        <v>0.01</v>
      </c>
      <c r="BB51" s="804">
        <v>0.01</v>
      </c>
      <c r="BC51" s="386">
        <f t="shared" ref="BC51:BF52" si="69">BD51</f>
        <v>0.01</v>
      </c>
      <c r="BD51" s="802">
        <f t="shared" si="69"/>
        <v>0.01</v>
      </c>
      <c r="BE51" s="802">
        <f t="shared" si="69"/>
        <v>0.01</v>
      </c>
      <c r="BF51" s="803">
        <f t="shared" si="69"/>
        <v>0.01</v>
      </c>
      <c r="BG51" s="804">
        <v>0.01</v>
      </c>
      <c r="BH51" s="386">
        <f t="shared" ref="BH51:BK52" si="70">BI51</f>
        <v>0.01</v>
      </c>
      <c r="BI51" s="802">
        <f t="shared" si="70"/>
        <v>0.01</v>
      </c>
      <c r="BJ51" s="802">
        <f t="shared" si="70"/>
        <v>0.01</v>
      </c>
      <c r="BK51" s="803">
        <f t="shared" si="70"/>
        <v>0.01</v>
      </c>
      <c r="BL51" s="804">
        <v>0.01</v>
      </c>
      <c r="BM51" s="386">
        <f t="shared" ref="BM51:BP52" si="71">BN51</f>
        <v>0.01</v>
      </c>
      <c r="BN51" s="802">
        <f t="shared" si="71"/>
        <v>0.01</v>
      </c>
      <c r="BO51" s="802">
        <f t="shared" si="71"/>
        <v>0.01</v>
      </c>
      <c r="BP51" s="803">
        <f t="shared" si="71"/>
        <v>0.01</v>
      </c>
      <c r="BQ51" s="804">
        <v>0.01</v>
      </c>
      <c r="BR51" s="1743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</row>
    <row r="52" spans="1:105">
      <c r="A52" s="1523"/>
      <c r="B52" s="2"/>
      <c r="C52" s="535" t="s">
        <v>138</v>
      </c>
      <c r="D52" s="2"/>
      <c r="E52" s="789"/>
      <c r="F52" s="329"/>
      <c r="G52" s="329"/>
      <c r="H52" s="790"/>
      <c r="I52" s="33"/>
      <c r="J52" s="386">
        <f t="shared" ref="J52:S52" si="72">J127</f>
        <v>4.4386422976501416E-2</v>
      </c>
      <c r="K52" s="316">
        <f t="shared" si="72"/>
        <v>0</v>
      </c>
      <c r="L52" s="316">
        <f t="shared" si="72"/>
        <v>-0.25164113785557984</v>
      </c>
      <c r="M52" s="387">
        <f t="shared" si="72"/>
        <v>0.68399999999999994</v>
      </c>
      <c r="N52" s="32">
        <f t="shared" si="72"/>
        <v>5.2105638829407663E-2</v>
      </c>
      <c r="O52" s="386">
        <f t="shared" si="72"/>
        <v>0.16999999999999993</v>
      </c>
      <c r="P52" s="316">
        <f t="shared" si="72"/>
        <v>-6.7524115755627001E-2</v>
      </c>
      <c r="Q52" s="316">
        <f t="shared" si="72"/>
        <v>1.7543859649122862E-2</v>
      </c>
      <c r="R52" s="387">
        <f t="shared" si="72"/>
        <v>0.23515439429928731</v>
      </c>
      <c r="S52" s="32">
        <f t="shared" si="72"/>
        <v>0.10312075983717772</v>
      </c>
      <c r="T52" s="386">
        <f>T127</f>
        <v>4.2735042735042805E-2</v>
      </c>
      <c r="U52" s="802">
        <f>U127</f>
        <v>0.20344827586206904</v>
      </c>
      <c r="V52" s="802">
        <f>V127</f>
        <v>0.46264367816091956</v>
      </c>
      <c r="W52" s="387">
        <f>W127</f>
        <v>-0.21923076923076923</v>
      </c>
      <c r="X52" s="32">
        <f>X127</f>
        <v>7.7490774907749138E-2</v>
      </c>
      <c r="Y52" s="386"/>
      <c r="Z52" s="802"/>
      <c r="AA52" s="802"/>
      <c r="AB52" s="387"/>
      <c r="AC52" s="32">
        <f>AC127</f>
        <v>3.082191780821919E-2</v>
      </c>
      <c r="AD52" s="386"/>
      <c r="AE52" s="802"/>
      <c r="AF52" s="802"/>
      <c r="AG52" s="387"/>
      <c r="AH52" s="32"/>
      <c r="AI52" s="386"/>
      <c r="AJ52" s="802"/>
      <c r="AK52" s="802"/>
      <c r="AL52" s="387"/>
      <c r="AM52" s="32"/>
      <c r="AN52" s="386"/>
      <c r="AO52" s="802"/>
      <c r="AP52" s="802"/>
      <c r="AQ52" s="387"/>
      <c r="AR52" s="32"/>
      <c r="AS52" s="386"/>
      <c r="AT52" s="802"/>
      <c r="AU52" s="802"/>
      <c r="AV52" s="387"/>
      <c r="AW52" s="32"/>
      <c r="AX52" s="386">
        <f t="shared" si="68"/>
        <v>0</v>
      </c>
      <c r="AY52" s="802">
        <f t="shared" si="68"/>
        <v>0</v>
      </c>
      <c r="AZ52" s="802">
        <f>BA52</f>
        <v>0</v>
      </c>
      <c r="BA52" s="803">
        <f t="shared" si="68"/>
        <v>0</v>
      </c>
      <c r="BB52" s="804">
        <v>0</v>
      </c>
      <c r="BC52" s="386">
        <f t="shared" si="69"/>
        <v>0</v>
      </c>
      <c r="BD52" s="802">
        <f t="shared" si="69"/>
        <v>0</v>
      </c>
      <c r="BE52" s="802">
        <f t="shared" si="69"/>
        <v>0</v>
      </c>
      <c r="BF52" s="803">
        <f t="shared" si="69"/>
        <v>0</v>
      </c>
      <c r="BG52" s="804">
        <v>0</v>
      </c>
      <c r="BH52" s="386">
        <f t="shared" si="70"/>
        <v>0</v>
      </c>
      <c r="BI52" s="802">
        <f t="shared" si="70"/>
        <v>0</v>
      </c>
      <c r="BJ52" s="802">
        <f t="shared" si="70"/>
        <v>0</v>
      </c>
      <c r="BK52" s="803">
        <f t="shared" si="70"/>
        <v>0</v>
      </c>
      <c r="BL52" s="804">
        <v>0</v>
      </c>
      <c r="BM52" s="386">
        <f t="shared" si="71"/>
        <v>0</v>
      </c>
      <c r="BN52" s="802">
        <f t="shared" si="71"/>
        <v>0</v>
      </c>
      <c r="BO52" s="802">
        <f t="shared" si="71"/>
        <v>0</v>
      </c>
      <c r="BP52" s="803">
        <f t="shared" si="71"/>
        <v>0</v>
      </c>
      <c r="BQ52" s="804">
        <v>0</v>
      </c>
      <c r="BR52" s="1743"/>
      <c r="BS52" s="2"/>
      <c r="BT52" s="777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</row>
    <row r="53" spans="1:105">
      <c r="A53" s="1523"/>
      <c r="B53" s="2"/>
      <c r="C53" s="535"/>
      <c r="D53" s="2"/>
      <c r="E53" s="789"/>
      <c r="F53" s="329"/>
      <c r="G53" s="329"/>
      <c r="H53" s="790"/>
      <c r="I53" s="33"/>
      <c r="J53" s="386"/>
      <c r="K53" s="316"/>
      <c r="L53" s="316"/>
      <c r="M53" s="387"/>
      <c r="N53" s="32"/>
      <c r="O53" s="386"/>
      <c r="P53" s="316"/>
      <c r="Q53" s="316"/>
      <c r="R53" s="387"/>
      <c r="S53" s="32"/>
      <c r="T53" s="386"/>
      <c r="U53" s="316"/>
      <c r="V53" s="316"/>
      <c r="W53" s="387"/>
      <c r="X53" s="32"/>
      <c r="Y53" s="386"/>
      <c r="Z53" s="316"/>
      <c r="AA53" s="316"/>
      <c r="AB53" s="387"/>
      <c r="AC53" s="801"/>
      <c r="AD53" s="386"/>
      <c r="AE53" s="316"/>
      <c r="AF53" s="316"/>
      <c r="AG53" s="387"/>
      <c r="AH53" s="801"/>
      <c r="AI53" s="386"/>
      <c r="AJ53" s="316"/>
      <c r="AK53" s="316"/>
      <c r="AL53" s="387"/>
      <c r="AM53" s="801"/>
      <c r="AN53" s="386"/>
      <c r="AO53" s="316"/>
      <c r="AP53" s="316"/>
      <c r="AQ53" s="387"/>
      <c r="AR53" s="801"/>
      <c r="AS53" s="386"/>
      <c r="AT53" s="316"/>
      <c r="AU53" s="316"/>
      <c r="AV53" s="387"/>
      <c r="AW53" s="801"/>
      <c r="AX53" s="386"/>
      <c r="AY53" s="316"/>
      <c r="AZ53" s="316"/>
      <c r="BA53" s="387"/>
      <c r="BB53" s="801"/>
      <c r="BC53" s="386"/>
      <c r="BD53" s="316"/>
      <c r="BE53" s="316"/>
      <c r="BF53" s="387"/>
      <c r="BG53" s="801"/>
      <c r="BH53" s="386"/>
      <c r="BI53" s="316"/>
      <c r="BJ53" s="316"/>
      <c r="BK53" s="387"/>
      <c r="BL53" s="801"/>
      <c r="BM53" s="386"/>
      <c r="BN53" s="316"/>
      <c r="BO53" s="316"/>
      <c r="BP53" s="387"/>
      <c r="BQ53" s="801"/>
      <c r="BR53" s="174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</row>
    <row r="54" spans="1:105">
      <c r="A54" s="538"/>
      <c r="B54" s="538"/>
      <c r="C54" s="870" t="s">
        <v>188</v>
      </c>
      <c r="D54" s="538"/>
      <c r="E54" s="805"/>
      <c r="F54" s="806"/>
      <c r="G54" s="806"/>
      <c r="H54" s="807"/>
      <c r="I54" s="538"/>
      <c r="J54" s="805"/>
      <c r="K54" s="806"/>
      <c r="L54" s="806"/>
      <c r="M54" s="807"/>
      <c r="N54" s="538"/>
      <c r="O54" s="808"/>
      <c r="P54" s="809"/>
      <c r="Q54" s="809"/>
      <c r="R54" s="853"/>
      <c r="S54" s="854"/>
      <c r="T54" s="808"/>
      <c r="U54" s="809"/>
      <c r="V54" s="809"/>
      <c r="W54" s="853"/>
      <c r="X54" s="854"/>
      <c r="Y54" s="808"/>
      <c r="Z54" s="809"/>
      <c r="AA54" s="809"/>
      <c r="AB54" s="853"/>
      <c r="AC54" s="971"/>
      <c r="AD54" s="808"/>
      <c r="AE54" s="809"/>
      <c r="AF54" s="809"/>
      <c r="AG54" s="853"/>
      <c r="AH54" s="971"/>
      <c r="AI54" s="808"/>
      <c r="AJ54" s="809"/>
      <c r="AK54" s="809"/>
      <c r="AL54" s="1625"/>
      <c r="AM54" s="971"/>
      <c r="AN54" s="808"/>
      <c r="AO54" s="809"/>
      <c r="AP54" s="809"/>
      <c r="AQ54" s="1625"/>
      <c r="AR54" s="971"/>
      <c r="AS54" s="808"/>
      <c r="AT54" s="809"/>
      <c r="AU54" s="809"/>
      <c r="AV54" s="1625"/>
      <c r="AW54" s="971"/>
      <c r="AX54" s="808">
        <f>BB54*0.31</f>
        <v>-23.25</v>
      </c>
      <c r="AY54" s="809">
        <f>BB54*0.22</f>
        <v>-16.5</v>
      </c>
      <c r="AZ54" s="809">
        <f>BB54*0.26</f>
        <v>-19.5</v>
      </c>
      <c r="BA54" s="853">
        <f>BB54*0.21</f>
        <v>-15.75</v>
      </c>
      <c r="BB54" s="971">
        <f>212-287</f>
        <v>-75</v>
      </c>
      <c r="BC54" s="808">
        <f>BG54/4</f>
        <v>43.875</v>
      </c>
      <c r="BD54" s="809">
        <f>BG54/4</f>
        <v>43.875</v>
      </c>
      <c r="BE54" s="809">
        <f>BG54/4</f>
        <v>43.875</v>
      </c>
      <c r="BF54" s="853">
        <f>BG54/4</f>
        <v>43.875</v>
      </c>
      <c r="BG54" s="971">
        <f>15%*BG161-30*3/5</f>
        <v>175.5</v>
      </c>
      <c r="BH54" s="808">
        <f>BL54/4</f>
        <v>30</v>
      </c>
      <c r="BI54" s="809">
        <f>BL54/4</f>
        <v>30</v>
      </c>
      <c r="BJ54" s="809">
        <f>BL54/4</f>
        <v>30</v>
      </c>
      <c r="BK54" s="853">
        <f>BL54/4</f>
        <v>30</v>
      </c>
      <c r="BL54" s="971">
        <v>120</v>
      </c>
      <c r="BM54" s="808">
        <f>BQ54/4</f>
        <v>30</v>
      </c>
      <c r="BN54" s="809">
        <f>BQ54/4</f>
        <v>30</v>
      </c>
      <c r="BO54" s="809">
        <f>BQ54/4</f>
        <v>30</v>
      </c>
      <c r="BP54" s="853">
        <f>BQ54/4</f>
        <v>30</v>
      </c>
      <c r="BQ54" s="971">
        <v>120</v>
      </c>
      <c r="BR54" s="1744"/>
      <c r="BS54" s="538"/>
      <c r="BT54" s="1624"/>
      <c r="BU54" s="2"/>
      <c r="BV54" s="2"/>
      <c r="BW54" s="2"/>
      <c r="BX54" s="2"/>
      <c r="BY54" s="2"/>
      <c r="BZ54" s="538"/>
      <c r="CA54" s="538"/>
      <c r="CB54" s="538"/>
      <c r="CC54" s="538"/>
      <c r="CD54" s="538"/>
      <c r="CE54" s="538"/>
      <c r="CF54" s="538"/>
      <c r="CG54" s="538"/>
      <c r="CH54" s="538"/>
      <c r="CI54" s="538"/>
      <c r="CJ54" s="538"/>
      <c r="CK54" s="538"/>
      <c r="CL54" s="538"/>
      <c r="CM54" s="538"/>
      <c r="CN54" s="538"/>
      <c r="CO54" s="538"/>
      <c r="CP54" s="538"/>
      <c r="CQ54" s="538"/>
      <c r="CR54" s="538"/>
      <c r="CS54" s="538"/>
      <c r="CT54" s="538"/>
      <c r="CU54" s="538"/>
      <c r="CV54" s="538"/>
      <c r="CW54" s="538"/>
      <c r="CX54" s="538"/>
      <c r="CY54" s="538"/>
      <c r="CZ54" s="538"/>
      <c r="DA54" s="538"/>
    </row>
    <row r="55" spans="1:105">
      <c r="A55" s="538"/>
      <c r="B55" s="538"/>
      <c r="C55" s="870" t="s">
        <v>887</v>
      </c>
      <c r="D55" s="538"/>
      <c r="E55" s="805"/>
      <c r="F55" s="806"/>
      <c r="G55" s="806"/>
      <c r="H55" s="807"/>
      <c r="I55" s="538"/>
      <c r="J55" s="805"/>
      <c r="K55" s="806"/>
      <c r="L55" s="806"/>
      <c r="M55" s="807"/>
      <c r="N55" s="538"/>
      <c r="O55" s="808"/>
      <c r="P55" s="809"/>
      <c r="Q55" s="809"/>
      <c r="R55" s="853"/>
      <c r="S55" s="971"/>
      <c r="T55" s="808"/>
      <c r="U55" s="809"/>
      <c r="V55" s="809"/>
      <c r="W55" s="853"/>
      <c r="X55" s="971"/>
      <c r="Y55" s="808"/>
      <c r="Z55" s="809"/>
      <c r="AA55" s="809"/>
      <c r="AB55" s="853"/>
      <c r="AC55" s="971"/>
      <c r="AD55" s="808"/>
      <c r="AE55" s="809"/>
      <c r="AF55" s="809"/>
      <c r="AG55" s="853"/>
      <c r="AH55" s="971"/>
      <c r="AI55" s="808"/>
      <c r="AJ55" s="809"/>
      <c r="AK55" s="809"/>
      <c r="AL55" s="853"/>
      <c r="AM55" s="971"/>
      <c r="AN55" s="808"/>
      <c r="AO55" s="809"/>
      <c r="AP55" s="809"/>
      <c r="AQ55" s="853"/>
      <c r="AR55" s="971"/>
      <c r="AS55" s="808"/>
      <c r="AT55" s="809"/>
      <c r="AU55" s="809"/>
      <c r="AV55" s="853"/>
      <c r="AW55" s="971"/>
      <c r="AX55" s="808">
        <f>BB55/4</f>
        <v>-20</v>
      </c>
      <c r="AY55" s="809">
        <f>BB55/4</f>
        <v>-20</v>
      </c>
      <c r="AZ55" s="809">
        <f>BC55/4</f>
        <v>1.25</v>
      </c>
      <c r="BA55" s="853">
        <f>BB55/4</f>
        <v>-20</v>
      </c>
      <c r="BB55" s="971">
        <v>-80</v>
      </c>
      <c r="BC55" s="808">
        <f>BG55/4</f>
        <v>5</v>
      </c>
      <c r="BD55" s="809">
        <f>BG55/4</f>
        <v>5</v>
      </c>
      <c r="BE55" s="809">
        <f>BG55/4</f>
        <v>5</v>
      </c>
      <c r="BF55" s="853">
        <f>BG55/4</f>
        <v>5</v>
      </c>
      <c r="BG55" s="971">
        <v>20</v>
      </c>
      <c r="BH55" s="808">
        <f>BL55/4</f>
        <v>0</v>
      </c>
      <c r="BI55" s="809">
        <f>BL55/4</f>
        <v>0</v>
      </c>
      <c r="BJ55" s="809">
        <f>BL55/4</f>
        <v>0</v>
      </c>
      <c r="BK55" s="853">
        <f>BL55/4</f>
        <v>0</v>
      </c>
      <c r="BL55" s="971">
        <v>0</v>
      </c>
      <c r="BM55" s="808">
        <f>BQ55/4</f>
        <v>0</v>
      </c>
      <c r="BN55" s="809">
        <f>BQ55/4</f>
        <v>0</v>
      </c>
      <c r="BO55" s="809">
        <f>BQ55/4</f>
        <v>0</v>
      </c>
      <c r="BP55" s="853">
        <f>BQ55/4</f>
        <v>0</v>
      </c>
      <c r="BQ55" s="971">
        <v>0</v>
      </c>
      <c r="BR55" s="1744"/>
      <c r="BS55" s="538"/>
      <c r="BT55" s="293"/>
      <c r="BU55" s="293"/>
      <c r="BV55" s="2"/>
      <c r="BW55" s="2"/>
      <c r="BX55" s="2"/>
      <c r="BY55" s="2"/>
      <c r="BZ55" s="538"/>
      <c r="CA55" s="538"/>
      <c r="CB55" s="538"/>
      <c r="CC55" s="538"/>
      <c r="CD55" s="538"/>
      <c r="CE55" s="538"/>
      <c r="CF55" s="538"/>
      <c r="CG55" s="538"/>
      <c r="CH55" s="538"/>
      <c r="CI55" s="538"/>
      <c r="CJ55" s="538"/>
      <c r="CK55" s="538"/>
      <c r="CL55" s="538"/>
      <c r="CM55" s="538"/>
      <c r="CN55" s="538"/>
      <c r="CO55" s="538"/>
      <c r="CP55" s="538"/>
      <c r="CQ55" s="538"/>
      <c r="CR55" s="538"/>
      <c r="CS55" s="538"/>
      <c r="CT55" s="538"/>
      <c r="CU55" s="538"/>
      <c r="CV55" s="538"/>
      <c r="CW55" s="538"/>
      <c r="CX55" s="538"/>
      <c r="CY55" s="538"/>
      <c r="CZ55" s="538"/>
      <c r="DA55" s="538"/>
    </row>
    <row r="56" spans="1:105">
      <c r="A56" s="538"/>
      <c r="B56" s="538"/>
      <c r="C56" s="870" t="s">
        <v>25</v>
      </c>
      <c r="D56" s="538"/>
      <c r="E56" s="805"/>
      <c r="F56" s="806"/>
      <c r="G56" s="806"/>
      <c r="H56" s="807"/>
      <c r="I56" s="538"/>
      <c r="J56" s="805"/>
      <c r="K56" s="806"/>
      <c r="L56" s="806"/>
      <c r="M56" s="807"/>
      <c r="N56" s="538"/>
      <c r="O56" s="808"/>
      <c r="P56" s="809"/>
      <c r="Q56" s="809"/>
      <c r="R56" s="853"/>
      <c r="S56" s="854"/>
      <c r="T56" s="808"/>
      <c r="U56" s="809"/>
      <c r="V56" s="809"/>
      <c r="W56" s="853"/>
      <c r="X56" s="854"/>
      <c r="Y56" s="808"/>
      <c r="Z56" s="809"/>
      <c r="AA56" s="809"/>
      <c r="AB56" s="853"/>
      <c r="AC56" s="971"/>
      <c r="AD56" s="808"/>
      <c r="AE56" s="809"/>
      <c r="AF56" s="809"/>
      <c r="AG56" s="853"/>
      <c r="AH56" s="971"/>
      <c r="AI56" s="808"/>
      <c r="AJ56" s="809"/>
      <c r="AK56" s="809"/>
      <c r="AL56" s="853"/>
      <c r="AM56" s="971"/>
      <c r="AN56" s="808"/>
      <c r="AO56" s="809"/>
      <c r="AP56" s="809"/>
      <c r="AQ56" s="853"/>
      <c r="AR56" s="971"/>
      <c r="AS56" s="808"/>
      <c r="AT56" s="809"/>
      <c r="AU56" s="809"/>
      <c r="AV56" s="853"/>
      <c r="AW56" s="971"/>
      <c r="AX56" s="808">
        <f>BB56/4</f>
        <v>2.5499999999999998</v>
      </c>
      <c r="AY56" s="809">
        <f>BB56/4</f>
        <v>2.5499999999999998</v>
      </c>
      <c r="AZ56" s="809">
        <f>BC56/4</f>
        <v>0.5625</v>
      </c>
      <c r="BA56" s="853">
        <f>BB56/4</f>
        <v>2.5499999999999998</v>
      </c>
      <c r="BB56" s="971">
        <f>12%*BB164</f>
        <v>10.199999999999999</v>
      </c>
      <c r="BC56" s="808">
        <f>BG56/4</f>
        <v>2.25</v>
      </c>
      <c r="BD56" s="809">
        <f>BG56/4</f>
        <v>2.25</v>
      </c>
      <c r="BE56" s="809">
        <f>BG56/4</f>
        <v>2.25</v>
      </c>
      <c r="BF56" s="853">
        <f>BG56/4</f>
        <v>2.25</v>
      </c>
      <c r="BG56" s="971">
        <f>12%*BG164</f>
        <v>9</v>
      </c>
      <c r="BH56" s="808">
        <f>BL56/4</f>
        <v>1.65</v>
      </c>
      <c r="BI56" s="809">
        <f>BL56/4</f>
        <v>1.65</v>
      </c>
      <c r="BJ56" s="809">
        <f>BL56/4</f>
        <v>1.65</v>
      </c>
      <c r="BK56" s="853">
        <f>BL56/4</f>
        <v>1.65</v>
      </c>
      <c r="BL56" s="971">
        <f>12%*BL164</f>
        <v>6.6</v>
      </c>
      <c r="BM56" s="808">
        <f>BQ56/4</f>
        <v>0</v>
      </c>
      <c r="BN56" s="809">
        <f>BQ56/4</f>
        <v>0</v>
      </c>
      <c r="BO56" s="809">
        <f>BQ56/4</f>
        <v>0</v>
      </c>
      <c r="BP56" s="853">
        <f>BQ56/4</f>
        <v>0</v>
      </c>
      <c r="BQ56" s="971">
        <f>12%*BQ164</f>
        <v>0</v>
      </c>
      <c r="BR56" s="1744"/>
      <c r="BS56" s="538"/>
      <c r="BT56" s="960"/>
      <c r="BU56" s="293"/>
      <c r="BV56" s="2"/>
      <c r="BW56" s="2"/>
      <c r="BX56" s="2"/>
      <c r="BY56" s="2"/>
      <c r="BZ56" s="538"/>
      <c r="CA56" s="538"/>
      <c r="CB56" s="538"/>
      <c r="CC56" s="538"/>
      <c r="CD56" s="538"/>
      <c r="CE56" s="538"/>
      <c r="CF56" s="538"/>
      <c r="CG56" s="538"/>
      <c r="CH56" s="538"/>
      <c r="CI56" s="538"/>
      <c r="CJ56" s="538"/>
      <c r="CK56" s="538"/>
      <c r="CL56" s="538"/>
      <c r="CM56" s="538"/>
      <c r="CN56" s="538"/>
      <c r="CO56" s="538"/>
      <c r="CP56" s="538"/>
      <c r="CQ56" s="538"/>
      <c r="CR56" s="538"/>
      <c r="CS56" s="538"/>
      <c r="CT56" s="538"/>
      <c r="CU56" s="538"/>
      <c r="CV56" s="538"/>
      <c r="CW56" s="538"/>
      <c r="CX56" s="538"/>
      <c r="CY56" s="538"/>
      <c r="CZ56" s="538"/>
      <c r="DA56" s="538"/>
    </row>
    <row r="57" spans="1:105" s="305" customFormat="1">
      <c r="A57" s="538"/>
      <c r="B57" s="538"/>
      <c r="C57" s="870" t="s">
        <v>187</v>
      </c>
      <c r="D57" s="538"/>
      <c r="E57" s="805"/>
      <c r="F57" s="806"/>
      <c r="G57" s="806"/>
      <c r="H57" s="807"/>
      <c r="I57" s="538"/>
      <c r="J57" s="805"/>
      <c r="K57" s="806"/>
      <c r="L57" s="806"/>
      <c r="M57" s="807"/>
      <c r="N57" s="538"/>
      <c r="O57" s="808"/>
      <c r="P57" s="809"/>
      <c r="Q57" s="809"/>
      <c r="R57" s="853"/>
      <c r="S57" s="854"/>
      <c r="T57" s="808"/>
      <c r="U57" s="809"/>
      <c r="V57" s="809"/>
      <c r="W57" s="853"/>
      <c r="X57" s="854"/>
      <c r="Y57" s="808"/>
      <c r="Z57" s="809"/>
      <c r="AA57" s="809"/>
      <c r="AB57" s="853"/>
      <c r="AC57" s="854"/>
      <c r="AD57" s="808"/>
      <c r="AE57" s="809"/>
      <c r="AF57" s="809"/>
      <c r="AG57" s="853"/>
      <c r="AH57" s="854"/>
      <c r="AI57" s="808"/>
      <c r="AJ57" s="809"/>
      <c r="AK57" s="809"/>
      <c r="AL57" s="853"/>
      <c r="AM57" s="854"/>
      <c r="AN57" s="808"/>
      <c r="AO57" s="809"/>
      <c r="AP57" s="809"/>
      <c r="AQ57" s="853"/>
      <c r="AR57" s="854"/>
      <c r="AS57" s="808"/>
      <c r="AT57" s="809"/>
      <c r="AU57" s="809"/>
      <c r="AV57" s="853"/>
      <c r="AW57" s="854"/>
      <c r="AX57" s="808">
        <f>(AX177-AS177)+(AX155-AS155)</f>
        <v>-28.008322916666685</v>
      </c>
      <c r="AY57" s="809">
        <f>(AY177-AT177)+(AY155-AT155)</f>
        <v>-28.008322916666685</v>
      </c>
      <c r="AZ57" s="809">
        <f>(AZ177-AU177)+(AZ155-AU155)</f>
        <v>-28.008322916666685</v>
      </c>
      <c r="BA57" s="853">
        <f>(BA177-AV177)+(BA155-AV155)</f>
        <v>-28.008322916666685</v>
      </c>
      <c r="BB57" s="854">
        <f>SUM(AX57:BA57)</f>
        <v>-112.03329166666674</v>
      </c>
      <c r="BC57" s="808">
        <f>(BC177-AX177)+(BC155-AX155)</f>
        <v>0</v>
      </c>
      <c r="BD57" s="809">
        <f>(BD177-AY177)+(BD155-AY155)</f>
        <v>0</v>
      </c>
      <c r="BE57" s="809">
        <f>(BE177-AY177)+(BE155-AY155)</f>
        <v>0</v>
      </c>
      <c r="BF57" s="853">
        <f>(BF177-BA177)+(BF155-BA155)</f>
        <v>0</v>
      </c>
      <c r="BG57" s="854">
        <f>SUM(BC57:BF57)</f>
        <v>0</v>
      </c>
      <c r="BH57" s="808">
        <f>(BH177-BC177)+(BH155-BC155)</f>
        <v>0</v>
      </c>
      <c r="BI57" s="809">
        <f>(BI177-BD177)+(BI155-BD155)</f>
        <v>0</v>
      </c>
      <c r="BJ57" s="809">
        <f>(BJ177-BE177)+(BJ155-BE155)</f>
        <v>0</v>
      </c>
      <c r="BK57" s="853">
        <f>(BK177-BF177)+(BK155-BF155)</f>
        <v>0</v>
      </c>
      <c r="BL57" s="854">
        <f>SUM(BH57:BK57)</f>
        <v>0</v>
      </c>
      <c r="BM57" s="808">
        <f>(BM177-BH177)+(BM155-BH155)</f>
        <v>0</v>
      </c>
      <c r="BN57" s="809">
        <f>(BN177-BI177)+(BN155-BI155)</f>
        <v>0</v>
      </c>
      <c r="BO57" s="809">
        <f>(BO177-BJ177)+(BO155-BJ155)</f>
        <v>0</v>
      </c>
      <c r="BP57" s="853">
        <f>(BP177-BK177)+(BP155-BK155)</f>
        <v>0</v>
      </c>
      <c r="BQ57" s="854">
        <f>SUM(BM57:BP57)</f>
        <v>0</v>
      </c>
      <c r="BR57" s="1744"/>
      <c r="BS57" s="538"/>
      <c r="BT57" s="37"/>
      <c r="BU57" s="37"/>
      <c r="BV57" s="37"/>
      <c r="BW57" s="37"/>
      <c r="BX57" s="37"/>
      <c r="BY57" s="37"/>
      <c r="BZ57" s="538"/>
      <c r="CA57" s="538"/>
      <c r="CB57" s="538"/>
      <c r="CC57" s="538"/>
      <c r="CD57" s="538"/>
      <c r="CE57" s="538"/>
      <c r="CF57" s="538"/>
      <c r="CG57" s="538"/>
      <c r="CH57" s="538"/>
      <c r="CI57" s="538"/>
      <c r="CJ57" s="538"/>
      <c r="CK57" s="538"/>
      <c r="CL57" s="538"/>
      <c r="CM57" s="538"/>
      <c r="CN57" s="538"/>
      <c r="CO57" s="538"/>
      <c r="CP57" s="538"/>
      <c r="CQ57" s="538"/>
      <c r="CR57" s="538"/>
      <c r="CS57" s="538"/>
      <c r="CT57" s="538"/>
      <c r="CU57" s="538"/>
      <c r="CV57" s="538"/>
      <c r="CW57" s="538"/>
      <c r="CX57" s="538"/>
      <c r="CY57" s="538"/>
      <c r="CZ57" s="538"/>
      <c r="DA57" s="538"/>
    </row>
    <row r="58" spans="1:105">
      <c r="A58" s="538"/>
      <c r="B58" s="538"/>
      <c r="C58" s="870" t="s">
        <v>667</v>
      </c>
      <c r="D58" s="538"/>
      <c r="E58" s="805"/>
      <c r="F58" s="806"/>
      <c r="G58" s="806"/>
      <c r="H58" s="807"/>
      <c r="I58" s="538"/>
      <c r="J58" s="805"/>
      <c r="K58" s="806"/>
      <c r="L58" s="806"/>
      <c r="M58" s="807"/>
      <c r="N58" s="538"/>
      <c r="O58" s="808"/>
      <c r="P58" s="809"/>
      <c r="Q58" s="809"/>
      <c r="R58" s="853"/>
      <c r="S58" s="854"/>
      <c r="T58" s="808"/>
      <c r="U58" s="809"/>
      <c r="V58" s="809"/>
      <c r="W58" s="853"/>
      <c r="X58" s="854"/>
      <c r="Y58" s="808"/>
      <c r="Z58" s="809"/>
      <c r="AA58" s="809"/>
      <c r="AB58" s="853"/>
      <c r="AC58" s="971"/>
      <c r="AD58" s="808"/>
      <c r="AE58" s="809"/>
      <c r="AF58" s="809"/>
      <c r="AG58" s="853"/>
      <c r="AH58" s="971"/>
      <c r="AI58" s="808"/>
      <c r="AJ58" s="809"/>
      <c r="AK58" s="809"/>
      <c r="AL58" s="853"/>
      <c r="AM58" s="971"/>
      <c r="AN58" s="808"/>
      <c r="AO58" s="809"/>
      <c r="AP58" s="809"/>
      <c r="AQ58" s="853"/>
      <c r="AR58" s="971"/>
      <c r="AS58" s="808"/>
      <c r="AT58" s="809"/>
      <c r="AU58" s="809"/>
      <c r="AV58" s="853"/>
      <c r="AW58" s="971"/>
      <c r="AX58" s="808">
        <f>BB58/4</f>
        <v>9.75</v>
      </c>
      <c r="AY58" s="809">
        <f t="shared" ref="AY58:AZ60" si="73">BB58/4</f>
        <v>9.75</v>
      </c>
      <c r="AZ58" s="809">
        <f t="shared" si="73"/>
        <v>2.4375</v>
      </c>
      <c r="BA58" s="853">
        <f>BB58/4</f>
        <v>9.75</v>
      </c>
      <c r="BB58" s="971">
        <f>13%*BB166</f>
        <v>39</v>
      </c>
      <c r="BC58" s="808">
        <f>BG58/4</f>
        <v>9.75</v>
      </c>
      <c r="BD58" s="809">
        <f>BG58/4</f>
        <v>9.75</v>
      </c>
      <c r="BE58" s="809">
        <f>BG58/4</f>
        <v>9.75</v>
      </c>
      <c r="BF58" s="853">
        <f>BG58/4</f>
        <v>9.75</v>
      </c>
      <c r="BG58" s="971">
        <f>13%*BG166</f>
        <v>39</v>
      </c>
      <c r="BH58" s="808">
        <f>BL58/4</f>
        <v>9.75</v>
      </c>
      <c r="BI58" s="809">
        <f>BL58/4</f>
        <v>9.75</v>
      </c>
      <c r="BJ58" s="809">
        <f>BL58/4</f>
        <v>9.75</v>
      </c>
      <c r="BK58" s="853">
        <f>BL58/4</f>
        <v>9.75</v>
      </c>
      <c r="BL58" s="971">
        <f>13%*BL166</f>
        <v>39</v>
      </c>
      <c r="BM58" s="808">
        <f>BQ58/4</f>
        <v>9.75</v>
      </c>
      <c r="BN58" s="809">
        <f>BQ58/4</f>
        <v>9.75</v>
      </c>
      <c r="BO58" s="809">
        <f>BQ58/4</f>
        <v>9.75</v>
      </c>
      <c r="BP58" s="853">
        <f>BQ58/4</f>
        <v>9.75</v>
      </c>
      <c r="BQ58" s="971">
        <f>13%*BQ166</f>
        <v>39</v>
      </c>
      <c r="BR58" s="1744"/>
      <c r="BS58" s="538"/>
      <c r="BT58" s="2"/>
      <c r="BU58" s="2"/>
      <c r="BV58" s="2"/>
      <c r="BW58" s="2"/>
      <c r="BX58" s="2"/>
      <c r="BY58" s="2"/>
      <c r="BZ58" s="538"/>
      <c r="CA58" s="538"/>
      <c r="CB58" s="538"/>
      <c r="CC58" s="538"/>
      <c r="CD58" s="538"/>
      <c r="CE58" s="538"/>
      <c r="CF58" s="538"/>
      <c r="CG58" s="538"/>
      <c r="CH58" s="538"/>
      <c r="CI58" s="538"/>
      <c r="CJ58" s="538"/>
      <c r="CK58" s="538"/>
      <c r="CL58" s="538"/>
      <c r="CM58" s="538"/>
      <c r="CN58" s="538"/>
      <c r="CO58" s="538"/>
      <c r="CP58" s="538"/>
      <c r="CQ58" s="538"/>
      <c r="CR58" s="538"/>
      <c r="CS58" s="538"/>
      <c r="CT58" s="538"/>
      <c r="CU58" s="538"/>
      <c r="CV58" s="538"/>
      <c r="CW58" s="538"/>
      <c r="CX58" s="538"/>
      <c r="CY58" s="538"/>
      <c r="CZ58" s="538"/>
      <c r="DA58" s="538"/>
    </row>
    <row r="59" spans="1:105">
      <c r="A59" s="538"/>
      <c r="B59" s="538"/>
      <c r="C59" s="870" t="s">
        <v>863</v>
      </c>
      <c r="D59" s="538"/>
      <c r="E59" s="805"/>
      <c r="F59" s="806"/>
      <c r="G59" s="806"/>
      <c r="H59" s="807"/>
      <c r="I59" s="538"/>
      <c r="J59" s="805"/>
      <c r="K59" s="806"/>
      <c r="L59" s="806"/>
      <c r="M59" s="807"/>
      <c r="N59" s="538"/>
      <c r="O59" s="808"/>
      <c r="P59" s="809"/>
      <c r="Q59" s="809"/>
      <c r="R59" s="853"/>
      <c r="S59" s="854"/>
      <c r="T59" s="808"/>
      <c r="U59" s="809"/>
      <c r="V59" s="809"/>
      <c r="W59" s="853"/>
      <c r="X59" s="854"/>
      <c r="Y59" s="808"/>
      <c r="Z59" s="809"/>
      <c r="AA59" s="809"/>
      <c r="AB59" s="853"/>
      <c r="AC59" s="971"/>
      <c r="AD59" s="808"/>
      <c r="AE59" s="809"/>
      <c r="AF59" s="809"/>
      <c r="AG59" s="853"/>
      <c r="AH59" s="971"/>
      <c r="AI59" s="808"/>
      <c r="AJ59" s="809"/>
      <c r="AK59" s="809"/>
      <c r="AL59" s="853"/>
      <c r="AM59" s="971"/>
      <c r="AN59" s="808"/>
      <c r="AO59" s="809"/>
      <c r="AP59" s="809"/>
      <c r="AQ59" s="853"/>
      <c r="AR59" s="971"/>
      <c r="AS59" s="808"/>
      <c r="AT59" s="809"/>
      <c r="AU59" s="809"/>
      <c r="AV59" s="853"/>
      <c r="AW59" s="971"/>
      <c r="AX59" s="808">
        <f>BB59/4</f>
        <v>1.1375</v>
      </c>
      <c r="AY59" s="809">
        <f t="shared" si="73"/>
        <v>1.1375</v>
      </c>
      <c r="AZ59" s="809">
        <f t="shared" si="73"/>
        <v>0</v>
      </c>
      <c r="BA59" s="853">
        <f>BB59/4</f>
        <v>1.1375</v>
      </c>
      <c r="BB59" s="971">
        <f>13%*BB165</f>
        <v>4.55</v>
      </c>
      <c r="BC59" s="808">
        <f>BG59/4</f>
        <v>0</v>
      </c>
      <c r="BD59" s="809">
        <f>BG59/4</f>
        <v>0</v>
      </c>
      <c r="BE59" s="809">
        <f>BG59/4</f>
        <v>0</v>
      </c>
      <c r="BF59" s="853">
        <f>BG59/4</f>
        <v>0</v>
      </c>
      <c r="BG59" s="971">
        <f>13%*BG165</f>
        <v>0</v>
      </c>
      <c r="BH59" s="808">
        <f>BL59/4</f>
        <v>0</v>
      </c>
      <c r="BI59" s="809">
        <f>BL59/4</f>
        <v>0</v>
      </c>
      <c r="BJ59" s="809">
        <f>BL59/4</f>
        <v>0</v>
      </c>
      <c r="BK59" s="853">
        <f>BL59/4</f>
        <v>0</v>
      </c>
      <c r="BL59" s="971">
        <f>13%*BL165</f>
        <v>0</v>
      </c>
      <c r="BM59" s="808">
        <f>BQ59/4</f>
        <v>0</v>
      </c>
      <c r="BN59" s="809">
        <f>BQ59/4</f>
        <v>0</v>
      </c>
      <c r="BO59" s="809">
        <f>BQ59/4</f>
        <v>0</v>
      </c>
      <c r="BP59" s="853">
        <f>BQ59/4</f>
        <v>0</v>
      </c>
      <c r="BQ59" s="971">
        <f>13%*BQ165</f>
        <v>0</v>
      </c>
      <c r="BR59" s="1744"/>
      <c r="BS59" s="538"/>
      <c r="BT59" s="1626"/>
      <c r="BU59" s="2"/>
      <c r="BV59" s="2"/>
      <c r="BW59" s="2"/>
      <c r="BX59" s="2"/>
      <c r="BY59" s="2"/>
      <c r="BZ59" s="538"/>
      <c r="CA59" s="538"/>
      <c r="CB59" s="538"/>
      <c r="CC59" s="538"/>
      <c r="CD59" s="538"/>
      <c r="CE59" s="538"/>
      <c r="CF59" s="538"/>
      <c r="CG59" s="538"/>
      <c r="CH59" s="538"/>
      <c r="CI59" s="538"/>
      <c r="CJ59" s="538"/>
      <c r="CK59" s="538"/>
      <c r="CL59" s="538"/>
      <c r="CM59" s="538"/>
      <c r="CN59" s="538"/>
      <c r="CO59" s="538"/>
      <c r="CP59" s="538"/>
      <c r="CQ59" s="538"/>
      <c r="CR59" s="538"/>
      <c r="CS59" s="538"/>
      <c r="CT59" s="538"/>
      <c r="CU59" s="538"/>
      <c r="CV59" s="538"/>
      <c r="CW59" s="538"/>
      <c r="CX59" s="538"/>
      <c r="CY59" s="538"/>
      <c r="CZ59" s="538"/>
      <c r="DA59" s="538"/>
    </row>
    <row r="60" spans="1:105">
      <c r="A60" s="538"/>
      <c r="B60" s="538"/>
      <c r="C60" s="870" t="s">
        <v>839</v>
      </c>
      <c r="D60" s="538"/>
      <c r="E60" s="805"/>
      <c r="F60" s="806"/>
      <c r="G60" s="806"/>
      <c r="H60" s="807"/>
      <c r="I60" s="538"/>
      <c r="J60" s="805"/>
      <c r="K60" s="806"/>
      <c r="L60" s="806"/>
      <c r="M60" s="807"/>
      <c r="N60" s="538"/>
      <c r="O60" s="808"/>
      <c r="P60" s="809"/>
      <c r="Q60" s="809"/>
      <c r="R60" s="853"/>
      <c r="S60" s="854"/>
      <c r="T60" s="808"/>
      <c r="U60" s="809"/>
      <c r="V60" s="809"/>
      <c r="W60" s="853"/>
      <c r="X60" s="854"/>
      <c r="Y60" s="808"/>
      <c r="Z60" s="809"/>
      <c r="AA60" s="809"/>
      <c r="AB60" s="853"/>
      <c r="AC60" s="971"/>
      <c r="AD60" s="808"/>
      <c r="AE60" s="809"/>
      <c r="AF60" s="809"/>
      <c r="AG60" s="853"/>
      <c r="AH60" s="971"/>
      <c r="AI60" s="808"/>
      <c r="AJ60" s="809"/>
      <c r="AK60" s="809"/>
      <c r="AL60" s="853"/>
      <c r="AM60" s="971"/>
      <c r="AN60" s="808"/>
      <c r="AO60" s="809"/>
      <c r="AP60" s="809"/>
      <c r="AQ60" s="853"/>
      <c r="AR60" s="971"/>
      <c r="AS60" s="808"/>
      <c r="AT60" s="809"/>
      <c r="AU60" s="809"/>
      <c r="AV60" s="853"/>
      <c r="AW60" s="971"/>
      <c r="AX60" s="808">
        <f>BB60/4</f>
        <v>6.5</v>
      </c>
      <c r="AY60" s="809">
        <f t="shared" si="73"/>
        <v>6.5</v>
      </c>
      <c r="AZ60" s="809">
        <f t="shared" si="73"/>
        <v>3.7781250000000002</v>
      </c>
      <c r="BA60" s="853">
        <f>BB60/4</f>
        <v>6.5</v>
      </c>
      <c r="BB60" s="971">
        <f>13%*BB167</f>
        <v>26</v>
      </c>
      <c r="BC60" s="808">
        <f>BG60/4</f>
        <v>15.112500000000001</v>
      </c>
      <c r="BD60" s="809">
        <f>BG60/4</f>
        <v>15.112500000000001</v>
      </c>
      <c r="BE60" s="809">
        <f>BG60/4</f>
        <v>15.112500000000001</v>
      </c>
      <c r="BF60" s="853">
        <f>BG60/4</f>
        <v>15.112500000000001</v>
      </c>
      <c r="BG60" s="971">
        <f>13%*BG167</f>
        <v>60.45</v>
      </c>
      <c r="BH60" s="808">
        <f>BL60/4</f>
        <v>15.112500000000001</v>
      </c>
      <c r="BI60" s="809">
        <f>BL60/4</f>
        <v>15.112500000000001</v>
      </c>
      <c r="BJ60" s="809">
        <f>BL60/4</f>
        <v>15.112500000000001</v>
      </c>
      <c r="BK60" s="853">
        <f>BL60/4</f>
        <v>15.112500000000001</v>
      </c>
      <c r="BL60" s="971">
        <f>13%*BL167</f>
        <v>60.45</v>
      </c>
      <c r="BM60" s="808">
        <f>BQ60/4</f>
        <v>15.112500000000001</v>
      </c>
      <c r="BN60" s="809">
        <f>BQ60/4</f>
        <v>15.112500000000001</v>
      </c>
      <c r="BO60" s="809">
        <f>BQ60/4</f>
        <v>15.112500000000001</v>
      </c>
      <c r="BP60" s="853">
        <f>BQ60/4</f>
        <v>15.112500000000001</v>
      </c>
      <c r="BQ60" s="971">
        <f>13%*BQ167</f>
        <v>60.45</v>
      </c>
      <c r="BR60" s="1744"/>
      <c r="BS60" s="538"/>
      <c r="BT60" s="2"/>
      <c r="BU60" s="2"/>
      <c r="BV60" s="2"/>
      <c r="BW60" s="2"/>
      <c r="BX60" s="2"/>
      <c r="BY60" s="2"/>
      <c r="BZ60" s="538"/>
      <c r="CA60" s="538"/>
      <c r="CB60" s="538"/>
      <c r="CC60" s="538"/>
      <c r="CD60" s="538"/>
      <c r="CE60" s="538"/>
      <c r="CF60" s="538"/>
      <c r="CG60" s="538"/>
      <c r="CH60" s="538"/>
      <c r="CI60" s="538"/>
      <c r="CJ60" s="538"/>
      <c r="CK60" s="538"/>
      <c r="CL60" s="538"/>
      <c r="CM60" s="538"/>
      <c r="CN60" s="538"/>
      <c r="CO60" s="538"/>
      <c r="CP60" s="538"/>
      <c r="CQ60" s="538"/>
      <c r="CR60" s="538"/>
      <c r="CS60" s="538"/>
      <c r="CT60" s="538"/>
      <c r="CU60" s="538"/>
      <c r="CV60" s="538"/>
      <c r="CW60" s="538"/>
      <c r="CX60" s="538"/>
      <c r="CY60" s="538"/>
      <c r="CZ60" s="538"/>
      <c r="DA60" s="538"/>
    </row>
    <row r="61" spans="1:105">
      <c r="A61" s="1523"/>
      <c r="B61" s="2"/>
      <c r="C61" s="810"/>
      <c r="D61" s="2"/>
      <c r="E61" s="789"/>
      <c r="F61" s="329"/>
      <c r="G61" s="329"/>
      <c r="H61" s="790"/>
      <c r="I61" s="33"/>
      <c r="J61" s="789"/>
      <c r="K61" s="329"/>
      <c r="L61" s="329"/>
      <c r="M61" s="790"/>
      <c r="N61" s="33"/>
      <c r="O61" s="789"/>
      <c r="P61" s="329"/>
      <c r="Q61" s="329"/>
      <c r="R61" s="790"/>
      <c r="S61" s="33"/>
      <c r="T61" s="789"/>
      <c r="U61" s="329"/>
      <c r="V61" s="329"/>
      <c r="W61" s="790"/>
      <c r="X61" s="33"/>
      <c r="Y61" s="789"/>
      <c r="Z61" s="329"/>
      <c r="AA61" s="329"/>
      <c r="AB61" s="790"/>
      <c r="AC61" s="33"/>
      <c r="AD61" s="789"/>
      <c r="AE61" s="329"/>
      <c r="AF61" s="329"/>
      <c r="AG61" s="790"/>
      <c r="AH61" s="33"/>
      <c r="AI61" s="789"/>
      <c r="AJ61" s="329"/>
      <c r="AK61" s="329"/>
      <c r="AL61" s="790"/>
      <c r="AM61" s="33"/>
      <c r="AN61" s="789"/>
      <c r="AO61" s="329"/>
      <c r="AP61" s="329"/>
      <c r="AQ61" s="790"/>
      <c r="AR61" s="33"/>
      <c r="AS61" s="789"/>
      <c r="AT61" s="329"/>
      <c r="AU61" s="329"/>
      <c r="AV61" s="790"/>
      <c r="AW61" s="33"/>
      <c r="AX61" s="789"/>
      <c r="AY61" s="329"/>
      <c r="AZ61" s="329"/>
      <c r="BA61" s="790"/>
      <c r="BB61" s="33"/>
      <c r="BC61" s="789"/>
      <c r="BD61" s="329"/>
      <c r="BE61" s="329"/>
      <c r="BF61" s="790"/>
      <c r="BG61" s="33"/>
      <c r="BH61" s="789"/>
      <c r="BI61" s="329"/>
      <c r="BJ61" s="329"/>
      <c r="BK61" s="790"/>
      <c r="BL61" s="33"/>
      <c r="BM61" s="789"/>
      <c r="BN61" s="329"/>
      <c r="BO61" s="329"/>
      <c r="BP61" s="790"/>
      <c r="BQ61" s="33"/>
      <c r="BR61" s="1745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</row>
    <row r="62" spans="1:105">
      <c r="A62" s="1523"/>
      <c r="B62" s="2"/>
      <c r="C62" s="758" t="s">
        <v>139</v>
      </c>
      <c r="D62" s="2"/>
      <c r="E62" s="789"/>
      <c r="F62" s="329"/>
      <c r="G62" s="329"/>
      <c r="H62" s="790"/>
      <c r="I62" s="32"/>
      <c r="J62" s="386">
        <f>J140</f>
        <v>4.8101265822784844E-2</v>
      </c>
      <c r="K62" s="316">
        <f t="shared" ref="K62:S62" si="74">K140</f>
        <v>-2.9069767441860517E-3</v>
      </c>
      <c r="L62" s="316">
        <f t="shared" si="74"/>
        <v>-6.8376068376068355E-2</v>
      </c>
      <c r="M62" s="387">
        <f t="shared" si="74"/>
        <v>-6.770833333333337E-2</v>
      </c>
      <c r="N62" s="32">
        <f t="shared" si="74"/>
        <v>-2.170963364993217E-2</v>
      </c>
      <c r="O62" s="386">
        <f t="shared" si="74"/>
        <v>-0.11111111111111116</v>
      </c>
      <c r="P62" s="316">
        <f t="shared" si="74"/>
        <v>-0.11370262390670549</v>
      </c>
      <c r="Q62" s="316">
        <f t="shared" si="74"/>
        <v>4.587155963302747E-2</v>
      </c>
      <c r="R62" s="387">
        <f t="shared" si="74"/>
        <v>0</v>
      </c>
      <c r="S62" s="32">
        <f t="shared" si="74"/>
        <v>-4.8543689320388328E-2</v>
      </c>
      <c r="T62" s="386">
        <f>T140</f>
        <v>2.1739130434782705E-2</v>
      </c>
      <c r="U62" s="316">
        <f>U140</f>
        <v>0.15131578947368429</v>
      </c>
      <c r="V62" s="316">
        <f>V140</f>
        <v>7.0175438596491224E-2</v>
      </c>
      <c r="W62" s="387">
        <f>W140</f>
        <v>5.027932960893855E-2</v>
      </c>
      <c r="X62" s="32">
        <f t="shared" ref="X62:AC62" si="75">X140</f>
        <v>6.9970845481049482E-2</v>
      </c>
      <c r="Y62" s="386">
        <f t="shared" si="75"/>
        <v>9.840425531914887E-2</v>
      </c>
      <c r="Z62" s="316">
        <f t="shared" si="75"/>
        <v>5.428571428571427E-2</v>
      </c>
      <c r="AA62" s="316">
        <f t="shared" si="75"/>
        <v>0.11475409836065564</v>
      </c>
      <c r="AB62" s="387">
        <f t="shared" si="75"/>
        <v>0.15691489361702127</v>
      </c>
      <c r="AC62" s="32">
        <f t="shared" si="75"/>
        <v>0.10694822888283384</v>
      </c>
      <c r="AD62" s="386">
        <f t="shared" ref="AD62:AK62" si="76">AD140</f>
        <v>0.11864406779661008</v>
      </c>
      <c r="AE62" s="316">
        <f t="shared" si="76"/>
        <v>-1.8970189701897011E-2</v>
      </c>
      <c r="AF62" s="316">
        <f t="shared" si="76"/>
        <v>-0.1029411764705882</v>
      </c>
      <c r="AG62" s="387">
        <f t="shared" si="76"/>
        <v>-0.15402298850574714</v>
      </c>
      <c r="AH62" s="32">
        <f t="shared" si="76"/>
        <v>-4.1230769230769182E-2</v>
      </c>
      <c r="AI62" s="386">
        <f t="shared" si="76"/>
        <v>-0.10822510822510822</v>
      </c>
      <c r="AJ62" s="316">
        <f t="shared" si="76"/>
        <v>1.6574585635359185E-2</v>
      </c>
      <c r="AK62" s="316">
        <f t="shared" si="76"/>
        <v>6.8306010928961713E-2</v>
      </c>
      <c r="AL62" s="387">
        <f t="shared" ref="AL62:AR62" si="77">AL140</f>
        <v>5.7065217391304435E-2</v>
      </c>
      <c r="AM62" s="32">
        <f t="shared" si="77"/>
        <v>1.2836970474967568E-3</v>
      </c>
      <c r="AN62" s="386">
        <f t="shared" si="77"/>
        <v>-7.2815533980582492E-2</v>
      </c>
      <c r="AO62" s="316">
        <f t="shared" si="77"/>
        <v>-4.3478260869565188E-2</v>
      </c>
      <c r="AP62" s="316">
        <f t="shared" si="77"/>
        <v>-3.8363171355498715E-2</v>
      </c>
      <c r="AQ62" s="387">
        <f t="shared" si="77"/>
        <v>-6.169665809768643E-2</v>
      </c>
      <c r="AR62" s="32">
        <f t="shared" si="77"/>
        <v>-5.4487179487179516E-2</v>
      </c>
      <c r="AS62" s="386">
        <f>AS140</f>
        <v>-3.9267015706806241E-2</v>
      </c>
      <c r="AT62" s="316">
        <f>AT140</f>
        <v>-2.8409090909090606E-3</v>
      </c>
      <c r="AU62" s="316">
        <f>AU140</f>
        <v>-7.9787234042553168E-2</v>
      </c>
      <c r="AV62" s="387">
        <f>AV140</f>
        <v>1.3698630136986356E-2</v>
      </c>
      <c r="AW62" s="32">
        <f>AW140</f>
        <v>-2.7796610169491531E-2</v>
      </c>
      <c r="AX62" s="386">
        <f t="shared" ref="AX62:BA63" si="78">AY62</f>
        <v>1.4999999999999999E-2</v>
      </c>
      <c r="AY62" s="316">
        <f t="shared" si="78"/>
        <v>1.4999999999999999E-2</v>
      </c>
      <c r="AZ62" s="316">
        <f>BA62</f>
        <v>1.4999999999999999E-2</v>
      </c>
      <c r="BA62" s="387">
        <f t="shared" si="78"/>
        <v>1.4999999999999999E-2</v>
      </c>
      <c r="BB62" s="801">
        <v>1.4999999999999999E-2</v>
      </c>
      <c r="BC62" s="386">
        <f t="shared" ref="BC62:BF63" si="79">BD62</f>
        <v>1.4999999999999999E-2</v>
      </c>
      <c r="BD62" s="316">
        <f t="shared" si="79"/>
        <v>1.4999999999999999E-2</v>
      </c>
      <c r="BE62" s="316">
        <f t="shared" si="79"/>
        <v>1.4999999999999999E-2</v>
      </c>
      <c r="BF62" s="387">
        <f t="shared" si="79"/>
        <v>1.4999999999999999E-2</v>
      </c>
      <c r="BG62" s="801">
        <v>1.4999999999999999E-2</v>
      </c>
      <c r="BH62" s="386">
        <f t="shared" ref="BH62:BK63" si="80">BI62</f>
        <v>1.4999999999999999E-2</v>
      </c>
      <c r="BI62" s="316">
        <f t="shared" si="80"/>
        <v>1.4999999999999999E-2</v>
      </c>
      <c r="BJ62" s="316">
        <f t="shared" si="80"/>
        <v>1.4999999999999999E-2</v>
      </c>
      <c r="BK62" s="387">
        <f t="shared" si="80"/>
        <v>1.4999999999999999E-2</v>
      </c>
      <c r="BL62" s="801">
        <v>1.4999999999999999E-2</v>
      </c>
      <c r="BM62" s="386">
        <f t="shared" ref="BM62:BP63" si="81">BN62</f>
        <v>1.4999999999999999E-2</v>
      </c>
      <c r="BN62" s="316">
        <f t="shared" si="81"/>
        <v>1.4999999999999999E-2</v>
      </c>
      <c r="BO62" s="316">
        <f t="shared" si="81"/>
        <v>1.4999999999999999E-2</v>
      </c>
      <c r="BP62" s="387">
        <f t="shared" si="81"/>
        <v>1.4999999999999999E-2</v>
      </c>
      <c r="BQ62" s="801">
        <v>1.4999999999999999E-2</v>
      </c>
      <c r="BR62" s="174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</row>
    <row r="63" spans="1:105">
      <c r="A63" s="1523"/>
      <c r="B63" s="2"/>
      <c r="C63" s="758" t="s">
        <v>746</v>
      </c>
      <c r="D63" s="2"/>
      <c r="E63" s="789"/>
      <c r="F63" s="329"/>
      <c r="G63" s="329"/>
      <c r="H63" s="790"/>
      <c r="I63" s="32"/>
      <c r="J63" s="386">
        <f>J143</f>
        <v>-4.5454545454545414E-2</v>
      </c>
      <c r="K63" s="316">
        <f t="shared" ref="K63:S63" si="82">K143</f>
        <v>7.6923076923076872E-2</v>
      </c>
      <c r="L63" s="316">
        <f t="shared" si="82"/>
        <v>3.3333333333333437E-2</v>
      </c>
      <c r="M63" s="387">
        <f t="shared" si="82"/>
        <v>6.0606060606060552E-2</v>
      </c>
      <c r="N63" s="32">
        <f t="shared" si="82"/>
        <v>2.2556390977443552E-2</v>
      </c>
      <c r="O63" s="386">
        <f t="shared" si="82"/>
        <v>2.3809523809523725E-2</v>
      </c>
      <c r="P63" s="316">
        <f t="shared" si="82"/>
        <v>0</v>
      </c>
      <c r="Q63" s="316">
        <f t="shared" si="82"/>
        <v>0</v>
      </c>
      <c r="R63" s="387">
        <f t="shared" si="82"/>
        <v>-0.11428571428571432</v>
      </c>
      <c r="S63" s="32">
        <f t="shared" si="82"/>
        <v>-2.2058823529411797E-2</v>
      </c>
      <c r="T63" s="386">
        <f>T143</f>
        <v>-0.32558139534883723</v>
      </c>
      <c r="U63" s="316">
        <f>U143</f>
        <v>-0.2857142857142857</v>
      </c>
      <c r="V63" s="316">
        <f>V143</f>
        <v>-0.22580645161290325</v>
      </c>
      <c r="W63" s="387">
        <f>W143</f>
        <v>-0.19354838709677424</v>
      </c>
      <c r="X63" s="32">
        <f t="shared" ref="X63:AC63" si="83">X143</f>
        <v>-0.26315789473684215</v>
      </c>
      <c r="Y63" s="386">
        <f t="shared" si="83"/>
        <v>-0.27586206896551724</v>
      </c>
      <c r="Z63" s="316">
        <f t="shared" si="83"/>
        <v>-0.30000000000000004</v>
      </c>
      <c r="AA63" s="316">
        <f t="shared" si="83"/>
        <v>-0.375</v>
      </c>
      <c r="AB63" s="387">
        <f t="shared" si="83"/>
        <v>-0.28000000000000003</v>
      </c>
      <c r="AC63" s="32">
        <f t="shared" si="83"/>
        <v>-0.30612244897959184</v>
      </c>
      <c r="AD63" s="386">
        <f t="shared" ref="AD63:AK63" si="84">AD143</f>
        <v>-1</v>
      </c>
      <c r="AE63" s="316">
        <f t="shared" si="84"/>
        <v>-1</v>
      </c>
      <c r="AF63" s="316">
        <f t="shared" si="84"/>
        <v>-1</v>
      </c>
      <c r="AG63" s="387">
        <f t="shared" si="84"/>
        <v>-1</v>
      </c>
      <c r="AH63" s="32">
        <f t="shared" si="84"/>
        <v>-1</v>
      </c>
      <c r="AI63" s="1578" t="str">
        <f t="shared" si="84"/>
        <v>NM</v>
      </c>
      <c r="AJ63" s="1579" t="str">
        <f t="shared" si="84"/>
        <v>NM</v>
      </c>
      <c r="AK63" s="1579" t="str">
        <f t="shared" si="84"/>
        <v>NM</v>
      </c>
      <c r="AL63" s="1609" t="str">
        <f t="shared" ref="AL63:AR63" si="85">AL143</f>
        <v>NM</v>
      </c>
      <c r="AM63" s="1606" t="str">
        <f t="shared" si="85"/>
        <v>NM</v>
      </c>
      <c r="AN63" s="1578" t="str">
        <f t="shared" si="85"/>
        <v>NM</v>
      </c>
      <c r="AO63" s="1579" t="str">
        <f t="shared" si="85"/>
        <v>NM</v>
      </c>
      <c r="AP63" s="1579" t="str">
        <f t="shared" si="85"/>
        <v>NM</v>
      </c>
      <c r="AQ63" s="1609" t="str">
        <f t="shared" si="85"/>
        <v>NM</v>
      </c>
      <c r="AR63" s="1606" t="str">
        <f t="shared" si="85"/>
        <v>NM</v>
      </c>
      <c r="AS63" s="1578" t="str">
        <f>AS143</f>
        <v>NM</v>
      </c>
      <c r="AT63" s="1579" t="str">
        <f>AT143</f>
        <v>NM</v>
      </c>
      <c r="AU63" s="1579" t="str">
        <f>AU143</f>
        <v>NM</v>
      </c>
      <c r="AV63" s="1609" t="str">
        <f>AV143</f>
        <v>NM</v>
      </c>
      <c r="AW63" s="1606" t="str">
        <f>AW143</f>
        <v>NM</v>
      </c>
      <c r="AX63" s="386">
        <f t="shared" si="78"/>
        <v>0</v>
      </c>
      <c r="AY63" s="316">
        <f t="shared" si="78"/>
        <v>0</v>
      </c>
      <c r="AZ63" s="316">
        <f>BA63</f>
        <v>0</v>
      </c>
      <c r="BA63" s="387">
        <f t="shared" si="78"/>
        <v>0</v>
      </c>
      <c r="BB63" s="801">
        <v>0</v>
      </c>
      <c r="BC63" s="386">
        <f t="shared" si="79"/>
        <v>0</v>
      </c>
      <c r="BD63" s="316">
        <f t="shared" si="79"/>
        <v>0</v>
      </c>
      <c r="BE63" s="316">
        <f t="shared" si="79"/>
        <v>0</v>
      </c>
      <c r="BF63" s="387">
        <f t="shared" si="79"/>
        <v>0</v>
      </c>
      <c r="BG63" s="801">
        <v>0</v>
      </c>
      <c r="BH63" s="386">
        <f t="shared" si="80"/>
        <v>0</v>
      </c>
      <c r="BI63" s="316">
        <f t="shared" si="80"/>
        <v>0</v>
      </c>
      <c r="BJ63" s="316">
        <f t="shared" si="80"/>
        <v>0</v>
      </c>
      <c r="BK63" s="387">
        <f t="shared" si="80"/>
        <v>0</v>
      </c>
      <c r="BL63" s="801">
        <v>0</v>
      </c>
      <c r="BM63" s="386">
        <f t="shared" si="81"/>
        <v>0</v>
      </c>
      <c r="BN63" s="316">
        <f t="shared" si="81"/>
        <v>0</v>
      </c>
      <c r="BO63" s="316">
        <f t="shared" si="81"/>
        <v>0</v>
      </c>
      <c r="BP63" s="387">
        <f t="shared" si="81"/>
        <v>0</v>
      </c>
      <c r="BQ63" s="801">
        <v>0</v>
      </c>
      <c r="BR63" s="174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</row>
    <row r="64" spans="1:105">
      <c r="A64" s="1523"/>
      <c r="B64" s="2"/>
      <c r="C64" s="810"/>
      <c r="D64" s="2"/>
      <c r="E64" s="789"/>
      <c r="F64" s="329"/>
      <c r="G64" s="329"/>
      <c r="H64" s="790"/>
      <c r="I64" s="33"/>
      <c r="J64" s="789"/>
      <c r="K64" s="329"/>
      <c r="L64" s="329"/>
      <c r="M64" s="790"/>
      <c r="N64" s="33"/>
      <c r="O64" s="789"/>
      <c r="P64" s="329"/>
      <c r="Q64" s="329"/>
      <c r="R64" s="790"/>
      <c r="S64" s="33"/>
      <c r="T64" s="789"/>
      <c r="U64" s="329"/>
      <c r="V64" s="329"/>
      <c r="W64" s="790"/>
      <c r="X64" s="33"/>
      <c r="Y64" s="789"/>
      <c r="Z64" s="329"/>
      <c r="AA64" s="329"/>
      <c r="AB64" s="790"/>
      <c r="AC64" s="33"/>
      <c r="AD64" s="789"/>
      <c r="AE64" s="329"/>
      <c r="AF64" s="329"/>
      <c r="AG64" s="790"/>
      <c r="AH64" s="33"/>
      <c r="AI64" s="1610"/>
      <c r="AJ64" s="1611"/>
      <c r="AK64" s="1611"/>
      <c r="AL64" s="1612"/>
      <c r="AM64" s="1041"/>
      <c r="AN64" s="1610"/>
      <c r="AO64" s="1611"/>
      <c r="AP64" s="1611"/>
      <c r="AQ64" s="1612"/>
      <c r="AR64" s="1041"/>
      <c r="AS64" s="1610"/>
      <c r="AT64" s="1611"/>
      <c r="AU64" s="1611"/>
      <c r="AV64" s="1612"/>
      <c r="AW64" s="1041"/>
      <c r="AX64" s="789"/>
      <c r="AY64" s="329"/>
      <c r="AZ64" s="329"/>
      <c r="BA64" s="790"/>
      <c r="BB64" s="33"/>
      <c r="BC64" s="789"/>
      <c r="BD64" s="329"/>
      <c r="BE64" s="329"/>
      <c r="BF64" s="790"/>
      <c r="BG64" s="33"/>
      <c r="BH64" s="789"/>
      <c r="BI64" s="329"/>
      <c r="BJ64" s="329"/>
      <c r="BK64" s="790"/>
      <c r="BL64" s="33"/>
      <c r="BM64" s="789"/>
      <c r="BN64" s="329"/>
      <c r="BO64" s="329"/>
      <c r="BP64" s="790"/>
      <c r="BQ64" s="33"/>
      <c r="BR64" s="1745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</row>
    <row r="65" spans="1:105">
      <c r="A65" s="1523"/>
      <c r="B65" s="2"/>
      <c r="C65" s="758" t="s">
        <v>311</v>
      </c>
      <c r="D65" s="2"/>
      <c r="E65" s="386">
        <f t="shared" ref="E65:L65" si="86">E34/(E32)</f>
        <v>0.40718562874251496</v>
      </c>
      <c r="F65" s="316">
        <f t="shared" si="86"/>
        <v>0.39862542955326463</v>
      </c>
      <c r="G65" s="316">
        <f t="shared" si="86"/>
        <v>0.41791044776119401</v>
      </c>
      <c r="H65" s="387">
        <f>H34/(H32)</f>
        <v>0.41613588110403399</v>
      </c>
      <c r="I65" s="32">
        <f>I34/(I32)</f>
        <v>0.41090909090909089</v>
      </c>
      <c r="J65" s="386">
        <f t="shared" si="86"/>
        <v>0.40404040404040403</v>
      </c>
      <c r="K65" s="316">
        <f t="shared" si="86"/>
        <v>1.5</v>
      </c>
      <c r="L65" s="316">
        <f t="shared" si="86"/>
        <v>0.39453125</v>
      </c>
      <c r="M65" s="387">
        <f t="shared" ref="M65:S65" si="87">M34/(M32)</f>
        <v>0.42253521126760563</v>
      </c>
      <c r="N65" s="32">
        <f t="shared" si="87"/>
        <v>0.39322033898305087</v>
      </c>
      <c r="O65" s="386">
        <f t="shared" si="87"/>
        <v>0.4051094890510949</v>
      </c>
      <c r="P65" s="316">
        <f t="shared" si="87"/>
        <v>0.4101123595505618</v>
      </c>
      <c r="Q65" s="316">
        <f t="shared" si="87"/>
        <v>0.40077821011673154</v>
      </c>
      <c r="R65" s="387">
        <f t="shared" si="87"/>
        <v>0.34868421052631576</v>
      </c>
      <c r="S65" s="32">
        <f t="shared" si="87"/>
        <v>0.39488966318234608</v>
      </c>
      <c r="T65" s="386">
        <f>T34/(T32)</f>
        <v>0.29390681003584229</v>
      </c>
      <c r="U65" s="316">
        <f>U34/(U32)</f>
        <v>0.38414634146341464</v>
      </c>
      <c r="V65" s="316">
        <f>V34/(V32)</f>
        <v>0.39922480620155038</v>
      </c>
      <c r="W65" s="387">
        <f>W34/(W32)</f>
        <v>0.44029850746268656</v>
      </c>
      <c r="X65" s="32">
        <f t="shared" ref="X65:AC65" si="88">X34/(X32)</f>
        <v>0.36766467065868264</v>
      </c>
      <c r="Y65" s="386">
        <f t="shared" si="88"/>
        <v>0.41118421052631576</v>
      </c>
      <c r="Z65" s="316">
        <f t="shared" si="88"/>
        <v>0.36979166666666669</v>
      </c>
      <c r="AA65" s="316">
        <f t="shared" si="88"/>
        <v>0.40636042402826855</v>
      </c>
      <c r="AB65" s="387">
        <f t="shared" si="88"/>
        <v>0.32710280373831774</v>
      </c>
      <c r="AC65" s="32">
        <f t="shared" si="88"/>
        <v>0.38368580060422963</v>
      </c>
      <c r="AD65" s="386">
        <f t="shared" ref="AD65:AK65" si="89">AD34/(AD32)</f>
        <v>0.40056022408963587</v>
      </c>
      <c r="AE65" s="316">
        <f t="shared" si="89"/>
        <v>0.3628691983122363</v>
      </c>
      <c r="AF65" s="316">
        <f t="shared" si="89"/>
        <v>0.38650306748466257</v>
      </c>
      <c r="AG65" s="387">
        <f t="shared" si="89"/>
        <v>0.37007874015748032</v>
      </c>
      <c r="AH65" s="32">
        <f t="shared" si="89"/>
        <v>0.38245315161839866</v>
      </c>
      <c r="AI65" s="386">
        <f t="shared" si="89"/>
        <v>0.39348370927318294</v>
      </c>
      <c r="AJ65" s="316">
        <f t="shared" si="89"/>
        <v>0.3837638376383764</v>
      </c>
      <c r="AK65" s="316">
        <f t="shared" si="89"/>
        <v>0.38161559888579388</v>
      </c>
      <c r="AL65" s="387">
        <f t="shared" ref="AL65:AR65" si="90">AL34/(AL32)</f>
        <v>0.31578947368421051</v>
      </c>
      <c r="AM65" s="32">
        <f t="shared" si="90"/>
        <v>0.37390612569610182</v>
      </c>
      <c r="AN65" s="386">
        <f t="shared" si="90"/>
        <v>0.36561743341404357</v>
      </c>
      <c r="AO65" s="316">
        <f t="shared" si="90"/>
        <v>0.35379061371841153</v>
      </c>
      <c r="AP65" s="316">
        <f t="shared" si="90"/>
        <v>0.36090225563909772</v>
      </c>
      <c r="AQ65" s="387">
        <f t="shared" si="90"/>
        <v>0.38730158730158731</v>
      </c>
      <c r="AR65" s="32">
        <f t="shared" si="90"/>
        <v>0.36680911680911682</v>
      </c>
      <c r="AS65" s="386">
        <f>AS34/(AS32)</f>
        <v>0.36382978723404258</v>
      </c>
      <c r="AT65" s="316">
        <f>AT34/(AT32)</f>
        <v>0.37160120845921452</v>
      </c>
      <c r="AU65" s="316">
        <f>AU34/(AU32)</f>
        <v>0.38805970149253732</v>
      </c>
      <c r="AV65" s="387">
        <f>AV34/(AV32)</f>
        <v>0.33933933933933935</v>
      </c>
      <c r="AW65" s="32">
        <f>AW34/(AW32)</f>
        <v>0.36653645833333331</v>
      </c>
      <c r="AX65" s="386">
        <f>AY65</f>
        <v>0.23</v>
      </c>
      <c r="AY65" s="316">
        <f>AZ65</f>
        <v>0.23</v>
      </c>
      <c r="AZ65" s="316">
        <f>BA65</f>
        <v>0.23</v>
      </c>
      <c r="BA65" s="387">
        <f>BB65</f>
        <v>0.23</v>
      </c>
      <c r="BB65" s="801">
        <v>0.23</v>
      </c>
      <c r="BC65" s="386">
        <f>BD65</f>
        <v>0.23</v>
      </c>
      <c r="BD65" s="316">
        <f>BE65</f>
        <v>0.23</v>
      </c>
      <c r="BE65" s="316">
        <f>BF65</f>
        <v>0.23</v>
      </c>
      <c r="BF65" s="387">
        <f>BG65</f>
        <v>0.23</v>
      </c>
      <c r="BG65" s="801">
        <v>0.23</v>
      </c>
      <c r="BH65" s="386">
        <f>BI65</f>
        <v>0.23</v>
      </c>
      <c r="BI65" s="316">
        <f>BJ65</f>
        <v>0.23</v>
      </c>
      <c r="BJ65" s="316">
        <f>BK65</f>
        <v>0.23</v>
      </c>
      <c r="BK65" s="387">
        <f>BL65</f>
        <v>0.23</v>
      </c>
      <c r="BL65" s="801">
        <v>0.23</v>
      </c>
      <c r="BM65" s="386">
        <f>BN65</f>
        <v>0.23</v>
      </c>
      <c r="BN65" s="316">
        <f>BO65</f>
        <v>0.23</v>
      </c>
      <c r="BO65" s="316">
        <f>BP65</f>
        <v>0.23</v>
      </c>
      <c r="BP65" s="387">
        <f>BQ65</f>
        <v>0.23</v>
      </c>
      <c r="BQ65" s="801">
        <v>0.23</v>
      </c>
      <c r="BR65" s="174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</row>
    <row r="66" spans="1:105">
      <c r="A66" s="1523"/>
      <c r="B66" s="2"/>
      <c r="C66" s="810"/>
      <c r="D66" s="2"/>
      <c r="E66" s="789"/>
      <c r="F66" s="329"/>
      <c r="G66" s="329"/>
      <c r="H66" s="790"/>
      <c r="I66" s="33"/>
      <c r="J66" s="789"/>
      <c r="K66" s="329"/>
      <c r="L66" s="329"/>
      <c r="M66" s="790"/>
      <c r="N66" s="33"/>
      <c r="O66" s="789"/>
      <c r="P66" s="329"/>
      <c r="Q66" s="329"/>
      <c r="R66" s="790"/>
      <c r="S66" s="33"/>
      <c r="T66" s="789"/>
      <c r="U66" s="329"/>
      <c r="V66" s="329"/>
      <c r="W66" s="790"/>
      <c r="X66" s="33"/>
      <c r="Y66" s="789"/>
      <c r="Z66" s="329"/>
      <c r="AA66" s="329"/>
      <c r="AB66" s="790"/>
      <c r="AC66" s="33"/>
      <c r="AD66" s="789"/>
      <c r="AE66" s="329"/>
      <c r="AF66" s="329"/>
      <c r="AG66" s="790"/>
      <c r="AH66" s="33"/>
      <c r="AI66" s="789"/>
      <c r="AJ66" s="329"/>
      <c r="AK66" s="329"/>
      <c r="AL66" s="790"/>
      <c r="AM66" s="33"/>
      <c r="AN66" s="789"/>
      <c r="AO66" s="329"/>
      <c r="AP66" s="329"/>
      <c r="AQ66" s="790"/>
      <c r="AR66" s="33"/>
      <c r="AS66" s="789"/>
      <c r="AT66" s="329"/>
      <c r="AU66" s="329"/>
      <c r="AV66" s="790"/>
      <c r="AW66" s="33"/>
      <c r="AX66" s="789"/>
      <c r="AY66" s="329"/>
      <c r="AZ66" s="329"/>
      <c r="BA66" s="790"/>
      <c r="BB66" s="33"/>
      <c r="BC66" s="789"/>
      <c r="BD66" s="329"/>
      <c r="BE66" s="329"/>
      <c r="BF66" s="790"/>
      <c r="BG66" s="33"/>
      <c r="BH66" s="789"/>
      <c r="BI66" s="329"/>
      <c r="BJ66" s="329"/>
      <c r="BK66" s="790"/>
      <c r="BL66" s="33"/>
      <c r="BM66" s="789"/>
      <c r="BN66" s="329"/>
      <c r="BO66" s="329"/>
      <c r="BP66" s="790"/>
      <c r="BQ66" s="33"/>
      <c r="BR66" s="1745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</row>
    <row r="67" spans="1:105">
      <c r="A67" s="1523"/>
      <c r="B67" s="2"/>
      <c r="C67" s="810" t="s">
        <v>117</v>
      </c>
      <c r="D67" s="2"/>
      <c r="E67" s="789"/>
      <c r="F67" s="329"/>
      <c r="G67" s="329"/>
      <c r="H67" s="790"/>
      <c r="I67" s="32">
        <f t="shared" ref="I67:AC67" si="91">I269</f>
        <v>0.10880000000000001</v>
      </c>
      <c r="J67" s="386">
        <f t="shared" si="91"/>
        <v>0.10880000000000001</v>
      </c>
      <c r="K67" s="316">
        <f t="shared" si="91"/>
        <v>0.10880000000000001</v>
      </c>
      <c r="L67" s="316">
        <f t="shared" si="91"/>
        <v>0.10880000000000001</v>
      </c>
      <c r="M67" s="387">
        <f t="shared" si="91"/>
        <v>0.10880000000000001</v>
      </c>
      <c r="N67" s="32">
        <f t="shared" si="91"/>
        <v>0.10880000000000001</v>
      </c>
      <c r="O67" s="386">
        <f t="shared" si="91"/>
        <v>0.10880000000000001</v>
      </c>
      <c r="P67" s="316">
        <f t="shared" si="91"/>
        <v>0.10880000000000001</v>
      </c>
      <c r="Q67" s="316">
        <f t="shared" si="91"/>
        <v>0.10880000000000001</v>
      </c>
      <c r="R67" s="387">
        <f t="shared" si="91"/>
        <v>0.10880000000000001</v>
      </c>
      <c r="S67" s="32">
        <f t="shared" si="91"/>
        <v>0.10880000000000001</v>
      </c>
      <c r="T67" s="386">
        <f t="shared" si="91"/>
        <v>0.10880000000000001</v>
      </c>
      <c r="U67" s="316">
        <f t="shared" si="91"/>
        <v>0.10880000000000001</v>
      </c>
      <c r="V67" s="316">
        <f t="shared" si="91"/>
        <v>0.10880000000000001</v>
      </c>
      <c r="W67" s="387">
        <f t="shared" si="91"/>
        <v>0.10880000000000001</v>
      </c>
      <c r="X67" s="32">
        <f t="shared" si="91"/>
        <v>0.10880000000000001</v>
      </c>
      <c r="Y67" s="386">
        <f t="shared" si="91"/>
        <v>0.10880000000000001</v>
      </c>
      <c r="Z67" s="316">
        <f t="shared" si="91"/>
        <v>0.10880000000000001</v>
      </c>
      <c r="AA67" s="316">
        <f t="shared" si="91"/>
        <v>0.10880000000000001</v>
      </c>
      <c r="AB67" s="387">
        <f t="shared" si="91"/>
        <v>0.10880000000000001</v>
      </c>
      <c r="AC67" s="32">
        <f t="shared" si="91"/>
        <v>0.10880000000000001</v>
      </c>
      <c r="AD67" s="386">
        <f t="shared" ref="AD67:AK67" si="92">AD269</f>
        <v>0.10880000000000001</v>
      </c>
      <c r="AE67" s="316">
        <f t="shared" si="92"/>
        <v>0.10880000000000001</v>
      </c>
      <c r="AF67" s="316">
        <f t="shared" si="92"/>
        <v>0.10880000000000001</v>
      </c>
      <c r="AG67" s="387">
        <f t="shared" si="92"/>
        <v>0.10880000000000001</v>
      </c>
      <c r="AH67" s="32">
        <f t="shared" si="92"/>
        <v>0.10880000000000001</v>
      </c>
      <c r="AI67" s="386">
        <f t="shared" si="92"/>
        <v>0.10880000000000001</v>
      </c>
      <c r="AJ67" s="316">
        <f t="shared" si="92"/>
        <v>0.10880000000000001</v>
      </c>
      <c r="AK67" s="316">
        <f t="shared" si="92"/>
        <v>0.10880000000000001</v>
      </c>
      <c r="AL67" s="387">
        <f t="shared" ref="AL67:AR67" si="93">AL269</f>
        <v>0.10880000000000001</v>
      </c>
      <c r="AM67" s="32">
        <f t="shared" si="93"/>
        <v>0.10880000000000001</v>
      </c>
      <c r="AN67" s="386">
        <f t="shared" si="93"/>
        <v>0.10880000000000001</v>
      </c>
      <c r="AO67" s="316">
        <f t="shared" si="93"/>
        <v>0.10880000000000001</v>
      </c>
      <c r="AP67" s="316">
        <f t="shared" si="93"/>
        <v>0.10880000000000001</v>
      </c>
      <c r="AQ67" s="387">
        <f t="shared" si="93"/>
        <v>0.10880000000000001</v>
      </c>
      <c r="AR67" s="32">
        <f t="shared" si="93"/>
        <v>0.10880000000000001</v>
      </c>
      <c r="AS67" s="386">
        <f>AS269</f>
        <v>0.10880000000000001</v>
      </c>
      <c r="AT67" s="316">
        <f>AT269</f>
        <v>0.10880000000000001</v>
      </c>
      <c r="AU67" s="316">
        <f>AU269</f>
        <v>0.10880000000000001</v>
      </c>
      <c r="AV67" s="387">
        <f>AV269</f>
        <v>0.10880000000000001</v>
      </c>
      <c r="AW67" s="32">
        <f>AW269</f>
        <v>0.1098875</v>
      </c>
      <c r="AX67" s="386">
        <f t="shared" ref="AX67:BF67" si="94">AX269</f>
        <v>0.10880000000000001</v>
      </c>
      <c r="AY67" s="316">
        <f t="shared" si="94"/>
        <v>0.10880000000000001</v>
      </c>
      <c r="AZ67" s="316">
        <f>AZ269</f>
        <v>0.10880000000000001</v>
      </c>
      <c r="BA67" s="387">
        <f t="shared" si="94"/>
        <v>0.10880000000000001</v>
      </c>
      <c r="BB67" s="32">
        <f t="shared" si="94"/>
        <v>0.107</v>
      </c>
      <c r="BC67" s="386">
        <f t="shared" si="94"/>
        <v>0.10880000000000001</v>
      </c>
      <c r="BD67" s="316">
        <f t="shared" si="94"/>
        <v>0.10880000000000001</v>
      </c>
      <c r="BE67" s="316">
        <f t="shared" si="94"/>
        <v>0.10880000000000001</v>
      </c>
      <c r="BF67" s="387">
        <f t="shared" si="94"/>
        <v>0.10880000000000001</v>
      </c>
      <c r="BG67" s="32">
        <f t="shared" ref="BG67:BL67" si="95">BG269</f>
        <v>0.10769999999999999</v>
      </c>
      <c r="BH67" s="386">
        <f t="shared" si="95"/>
        <v>0.10880000000000001</v>
      </c>
      <c r="BI67" s="316">
        <f t="shared" si="95"/>
        <v>0.10880000000000001</v>
      </c>
      <c r="BJ67" s="316">
        <f t="shared" si="95"/>
        <v>0.10880000000000001</v>
      </c>
      <c r="BK67" s="387">
        <f t="shared" si="95"/>
        <v>0.10880000000000001</v>
      </c>
      <c r="BL67" s="32">
        <f t="shared" si="95"/>
        <v>0.10769999999999999</v>
      </c>
      <c r="BM67" s="386">
        <f>BM269</f>
        <v>0.10880000000000001</v>
      </c>
      <c r="BN67" s="316">
        <f>BN269</f>
        <v>0.10880000000000001</v>
      </c>
      <c r="BO67" s="316">
        <f>BO269</f>
        <v>0.10880000000000001</v>
      </c>
      <c r="BP67" s="387">
        <f>BP269</f>
        <v>0.10880000000000001</v>
      </c>
      <c r="BQ67" s="32">
        <f>BQ269</f>
        <v>0.10769999999999999</v>
      </c>
      <c r="BR67" s="174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</row>
    <row r="68" spans="1:105">
      <c r="A68" s="1523"/>
      <c r="B68" s="2"/>
      <c r="C68" s="811" t="s">
        <v>140</v>
      </c>
      <c r="D68" s="536"/>
      <c r="E68" s="812"/>
      <c r="F68" s="871"/>
      <c r="G68" s="871"/>
      <c r="H68" s="813"/>
      <c r="I68" s="872">
        <f>I270</f>
        <v>8.6686643835616445E-2</v>
      </c>
      <c r="J68" s="814"/>
      <c r="K68" s="873"/>
      <c r="L68" s="873"/>
      <c r="M68" s="815"/>
      <c r="N68" s="872">
        <f>N270</f>
        <v>9.4489020270270271E-2</v>
      </c>
      <c r="O68" s="814"/>
      <c r="P68" s="873"/>
      <c r="Q68" s="873"/>
      <c r="R68" s="815"/>
      <c r="S68" s="872">
        <f>S270</f>
        <v>0.13567708333333334</v>
      </c>
      <c r="T68" s="814"/>
      <c r="U68" s="873"/>
      <c r="V68" s="873"/>
      <c r="W68" s="815"/>
      <c r="X68" s="872">
        <f>X270</f>
        <v>0.125</v>
      </c>
      <c r="Y68" s="814"/>
      <c r="Z68" s="873"/>
      <c r="AA68" s="873"/>
      <c r="AB68" s="815"/>
      <c r="AC68" s="872">
        <f>AC270</f>
        <v>0.12322809278350515</v>
      </c>
      <c r="AD68" s="814"/>
      <c r="AE68" s="873"/>
      <c r="AF68" s="873"/>
      <c r="AG68" s="815"/>
      <c r="AH68" s="872">
        <f>AH270</f>
        <v>0.12996760770381446</v>
      </c>
      <c r="AI68" s="814"/>
      <c r="AJ68" s="873"/>
      <c r="AK68" s="873"/>
      <c r="AL68" s="815"/>
      <c r="AM68" s="872">
        <f>AM270</f>
        <v>0.1240398955254912</v>
      </c>
      <c r="AN68" s="814"/>
      <c r="AO68" s="873"/>
      <c r="AP68" s="873"/>
      <c r="AQ68" s="815"/>
      <c r="AR68" s="872">
        <f>AR270</f>
        <v>0.12141285960326799</v>
      </c>
      <c r="AS68" s="814"/>
      <c r="AT68" s="873"/>
      <c r="AU68" s="873"/>
      <c r="AV68" s="815"/>
      <c r="AW68" s="872">
        <f>AW270</f>
        <v>0.11801296723036123</v>
      </c>
      <c r="AX68" s="814"/>
      <c r="AY68" s="873"/>
      <c r="AZ68" s="873"/>
      <c r="BA68" s="815"/>
      <c r="BB68" s="872">
        <f>BB270</f>
        <v>0.11403277647823852</v>
      </c>
      <c r="BC68" s="814"/>
      <c r="BD68" s="873"/>
      <c r="BE68" s="873"/>
      <c r="BF68" s="815"/>
      <c r="BG68" s="872">
        <f>BG270</f>
        <v>0.1121206548531139</v>
      </c>
      <c r="BH68" s="814"/>
      <c r="BI68" s="873"/>
      <c r="BJ68" s="873"/>
      <c r="BK68" s="815"/>
      <c r="BL68" s="872">
        <f>BL270</f>
        <v>0.10929697169370205</v>
      </c>
      <c r="BM68" s="814"/>
      <c r="BN68" s="873"/>
      <c r="BO68" s="873"/>
      <c r="BP68" s="815"/>
      <c r="BQ68" s="872">
        <f>BQ270</f>
        <v>0.10607594485786503</v>
      </c>
      <c r="BR68" s="174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</row>
    <row r="69" spans="1:105">
      <c r="A69" s="1523"/>
      <c r="B69" s="2"/>
      <c r="C69" s="49"/>
      <c r="D69" s="2"/>
      <c r="E69" s="789"/>
      <c r="F69" s="329"/>
      <c r="G69" s="329"/>
      <c r="H69" s="790"/>
      <c r="I69" s="33"/>
      <c r="J69" s="789"/>
      <c r="K69" s="329"/>
      <c r="L69" s="329"/>
      <c r="M69" s="790"/>
      <c r="N69" s="33"/>
      <c r="O69" s="789"/>
      <c r="P69" s="329"/>
      <c r="Q69" s="329"/>
      <c r="R69" s="790"/>
      <c r="S69" s="33"/>
      <c r="T69" s="789"/>
      <c r="U69" s="329"/>
      <c r="V69" s="329"/>
      <c r="W69" s="790"/>
      <c r="X69" s="33"/>
      <c r="Y69" s="789"/>
      <c r="Z69" s="329"/>
      <c r="AA69" s="329"/>
      <c r="AB69" s="790"/>
      <c r="AC69" s="33"/>
      <c r="AD69" s="789"/>
      <c r="AE69" s="329"/>
      <c r="AF69" s="329"/>
      <c r="AG69" s="790"/>
      <c r="AH69" s="33"/>
      <c r="AI69" s="789"/>
      <c r="AJ69" s="329"/>
      <c r="AK69" s="329"/>
      <c r="AL69" s="790"/>
      <c r="AM69" s="1220"/>
      <c r="AN69" s="1530"/>
      <c r="AO69" s="1531"/>
      <c r="AP69" s="1531"/>
      <c r="AQ69" s="1532"/>
      <c r="AR69" s="1220"/>
      <c r="AS69" s="1530"/>
      <c r="AT69" s="1531"/>
      <c r="AU69" s="1531"/>
      <c r="AV69" s="1532"/>
      <c r="AW69" s="1220"/>
      <c r="AX69" s="1530"/>
      <c r="AY69" s="1531"/>
      <c r="AZ69" s="1531"/>
      <c r="BA69" s="1532"/>
      <c r="BB69" s="1220"/>
      <c r="BC69" s="1530"/>
      <c r="BD69" s="1531"/>
      <c r="BE69" s="1531"/>
      <c r="BF69" s="1532"/>
      <c r="BG69" s="1220"/>
      <c r="BH69" s="1530"/>
      <c r="BI69" s="1531"/>
      <c r="BJ69" s="1531"/>
      <c r="BK69" s="1532"/>
      <c r="BL69" s="1220"/>
      <c r="BM69" s="1530"/>
      <c r="BN69" s="1531"/>
      <c r="BO69" s="1531"/>
      <c r="BP69" s="1532"/>
      <c r="BQ69" s="1220"/>
      <c r="BR69" s="1220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</row>
    <row r="70" spans="1:105">
      <c r="A70" s="1523"/>
      <c r="B70" s="2"/>
      <c r="C70" s="49"/>
      <c r="D70" s="2"/>
      <c r="E70" s="789"/>
      <c r="F70" s="329"/>
      <c r="G70" s="329"/>
      <c r="H70" s="790"/>
      <c r="I70" s="33"/>
      <c r="J70" s="789"/>
      <c r="K70" s="329"/>
      <c r="L70" s="329"/>
      <c r="M70" s="790"/>
      <c r="N70" s="33"/>
      <c r="O70" s="789"/>
      <c r="P70" s="329"/>
      <c r="Q70" s="329"/>
      <c r="R70" s="790"/>
      <c r="S70" s="33"/>
      <c r="T70" s="789"/>
      <c r="U70" s="329"/>
      <c r="V70" s="329"/>
      <c r="W70" s="790"/>
      <c r="X70" s="33"/>
      <c r="Y70" s="789"/>
      <c r="Z70" s="329"/>
      <c r="AA70" s="329"/>
      <c r="AB70" s="790"/>
      <c r="AC70" s="33"/>
      <c r="AD70" s="789"/>
      <c r="AE70" s="329"/>
      <c r="AF70" s="329"/>
      <c r="AG70" s="790"/>
      <c r="AH70" s="33"/>
      <c r="AI70" s="789"/>
      <c r="AJ70" s="329"/>
      <c r="AK70" s="329"/>
      <c r="AL70" s="790"/>
      <c r="AM70" s="33"/>
      <c r="AN70" s="789"/>
      <c r="AO70" s="329"/>
      <c r="AP70" s="329"/>
      <c r="AQ70" s="790"/>
      <c r="AR70" s="33"/>
      <c r="AS70" s="789"/>
      <c r="AT70" s="329"/>
      <c r="AU70" s="329"/>
      <c r="AV70" s="790"/>
      <c r="AW70" s="33"/>
      <c r="AX70" s="789"/>
      <c r="AY70" s="329"/>
      <c r="AZ70" s="329"/>
      <c r="BA70" s="790"/>
      <c r="BB70" s="33"/>
      <c r="BC70" s="789"/>
      <c r="BD70" s="329"/>
      <c r="BE70" s="329"/>
      <c r="BF70" s="790"/>
      <c r="BG70" s="33"/>
      <c r="BH70" s="789"/>
      <c r="BI70" s="329"/>
      <c r="BJ70" s="329"/>
      <c r="BK70" s="790"/>
      <c r="BL70" s="33"/>
      <c r="BM70" s="789"/>
      <c r="BN70" s="329"/>
      <c r="BO70" s="329"/>
      <c r="BP70" s="790"/>
      <c r="BQ70" s="33"/>
      <c r="BR70" s="33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</row>
    <row r="71" spans="1:105">
      <c r="A71" s="1523"/>
      <c r="B71" s="105" t="s">
        <v>141</v>
      </c>
      <c r="C71" s="322"/>
      <c r="D71" s="19"/>
      <c r="E71" s="789"/>
      <c r="F71" s="329"/>
      <c r="G71" s="329"/>
      <c r="H71" s="790"/>
      <c r="I71" s="33"/>
      <c r="J71" s="789"/>
      <c r="K71" s="329"/>
      <c r="L71" s="329"/>
      <c r="M71" s="790"/>
      <c r="N71" s="33"/>
      <c r="O71" s="789"/>
      <c r="P71" s="329"/>
      <c r="Q71" s="329"/>
      <c r="R71" s="790"/>
      <c r="S71" s="33"/>
      <c r="T71" s="789"/>
      <c r="U71" s="329"/>
      <c r="V71" s="329"/>
      <c r="W71" s="790"/>
      <c r="X71" s="33"/>
      <c r="Y71" s="789"/>
      <c r="Z71" s="329"/>
      <c r="AA71" s="329"/>
      <c r="AB71" s="790"/>
      <c r="AC71" s="33"/>
      <c r="AD71" s="789"/>
      <c r="AE71" s="329"/>
      <c r="AF71" s="329"/>
      <c r="AG71" s="790"/>
      <c r="AH71" s="33"/>
      <c r="AI71" s="789"/>
      <c r="AJ71" s="329"/>
      <c r="AK71" s="329"/>
      <c r="AL71" s="790"/>
      <c r="AM71" s="33"/>
      <c r="AN71" s="789"/>
      <c r="AO71" s="329"/>
      <c r="AP71" s="329"/>
      <c r="AQ71" s="790"/>
      <c r="AR71" s="33"/>
      <c r="AS71" s="789"/>
      <c r="AT71" s="329"/>
      <c r="AU71" s="329"/>
      <c r="AV71" s="790"/>
      <c r="AW71" s="33"/>
      <c r="AX71" s="789"/>
      <c r="AY71" s="329"/>
      <c r="AZ71" s="329"/>
      <c r="BA71" s="790"/>
      <c r="BB71" s="33"/>
      <c r="BC71" s="789"/>
      <c r="BD71" s="329"/>
      <c r="BE71" s="329"/>
      <c r="BF71" s="790"/>
      <c r="BG71" s="33"/>
      <c r="BH71" s="789"/>
      <c r="BI71" s="329"/>
      <c r="BJ71" s="329"/>
      <c r="BK71" s="790"/>
      <c r="BL71" s="33"/>
      <c r="BM71" s="789"/>
      <c r="BN71" s="329"/>
      <c r="BO71" s="329"/>
      <c r="BP71" s="790"/>
      <c r="BQ71" s="33"/>
      <c r="BR71" s="33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</row>
    <row r="72" spans="1:105">
      <c r="A72" s="37"/>
      <c r="B72" s="67"/>
      <c r="C72" s="49" t="s">
        <v>196</v>
      </c>
      <c r="D72" s="37"/>
      <c r="E72" s="571"/>
      <c r="F72" s="318"/>
      <c r="G72" s="318"/>
      <c r="H72" s="572"/>
      <c r="I72" s="30"/>
      <c r="J72" s="571"/>
      <c r="K72" s="318"/>
      <c r="L72" s="318"/>
      <c r="M72" s="572"/>
      <c r="N72" s="305"/>
      <c r="O72" s="571"/>
      <c r="P72" s="318"/>
      <c r="Q72" s="318"/>
      <c r="R72" s="572"/>
      <c r="S72" s="30"/>
      <c r="T72" s="571"/>
      <c r="U72" s="318"/>
      <c r="V72" s="318"/>
      <c r="W72" s="572"/>
      <c r="X72" s="30"/>
      <c r="Y72" s="571"/>
      <c r="Z72" s="318"/>
      <c r="AA72" s="318"/>
      <c r="AB72" s="572"/>
      <c r="AC72" s="30"/>
      <c r="AD72" s="571"/>
      <c r="AE72" s="318"/>
      <c r="AF72" s="318"/>
      <c r="AG72" s="572"/>
      <c r="AH72" s="30"/>
      <c r="AI72" s="571"/>
      <c r="AJ72" s="318"/>
      <c r="AK72" s="318"/>
      <c r="AL72" s="572"/>
      <c r="AM72" s="30"/>
      <c r="AN72" s="571"/>
      <c r="AO72" s="318"/>
      <c r="AP72" s="318"/>
      <c r="AQ72" s="572"/>
      <c r="AR72" s="30"/>
      <c r="AS72" s="571"/>
      <c r="AT72" s="318"/>
      <c r="AU72" s="318"/>
      <c r="AV72" s="572"/>
      <c r="AW72" s="30"/>
      <c r="AX72" s="571"/>
      <c r="AY72" s="318"/>
      <c r="AZ72" s="318"/>
      <c r="BA72" s="572"/>
      <c r="BB72" s="30"/>
      <c r="BC72" s="571"/>
      <c r="BD72" s="318"/>
      <c r="BE72" s="318"/>
      <c r="BF72" s="572"/>
      <c r="BG72" s="30"/>
      <c r="BH72" s="571"/>
      <c r="BI72" s="318"/>
      <c r="BJ72" s="318"/>
      <c r="BK72" s="572"/>
      <c r="BL72" s="30"/>
      <c r="BM72" s="571"/>
      <c r="BN72" s="318"/>
      <c r="BO72" s="318"/>
      <c r="BP72" s="572"/>
      <c r="BQ72" s="30"/>
      <c r="BR72" s="30"/>
      <c r="BS72" s="37"/>
      <c r="BT72" s="37"/>
      <c r="BU72" s="37"/>
      <c r="BV72" s="37"/>
      <c r="BW72" s="37"/>
      <c r="BX72" s="37"/>
      <c r="BY72" s="37"/>
      <c r="BZ72" s="37"/>
      <c r="CA72" s="37"/>
      <c r="CB72" s="37"/>
      <c r="CC72" s="37"/>
      <c r="CD72" s="37"/>
      <c r="CE72" s="37"/>
      <c r="CF72" s="37"/>
      <c r="CG72" s="37"/>
      <c r="CH72" s="37"/>
      <c r="CI72" s="37"/>
      <c r="CJ72" s="37"/>
      <c r="CK72" s="37"/>
      <c r="CL72" s="37"/>
      <c r="CM72" s="37"/>
      <c r="CN72" s="37"/>
      <c r="CO72" s="37"/>
      <c r="CP72" s="37"/>
      <c r="CQ72" s="37"/>
      <c r="CR72" s="37"/>
      <c r="CS72" s="37"/>
      <c r="CT72" s="37"/>
      <c r="CU72" s="37"/>
      <c r="CV72" s="37"/>
      <c r="CW72" s="37"/>
      <c r="CX72" s="37"/>
      <c r="CY72" s="37"/>
      <c r="CZ72" s="37"/>
      <c r="DA72" s="37"/>
    </row>
    <row r="73" spans="1:105">
      <c r="A73" s="451"/>
      <c r="B73" s="451"/>
      <c r="C73" s="451" t="s">
        <v>457</v>
      </c>
      <c r="E73" s="459"/>
      <c r="F73" s="460"/>
      <c r="G73" s="460"/>
      <c r="H73" s="816"/>
      <c r="I73" s="462">
        <f>2203</f>
        <v>2203</v>
      </c>
      <c r="J73" s="459">
        <v>537</v>
      </c>
      <c r="K73" s="460">
        <v>529</v>
      </c>
      <c r="L73" s="460">
        <v>827</v>
      </c>
      <c r="M73" s="474">
        <f>N73-SUM(J73:L73)</f>
        <v>489</v>
      </c>
      <c r="N73" s="462">
        <v>2382</v>
      </c>
      <c r="O73" s="459">
        <v>551</v>
      </c>
      <c r="P73" s="460">
        <v>523</v>
      </c>
      <c r="Q73" s="460">
        <v>771</v>
      </c>
      <c r="R73" s="405">
        <f>S73-SUM(O73:Q73)</f>
        <v>435</v>
      </c>
      <c r="S73" s="462">
        <v>2280</v>
      </c>
      <c r="T73" s="459">
        <v>493</v>
      </c>
      <c r="U73" s="460">
        <v>478</v>
      </c>
      <c r="V73" s="460">
        <v>710</v>
      </c>
      <c r="W73" s="405">
        <f>X73-SUM(T73:V73)</f>
        <v>431</v>
      </c>
      <c r="X73" s="462">
        <v>2112</v>
      </c>
      <c r="Y73" s="459">
        <v>470</v>
      </c>
      <c r="Z73" s="460">
        <v>479</v>
      </c>
      <c r="AA73" s="460">
        <v>677</v>
      </c>
      <c r="AB73" s="395">
        <f>AC73-SUM(Y73:AA73)</f>
        <v>455</v>
      </c>
      <c r="AC73" s="462">
        <v>2081</v>
      </c>
      <c r="AD73" s="459">
        <v>511</v>
      </c>
      <c r="AE73" s="460">
        <v>450</v>
      </c>
      <c r="AF73" s="460">
        <v>659</v>
      </c>
      <c r="AG73" s="395">
        <f>AH73-SUM(AD73:AF73)</f>
        <v>435</v>
      </c>
      <c r="AH73" s="462">
        <v>2055</v>
      </c>
      <c r="AI73" s="459">
        <v>515</v>
      </c>
      <c r="AJ73" s="460">
        <v>506</v>
      </c>
      <c r="AK73" s="460">
        <v>757</v>
      </c>
      <c r="AL73" s="395">
        <f>AM73-SUM(AI73:AK73)</f>
        <v>400</v>
      </c>
      <c r="AM73" s="462">
        <v>2178</v>
      </c>
      <c r="AN73" s="459">
        <v>454</v>
      </c>
      <c r="AO73" s="460">
        <v>458</v>
      </c>
      <c r="AP73" s="460">
        <v>771</v>
      </c>
      <c r="AQ73" s="395">
        <f>AR73-SUM(AN73:AP73)</f>
        <v>382</v>
      </c>
      <c r="AR73" s="462">
        <v>2065</v>
      </c>
      <c r="AS73" s="459">
        <v>434</v>
      </c>
      <c r="AT73" s="460">
        <v>449</v>
      </c>
      <c r="AU73" s="460">
        <v>628</v>
      </c>
      <c r="AV73" s="395">
        <f>AW73-SUM(AS73:AU73)</f>
        <v>399</v>
      </c>
      <c r="AW73" s="462">
        <v>1910</v>
      </c>
      <c r="AX73" s="396"/>
      <c r="AY73" s="343"/>
      <c r="AZ73" s="343"/>
      <c r="BA73" s="397"/>
      <c r="BB73" s="297"/>
      <c r="BC73" s="396"/>
      <c r="BD73" s="343"/>
      <c r="BE73" s="343"/>
      <c r="BF73" s="397"/>
      <c r="BG73" s="297"/>
      <c r="BH73" s="396"/>
      <c r="BI73" s="343"/>
      <c r="BJ73" s="343"/>
      <c r="BK73" s="397"/>
      <c r="BL73" s="297"/>
      <c r="BM73" s="396"/>
      <c r="BN73" s="343"/>
      <c r="BO73" s="343"/>
      <c r="BP73" s="397"/>
      <c r="BQ73" s="297"/>
      <c r="BR73" s="297"/>
      <c r="BS73" s="451"/>
      <c r="BT73" s="451"/>
      <c r="BU73" s="451"/>
      <c r="BV73" s="451"/>
      <c r="BW73" s="451"/>
      <c r="BX73" s="451"/>
      <c r="BY73" s="451"/>
      <c r="BZ73" s="451"/>
      <c r="CA73" s="451"/>
      <c r="CB73" s="451"/>
      <c r="CC73" s="451"/>
      <c r="CD73" s="451"/>
      <c r="CE73" s="451"/>
      <c r="CF73" s="451"/>
      <c r="CG73" s="451"/>
      <c r="CH73" s="451"/>
      <c r="CI73" s="451"/>
      <c r="CJ73" s="451"/>
      <c r="CK73" s="451"/>
      <c r="CL73" s="451"/>
      <c r="CM73" s="451"/>
      <c r="CN73" s="451"/>
      <c r="CO73" s="451"/>
      <c r="CP73" s="451"/>
      <c r="CQ73" s="451"/>
      <c r="CR73" s="451"/>
      <c r="CS73" s="451"/>
      <c r="CT73" s="451"/>
      <c r="CU73" s="451"/>
      <c r="CV73" s="451"/>
      <c r="CW73" s="451"/>
      <c r="CX73" s="451"/>
      <c r="CY73" s="451"/>
      <c r="CZ73" s="451"/>
      <c r="DA73" s="451"/>
    </row>
    <row r="74" spans="1:105">
      <c r="A74" s="451"/>
      <c r="B74" s="451"/>
      <c r="C74" s="451" t="s">
        <v>142</v>
      </c>
      <c r="E74" s="459"/>
      <c r="F74" s="460"/>
      <c r="G74" s="460"/>
      <c r="H74" s="816"/>
      <c r="I74" s="462">
        <f>615+632</f>
        <v>1247</v>
      </c>
      <c r="J74" s="459">
        <v>576</v>
      </c>
      <c r="K74" s="460">
        <v>571</v>
      </c>
      <c r="L74" s="460">
        <v>803</v>
      </c>
      <c r="M74" s="474">
        <f>N74-SUM(J74:L74)</f>
        <v>532</v>
      </c>
      <c r="N74" s="462">
        <v>2482</v>
      </c>
      <c r="O74" s="459">
        <v>527</v>
      </c>
      <c r="P74" s="460">
        <v>581</v>
      </c>
      <c r="Q74" s="460">
        <v>706</v>
      </c>
      <c r="R74" s="405">
        <f>S74-SUM(O74:Q74)</f>
        <v>456</v>
      </c>
      <c r="S74" s="462">
        <v>2270</v>
      </c>
      <c r="T74" s="459">
        <v>490</v>
      </c>
      <c r="U74" s="460">
        <v>530</v>
      </c>
      <c r="V74" s="460">
        <v>645</v>
      </c>
      <c r="W74" s="405">
        <f>X74-SUM(T74:V74)</f>
        <v>419</v>
      </c>
      <c r="X74" s="462">
        <v>2084</v>
      </c>
      <c r="Y74" s="459">
        <v>436</v>
      </c>
      <c r="Z74" s="460">
        <v>510</v>
      </c>
      <c r="AA74" s="460">
        <v>649</v>
      </c>
      <c r="AB74" s="395">
        <f>AC74-SUM(Y74:AA74)</f>
        <v>436</v>
      </c>
      <c r="AC74" s="462">
        <v>2031</v>
      </c>
      <c r="AD74" s="459">
        <v>486</v>
      </c>
      <c r="AE74" s="460">
        <v>519</v>
      </c>
      <c r="AF74" s="460">
        <v>629</v>
      </c>
      <c r="AG74" s="395">
        <f>AH74-SUM(AD74:AF74)</f>
        <v>418</v>
      </c>
      <c r="AH74" s="462">
        <v>2052</v>
      </c>
      <c r="AI74" s="459">
        <v>467</v>
      </c>
      <c r="AJ74" s="460">
        <v>528</v>
      </c>
      <c r="AK74" s="460">
        <v>629</v>
      </c>
      <c r="AL74" s="395">
        <f>AM74-SUM(AI74:AK74)</f>
        <v>377</v>
      </c>
      <c r="AM74" s="462">
        <v>2001</v>
      </c>
      <c r="AN74" s="459">
        <v>357</v>
      </c>
      <c r="AO74" s="460">
        <v>419</v>
      </c>
      <c r="AP74" s="460">
        <v>543</v>
      </c>
      <c r="AQ74" s="395">
        <f>AR74-SUM(AN74:AP74)</f>
        <v>328</v>
      </c>
      <c r="AR74" s="462">
        <v>1647</v>
      </c>
      <c r="AS74" s="459">
        <v>359</v>
      </c>
      <c r="AT74" s="460">
        <v>427</v>
      </c>
      <c r="AU74" s="460">
        <v>507</v>
      </c>
      <c r="AV74" s="395">
        <f>AW74-SUM(AS74:AU74)</f>
        <v>338</v>
      </c>
      <c r="AW74" s="462">
        <v>1631</v>
      </c>
      <c r="AX74" s="396"/>
      <c r="AY74" s="343"/>
      <c r="AZ74" s="343"/>
      <c r="BA74" s="397"/>
      <c r="BB74" s="297"/>
      <c r="BC74" s="396"/>
      <c r="BD74" s="343"/>
      <c r="BE74" s="343"/>
      <c r="BF74" s="397"/>
      <c r="BG74" s="297"/>
      <c r="BH74" s="396"/>
      <c r="BI74" s="343"/>
      <c r="BJ74" s="343"/>
      <c r="BK74" s="397"/>
      <c r="BL74" s="297"/>
      <c r="BM74" s="396"/>
      <c r="BN74" s="343"/>
      <c r="BO74" s="343"/>
      <c r="BP74" s="397"/>
      <c r="BQ74" s="297"/>
      <c r="BR74" s="297"/>
      <c r="BS74" s="451"/>
      <c r="BT74" s="451"/>
      <c r="BU74" s="451"/>
      <c r="BV74" s="451"/>
      <c r="BW74" s="451"/>
      <c r="BX74" s="451"/>
      <c r="BY74" s="451"/>
      <c r="BZ74" s="451"/>
      <c r="CA74" s="451"/>
      <c r="CB74" s="451"/>
      <c r="CC74" s="451"/>
      <c r="CD74" s="451"/>
      <c r="CE74" s="451"/>
      <c r="CF74" s="451"/>
      <c r="CG74" s="451"/>
      <c r="CH74" s="451"/>
      <c r="CI74" s="451"/>
      <c r="CJ74" s="451"/>
      <c r="CK74" s="451"/>
      <c r="CL74" s="451"/>
      <c r="CM74" s="451"/>
      <c r="CN74" s="451"/>
      <c r="CO74" s="451"/>
      <c r="CP74" s="451"/>
      <c r="CQ74" s="451"/>
      <c r="CR74" s="451"/>
      <c r="CS74" s="451"/>
      <c r="CT74" s="451"/>
      <c r="CU74" s="451"/>
      <c r="CV74" s="451"/>
      <c r="CW74" s="451"/>
      <c r="CX74" s="451"/>
      <c r="CY74" s="451"/>
      <c r="CZ74" s="451"/>
      <c r="DA74" s="451"/>
    </row>
    <row r="75" spans="1:105">
      <c r="A75" s="451"/>
      <c r="B75" s="451"/>
      <c r="C75" s="451" t="s">
        <v>143</v>
      </c>
      <c r="E75" s="459"/>
      <c r="F75" s="460"/>
      <c r="G75" s="460"/>
      <c r="H75" s="816"/>
      <c r="I75" s="462">
        <f>73+74</f>
        <v>147</v>
      </c>
      <c r="J75" s="459">
        <v>20</v>
      </c>
      <c r="K75" s="460">
        <v>18</v>
      </c>
      <c r="L75" s="460">
        <v>18</v>
      </c>
      <c r="M75" s="474">
        <f>N75-SUM(J75:L75)</f>
        <v>21</v>
      </c>
      <c r="N75" s="462">
        <v>77</v>
      </c>
      <c r="O75" s="459">
        <v>20</v>
      </c>
      <c r="P75" s="460">
        <v>17</v>
      </c>
      <c r="Q75" s="460">
        <v>17</v>
      </c>
      <c r="R75" s="405">
        <f>S75-SUM(O75:Q75)</f>
        <v>19</v>
      </c>
      <c r="S75" s="462">
        <v>73</v>
      </c>
      <c r="T75" s="459">
        <v>21</v>
      </c>
      <c r="U75" s="460">
        <v>17</v>
      </c>
      <c r="V75" s="460">
        <v>17</v>
      </c>
      <c r="W75" s="405">
        <f>X75-SUM(T75:V75)</f>
        <v>18</v>
      </c>
      <c r="X75" s="462">
        <v>73</v>
      </c>
      <c r="Y75" s="459">
        <v>18</v>
      </c>
      <c r="Z75" s="460">
        <v>16</v>
      </c>
      <c r="AA75" s="460">
        <v>17</v>
      </c>
      <c r="AB75" s="395">
        <f>AC75-SUM(Y75:AA75)</f>
        <v>19</v>
      </c>
      <c r="AC75" s="462">
        <v>70</v>
      </c>
      <c r="AD75" s="459">
        <v>18</v>
      </c>
      <c r="AE75" s="460">
        <v>17</v>
      </c>
      <c r="AF75" s="460">
        <v>17</v>
      </c>
      <c r="AG75" s="395">
        <f>AH75-SUM(AD75:AF75)</f>
        <v>17</v>
      </c>
      <c r="AH75" s="462">
        <v>69</v>
      </c>
      <c r="AI75" s="459">
        <v>18</v>
      </c>
      <c r="AJ75" s="460">
        <v>17</v>
      </c>
      <c r="AK75" s="460">
        <v>17</v>
      </c>
      <c r="AL75" s="395">
        <f>AM75-SUM(AI75:AK75)</f>
        <v>19</v>
      </c>
      <c r="AM75" s="462">
        <v>71</v>
      </c>
      <c r="AN75" s="459">
        <v>17</v>
      </c>
      <c r="AO75" s="460">
        <v>17</v>
      </c>
      <c r="AP75" s="460">
        <v>16</v>
      </c>
      <c r="AQ75" s="395">
        <f>AR75-SUM(AN75:AP75)</f>
        <v>18</v>
      </c>
      <c r="AR75" s="462">
        <v>68</v>
      </c>
      <c r="AS75" s="459">
        <v>18</v>
      </c>
      <c r="AT75" s="460">
        <v>16</v>
      </c>
      <c r="AU75" s="460">
        <v>16</v>
      </c>
      <c r="AV75" s="395">
        <f>AW75-SUM(AS75:AU75)</f>
        <v>18</v>
      </c>
      <c r="AW75" s="462">
        <v>68</v>
      </c>
      <c r="AX75" s="396"/>
      <c r="AY75" s="343"/>
      <c r="AZ75" s="343"/>
      <c r="BA75" s="397"/>
      <c r="BB75" s="297"/>
      <c r="BC75" s="396"/>
      <c r="BD75" s="343"/>
      <c r="BE75" s="343"/>
      <c r="BF75" s="397"/>
      <c r="BG75" s="297"/>
      <c r="BH75" s="396"/>
      <c r="BI75" s="343"/>
      <c r="BJ75" s="343"/>
      <c r="BK75" s="397"/>
      <c r="BL75" s="297"/>
      <c r="BM75" s="396"/>
      <c r="BN75" s="343"/>
      <c r="BO75" s="343"/>
      <c r="BP75" s="397"/>
      <c r="BQ75" s="297"/>
      <c r="BR75" s="297"/>
      <c r="BS75" s="451"/>
      <c r="BT75" s="451"/>
      <c r="BU75" s="451"/>
      <c r="BV75" s="451"/>
      <c r="BW75" s="451"/>
      <c r="BX75" s="451"/>
      <c r="BY75" s="451"/>
      <c r="BZ75" s="451"/>
      <c r="CA75" s="451"/>
      <c r="CB75" s="451"/>
      <c r="CC75" s="451"/>
      <c r="CD75" s="451"/>
      <c r="CE75" s="451"/>
      <c r="CF75" s="451"/>
      <c r="CG75" s="451"/>
      <c r="CH75" s="451"/>
      <c r="CI75" s="451"/>
      <c r="CJ75" s="451"/>
      <c r="CK75" s="451"/>
      <c r="CL75" s="451"/>
      <c r="CM75" s="451"/>
      <c r="CN75" s="451"/>
      <c r="CO75" s="451"/>
      <c r="CP75" s="451"/>
      <c r="CQ75" s="451"/>
      <c r="CR75" s="451"/>
      <c r="CS75" s="451"/>
      <c r="CT75" s="451"/>
      <c r="CU75" s="451"/>
      <c r="CV75" s="451"/>
      <c r="CW75" s="451"/>
      <c r="CX75" s="451"/>
      <c r="CY75" s="451"/>
      <c r="CZ75" s="451"/>
      <c r="DA75" s="451"/>
    </row>
    <row r="76" spans="1:105">
      <c r="A76" s="451"/>
      <c r="B76" s="451"/>
      <c r="C76" s="451" t="s">
        <v>71</v>
      </c>
      <c r="E76" s="459"/>
      <c r="F76" s="460"/>
      <c r="G76" s="460"/>
      <c r="H76" s="816"/>
      <c r="I76" s="462">
        <f>2821+80+277-I75-I74</f>
        <v>1784</v>
      </c>
      <c r="J76" s="459">
        <v>92</v>
      </c>
      <c r="K76" s="460">
        <v>75</v>
      </c>
      <c r="L76" s="460">
        <v>110</v>
      </c>
      <c r="M76" s="474">
        <f>N76-SUM(J76:L76)</f>
        <v>84</v>
      </c>
      <c r="N76" s="462">
        <v>361</v>
      </c>
      <c r="O76" s="459">
        <v>89</v>
      </c>
      <c r="P76" s="460">
        <v>99</v>
      </c>
      <c r="Q76" s="460">
        <v>106</v>
      </c>
      <c r="R76" s="405">
        <f>S76-SUM(O76:Q76)</f>
        <v>92</v>
      </c>
      <c r="S76" s="462">
        <v>386</v>
      </c>
      <c r="T76" s="459">
        <v>91</v>
      </c>
      <c r="U76" s="460">
        <v>83</v>
      </c>
      <c r="V76" s="460">
        <v>101</v>
      </c>
      <c r="W76" s="405">
        <f>X76-SUM(T76:V76)</f>
        <v>87</v>
      </c>
      <c r="X76" s="462">
        <v>362</v>
      </c>
      <c r="Y76" s="459">
        <v>105</v>
      </c>
      <c r="Z76" s="460">
        <v>107</v>
      </c>
      <c r="AA76" s="460">
        <v>109</v>
      </c>
      <c r="AB76" s="395">
        <f>AC76-SUM(Y76:AA76)</f>
        <v>104</v>
      </c>
      <c r="AC76" s="462">
        <v>425</v>
      </c>
      <c r="AD76" s="459">
        <v>125</v>
      </c>
      <c r="AE76" s="460">
        <v>123</v>
      </c>
      <c r="AF76" s="460">
        <v>135</v>
      </c>
      <c r="AG76" s="395">
        <f>AH76-SUM(AD76:AF76)</f>
        <v>125</v>
      </c>
      <c r="AH76" s="462">
        <v>508</v>
      </c>
      <c r="AI76" s="459">
        <v>157</v>
      </c>
      <c r="AJ76" s="460">
        <v>143</v>
      </c>
      <c r="AK76" s="460">
        <v>158</v>
      </c>
      <c r="AL76" s="395">
        <f>AM76-SUM(AI76:AK76)</f>
        <v>134</v>
      </c>
      <c r="AM76" s="462">
        <v>592</v>
      </c>
      <c r="AN76" s="459">
        <v>166</v>
      </c>
      <c r="AO76" s="460">
        <v>171</v>
      </c>
      <c r="AP76" s="460">
        <v>166</v>
      </c>
      <c r="AQ76" s="395">
        <f>AR76-SUM(AN76:AP76)</f>
        <v>177</v>
      </c>
      <c r="AR76" s="462">
        <v>680</v>
      </c>
      <c r="AS76" s="459">
        <v>181</v>
      </c>
      <c r="AT76" s="460">
        <v>198</v>
      </c>
      <c r="AU76" s="460">
        <v>183</v>
      </c>
      <c r="AV76" s="395">
        <f>AW76-SUM(AS76:AU76)</f>
        <v>193</v>
      </c>
      <c r="AW76" s="462">
        <v>755</v>
      </c>
      <c r="AX76" s="396"/>
      <c r="AY76" s="343"/>
      <c r="AZ76" s="343"/>
      <c r="BA76" s="397"/>
      <c r="BB76" s="297"/>
      <c r="BC76" s="396"/>
      <c r="BD76" s="343"/>
      <c r="BE76" s="343"/>
      <c r="BF76" s="397"/>
      <c r="BG76" s="297"/>
      <c r="BH76" s="396"/>
      <c r="BI76" s="343"/>
      <c r="BJ76" s="343"/>
      <c r="BK76" s="397"/>
      <c r="BL76" s="297"/>
      <c r="BM76" s="396"/>
      <c r="BN76" s="343"/>
      <c r="BO76" s="343"/>
      <c r="BP76" s="397"/>
      <c r="BQ76" s="297"/>
      <c r="BR76" s="297"/>
      <c r="BS76" s="451"/>
      <c r="BT76" s="451"/>
      <c r="BU76" s="451"/>
      <c r="BV76" s="451"/>
      <c r="BW76" s="451"/>
      <c r="BX76" s="451"/>
      <c r="BY76" s="451"/>
      <c r="BZ76" s="451"/>
      <c r="CA76" s="451"/>
      <c r="CB76" s="451"/>
      <c r="CC76" s="451"/>
      <c r="CD76" s="451"/>
      <c r="CE76" s="451"/>
      <c r="CF76" s="451"/>
      <c r="CG76" s="451"/>
      <c r="CH76" s="451"/>
      <c r="CI76" s="451"/>
      <c r="CJ76" s="451"/>
      <c r="CK76" s="451"/>
      <c r="CL76" s="451"/>
      <c r="CM76" s="451"/>
      <c r="CN76" s="451"/>
      <c r="CO76" s="451"/>
      <c r="CP76" s="451"/>
      <c r="CQ76" s="451"/>
      <c r="CR76" s="451"/>
      <c r="CS76" s="451"/>
      <c r="CT76" s="451"/>
      <c r="CU76" s="451"/>
      <c r="CV76" s="451"/>
      <c r="CW76" s="451"/>
      <c r="CX76" s="451"/>
      <c r="CY76" s="451"/>
      <c r="CZ76" s="451"/>
      <c r="DA76" s="451"/>
    </row>
    <row r="77" spans="1:105">
      <c r="A77" s="451"/>
      <c r="B77" s="451"/>
      <c r="C77" s="49" t="s">
        <v>144</v>
      </c>
      <c r="D77" s="451"/>
      <c r="E77" s="396"/>
      <c r="F77" s="343"/>
      <c r="G77" s="343"/>
      <c r="H77" s="397"/>
      <c r="I77" s="297">
        <f>SUM(I73:I76)</f>
        <v>5381</v>
      </c>
      <c r="J77" s="396">
        <f>SUM(J73:J76)</f>
        <v>1225</v>
      </c>
      <c r="K77" s="343">
        <f>SUM(K73:K76)</f>
        <v>1193</v>
      </c>
      <c r="L77" s="343">
        <f>SUM(L73:L76)</f>
        <v>1758</v>
      </c>
      <c r="M77" s="397">
        <f>+SUM(M73:M76)</f>
        <v>1126</v>
      </c>
      <c r="N77" s="297">
        <f t="shared" ref="N77:V77" si="96">SUM(N73:N76)</f>
        <v>5302</v>
      </c>
      <c r="O77" s="396">
        <f t="shared" si="96"/>
        <v>1187</v>
      </c>
      <c r="P77" s="343">
        <f t="shared" si="96"/>
        <v>1220</v>
      </c>
      <c r="Q77" s="343">
        <f t="shared" si="96"/>
        <v>1600</v>
      </c>
      <c r="R77" s="397">
        <f t="shared" si="96"/>
        <v>1002</v>
      </c>
      <c r="S77" s="297">
        <f t="shared" si="96"/>
        <v>5009</v>
      </c>
      <c r="T77" s="396">
        <f t="shared" si="96"/>
        <v>1095</v>
      </c>
      <c r="U77" s="343">
        <f t="shared" si="96"/>
        <v>1108</v>
      </c>
      <c r="V77" s="343">
        <f t="shared" si="96"/>
        <v>1473</v>
      </c>
      <c r="W77" s="397">
        <f>SUM(W73:W76)</f>
        <v>955</v>
      </c>
      <c r="X77" s="297">
        <f t="shared" ref="X77:AC77" si="97">SUM(X73:X76)</f>
        <v>4631</v>
      </c>
      <c r="Y77" s="396">
        <f t="shared" si="97"/>
        <v>1029</v>
      </c>
      <c r="Z77" s="343">
        <f t="shared" si="97"/>
        <v>1112</v>
      </c>
      <c r="AA77" s="343">
        <f t="shared" si="97"/>
        <v>1452</v>
      </c>
      <c r="AB77" s="397">
        <f t="shared" si="97"/>
        <v>1014</v>
      </c>
      <c r="AC77" s="297">
        <f t="shared" si="97"/>
        <v>4607</v>
      </c>
      <c r="AD77" s="396">
        <f t="shared" ref="AD77:AI77" si="98">SUM(AD73:AD76)</f>
        <v>1140</v>
      </c>
      <c r="AE77" s="343">
        <f t="shared" si="98"/>
        <v>1109</v>
      </c>
      <c r="AF77" s="343">
        <f t="shared" si="98"/>
        <v>1440</v>
      </c>
      <c r="AG77" s="397">
        <f t="shared" si="98"/>
        <v>995</v>
      </c>
      <c r="AH77" s="297">
        <f t="shared" si="98"/>
        <v>4684</v>
      </c>
      <c r="AI77" s="396">
        <f t="shared" si="98"/>
        <v>1157</v>
      </c>
      <c r="AJ77" s="343">
        <f t="shared" ref="AJ77:AR77" si="99">SUM(AJ73:AJ76)</f>
        <v>1194</v>
      </c>
      <c r="AK77" s="343">
        <f t="shared" si="99"/>
        <v>1561</v>
      </c>
      <c r="AL77" s="397">
        <f t="shared" si="99"/>
        <v>930</v>
      </c>
      <c r="AM77" s="297">
        <f t="shared" si="99"/>
        <v>4842</v>
      </c>
      <c r="AN77" s="396">
        <f t="shared" si="99"/>
        <v>994</v>
      </c>
      <c r="AO77" s="343">
        <f t="shared" si="99"/>
        <v>1065</v>
      </c>
      <c r="AP77" s="343">
        <f t="shared" si="99"/>
        <v>1496</v>
      </c>
      <c r="AQ77" s="397">
        <f t="shared" si="99"/>
        <v>905</v>
      </c>
      <c r="AR77" s="297">
        <f t="shared" si="99"/>
        <v>4460</v>
      </c>
      <c r="AS77" s="396">
        <f>SUM(AS73:AS76)</f>
        <v>992</v>
      </c>
      <c r="AT77" s="343">
        <f>SUM(AT73:AT76)</f>
        <v>1090</v>
      </c>
      <c r="AU77" s="343">
        <f>SUM(AU73:AU76)</f>
        <v>1334</v>
      </c>
      <c r="AV77" s="397">
        <f>SUM(AV73:AV76)</f>
        <v>948</v>
      </c>
      <c r="AW77" s="297">
        <f>SUM(AW73:AW76)</f>
        <v>4364</v>
      </c>
      <c r="AX77" s="396">
        <f>AX84*AX88/1000</f>
        <v>938.07688681055936</v>
      </c>
      <c r="AY77" s="343">
        <f>AY84*AY88/1000</f>
        <v>1029.3422077995399</v>
      </c>
      <c r="AZ77" s="343">
        <f>AZ84*AZ88/1000</f>
        <v>1309.7247935509099</v>
      </c>
      <c r="BA77" s="397">
        <f>BA84*BA88/1000</f>
        <v>898.22117708333326</v>
      </c>
      <c r="BB77" s="297">
        <f>SUM(AX77:BA77)</f>
        <v>4175.365065244343</v>
      </c>
      <c r="BC77" s="396">
        <f>BC84*BC88/1000</f>
        <v>1004.3143868105593</v>
      </c>
      <c r="BD77" s="343">
        <f>BD84*BD88/1000</f>
        <v>1095.5797077995398</v>
      </c>
      <c r="BE77" s="343">
        <f>BE84*BE88/1000</f>
        <v>1095.5797077995398</v>
      </c>
      <c r="BF77" s="397">
        <f>BF84*BF88/1000</f>
        <v>964.45867708333321</v>
      </c>
      <c r="BG77" s="297">
        <f>SUM(BC77:BF77)</f>
        <v>4159.9324794929726</v>
      </c>
      <c r="BH77" s="396">
        <f>BH84*BH88/1000</f>
        <v>1051.0768868105592</v>
      </c>
      <c r="BI77" s="343">
        <f>BI84*BI88/1000</f>
        <v>1142.3422077995399</v>
      </c>
      <c r="BJ77" s="343">
        <f>BJ84*BJ88/1000</f>
        <v>1142.3422077995399</v>
      </c>
      <c r="BK77" s="397">
        <f>BK84*BK88/1000</f>
        <v>1011.2211770833333</v>
      </c>
      <c r="BL77" s="297">
        <f>SUM(BH77:BK77)</f>
        <v>4346.9824794929718</v>
      </c>
      <c r="BM77" s="396">
        <f>BM84*BM88/1000</f>
        <v>1096.1893868105594</v>
      </c>
      <c r="BN77" s="343">
        <f>BN84*BN88/1000</f>
        <v>1187.4547077995398</v>
      </c>
      <c r="BO77" s="343">
        <f>BO84*BO88/1000</f>
        <v>1187.4547077995398</v>
      </c>
      <c r="BP77" s="397">
        <f>BP84*BP88/1000</f>
        <v>1056.3336770833332</v>
      </c>
      <c r="BQ77" s="297">
        <f>SUM(BM77:BP77)</f>
        <v>4527.4324794929726</v>
      </c>
      <c r="BR77" s="297"/>
      <c r="BS77" s="451"/>
      <c r="BT77" s="451"/>
      <c r="BU77" s="451"/>
      <c r="BV77" s="451"/>
      <c r="BW77" s="451"/>
      <c r="BX77" s="451"/>
      <c r="BY77" s="451"/>
      <c r="BZ77" s="451"/>
      <c r="CA77" s="451"/>
      <c r="CB77" s="451"/>
      <c r="CC77" s="451"/>
      <c r="CD77" s="451"/>
      <c r="CE77" s="451"/>
      <c r="CF77" s="451"/>
      <c r="CG77" s="451"/>
      <c r="CH77" s="451"/>
      <c r="CI77" s="451"/>
      <c r="CJ77" s="451"/>
      <c r="CK77" s="451"/>
      <c r="CL77" s="451"/>
      <c r="CM77" s="451"/>
      <c r="CN77" s="451"/>
      <c r="CO77" s="451"/>
      <c r="CP77" s="451"/>
      <c r="CQ77" s="451"/>
      <c r="CR77" s="451"/>
      <c r="CS77" s="451"/>
      <c r="CT77" s="451"/>
      <c r="CU77" s="451"/>
      <c r="CV77" s="451"/>
      <c r="CW77" s="451"/>
      <c r="CX77" s="451"/>
      <c r="CY77" s="451"/>
      <c r="CZ77" s="451"/>
      <c r="DA77" s="451"/>
    </row>
    <row r="78" spans="1:105">
      <c r="A78" s="451"/>
      <c r="B78" s="451"/>
      <c r="C78" s="297"/>
      <c r="D78" s="451"/>
      <c r="E78" s="396"/>
      <c r="F78" s="343"/>
      <c r="G78" s="343"/>
      <c r="H78" s="397"/>
      <c r="I78" s="297"/>
      <c r="J78" s="396"/>
      <c r="K78" s="343"/>
      <c r="L78" s="343"/>
      <c r="M78" s="397"/>
      <c r="N78" s="297"/>
      <c r="O78" s="396"/>
      <c r="P78" s="343"/>
      <c r="Q78" s="343"/>
      <c r="R78" s="397"/>
      <c r="S78" s="297"/>
      <c r="T78" s="396"/>
      <c r="U78" s="343"/>
      <c r="V78" s="343"/>
      <c r="W78" s="397"/>
      <c r="X78" s="297"/>
      <c r="Y78" s="396"/>
      <c r="Z78" s="343"/>
      <c r="AA78" s="343"/>
      <c r="AB78" s="397"/>
      <c r="AC78" s="297"/>
      <c r="AD78" s="396"/>
      <c r="AE78" s="343"/>
      <c r="AF78" s="343"/>
      <c r="AG78" s="397"/>
      <c r="AH78" s="297"/>
      <c r="AI78" s="396"/>
      <c r="AJ78" s="343"/>
      <c r="AK78" s="343"/>
      <c r="AL78" s="397"/>
      <c r="AM78" s="297"/>
      <c r="AN78" s="396"/>
      <c r="AO78" s="343"/>
      <c r="AP78" s="343"/>
      <c r="AQ78" s="397"/>
      <c r="AR78" s="297"/>
      <c r="AS78" s="396"/>
      <c r="AT78" s="343"/>
      <c r="AU78" s="343"/>
      <c r="AV78" s="397"/>
      <c r="AW78" s="297"/>
      <c r="AX78" s="396"/>
      <c r="AY78" s="343"/>
      <c r="AZ78" s="343"/>
      <c r="BA78" s="397"/>
      <c r="BB78" s="297"/>
      <c r="BC78" s="396"/>
      <c r="BD78" s="343"/>
      <c r="BE78" s="343"/>
      <c r="BF78" s="397"/>
      <c r="BG78" s="297"/>
      <c r="BH78" s="396"/>
      <c r="BI78" s="343"/>
      <c r="BJ78" s="343"/>
      <c r="BK78" s="397"/>
      <c r="BL78" s="297"/>
      <c r="BM78" s="396"/>
      <c r="BN78" s="343"/>
      <c r="BO78" s="343"/>
      <c r="BP78" s="397"/>
      <c r="BQ78" s="297"/>
      <c r="BR78" s="297"/>
      <c r="BS78" s="451"/>
      <c r="BT78" s="451"/>
      <c r="BU78" s="451"/>
      <c r="BV78" s="451"/>
      <c r="BW78" s="451"/>
      <c r="BX78" s="451"/>
      <c r="BY78" s="451"/>
      <c r="BZ78" s="451"/>
      <c r="CA78" s="451"/>
      <c r="CB78" s="451"/>
      <c r="CC78" s="451"/>
      <c r="CD78" s="451"/>
      <c r="CE78" s="451"/>
      <c r="CF78" s="451"/>
      <c r="CG78" s="451"/>
      <c r="CH78" s="451"/>
      <c r="CI78" s="451"/>
      <c r="CJ78" s="451"/>
      <c r="CK78" s="451"/>
      <c r="CL78" s="451"/>
      <c r="CM78" s="451"/>
      <c r="CN78" s="451"/>
      <c r="CO78" s="451"/>
      <c r="CP78" s="451"/>
      <c r="CQ78" s="451"/>
      <c r="CR78" s="451"/>
      <c r="CS78" s="451"/>
      <c r="CT78" s="451"/>
      <c r="CU78" s="451"/>
      <c r="CV78" s="451"/>
      <c r="CW78" s="451"/>
      <c r="CX78" s="451"/>
      <c r="CY78" s="451"/>
      <c r="CZ78" s="451"/>
      <c r="DA78" s="451"/>
    </row>
    <row r="79" spans="1:105">
      <c r="A79" s="451"/>
      <c r="B79" s="451"/>
      <c r="C79" s="49" t="s">
        <v>145</v>
      </c>
      <c r="D79" s="451"/>
      <c r="E79" s="396"/>
      <c r="F79" s="343"/>
      <c r="G79" s="343"/>
      <c r="H79" s="397"/>
      <c r="I79" s="297"/>
      <c r="J79" s="396"/>
      <c r="K79" s="343"/>
      <c r="L79" s="343"/>
      <c r="M79" s="397"/>
      <c r="N79" s="297"/>
      <c r="O79" s="396"/>
      <c r="P79" s="343"/>
      <c r="Q79" s="343"/>
      <c r="R79" s="397"/>
      <c r="S79" s="297"/>
      <c r="T79" s="396"/>
      <c r="U79" s="343"/>
      <c r="V79" s="343"/>
      <c r="W79" s="397"/>
      <c r="X79" s="297"/>
      <c r="Y79" s="396"/>
      <c r="Z79" s="343"/>
      <c r="AA79" s="343"/>
      <c r="AB79" s="397"/>
      <c r="AC79" s="297"/>
      <c r="AD79" s="396"/>
      <c r="AE79" s="343"/>
      <c r="AF79" s="343"/>
      <c r="AG79" s="397"/>
      <c r="AH79" s="297"/>
      <c r="AI79" s="396"/>
      <c r="AJ79" s="343"/>
      <c r="AK79" s="343"/>
      <c r="AL79" s="397"/>
      <c r="AM79" s="297"/>
      <c r="AN79" s="396"/>
      <c r="AO79" s="343"/>
      <c r="AP79" s="343"/>
      <c r="AQ79" s="397"/>
      <c r="AR79" s="297"/>
      <c r="AS79" s="396"/>
      <c r="AT79" s="343"/>
      <c r="AU79" s="343"/>
      <c r="AV79" s="397"/>
      <c r="AW79" s="297"/>
      <c r="AX79" s="396"/>
      <c r="AY79" s="343"/>
      <c r="AZ79" s="343"/>
      <c r="BA79" s="397"/>
      <c r="BB79" s="297"/>
      <c r="BC79" s="396"/>
      <c r="BD79" s="343"/>
      <c r="BE79" s="343"/>
      <c r="BF79" s="397"/>
      <c r="BG79" s="297"/>
      <c r="BH79" s="396"/>
      <c r="BI79" s="343"/>
      <c r="BJ79" s="343"/>
      <c r="BK79" s="397"/>
      <c r="BL79" s="297"/>
      <c r="BM79" s="396"/>
      <c r="BN79" s="343"/>
      <c r="BO79" s="343"/>
      <c r="BP79" s="397"/>
      <c r="BQ79" s="297"/>
      <c r="BR79" s="297"/>
      <c r="BS79" s="451"/>
      <c r="BT79" s="451"/>
      <c r="BU79" s="451"/>
      <c r="BV79" s="451"/>
      <c r="BW79" s="451"/>
      <c r="BX79" s="451"/>
      <c r="BY79" s="451"/>
      <c r="BZ79" s="451"/>
      <c r="CA79" s="451"/>
      <c r="CB79" s="451"/>
      <c r="CC79" s="451"/>
      <c r="CD79" s="451"/>
      <c r="CE79" s="451"/>
      <c r="CF79" s="451"/>
      <c r="CG79" s="451"/>
      <c r="CH79" s="451"/>
      <c r="CI79" s="451"/>
      <c r="CJ79" s="451"/>
      <c r="CK79" s="451"/>
      <c r="CL79" s="451"/>
      <c r="CM79" s="451"/>
      <c r="CN79" s="451"/>
      <c r="CO79" s="451"/>
      <c r="CP79" s="451"/>
      <c r="CQ79" s="451"/>
      <c r="CR79" s="451"/>
      <c r="CS79" s="451"/>
      <c r="CT79" s="451"/>
      <c r="CU79" s="451"/>
      <c r="CV79" s="451"/>
      <c r="CW79" s="451"/>
      <c r="CX79" s="451"/>
      <c r="CY79" s="451"/>
      <c r="CZ79" s="451"/>
      <c r="DA79" s="451"/>
    </row>
    <row r="80" spans="1:105">
      <c r="A80" s="451"/>
      <c r="B80" s="451"/>
      <c r="C80" s="451" t="s">
        <v>457</v>
      </c>
      <c r="D80" s="451"/>
      <c r="E80" s="817"/>
      <c r="F80" s="818"/>
      <c r="G80" s="818"/>
      <c r="H80" s="816"/>
      <c r="I80" s="819">
        <v>12992</v>
      </c>
      <c r="J80" s="817">
        <v>3167</v>
      </c>
      <c r="K80" s="818">
        <v>3364</v>
      </c>
      <c r="L80" s="818">
        <v>4769</v>
      </c>
      <c r="M80" s="474">
        <f>N80-SUM(J80:L80)</f>
        <v>2897</v>
      </c>
      <c r="N80" s="462">
        <v>14197</v>
      </c>
      <c r="O80" s="817">
        <v>3228</v>
      </c>
      <c r="P80" s="818">
        <v>3207</v>
      </c>
      <c r="Q80" s="818">
        <v>4683</v>
      </c>
      <c r="R80" s="474">
        <f>S80-SUM(O80:Q80)</f>
        <v>2685</v>
      </c>
      <c r="S80" s="462">
        <v>13803</v>
      </c>
      <c r="T80" s="817">
        <v>2990</v>
      </c>
      <c r="U80" s="818">
        <v>3052</v>
      </c>
      <c r="V80" s="818">
        <v>4640</v>
      </c>
      <c r="W80" s="474">
        <f>X80-SUM(T80:V80)</f>
        <v>2862</v>
      </c>
      <c r="X80" s="462">
        <v>13544</v>
      </c>
      <c r="Y80" s="506">
        <v>3130</v>
      </c>
      <c r="Z80" s="507">
        <v>3077</v>
      </c>
      <c r="AA80" s="507">
        <v>4320</v>
      </c>
      <c r="AB80" s="474">
        <f>AC80-SUM(Y80:AA80)</f>
        <v>2963</v>
      </c>
      <c r="AC80" s="462">
        <v>13490</v>
      </c>
      <c r="AD80" s="506">
        <v>3311</v>
      </c>
      <c r="AE80" s="507">
        <v>2887</v>
      </c>
      <c r="AF80" s="507">
        <v>4078</v>
      </c>
      <c r="AG80" s="474">
        <f>AH80-SUM(AD80:AF80)</f>
        <v>2805</v>
      </c>
      <c r="AH80" s="462">
        <v>13081</v>
      </c>
      <c r="AI80" s="506">
        <v>3347</v>
      </c>
      <c r="AJ80" s="507">
        <v>3076</v>
      </c>
      <c r="AK80" s="507">
        <v>4596</v>
      </c>
      <c r="AL80" s="474">
        <f>AM80-SUM(AI80:AK80)</f>
        <v>2656</v>
      </c>
      <c r="AM80" s="462">
        <v>13675</v>
      </c>
      <c r="AN80" s="506">
        <v>3001</v>
      </c>
      <c r="AO80" s="507">
        <v>2994</v>
      </c>
      <c r="AP80" s="507">
        <v>4924</v>
      </c>
      <c r="AQ80" s="474">
        <f>AR80-SUM(AN80:AP80)</f>
        <v>2787</v>
      </c>
      <c r="AR80" s="462">
        <v>13706</v>
      </c>
      <c r="AS80" s="506">
        <v>2998</v>
      </c>
      <c r="AT80" s="507">
        <v>2977</v>
      </c>
      <c r="AU80" s="507">
        <v>4239</v>
      </c>
      <c r="AV80" s="474">
        <f>AW80-SUM(AS80:AU80)</f>
        <v>2855</v>
      </c>
      <c r="AW80" s="462">
        <v>13069</v>
      </c>
      <c r="AX80" s="396"/>
      <c r="AY80" s="343"/>
      <c r="AZ80" s="343"/>
      <c r="BA80" s="397"/>
      <c r="BB80" s="297"/>
      <c r="BC80" s="396"/>
      <c r="BD80" s="343"/>
      <c r="BE80" s="343"/>
      <c r="BF80" s="397"/>
      <c r="BG80" s="297"/>
      <c r="BH80" s="396"/>
      <c r="BI80" s="343"/>
      <c r="BJ80" s="343"/>
      <c r="BK80" s="397"/>
      <c r="BL80" s="297"/>
      <c r="BM80" s="396"/>
      <c r="BN80" s="343"/>
      <c r="BO80" s="343"/>
      <c r="BP80" s="397"/>
      <c r="BQ80" s="297"/>
      <c r="BR80" s="297"/>
      <c r="BS80" s="451"/>
      <c r="BT80" s="451"/>
      <c r="BU80" s="451"/>
      <c r="BV80" s="451"/>
      <c r="BW80" s="451"/>
      <c r="BX80" s="451"/>
      <c r="BY80" s="451"/>
      <c r="BZ80" s="451"/>
      <c r="CA80" s="451"/>
      <c r="CB80" s="451"/>
      <c r="CC80" s="451"/>
      <c r="CD80" s="451"/>
      <c r="CE80" s="451"/>
      <c r="CF80" s="451"/>
      <c r="CG80" s="451"/>
      <c r="CH80" s="451"/>
      <c r="CI80" s="451"/>
      <c r="CJ80" s="451"/>
      <c r="CK80" s="451"/>
      <c r="CL80" s="451"/>
      <c r="CM80" s="451"/>
      <c r="CN80" s="451"/>
      <c r="CO80" s="451"/>
      <c r="CP80" s="451"/>
      <c r="CQ80" s="451"/>
      <c r="CR80" s="451"/>
      <c r="CS80" s="451"/>
      <c r="CT80" s="451"/>
      <c r="CU80" s="451"/>
      <c r="CV80" s="451"/>
      <c r="CW80" s="451"/>
      <c r="CX80" s="451"/>
      <c r="CY80" s="451"/>
      <c r="CZ80" s="451"/>
      <c r="DA80" s="451"/>
    </row>
    <row r="81" spans="1:105">
      <c r="A81" s="451"/>
      <c r="B81" s="451"/>
      <c r="C81" s="451" t="s">
        <v>142</v>
      </c>
      <c r="D81" s="451"/>
      <c r="E81" s="817"/>
      <c r="F81" s="818"/>
      <c r="G81" s="818"/>
      <c r="H81" s="816"/>
      <c r="I81" s="819">
        <v>28586</v>
      </c>
      <c r="J81" s="817">
        <v>6973</v>
      </c>
      <c r="K81" s="818">
        <v>7093</v>
      </c>
      <c r="L81" s="818">
        <v>8087</v>
      </c>
      <c r="M81" s="474">
        <f>N81-SUM(J81:L81)</f>
        <v>6918</v>
      </c>
      <c r="N81" s="462">
        <v>29071</v>
      </c>
      <c r="O81" s="817">
        <v>7007</v>
      </c>
      <c r="P81" s="818">
        <v>6987</v>
      </c>
      <c r="Q81" s="818">
        <v>7874</v>
      </c>
      <c r="R81" s="474">
        <f>S81-SUM(O81:Q81)</f>
        <v>6534</v>
      </c>
      <c r="S81" s="462">
        <v>28402</v>
      </c>
      <c r="T81" s="817">
        <v>6751</v>
      </c>
      <c r="U81" s="818">
        <v>6857</v>
      </c>
      <c r="V81" s="818">
        <v>7833</v>
      </c>
      <c r="W81" s="474">
        <f>X81-SUM(T81:V81)</f>
        <v>6318</v>
      </c>
      <c r="X81" s="462">
        <v>27759</v>
      </c>
      <c r="Y81" s="506">
        <v>6699</v>
      </c>
      <c r="Z81" s="507">
        <v>6578</v>
      </c>
      <c r="AA81" s="507">
        <v>7604</v>
      </c>
      <c r="AB81" s="474">
        <f>AC81-SUM(Y81:AA81)</f>
        <v>6576</v>
      </c>
      <c r="AC81" s="462">
        <v>27457</v>
      </c>
      <c r="AD81" s="506">
        <v>6876</v>
      </c>
      <c r="AE81" s="507">
        <v>6669</v>
      </c>
      <c r="AF81" s="507">
        <v>7380</v>
      </c>
      <c r="AG81" s="474">
        <f>AH81-SUM(AD81:AF81)</f>
        <v>6404</v>
      </c>
      <c r="AH81" s="462">
        <v>27329</v>
      </c>
      <c r="AI81" s="506">
        <v>6935</v>
      </c>
      <c r="AJ81" s="507">
        <v>6718</v>
      </c>
      <c r="AK81" s="507">
        <v>7678</v>
      </c>
      <c r="AL81" s="474">
        <f>AM81-SUM(AI81:AK81)</f>
        <v>6375</v>
      </c>
      <c r="AM81" s="462">
        <v>27706</v>
      </c>
      <c r="AN81" s="506">
        <v>6636</v>
      </c>
      <c r="AO81" s="507">
        <v>6591</v>
      </c>
      <c r="AP81" s="507">
        <v>7795</v>
      </c>
      <c r="AQ81" s="474">
        <f>AR81-SUM(AN81:AP81)</f>
        <v>6516</v>
      </c>
      <c r="AR81" s="462">
        <v>27538</v>
      </c>
      <c r="AS81" s="506">
        <v>6793</v>
      </c>
      <c r="AT81" s="507">
        <v>6536</v>
      </c>
      <c r="AU81" s="507">
        <v>7428</v>
      </c>
      <c r="AV81" s="474">
        <f>AW81-SUM(AS81:AU81)</f>
        <v>6587</v>
      </c>
      <c r="AW81" s="462">
        <v>27344</v>
      </c>
      <c r="AX81" s="396"/>
      <c r="AY81" s="343"/>
      <c r="AZ81" s="343"/>
      <c r="BA81" s="397"/>
      <c r="BB81" s="297"/>
      <c r="BC81" s="396"/>
      <c r="BD81" s="343"/>
      <c r="BE81" s="343"/>
      <c r="BF81" s="397"/>
      <c r="BG81" s="297"/>
      <c r="BH81" s="396"/>
      <c r="BI81" s="343"/>
      <c r="BJ81" s="343"/>
      <c r="BK81" s="397"/>
      <c r="BL81" s="297"/>
      <c r="BM81" s="396"/>
      <c r="BN81" s="343"/>
      <c r="BO81" s="343"/>
      <c r="BP81" s="397"/>
      <c r="BQ81" s="297"/>
      <c r="BR81" s="297"/>
      <c r="BS81" s="451"/>
      <c r="BT81" s="451"/>
      <c r="BU81" s="451"/>
      <c r="BV81" s="451"/>
      <c r="BW81" s="451"/>
      <c r="BX81" s="451"/>
      <c r="BY81" s="451"/>
      <c r="BZ81" s="451"/>
      <c r="CA81" s="451"/>
      <c r="CB81" s="451"/>
      <c r="CC81" s="451"/>
      <c r="CD81" s="451"/>
      <c r="CE81" s="451"/>
      <c r="CF81" s="451"/>
      <c r="CG81" s="451"/>
      <c r="CH81" s="451"/>
      <c r="CI81" s="451"/>
      <c r="CJ81" s="451"/>
      <c r="CK81" s="451"/>
      <c r="CL81" s="451"/>
      <c r="CM81" s="451"/>
      <c r="CN81" s="451"/>
      <c r="CO81" s="451"/>
      <c r="CP81" s="451"/>
      <c r="CQ81" s="451"/>
      <c r="CR81" s="451"/>
      <c r="CS81" s="451"/>
      <c r="CT81" s="451"/>
      <c r="CU81" s="451"/>
      <c r="CV81" s="451"/>
      <c r="CW81" s="451"/>
      <c r="CX81" s="451"/>
      <c r="CY81" s="451"/>
      <c r="CZ81" s="451"/>
      <c r="DA81" s="451"/>
    </row>
    <row r="82" spans="1:105">
      <c r="A82" s="451"/>
      <c r="B82" s="451"/>
      <c r="C82" s="451" t="s">
        <v>143</v>
      </c>
      <c r="D82" s="451"/>
      <c r="E82" s="817"/>
      <c r="F82" s="818"/>
      <c r="G82" s="818"/>
      <c r="H82" s="816"/>
      <c r="I82" s="819">
        <v>383</v>
      </c>
      <c r="J82" s="817">
        <v>103</v>
      </c>
      <c r="K82" s="818">
        <v>82</v>
      </c>
      <c r="L82" s="818">
        <v>82</v>
      </c>
      <c r="M82" s="474">
        <f>N82-SUM(J82:L82)</f>
        <v>110</v>
      </c>
      <c r="N82" s="462">
        <v>377</v>
      </c>
      <c r="O82" s="817">
        <v>103</v>
      </c>
      <c r="P82" s="818">
        <v>76</v>
      </c>
      <c r="Q82" s="818">
        <v>61</v>
      </c>
      <c r="R82" s="474">
        <f>S82-SUM(O82:Q82)</f>
        <v>61</v>
      </c>
      <c r="S82" s="462">
        <v>301</v>
      </c>
      <c r="T82" s="817">
        <v>90</v>
      </c>
      <c r="U82" s="818">
        <v>67</v>
      </c>
      <c r="V82" s="818">
        <v>73</v>
      </c>
      <c r="W82" s="474">
        <f>X82-SUM(T82:V82)</f>
        <v>99</v>
      </c>
      <c r="X82" s="462">
        <v>329</v>
      </c>
      <c r="Y82" s="506">
        <v>91</v>
      </c>
      <c r="Z82" s="507">
        <v>67</v>
      </c>
      <c r="AA82" s="507">
        <v>73</v>
      </c>
      <c r="AB82" s="474">
        <f>AC82-SUM(Y82:AA82)</f>
        <v>99</v>
      </c>
      <c r="AC82" s="462">
        <v>330</v>
      </c>
      <c r="AD82" s="506">
        <v>91</v>
      </c>
      <c r="AE82" s="507">
        <v>70</v>
      </c>
      <c r="AF82" s="507">
        <v>71</v>
      </c>
      <c r="AG82" s="474">
        <f>AH82-SUM(AD82:AF82)</f>
        <v>95</v>
      </c>
      <c r="AH82" s="462">
        <v>327</v>
      </c>
      <c r="AI82" s="506">
        <v>96</v>
      </c>
      <c r="AJ82" s="507">
        <v>69</v>
      </c>
      <c r="AK82" s="507">
        <v>69</v>
      </c>
      <c r="AL82" s="474">
        <f>AM82-SUM(AI82:AK82)</f>
        <v>100</v>
      </c>
      <c r="AM82" s="462">
        <v>334</v>
      </c>
      <c r="AN82" s="506">
        <v>92</v>
      </c>
      <c r="AO82" s="507">
        <v>75</v>
      </c>
      <c r="AP82" s="507">
        <v>70</v>
      </c>
      <c r="AQ82" s="474">
        <f>AR82-SUM(AN82:AP82)</f>
        <v>99</v>
      </c>
      <c r="AR82" s="462">
        <v>336</v>
      </c>
      <c r="AS82" s="506">
        <v>96</v>
      </c>
      <c r="AT82" s="507">
        <v>68</v>
      </c>
      <c r="AU82" s="507">
        <v>66</v>
      </c>
      <c r="AV82" s="474">
        <f>AW82-SUM(AS82:AU82)</f>
        <v>97</v>
      </c>
      <c r="AW82" s="462">
        <v>327</v>
      </c>
      <c r="AX82" s="396"/>
      <c r="AY82" s="343"/>
      <c r="AZ82" s="343"/>
      <c r="BA82" s="397"/>
      <c r="BB82" s="297"/>
      <c r="BC82" s="396"/>
      <c r="BD82" s="343"/>
      <c r="BE82" s="343"/>
      <c r="BF82" s="397"/>
      <c r="BG82" s="297"/>
      <c r="BH82" s="396"/>
      <c r="BI82" s="343"/>
      <c r="BJ82" s="343"/>
      <c r="BK82" s="397"/>
      <c r="BL82" s="297"/>
      <c r="BM82" s="396"/>
      <c r="BN82" s="343"/>
      <c r="BO82" s="343"/>
      <c r="BP82" s="397"/>
      <c r="BQ82" s="297"/>
      <c r="BR82" s="297"/>
      <c r="BS82" s="451"/>
      <c r="BT82" s="451"/>
      <c r="BU82" s="451"/>
      <c r="BV82" s="451"/>
      <c r="BW82" s="451"/>
      <c r="BX82" s="451"/>
      <c r="BY82" s="451"/>
      <c r="BZ82" s="451"/>
      <c r="CA82" s="451"/>
      <c r="CB82" s="451"/>
      <c r="CC82" s="451"/>
      <c r="CD82" s="451"/>
      <c r="CE82" s="451"/>
      <c r="CF82" s="451"/>
      <c r="CG82" s="451"/>
      <c r="CH82" s="451"/>
      <c r="CI82" s="451"/>
      <c r="CJ82" s="451"/>
      <c r="CK82" s="451"/>
      <c r="CL82" s="451"/>
      <c r="CM82" s="451"/>
      <c r="CN82" s="451"/>
      <c r="CO82" s="451"/>
      <c r="CP82" s="451"/>
      <c r="CQ82" s="451"/>
      <c r="CR82" s="451"/>
      <c r="CS82" s="451"/>
      <c r="CT82" s="451"/>
      <c r="CU82" s="451"/>
      <c r="CV82" s="451"/>
      <c r="CW82" s="451"/>
      <c r="CX82" s="451"/>
      <c r="CY82" s="451"/>
      <c r="CZ82" s="451"/>
      <c r="DA82" s="451"/>
    </row>
    <row r="83" spans="1:105">
      <c r="A83" s="451"/>
      <c r="B83" s="451"/>
      <c r="C83" s="451" t="s">
        <v>71</v>
      </c>
      <c r="D83" s="451"/>
      <c r="E83" s="817"/>
      <c r="F83" s="818"/>
      <c r="G83" s="818"/>
      <c r="H83" s="816"/>
      <c r="I83" s="819">
        <v>10</v>
      </c>
      <c r="J83" s="817">
        <v>3</v>
      </c>
      <c r="K83" s="818">
        <v>2</v>
      </c>
      <c r="L83" s="818">
        <v>3</v>
      </c>
      <c r="M83" s="474">
        <f>N83-SUM(J83:L83)</f>
        <v>2</v>
      </c>
      <c r="N83" s="462">
        <v>10</v>
      </c>
      <c r="O83" s="817">
        <v>3</v>
      </c>
      <c r="P83" s="818">
        <v>2</v>
      </c>
      <c r="Q83" s="818">
        <v>3</v>
      </c>
      <c r="R83" s="474">
        <f>S83-SUM(O83:Q83)</f>
        <v>2</v>
      </c>
      <c r="S83" s="462">
        <v>10</v>
      </c>
      <c r="T83" s="817">
        <v>3</v>
      </c>
      <c r="U83" s="818">
        <v>2</v>
      </c>
      <c r="V83" s="818">
        <v>3</v>
      </c>
      <c r="W83" s="474">
        <f>X83-SUM(T83:V83)</f>
        <v>1</v>
      </c>
      <c r="X83" s="462">
        <v>9</v>
      </c>
      <c r="Y83" s="506">
        <v>3</v>
      </c>
      <c r="Z83" s="507">
        <v>2</v>
      </c>
      <c r="AA83" s="507">
        <v>3</v>
      </c>
      <c r="AB83" s="474">
        <f>AC83-SUM(Y83:AA83)</f>
        <v>1</v>
      </c>
      <c r="AC83" s="462">
        <v>9</v>
      </c>
      <c r="AD83" s="506">
        <v>3</v>
      </c>
      <c r="AE83" s="507">
        <v>2</v>
      </c>
      <c r="AF83" s="507">
        <v>2</v>
      </c>
      <c r="AG83" s="474">
        <f>AH83-SUM(AD83:AF83)</f>
        <v>3</v>
      </c>
      <c r="AH83" s="462">
        <v>10</v>
      </c>
      <c r="AI83" s="506">
        <v>3</v>
      </c>
      <c r="AJ83" s="507">
        <v>2</v>
      </c>
      <c r="AK83" s="507">
        <v>3</v>
      </c>
      <c r="AL83" s="474">
        <f>AM83-SUM(AI83:AK83)</f>
        <v>2</v>
      </c>
      <c r="AM83" s="462">
        <v>10</v>
      </c>
      <c r="AN83" s="506">
        <v>3</v>
      </c>
      <c r="AO83" s="507">
        <v>2</v>
      </c>
      <c r="AP83" s="507">
        <v>3</v>
      </c>
      <c r="AQ83" s="474">
        <f>AR83-SUM(AN83:AP83)</f>
        <v>2</v>
      </c>
      <c r="AR83" s="462">
        <v>10</v>
      </c>
      <c r="AS83" s="506">
        <v>2</v>
      </c>
      <c r="AT83" s="507">
        <v>2</v>
      </c>
      <c r="AU83" s="507">
        <v>2</v>
      </c>
      <c r="AV83" s="474">
        <f>AW83-SUM(AS83:AU83)</f>
        <v>3</v>
      </c>
      <c r="AW83" s="462">
        <v>9</v>
      </c>
      <c r="AX83" s="396"/>
      <c r="AY83" s="343"/>
      <c r="AZ83" s="343"/>
      <c r="BA83" s="397"/>
      <c r="BB83" s="297"/>
      <c r="BC83" s="396"/>
      <c r="BD83" s="343"/>
      <c r="BE83" s="343"/>
      <c r="BF83" s="397"/>
      <c r="BG83" s="297"/>
      <c r="BH83" s="396"/>
      <c r="BI83" s="343"/>
      <c r="BJ83" s="343"/>
      <c r="BK83" s="397"/>
      <c r="BL83" s="297"/>
      <c r="BM83" s="396"/>
      <c r="BN83" s="343"/>
      <c r="BO83" s="343"/>
      <c r="BP83" s="397"/>
      <c r="BQ83" s="297"/>
      <c r="BR83" s="297"/>
      <c r="BS83" s="451"/>
      <c r="BT83" s="451"/>
      <c r="BU83" s="451"/>
      <c r="BV83" s="451"/>
      <c r="BW83" s="451"/>
      <c r="BX83" s="451"/>
      <c r="BY83" s="451"/>
      <c r="BZ83" s="451"/>
      <c r="CA83" s="451"/>
      <c r="CB83" s="451"/>
      <c r="CC83" s="451"/>
      <c r="CD83" s="451"/>
      <c r="CE83" s="451"/>
      <c r="CF83" s="451"/>
      <c r="CG83" s="451"/>
      <c r="CH83" s="451"/>
      <c r="CI83" s="451"/>
      <c r="CJ83" s="451"/>
      <c r="CK83" s="451"/>
      <c r="CL83" s="451"/>
      <c r="CM83" s="451"/>
      <c r="CN83" s="451"/>
      <c r="CO83" s="451"/>
      <c r="CP83" s="451"/>
      <c r="CQ83" s="451"/>
      <c r="CR83" s="451"/>
      <c r="CS83" s="451"/>
      <c r="CT83" s="451"/>
      <c r="CU83" s="451"/>
      <c r="CV83" s="451"/>
      <c r="CW83" s="451"/>
      <c r="CX83" s="451"/>
      <c r="CY83" s="451"/>
      <c r="CZ83" s="451"/>
      <c r="DA83" s="451"/>
    </row>
    <row r="84" spans="1:105">
      <c r="A84" s="297"/>
      <c r="B84" s="297"/>
      <c r="C84" s="49" t="s">
        <v>146</v>
      </c>
      <c r="D84" s="297"/>
      <c r="E84" s="396"/>
      <c r="F84" s="343"/>
      <c r="G84" s="343"/>
      <c r="H84" s="397"/>
      <c r="I84" s="297">
        <f t="shared" ref="I84:V84" si="100">+SUM(I80:I83)</f>
        <v>41971</v>
      </c>
      <c r="J84" s="396">
        <f t="shared" si="100"/>
        <v>10246</v>
      </c>
      <c r="K84" s="343">
        <f t="shared" si="100"/>
        <v>10541</v>
      </c>
      <c r="L84" s="343">
        <f t="shared" si="100"/>
        <v>12941</v>
      </c>
      <c r="M84" s="397">
        <f t="shared" si="100"/>
        <v>9927</v>
      </c>
      <c r="N84" s="297">
        <f t="shared" si="100"/>
        <v>43655</v>
      </c>
      <c r="O84" s="396">
        <f t="shared" si="100"/>
        <v>10341</v>
      </c>
      <c r="P84" s="343">
        <f t="shared" si="100"/>
        <v>10272</v>
      </c>
      <c r="Q84" s="343">
        <f t="shared" si="100"/>
        <v>12621</v>
      </c>
      <c r="R84" s="397">
        <f t="shared" si="100"/>
        <v>9282</v>
      </c>
      <c r="S84" s="297">
        <f t="shared" si="100"/>
        <v>42516</v>
      </c>
      <c r="T84" s="396">
        <f t="shared" si="100"/>
        <v>9834</v>
      </c>
      <c r="U84" s="343">
        <f t="shared" si="100"/>
        <v>9978</v>
      </c>
      <c r="V84" s="343">
        <f t="shared" si="100"/>
        <v>12549</v>
      </c>
      <c r="W84" s="397">
        <f>+SUM(W80:W83)</f>
        <v>9280</v>
      </c>
      <c r="X84" s="297">
        <f t="shared" ref="X84:AC84" si="101">+SUM(X80:X83)</f>
        <v>41641</v>
      </c>
      <c r="Y84" s="396">
        <f t="shared" si="101"/>
        <v>9923</v>
      </c>
      <c r="Z84" s="343">
        <f t="shared" si="101"/>
        <v>9724</v>
      </c>
      <c r="AA84" s="343">
        <f t="shared" si="101"/>
        <v>12000</v>
      </c>
      <c r="AB84" s="397">
        <f t="shared" si="101"/>
        <v>9639</v>
      </c>
      <c r="AC84" s="297">
        <f t="shared" si="101"/>
        <v>41286</v>
      </c>
      <c r="AD84" s="396">
        <f t="shared" ref="AD84:AI84" si="102">+SUM(AD80:AD83)</f>
        <v>10281</v>
      </c>
      <c r="AE84" s="343">
        <f t="shared" si="102"/>
        <v>9628</v>
      </c>
      <c r="AF84" s="343">
        <f t="shared" si="102"/>
        <v>11531</v>
      </c>
      <c r="AG84" s="397">
        <f t="shared" si="102"/>
        <v>9307</v>
      </c>
      <c r="AH84" s="297">
        <f t="shared" si="102"/>
        <v>40747</v>
      </c>
      <c r="AI84" s="396">
        <f t="shared" si="102"/>
        <v>10381</v>
      </c>
      <c r="AJ84" s="343">
        <f t="shared" ref="AJ84:AP84" si="103">+SUM(AJ80:AJ83)</f>
        <v>9865</v>
      </c>
      <c r="AK84" s="343">
        <f t="shared" si="103"/>
        <v>12346</v>
      </c>
      <c r="AL84" s="397">
        <f t="shared" si="103"/>
        <v>9133</v>
      </c>
      <c r="AM84" s="297">
        <f t="shared" si="103"/>
        <v>41725</v>
      </c>
      <c r="AN84" s="396">
        <f t="shared" si="103"/>
        <v>9732</v>
      </c>
      <c r="AO84" s="343">
        <f t="shared" si="103"/>
        <v>9662</v>
      </c>
      <c r="AP84" s="343">
        <f t="shared" si="103"/>
        <v>12792</v>
      </c>
      <c r="AQ84" s="397">
        <f t="shared" ref="AQ84:AW84" si="104">+SUM(AQ80:AQ83)</f>
        <v>9404</v>
      </c>
      <c r="AR84" s="297">
        <f t="shared" si="104"/>
        <v>41590</v>
      </c>
      <c r="AS84" s="396">
        <f t="shared" si="104"/>
        <v>9889</v>
      </c>
      <c r="AT84" s="343">
        <f t="shared" si="104"/>
        <v>9583</v>
      </c>
      <c r="AU84" s="343">
        <f t="shared" si="104"/>
        <v>11735</v>
      </c>
      <c r="AV84" s="397">
        <f t="shared" si="104"/>
        <v>9542</v>
      </c>
      <c r="AW84" s="297">
        <f t="shared" si="104"/>
        <v>40749</v>
      </c>
      <c r="AX84" s="396">
        <f>AS84*(1+AX49)</f>
        <v>9960.253731343284</v>
      </c>
      <c r="AY84" s="343">
        <f>AT84*(1+AY49)</f>
        <v>9527.2869939022075</v>
      </c>
      <c r="AZ84" s="343">
        <f>AU84*(1+AZ49)</f>
        <v>11890.19837883959</v>
      </c>
      <c r="BA84" s="397">
        <f>AV84*(1+BA49)</f>
        <v>9580.1679999999997</v>
      </c>
      <c r="BB84" s="297">
        <f>SUM(AX84:BA84)</f>
        <v>40957.907104085076</v>
      </c>
      <c r="BC84" s="396">
        <f>AX84*(1+BC49)</f>
        <v>9960.253731343284</v>
      </c>
      <c r="BD84" s="343">
        <f>AY84*(1+BD49)</f>
        <v>9527.2869939022075</v>
      </c>
      <c r="BE84" s="343">
        <f>AY84*(1+BE49)</f>
        <v>9527.2869939022075</v>
      </c>
      <c r="BF84" s="397">
        <f>BA84*(1+BF49)</f>
        <v>9580.1679999999997</v>
      </c>
      <c r="BG84" s="297">
        <f>SUM(BC84:BF84)</f>
        <v>38594.995719147693</v>
      </c>
      <c r="BH84" s="396">
        <f>BC84*(1+BH49)</f>
        <v>9960.253731343284</v>
      </c>
      <c r="BI84" s="343">
        <f>BD84*(1+BI49)</f>
        <v>9527.2869939022075</v>
      </c>
      <c r="BJ84" s="343">
        <f>BE84*(1+BJ49)</f>
        <v>9527.2869939022075</v>
      </c>
      <c r="BK84" s="397">
        <f>BF84*(1+BK49)</f>
        <v>9580.1679999999997</v>
      </c>
      <c r="BL84" s="297">
        <f>SUM(BH84:BK84)</f>
        <v>38594.995719147693</v>
      </c>
      <c r="BM84" s="396">
        <f>BH84*(1+BM49)</f>
        <v>9960.253731343284</v>
      </c>
      <c r="BN84" s="343">
        <f>BI84*(1+BN49)</f>
        <v>9527.2869939022075</v>
      </c>
      <c r="BO84" s="343">
        <f>BJ84*(1+BO49)</f>
        <v>9527.2869939022075</v>
      </c>
      <c r="BP84" s="397">
        <f>BK84*(1+BP49)</f>
        <v>9580.1679999999997</v>
      </c>
      <c r="BQ84" s="297">
        <f>SUM(BM84:BP84)</f>
        <v>38594.995719147693</v>
      </c>
      <c r="BR84" s="297"/>
      <c r="BS84" s="297"/>
      <c r="BT84" s="297"/>
      <c r="BU84" s="297"/>
      <c r="BV84" s="297"/>
      <c r="BW84" s="297"/>
      <c r="BX84" s="297"/>
      <c r="BY84" s="297"/>
      <c r="BZ84" s="297"/>
      <c r="CA84" s="297"/>
      <c r="CB84" s="297"/>
      <c r="CC84" s="297"/>
      <c r="CD84" s="297"/>
      <c r="CE84" s="297"/>
      <c r="CF84" s="297"/>
      <c r="CG84" s="297"/>
      <c r="CH84" s="297"/>
      <c r="CI84" s="297"/>
      <c r="CJ84" s="297"/>
      <c r="CK84" s="297"/>
      <c r="CL84" s="297"/>
      <c r="CM84" s="297"/>
      <c r="CN84" s="297"/>
      <c r="CO84" s="297"/>
      <c r="CP84" s="297"/>
      <c r="CQ84" s="297"/>
      <c r="CR84" s="297"/>
      <c r="CS84" s="297"/>
      <c r="CT84" s="297"/>
      <c r="CU84" s="297"/>
      <c r="CV84" s="297"/>
      <c r="CW84" s="297"/>
      <c r="CX84" s="297"/>
      <c r="CY84" s="297"/>
      <c r="CZ84" s="297"/>
      <c r="DA84" s="297"/>
    </row>
    <row r="85" spans="1:105">
      <c r="A85" s="451"/>
      <c r="B85" s="451"/>
      <c r="C85" s="77"/>
      <c r="D85" s="451"/>
      <c r="E85" s="396"/>
      <c r="F85" s="343"/>
      <c r="G85" s="343"/>
      <c r="H85" s="397"/>
      <c r="I85" s="297"/>
      <c r="J85" s="396"/>
      <c r="K85" s="343"/>
      <c r="L85" s="343"/>
      <c r="M85" s="397"/>
      <c r="N85" s="297"/>
      <c r="O85" s="396"/>
      <c r="P85" s="343"/>
      <c r="Q85" s="343"/>
      <c r="R85" s="397"/>
      <c r="S85" s="297"/>
      <c r="T85" s="396"/>
      <c r="U85" s="343"/>
      <c r="V85" s="343"/>
      <c r="W85" s="397"/>
      <c r="X85" s="297"/>
      <c r="Y85" s="396"/>
      <c r="Z85" s="343"/>
      <c r="AA85" s="343"/>
      <c r="AB85" s="397"/>
      <c r="AC85" s="297"/>
      <c r="AD85" s="396"/>
      <c r="AE85" s="343"/>
      <c r="AF85" s="343"/>
      <c r="AG85" s="397"/>
      <c r="AH85" s="297"/>
      <c r="AI85" s="396"/>
      <c r="AJ85" s="343"/>
      <c r="AK85" s="343"/>
      <c r="AL85" s="397"/>
      <c r="AM85" s="297"/>
      <c r="AN85" s="396"/>
      <c r="AO85" s="343"/>
      <c r="AP85" s="343"/>
      <c r="AQ85" s="397"/>
      <c r="AR85" s="297"/>
      <c r="AS85" s="396"/>
      <c r="AT85" s="343"/>
      <c r="AU85" s="343"/>
      <c r="AV85" s="397"/>
      <c r="AW85" s="297"/>
      <c r="AX85" s="396"/>
      <c r="AY85" s="343"/>
      <c r="AZ85" s="343"/>
      <c r="BA85" s="397"/>
      <c r="BB85" s="297"/>
      <c r="BC85" s="396"/>
      <c r="BD85" s="343"/>
      <c r="BE85" s="343"/>
      <c r="BF85" s="397"/>
      <c r="BG85" s="297"/>
      <c r="BH85" s="396"/>
      <c r="BI85" s="343"/>
      <c r="BJ85" s="343"/>
      <c r="BK85" s="397"/>
      <c r="BL85" s="297"/>
      <c r="BM85" s="396"/>
      <c r="BN85" s="343"/>
      <c r="BO85" s="343"/>
      <c r="BP85" s="397"/>
      <c r="BQ85" s="297"/>
      <c r="BR85" s="297"/>
      <c r="BS85" s="451"/>
      <c r="BT85" s="451"/>
      <c r="BU85" s="451"/>
      <c r="BV85" s="451"/>
      <c r="BW85" s="451"/>
      <c r="BX85" s="451"/>
      <c r="BY85" s="451"/>
      <c r="BZ85" s="451"/>
      <c r="CA85" s="451"/>
      <c r="CB85" s="451"/>
      <c r="CC85" s="451"/>
      <c r="CD85" s="451"/>
      <c r="CE85" s="451"/>
      <c r="CF85" s="451"/>
      <c r="CG85" s="451"/>
      <c r="CH85" s="451"/>
      <c r="CI85" s="451"/>
      <c r="CJ85" s="451"/>
      <c r="CK85" s="451"/>
      <c r="CL85" s="451"/>
      <c r="CM85" s="451"/>
      <c r="CN85" s="451"/>
      <c r="CO85" s="451"/>
      <c r="CP85" s="451"/>
      <c r="CQ85" s="451"/>
      <c r="CR85" s="451"/>
      <c r="CS85" s="451"/>
      <c r="CT85" s="451"/>
      <c r="CU85" s="451"/>
      <c r="CV85" s="451"/>
      <c r="CW85" s="451"/>
      <c r="CX85" s="451"/>
      <c r="CY85" s="451"/>
      <c r="CZ85" s="451"/>
      <c r="DA85" s="451"/>
    </row>
    <row r="86" spans="1:105">
      <c r="A86" s="37"/>
      <c r="B86" s="37"/>
      <c r="C86" s="37" t="s">
        <v>147</v>
      </c>
      <c r="D86" s="37"/>
      <c r="E86" s="571"/>
      <c r="F86" s="318"/>
      <c r="G86" s="318"/>
      <c r="H86" s="572"/>
      <c r="I86" s="30"/>
      <c r="J86" s="386"/>
      <c r="K86" s="316"/>
      <c r="L86" s="316"/>
      <c r="M86" s="387"/>
      <c r="N86" s="32">
        <f t="shared" ref="N86:V86" si="105">N84/I84-1</f>
        <v>4.0122942031402653E-2</v>
      </c>
      <c r="O86" s="386">
        <f t="shared" si="105"/>
        <v>9.2719109896544083E-3</v>
      </c>
      <c r="P86" s="316">
        <f t="shared" si="105"/>
        <v>-2.5519400436391226E-2</v>
      </c>
      <c r="Q86" s="316">
        <f t="shared" si="105"/>
        <v>-2.4727609921953442E-2</v>
      </c>
      <c r="R86" s="387">
        <f t="shared" si="105"/>
        <v>-6.4974312481112073E-2</v>
      </c>
      <c r="S86" s="32">
        <f t="shared" si="105"/>
        <v>-2.6090940327568424E-2</v>
      </c>
      <c r="T86" s="386">
        <f t="shared" si="105"/>
        <v>-4.902814041195247E-2</v>
      </c>
      <c r="U86" s="316">
        <f t="shared" si="105"/>
        <v>-2.8621495327102786E-2</v>
      </c>
      <c r="V86" s="316">
        <f t="shared" si="105"/>
        <v>-5.7047777513667963E-3</v>
      </c>
      <c r="W86" s="387">
        <f>W84/R84-1</f>
        <v>-2.1547080370609706E-4</v>
      </c>
      <c r="X86" s="32">
        <f t="shared" ref="X86:AC86" si="106">X84/S84-1</f>
        <v>-2.0580487345940313E-2</v>
      </c>
      <c r="Y86" s="386">
        <f t="shared" si="106"/>
        <v>9.0502338824487438E-3</v>
      </c>
      <c r="Z86" s="316">
        <f t="shared" si="106"/>
        <v>-2.5456003207055544E-2</v>
      </c>
      <c r="AA86" s="316">
        <f t="shared" si="106"/>
        <v>-4.3748505857040376E-2</v>
      </c>
      <c r="AB86" s="387">
        <f t="shared" si="106"/>
        <v>3.8685344827586121E-2</v>
      </c>
      <c r="AC86" s="32">
        <f t="shared" si="106"/>
        <v>-8.5252515549578689E-3</v>
      </c>
      <c r="AD86" s="386">
        <f t="shared" ref="AD86:AI86" si="107">AD84/Y84-1</f>
        <v>3.6077799052705917E-2</v>
      </c>
      <c r="AE86" s="316">
        <f t="shared" si="107"/>
        <v>-9.8724804607157601E-3</v>
      </c>
      <c r="AF86" s="316">
        <f t="shared" si="107"/>
        <v>-3.9083333333333359E-2</v>
      </c>
      <c r="AG86" s="387">
        <f t="shared" si="107"/>
        <v>-3.4443406992426651E-2</v>
      </c>
      <c r="AH86" s="32">
        <f t="shared" si="107"/>
        <v>-1.305527297388942E-2</v>
      </c>
      <c r="AI86" s="386">
        <f t="shared" si="107"/>
        <v>9.7266802840190181E-3</v>
      </c>
      <c r="AJ86" s="316">
        <f t="shared" ref="AJ86:AP86" si="108">AJ84/AE84-1</f>
        <v>2.4615704196094823E-2</v>
      </c>
      <c r="AK86" s="316">
        <f t="shared" si="108"/>
        <v>7.0679039111959163E-2</v>
      </c>
      <c r="AL86" s="387">
        <f t="shared" si="108"/>
        <v>-1.8695605458257214E-2</v>
      </c>
      <c r="AM86" s="32">
        <f t="shared" si="108"/>
        <v>2.4001767001251562E-2</v>
      </c>
      <c r="AN86" s="386">
        <f t="shared" si="108"/>
        <v>-6.251806184375297E-2</v>
      </c>
      <c r="AO86" s="316">
        <f t="shared" si="108"/>
        <v>-2.0577800304105387E-2</v>
      </c>
      <c r="AP86" s="316">
        <f t="shared" si="108"/>
        <v>3.6125060748420479E-2</v>
      </c>
      <c r="AQ86" s="387">
        <f t="shared" ref="AQ86:AY86" si="109">AQ84/AL84-1</f>
        <v>2.967261578889735E-2</v>
      </c>
      <c r="AR86" s="32">
        <f t="shared" si="109"/>
        <v>-3.2354703415218289E-3</v>
      </c>
      <c r="AS86" s="386">
        <f t="shared" si="109"/>
        <v>1.6132346896835292E-2</v>
      </c>
      <c r="AT86" s="316">
        <f t="shared" si="109"/>
        <v>-8.1763610018629196E-3</v>
      </c>
      <c r="AU86" s="316">
        <f t="shared" si="109"/>
        <v>-8.2629768605378406E-2</v>
      </c>
      <c r="AV86" s="387">
        <f t="shared" si="109"/>
        <v>1.4674606550403979E-2</v>
      </c>
      <c r="AW86" s="32">
        <f t="shared" si="109"/>
        <v>-2.0221207020918452E-2</v>
      </c>
      <c r="AX86" s="386">
        <f t="shared" si="109"/>
        <v>7.2053525476067914E-3</v>
      </c>
      <c r="AY86" s="316">
        <f t="shared" si="109"/>
        <v>-5.8137332878840375E-3</v>
      </c>
      <c r="AZ86" s="316">
        <f>AZ84/AU84-1</f>
        <v>1.3225255972696193E-2</v>
      </c>
      <c r="BA86" s="387">
        <f>BA84/AV84-1</f>
        <v>4.0000000000000036E-3</v>
      </c>
      <c r="BB86" s="32">
        <f>BB84/AW84-1</f>
        <v>5.1266805095848689E-3</v>
      </c>
      <c r="BC86" s="386">
        <f t="shared" ref="BC86:BL86" si="110">BC84/AX84-1</f>
        <v>0</v>
      </c>
      <c r="BD86" s="316">
        <f t="shared" si="110"/>
        <v>0</v>
      </c>
      <c r="BE86" s="316">
        <f>BE84/AY84-1</f>
        <v>0</v>
      </c>
      <c r="BF86" s="387">
        <f t="shared" si="110"/>
        <v>0</v>
      </c>
      <c r="BG86" s="32">
        <f t="shared" si="110"/>
        <v>-5.7691214029383597E-2</v>
      </c>
      <c r="BH86" s="386">
        <f t="shared" si="110"/>
        <v>0</v>
      </c>
      <c r="BI86" s="316">
        <f t="shared" si="110"/>
        <v>0</v>
      </c>
      <c r="BJ86" s="316">
        <f t="shared" si="110"/>
        <v>0</v>
      </c>
      <c r="BK86" s="387">
        <f t="shared" si="110"/>
        <v>0</v>
      </c>
      <c r="BL86" s="32">
        <f t="shared" si="110"/>
        <v>0</v>
      </c>
      <c r="BM86" s="386">
        <f>BM84/BH84-1</f>
        <v>0</v>
      </c>
      <c r="BN86" s="316">
        <f>BN84/BI84-1</f>
        <v>0</v>
      </c>
      <c r="BO86" s="316">
        <f>BO84/BJ84-1</f>
        <v>0</v>
      </c>
      <c r="BP86" s="387">
        <f>BP84/BK84-1</f>
        <v>0</v>
      </c>
      <c r="BQ86" s="32">
        <f>BQ84/BL84-1</f>
        <v>0</v>
      </c>
      <c r="BR86" s="32"/>
      <c r="BS86" s="37"/>
      <c r="BT86" s="37"/>
      <c r="BU86" s="37"/>
      <c r="BV86" s="37"/>
      <c r="BW86" s="37"/>
      <c r="BX86" s="37"/>
      <c r="BY86" s="37"/>
      <c r="BZ86" s="37"/>
      <c r="CA86" s="37"/>
      <c r="CB86" s="37"/>
      <c r="CC86" s="37"/>
      <c r="CD86" s="37"/>
      <c r="CE86" s="37"/>
      <c r="CF86" s="37"/>
      <c r="CG86" s="37"/>
      <c r="CH86" s="37"/>
      <c r="CI86" s="37"/>
      <c r="CJ86" s="37"/>
      <c r="CK86" s="37"/>
      <c r="CL86" s="37"/>
      <c r="CM86" s="37"/>
      <c r="CN86" s="37"/>
      <c r="CO86" s="37"/>
      <c r="CP86" s="37"/>
      <c r="CQ86" s="37"/>
      <c r="CR86" s="37"/>
      <c r="CS86" s="37"/>
      <c r="CT86" s="37"/>
      <c r="CU86" s="37"/>
      <c r="CV86" s="37"/>
      <c r="CW86" s="37"/>
      <c r="CX86" s="37"/>
      <c r="CY86" s="37"/>
      <c r="CZ86" s="37"/>
      <c r="DA86" s="37"/>
    </row>
    <row r="87" spans="1:105">
      <c r="A87" s="37"/>
      <c r="B87" s="37"/>
      <c r="C87" s="37"/>
      <c r="D87" s="37"/>
      <c r="E87" s="571"/>
      <c r="F87" s="318"/>
      <c r="G87" s="318"/>
      <c r="H87" s="572"/>
      <c r="I87" s="30"/>
      <c r="J87" s="386"/>
      <c r="K87" s="316"/>
      <c r="L87" s="316"/>
      <c r="M87" s="387"/>
      <c r="N87" s="32"/>
      <c r="O87" s="386"/>
      <c r="P87" s="316"/>
      <c r="Q87" s="316"/>
      <c r="R87" s="387"/>
      <c r="S87" s="32"/>
      <c r="T87" s="386"/>
      <c r="U87" s="316"/>
      <c r="V87" s="316"/>
      <c r="W87" s="387"/>
      <c r="X87" s="32"/>
      <c r="Y87" s="386"/>
      <c r="Z87" s="316"/>
      <c r="AA87" s="316"/>
      <c r="AB87" s="387"/>
      <c r="AC87" s="32"/>
      <c r="AD87" s="386"/>
      <c r="AE87" s="316"/>
      <c r="AF87" s="316"/>
      <c r="AG87" s="387"/>
      <c r="AH87" s="32"/>
      <c r="AI87" s="386"/>
      <c r="AJ87" s="316"/>
      <c r="AK87" s="316"/>
      <c r="AL87" s="387"/>
      <c r="AM87" s="32"/>
      <c r="AN87" s="386"/>
      <c r="AO87" s="316"/>
      <c r="AP87" s="316"/>
      <c r="AQ87" s="387"/>
      <c r="AR87" s="32"/>
      <c r="AS87" s="386"/>
      <c r="AT87" s="316"/>
      <c r="AU87" s="316"/>
      <c r="AV87" s="387"/>
      <c r="AW87" s="32"/>
      <c r="AX87" s="386"/>
      <c r="AY87" s="316"/>
      <c r="AZ87" s="316"/>
      <c r="BA87" s="387"/>
      <c r="BB87" s="32"/>
      <c r="BC87" s="386"/>
      <c r="BD87" s="316"/>
      <c r="BE87" s="316"/>
      <c r="BF87" s="387"/>
      <c r="BG87" s="32"/>
      <c r="BH87" s="386"/>
      <c r="BI87" s="316"/>
      <c r="BJ87" s="316"/>
      <c r="BK87" s="387"/>
      <c r="BL87" s="32"/>
      <c r="BM87" s="386"/>
      <c r="BN87" s="316"/>
      <c r="BO87" s="316"/>
      <c r="BP87" s="387"/>
      <c r="BQ87" s="32"/>
      <c r="BR87" s="32"/>
      <c r="BS87" s="37"/>
      <c r="BT87" s="37"/>
      <c r="BU87" s="37"/>
      <c r="BV87" s="37"/>
      <c r="BW87" s="37"/>
      <c r="BX87" s="37"/>
      <c r="BY87" s="37"/>
      <c r="BZ87" s="37"/>
      <c r="CA87" s="37"/>
      <c r="CB87" s="37"/>
      <c r="CC87" s="37"/>
      <c r="CD87" s="37"/>
      <c r="CE87" s="37"/>
      <c r="CF87" s="37"/>
      <c r="CG87" s="37"/>
      <c r="CH87" s="37"/>
      <c r="CI87" s="37"/>
      <c r="CJ87" s="37"/>
      <c r="CK87" s="37"/>
      <c r="CL87" s="37"/>
      <c r="CM87" s="37"/>
      <c r="CN87" s="37"/>
      <c r="CO87" s="37"/>
      <c r="CP87" s="37"/>
      <c r="CQ87" s="37"/>
      <c r="CR87" s="37"/>
      <c r="CS87" s="37"/>
      <c r="CT87" s="37"/>
      <c r="CU87" s="37"/>
      <c r="CV87" s="37"/>
      <c r="CW87" s="37"/>
      <c r="CX87" s="37"/>
      <c r="CY87" s="37"/>
      <c r="CZ87" s="37"/>
      <c r="DA87" s="37"/>
    </row>
    <row r="88" spans="1:105">
      <c r="A88" s="1523"/>
      <c r="B88" s="2"/>
      <c r="C88" s="64" t="s">
        <v>148</v>
      </c>
      <c r="D88" s="2"/>
      <c r="E88" s="820"/>
      <c r="F88" s="821"/>
      <c r="G88" s="821"/>
      <c r="H88" s="822"/>
      <c r="I88" s="823">
        <f t="shared" ref="I88:S88" si="111">I77/I84*1000</f>
        <v>128.20757189487981</v>
      </c>
      <c r="J88" s="824">
        <f t="shared" si="111"/>
        <v>119.55885223501853</v>
      </c>
      <c r="K88" s="825">
        <f t="shared" si="111"/>
        <v>113.1771179205009</v>
      </c>
      <c r="L88" s="825">
        <f t="shared" si="111"/>
        <v>135.84730700873195</v>
      </c>
      <c r="M88" s="822">
        <f t="shared" si="111"/>
        <v>113.42802457942985</v>
      </c>
      <c r="N88" s="823">
        <f t="shared" si="111"/>
        <v>121.45229641507272</v>
      </c>
      <c r="O88" s="824">
        <f t="shared" si="111"/>
        <v>114.78580408084323</v>
      </c>
      <c r="P88" s="825">
        <f t="shared" si="111"/>
        <v>118.76947040498442</v>
      </c>
      <c r="Q88" s="821">
        <f t="shared" si="111"/>
        <v>126.77283891926156</v>
      </c>
      <c r="R88" s="822">
        <f t="shared" si="111"/>
        <v>107.95087265675501</v>
      </c>
      <c r="S88" s="823">
        <f t="shared" si="111"/>
        <v>117.81446984664596</v>
      </c>
      <c r="T88" s="824">
        <f t="shared" ref="T88:Z88" si="112">T77/T84*1000</f>
        <v>111.3483831604637</v>
      </c>
      <c r="U88" s="825">
        <f t="shared" si="112"/>
        <v>111.04429745439968</v>
      </c>
      <c r="V88" s="821">
        <f t="shared" si="112"/>
        <v>117.3798709060483</v>
      </c>
      <c r="W88" s="822">
        <f t="shared" si="112"/>
        <v>102.9094827586207</v>
      </c>
      <c r="X88" s="1335">
        <f t="shared" si="112"/>
        <v>111.21250690425302</v>
      </c>
      <c r="Y88" s="824">
        <f t="shared" si="112"/>
        <v>103.69847828277739</v>
      </c>
      <c r="Z88" s="825">
        <f t="shared" si="112"/>
        <v>114.35623200329083</v>
      </c>
      <c r="AA88" s="1336">
        <f t="shared" ref="AA88:AI88" si="113">AA77/AA84*1000</f>
        <v>121</v>
      </c>
      <c r="AB88" s="1337">
        <f t="shared" si="113"/>
        <v>105.19763460939932</v>
      </c>
      <c r="AC88" s="1335">
        <f t="shared" si="113"/>
        <v>111.58746306253936</v>
      </c>
      <c r="AD88" s="824">
        <f t="shared" si="113"/>
        <v>110.88415523781734</v>
      </c>
      <c r="AE88" s="825">
        <f t="shared" si="113"/>
        <v>115.18487744079766</v>
      </c>
      <c r="AF88" s="1336">
        <f t="shared" si="113"/>
        <v>124.88075622235714</v>
      </c>
      <c r="AG88" s="1337">
        <f t="shared" si="113"/>
        <v>106.9087783388847</v>
      </c>
      <c r="AH88" s="1335">
        <f t="shared" si="113"/>
        <v>114.95324809188406</v>
      </c>
      <c r="AI88" s="824">
        <f t="shared" si="113"/>
        <v>111.45361718524227</v>
      </c>
      <c r="AJ88" s="825">
        <f t="shared" ref="AJ88:AP88" si="114">AJ77/AJ84*1000</f>
        <v>121.0339584389255</v>
      </c>
      <c r="AK88" s="1336">
        <f t="shared" si="114"/>
        <v>126.4377126194719</v>
      </c>
      <c r="AL88" s="1337">
        <f t="shared" si="114"/>
        <v>101.82853388809811</v>
      </c>
      <c r="AM88" s="1335">
        <f t="shared" si="114"/>
        <v>116.04553624925106</v>
      </c>
      <c r="AN88" s="824">
        <f t="shared" si="114"/>
        <v>102.13727907932594</v>
      </c>
      <c r="AO88" s="825">
        <f t="shared" si="114"/>
        <v>110.22562616435521</v>
      </c>
      <c r="AP88" s="825">
        <f t="shared" si="114"/>
        <v>116.94809255784865</v>
      </c>
      <c r="AQ88" s="1337">
        <f t="shared" ref="AQ88:AW88" si="115">AQ77/AQ84*1000</f>
        <v>96.235644406635473</v>
      </c>
      <c r="AR88" s="1335">
        <f t="shared" si="115"/>
        <v>107.23731666265928</v>
      </c>
      <c r="AS88" s="824">
        <f t="shared" si="115"/>
        <v>100.31347962382445</v>
      </c>
      <c r="AT88" s="825">
        <f t="shared" si="115"/>
        <v>113.74308671605969</v>
      </c>
      <c r="AU88" s="825">
        <f t="shared" si="115"/>
        <v>113.67703451214315</v>
      </c>
      <c r="AV88" s="1337">
        <f t="shared" si="115"/>
        <v>99.350241039614332</v>
      </c>
      <c r="AW88" s="1335">
        <f t="shared" si="115"/>
        <v>107.09465262951238</v>
      </c>
      <c r="AX88" s="820">
        <f>AS88+(AX90/AX84*1000)</f>
        <v>94.182027096215961</v>
      </c>
      <c r="AY88" s="821">
        <f>AT88+(AY90/AY84*1000)</f>
        <v>108.04148216153816</v>
      </c>
      <c r="AZ88" s="821">
        <f>AU88+(AZ90/AZ84*1000)</f>
        <v>110.15163513854938</v>
      </c>
      <c r="BA88" s="822">
        <f>AV88+(BA90/BA84*1000)</f>
        <v>93.758395164190574</v>
      </c>
      <c r="BB88" s="823">
        <f>BB77/BB84*1000</f>
        <v>101.94283254350901</v>
      </c>
      <c r="BC88" s="820">
        <f>AX88+(BC90/BC84*1000)</f>
        <v>100.832209088223</v>
      </c>
      <c r="BD88" s="821">
        <f>AY88+(BD90/BD84*1000)</f>
        <v>114.9938811018025</v>
      </c>
      <c r="BE88" s="821">
        <f>AY88+(BE90/BE84*1000)</f>
        <v>114.9938811018025</v>
      </c>
      <c r="BF88" s="822">
        <f>BA88+(BF90/BF84*1000)</f>
        <v>100.67241796629592</v>
      </c>
      <c r="BG88" s="823">
        <f>BG77/BG84*1000</f>
        <v>107.78424513282569</v>
      </c>
      <c r="BH88" s="820">
        <f>BC88+(BH90/BH84*1000)</f>
        <v>105.52711960569768</v>
      </c>
      <c r="BI88" s="821">
        <f>BD88+(BI90/BI84*1000)</f>
        <v>119.90215142366114</v>
      </c>
      <c r="BJ88" s="821">
        <f>BE88+(BJ90/BJ84*1000)</f>
        <v>119.90215142366114</v>
      </c>
      <c r="BK88" s="822">
        <f>BF88+(BK90/BK84*1000)</f>
        <v>105.55359541537615</v>
      </c>
      <c r="BL88" s="823">
        <f>BL77/BL84*1000</f>
        <v>112.63072837539799</v>
      </c>
      <c r="BM88" s="820">
        <f>BH88+(BM90/BM84*1000)</f>
        <v>110.05637169272417</v>
      </c>
      <c r="BN88" s="821">
        <f>BI88+(BN90/BN84*1000)</f>
        <v>124.6372349819578</v>
      </c>
      <c r="BO88" s="821">
        <f>BJ88+(BO90/BO84*1000)</f>
        <v>124.6372349819578</v>
      </c>
      <c r="BP88" s="822">
        <f>BK88+(BP90/BP84*1000)</f>
        <v>110.26254206432844</v>
      </c>
      <c r="BQ88" s="823">
        <f>BQ77/BQ84*1000</f>
        <v>117.30620499192929</v>
      </c>
      <c r="BR88" s="823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</row>
    <row r="89" spans="1:105">
      <c r="A89" s="1523"/>
      <c r="B89" s="2"/>
      <c r="C89" s="547"/>
      <c r="D89" s="2"/>
      <c r="E89" s="789"/>
      <c r="F89" s="329"/>
      <c r="G89" s="329"/>
      <c r="H89" s="790"/>
      <c r="I89" s="33"/>
      <c r="J89" s="789"/>
      <c r="K89" s="329"/>
      <c r="L89" s="329"/>
      <c r="M89" s="790"/>
      <c r="N89" s="33"/>
      <c r="O89" s="789"/>
      <c r="P89" s="329"/>
      <c r="Q89" s="329"/>
      <c r="R89" s="790"/>
      <c r="S89" s="33"/>
      <c r="T89" s="789"/>
      <c r="U89" s="329"/>
      <c r="V89" s="329"/>
      <c r="W89" s="790"/>
      <c r="X89" s="33"/>
      <c r="Y89" s="789"/>
      <c r="Z89" s="329"/>
      <c r="AA89" s="329"/>
      <c r="AB89" s="790"/>
      <c r="AC89" s="33"/>
      <c r="AD89" s="789"/>
      <c r="AE89" s="329"/>
      <c r="AF89" s="329"/>
      <c r="AG89" s="790"/>
      <c r="AH89" s="33"/>
      <c r="AI89" s="789"/>
      <c r="AJ89" s="329"/>
      <c r="AK89" s="329"/>
      <c r="AL89" s="790"/>
      <c r="AM89" s="33"/>
      <c r="AN89" s="789"/>
      <c r="AO89" s="329"/>
      <c r="AP89" s="329"/>
      <c r="AQ89" s="790"/>
      <c r="AR89" s="33"/>
      <c r="AS89" s="789"/>
      <c r="AT89" s="329"/>
      <c r="AU89" s="329"/>
      <c r="AV89" s="790"/>
      <c r="AW89" s="33"/>
      <c r="AX89" s="789"/>
      <c r="AY89" s="329"/>
      <c r="AZ89" s="329"/>
      <c r="BA89" s="790"/>
      <c r="BB89" s="33"/>
      <c r="BC89" s="789"/>
      <c r="BD89" s="329"/>
      <c r="BE89" s="329"/>
      <c r="BF89" s="790"/>
      <c r="BG89" s="33"/>
      <c r="BH89" s="789"/>
      <c r="BI89" s="329"/>
      <c r="BJ89" s="329"/>
      <c r="BK89" s="790"/>
      <c r="BL89" s="33"/>
      <c r="BM89" s="789"/>
      <c r="BN89" s="329"/>
      <c r="BO89" s="329"/>
      <c r="BP89" s="790"/>
      <c r="BQ89" s="33"/>
      <c r="BR89" s="33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</row>
    <row r="90" spans="1:105">
      <c r="A90" s="1523"/>
      <c r="B90" s="2"/>
      <c r="C90" s="37" t="s">
        <v>149</v>
      </c>
      <c r="D90" s="2"/>
      <c r="E90" s="789"/>
      <c r="F90" s="329"/>
      <c r="G90" s="329"/>
      <c r="H90" s="790"/>
      <c r="I90" s="826"/>
      <c r="J90" s="789"/>
      <c r="K90" s="329"/>
      <c r="L90" s="329"/>
      <c r="M90" s="790"/>
      <c r="N90" s="77"/>
      <c r="O90" s="394"/>
      <c r="P90" s="342"/>
      <c r="Q90" s="342"/>
      <c r="R90" s="395"/>
      <c r="S90" s="77"/>
      <c r="T90" s="394"/>
      <c r="U90" s="342"/>
      <c r="V90" s="342"/>
      <c r="W90" s="395"/>
      <c r="X90" s="77"/>
      <c r="Y90" s="394"/>
      <c r="Z90" s="342"/>
      <c r="AA90" s="342"/>
      <c r="AB90" s="395"/>
      <c r="AC90" s="77"/>
      <c r="AD90" s="394"/>
      <c r="AE90" s="342"/>
      <c r="AF90" s="342"/>
      <c r="AG90" s="395"/>
      <c r="AH90" s="77"/>
      <c r="AI90" s="394"/>
      <c r="AJ90" s="342"/>
      <c r="AK90" s="342"/>
      <c r="AL90" s="395"/>
      <c r="AM90" s="77"/>
      <c r="AN90" s="394"/>
      <c r="AO90" s="342"/>
      <c r="AP90" s="342"/>
      <c r="AQ90" s="395"/>
      <c r="AR90" s="77"/>
      <c r="AS90" s="394"/>
      <c r="AT90" s="342"/>
      <c r="AU90" s="342"/>
      <c r="AV90" s="395"/>
      <c r="AW90" s="77"/>
      <c r="AX90" s="394">
        <f t="shared" ref="AX90:BL90" si="116">SUM(AX54:AX57, AX59:AX60)</f>
        <v>-61.070822916666685</v>
      </c>
      <c r="AY90" s="342">
        <f t="shared" si="116"/>
        <v>-54.320822916666685</v>
      </c>
      <c r="AZ90" s="342">
        <f>SUM(AZ54:AZ57, AZ59:AZ60)</f>
        <v>-41.917697916666683</v>
      </c>
      <c r="BA90" s="395">
        <f t="shared" si="116"/>
        <v>-53.570822916666685</v>
      </c>
      <c r="BB90" s="77">
        <f t="shared" si="116"/>
        <v>-226.28329166666674</v>
      </c>
      <c r="BC90" s="394">
        <f t="shared" si="116"/>
        <v>66.237499999999997</v>
      </c>
      <c r="BD90" s="342">
        <f t="shared" si="116"/>
        <v>66.237499999999997</v>
      </c>
      <c r="BE90" s="342">
        <f t="shared" si="116"/>
        <v>66.237499999999997</v>
      </c>
      <c r="BF90" s="395">
        <f t="shared" si="116"/>
        <v>66.237499999999997</v>
      </c>
      <c r="BG90" s="77">
        <f t="shared" si="116"/>
        <v>264.95</v>
      </c>
      <c r="BH90" s="394">
        <f t="shared" si="116"/>
        <v>46.762500000000003</v>
      </c>
      <c r="BI90" s="342">
        <f t="shared" si="116"/>
        <v>46.762500000000003</v>
      </c>
      <c r="BJ90" s="342">
        <f t="shared" si="116"/>
        <v>46.762500000000003</v>
      </c>
      <c r="BK90" s="395">
        <f t="shared" si="116"/>
        <v>46.762500000000003</v>
      </c>
      <c r="BL90" s="77">
        <f t="shared" si="116"/>
        <v>187.05</v>
      </c>
      <c r="BM90" s="394">
        <f>SUM(BM54:BM57, BM59:BM60)</f>
        <v>45.112499999999997</v>
      </c>
      <c r="BN90" s="342">
        <f>SUM(BN54:BN57, BN59:BN60)</f>
        <v>45.112499999999997</v>
      </c>
      <c r="BO90" s="342">
        <f>SUM(BO54:BO57, BO59:BO60)</f>
        <v>45.112499999999997</v>
      </c>
      <c r="BP90" s="395">
        <f>SUM(BP54:BP57, BP59:BP60)</f>
        <v>45.112499999999997</v>
      </c>
      <c r="BQ90" s="77">
        <f>SUM(BQ54:BQ57, BQ59:BQ60)</f>
        <v>180.45</v>
      </c>
      <c r="BR90" s="77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</row>
    <row r="91" spans="1:105">
      <c r="A91" s="1523"/>
      <c r="B91" s="2"/>
      <c r="C91" s="49"/>
      <c r="D91" s="2"/>
      <c r="E91" s="789"/>
      <c r="F91" s="329"/>
      <c r="G91" s="329"/>
      <c r="H91" s="790"/>
      <c r="I91" s="826"/>
      <c r="J91" s="789"/>
      <c r="K91" s="329"/>
      <c r="L91" s="329"/>
      <c r="M91" s="790"/>
      <c r="N91" s="826"/>
      <c r="O91" s="789"/>
      <c r="P91" s="329"/>
      <c r="Q91" s="329"/>
      <c r="R91" s="790"/>
      <c r="S91" s="33"/>
      <c r="T91" s="789"/>
      <c r="U91" s="329"/>
      <c r="V91" s="329"/>
      <c r="W91" s="790"/>
      <c r="X91" s="33"/>
      <c r="Y91" s="789"/>
      <c r="Z91" s="329"/>
      <c r="AA91" s="329"/>
      <c r="AB91" s="790"/>
      <c r="AC91" s="33"/>
      <c r="AD91" s="789"/>
      <c r="AE91" s="329"/>
      <c r="AF91" s="329"/>
      <c r="AG91" s="790"/>
      <c r="AH91" s="33"/>
      <c r="AI91" s="789"/>
      <c r="AJ91" s="329"/>
      <c r="AK91" s="329"/>
      <c r="AL91" s="790"/>
      <c r="AM91" s="33"/>
      <c r="AN91" s="789"/>
      <c r="AO91" s="329"/>
      <c r="AP91" s="329"/>
      <c r="AQ91" s="790"/>
      <c r="AR91" s="33"/>
      <c r="AS91" s="789"/>
      <c r="AT91" s="329"/>
      <c r="AU91" s="329"/>
      <c r="AV91" s="790"/>
      <c r="AW91" s="33"/>
      <c r="AX91" s="789"/>
      <c r="AY91" s="329"/>
      <c r="AZ91" s="329"/>
      <c r="BA91" s="790"/>
      <c r="BB91" s="33"/>
      <c r="BC91" s="789"/>
      <c r="BD91" s="329"/>
      <c r="BE91" s="329"/>
      <c r="BF91" s="790"/>
      <c r="BG91" s="33"/>
      <c r="BH91" s="789"/>
      <c r="BI91" s="329"/>
      <c r="BJ91" s="329"/>
      <c r="BK91" s="790"/>
      <c r="BL91" s="33"/>
      <c r="BM91" s="789"/>
      <c r="BN91" s="329"/>
      <c r="BO91" s="329"/>
      <c r="BP91" s="790"/>
      <c r="BQ91" s="33"/>
      <c r="BR91" s="33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</row>
    <row r="92" spans="1:105">
      <c r="A92" s="1523"/>
      <c r="B92" s="2"/>
      <c r="C92" s="49" t="s">
        <v>150</v>
      </c>
      <c r="D92" s="2"/>
      <c r="E92" s="789"/>
      <c r="F92" s="329"/>
      <c r="G92" s="329"/>
      <c r="H92" s="790"/>
      <c r="I92" s="33"/>
      <c r="J92" s="789"/>
      <c r="K92" s="329"/>
      <c r="L92" s="329"/>
      <c r="M92" s="790"/>
      <c r="N92" s="33"/>
      <c r="O92" s="789"/>
      <c r="P92" s="329"/>
      <c r="Q92" s="329"/>
      <c r="R92" s="790"/>
      <c r="S92" s="33"/>
      <c r="T92" s="789"/>
      <c r="U92" s="329"/>
      <c r="V92" s="329"/>
      <c r="W92" s="790"/>
      <c r="X92" s="33"/>
      <c r="Y92" s="789"/>
      <c r="Z92" s="329"/>
      <c r="AA92" s="329"/>
      <c r="AB92" s="790"/>
      <c r="AC92" s="33"/>
      <c r="AD92" s="789"/>
      <c r="AE92" s="329"/>
      <c r="AF92" s="329"/>
      <c r="AG92" s="790"/>
      <c r="AH92" s="33"/>
      <c r="AI92" s="789"/>
      <c r="AJ92" s="329"/>
      <c r="AK92" s="329"/>
      <c r="AL92" s="790"/>
      <c r="AM92" s="33"/>
      <c r="AN92" s="789"/>
      <c r="AO92" s="329"/>
      <c r="AP92" s="329"/>
      <c r="AQ92" s="790"/>
      <c r="AR92" s="33"/>
      <c r="AS92" s="789"/>
      <c r="AT92" s="329"/>
      <c r="AU92" s="329"/>
      <c r="AV92" s="790"/>
      <c r="AW92" s="33"/>
      <c r="AX92" s="789"/>
      <c r="AY92" s="329"/>
      <c r="AZ92" s="329"/>
      <c r="BA92" s="790"/>
      <c r="BB92" s="33"/>
      <c r="BC92" s="789"/>
      <c r="BD92" s="329"/>
      <c r="BE92" s="329"/>
      <c r="BF92" s="790"/>
      <c r="BG92" s="33"/>
      <c r="BH92" s="789"/>
      <c r="BI92" s="329"/>
      <c r="BJ92" s="329"/>
      <c r="BK92" s="790"/>
      <c r="BL92" s="33"/>
      <c r="BM92" s="789"/>
      <c r="BN92" s="329"/>
      <c r="BO92" s="329"/>
      <c r="BP92" s="790"/>
      <c r="BQ92" s="33"/>
      <c r="BR92" s="33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</row>
    <row r="93" spans="1:105" s="305" customFormat="1">
      <c r="A93" s="77"/>
      <c r="B93" s="77"/>
      <c r="C93" s="37" t="s">
        <v>151</v>
      </c>
      <c r="D93" s="77"/>
      <c r="E93" s="394"/>
      <c r="F93" s="342"/>
      <c r="G93" s="342"/>
      <c r="H93" s="395"/>
      <c r="I93" s="77">
        <f t="shared" ref="I93:S93" si="117">I12</f>
        <v>3348.634</v>
      </c>
      <c r="J93" s="394">
        <f t="shared" si="117"/>
        <v>732.63699999999994</v>
      </c>
      <c r="K93" s="342">
        <f t="shared" si="117"/>
        <v>737.86900000000003</v>
      </c>
      <c r="L93" s="342">
        <f t="shared" si="117"/>
        <v>1002.176</v>
      </c>
      <c r="M93" s="395">
        <f t="shared" si="117"/>
        <v>652.70399999999995</v>
      </c>
      <c r="N93" s="77">
        <f t="shared" si="117"/>
        <v>3125.3859999999995</v>
      </c>
      <c r="O93" s="394">
        <f t="shared" si="117"/>
        <v>695.00400000000002</v>
      </c>
      <c r="P93" s="342">
        <f t="shared" si="117"/>
        <v>651.26199999999994</v>
      </c>
      <c r="Q93" s="342">
        <f t="shared" si="117"/>
        <v>852.96600000000001</v>
      </c>
      <c r="R93" s="395">
        <f t="shared" si="117"/>
        <v>532.37599999999998</v>
      </c>
      <c r="S93" s="77">
        <f t="shared" si="117"/>
        <v>2731.6080000000002</v>
      </c>
      <c r="T93" s="394">
        <f>T12</f>
        <v>573.577</v>
      </c>
      <c r="U93" s="342">
        <f>U12</f>
        <v>523.57399999999996</v>
      </c>
      <c r="V93" s="342">
        <f>V12</f>
        <v>695.82100000000003</v>
      </c>
      <c r="W93" s="395">
        <f>W12</f>
        <v>464.04</v>
      </c>
      <c r="X93" s="77">
        <f>X13</f>
        <v>901.98800000000006</v>
      </c>
      <c r="Y93" s="394">
        <f>Y12</f>
        <v>458.15899999999999</v>
      </c>
      <c r="Z93" s="342">
        <f>Z12</f>
        <v>465.49799999999999</v>
      </c>
      <c r="AA93" s="342">
        <f>AA12</f>
        <v>606.60199999999998</v>
      </c>
      <c r="AB93" s="395">
        <f>AB12</f>
        <v>433.68299999999999</v>
      </c>
      <c r="AC93" s="77">
        <f>AC13</f>
        <v>877.05800000000011</v>
      </c>
      <c r="AD93" s="394">
        <f>AD12</f>
        <v>510.40700000000004</v>
      </c>
      <c r="AE93" s="342">
        <f>AE12</f>
        <v>438.04599999999999</v>
      </c>
      <c r="AF93" s="342">
        <f>AF12</f>
        <v>603.27</v>
      </c>
      <c r="AG93" s="395">
        <f>AG12</f>
        <v>438.44</v>
      </c>
      <c r="AH93" s="77">
        <f>AH13</f>
        <v>918.83699999999999</v>
      </c>
      <c r="AI93" s="394">
        <f>AI12</f>
        <v>499.67899999999997</v>
      </c>
      <c r="AJ93" s="342">
        <f>AJ12</f>
        <v>471.59799999999996</v>
      </c>
      <c r="AK93" s="342">
        <f>AK12</f>
        <v>691.63199999999995</v>
      </c>
      <c r="AL93" s="395">
        <f>AL12</f>
        <v>414.52100000000002</v>
      </c>
      <c r="AM93" s="77">
        <f>AM13</f>
        <v>644.57000000000016</v>
      </c>
      <c r="AN93" s="394">
        <f>AN12</f>
        <v>454.47</v>
      </c>
      <c r="AO93" s="342">
        <f>AO12</f>
        <v>441.238</v>
      </c>
      <c r="AP93" s="342">
        <f>AP12</f>
        <v>686.1</v>
      </c>
      <c r="AQ93" s="395">
        <f>AQ12</f>
        <v>372.476</v>
      </c>
      <c r="AR93" s="77">
        <f>AR13</f>
        <v>612.71599999999989</v>
      </c>
      <c r="AS93" s="394">
        <f>AS12</f>
        <v>404.07099999999997</v>
      </c>
      <c r="AT93" s="342">
        <f>AT12</f>
        <v>404.65300000000002</v>
      </c>
      <c r="AU93" s="342">
        <f>AU12</f>
        <v>509.69300000000004</v>
      </c>
      <c r="AV93" s="395">
        <f>AV12</f>
        <v>509.69300000000004</v>
      </c>
      <c r="AW93" s="77">
        <f>AW13</f>
        <v>534.88999999999987</v>
      </c>
      <c r="AX93" s="394">
        <f>AX94*AX84/1000</f>
        <v>406.98247400926402</v>
      </c>
      <c r="AY93" s="342">
        <f>AY94*AY84/1000</f>
        <v>402.30045538385792</v>
      </c>
      <c r="AZ93" s="342">
        <f>AZ94*AZ84/1000</f>
        <v>516.4338203924915</v>
      </c>
      <c r="BA93" s="395">
        <f>BA94*BA84/1000</f>
        <v>511.73177199999998</v>
      </c>
      <c r="BB93" s="77">
        <f>SUM(AX93:BA93)</f>
        <v>1837.4485217856136</v>
      </c>
      <c r="BC93" s="394">
        <f>BC94*BC84/1000</f>
        <v>406.98247400926402</v>
      </c>
      <c r="BD93" s="342">
        <f>BD94*BD84/1000</f>
        <v>402.30045538385792</v>
      </c>
      <c r="BE93" s="342">
        <f>BE94*BE84/1000</f>
        <v>402.30045538385792</v>
      </c>
      <c r="BF93" s="395">
        <f>BF94*BF84/1000</f>
        <v>511.73177199999998</v>
      </c>
      <c r="BG93" s="77">
        <f>SUM(BC93:BF93)</f>
        <v>1723.3151567769801</v>
      </c>
      <c r="BH93" s="394">
        <f>BH94*BH84/1000</f>
        <v>406.98247400926402</v>
      </c>
      <c r="BI93" s="342">
        <f>BI94*BI84/1000</f>
        <v>402.30045538385792</v>
      </c>
      <c r="BJ93" s="342">
        <f>BJ94*BJ84/1000</f>
        <v>402.30045538385792</v>
      </c>
      <c r="BK93" s="395">
        <f>BK94*BK84/1000</f>
        <v>511.73177199999998</v>
      </c>
      <c r="BL93" s="77">
        <f>SUM(BH93:BK93)</f>
        <v>1723.3151567769801</v>
      </c>
      <c r="BM93" s="394">
        <f>BM94*BM84/1000</f>
        <v>406.98247400926402</v>
      </c>
      <c r="BN93" s="342">
        <f>BN94*BN84/1000</f>
        <v>402.30045538385792</v>
      </c>
      <c r="BO93" s="342">
        <f>BO94*BO84/1000</f>
        <v>402.30045538385792</v>
      </c>
      <c r="BP93" s="395">
        <f>BP94*BP84/1000</f>
        <v>511.73177199999998</v>
      </c>
      <c r="BQ93" s="77">
        <f>SUM(BM93:BP93)</f>
        <v>1723.3151567769801</v>
      </c>
      <c r="BR93" s="77"/>
      <c r="BS93" s="77"/>
      <c r="BT93" s="77"/>
      <c r="BU93" s="77"/>
      <c r="BV93" s="77"/>
      <c r="BW93" s="77"/>
      <c r="BX93" s="77"/>
      <c r="BY93" s="77"/>
      <c r="BZ93" s="77"/>
      <c r="CA93" s="77"/>
      <c r="CB93" s="77"/>
      <c r="CC93" s="77"/>
      <c r="CD93" s="77"/>
      <c r="CE93" s="77"/>
      <c r="CF93" s="77"/>
      <c r="CG93" s="77"/>
      <c r="CH93" s="77"/>
      <c r="CI93" s="77"/>
      <c r="CJ93" s="77"/>
      <c r="CK93" s="77"/>
      <c r="CL93" s="77"/>
      <c r="CM93" s="77"/>
      <c r="CN93" s="77"/>
      <c r="CO93" s="77"/>
      <c r="CP93" s="77"/>
      <c r="CQ93" s="77"/>
      <c r="CR93" s="77"/>
      <c r="CS93" s="77"/>
      <c r="CT93" s="77"/>
      <c r="CU93" s="77"/>
      <c r="CV93" s="77"/>
      <c r="CW93" s="77"/>
      <c r="CX93" s="77"/>
      <c r="CY93" s="77"/>
      <c r="CZ93" s="77"/>
      <c r="DA93" s="77"/>
    </row>
    <row r="94" spans="1:105" s="64" customFormat="1">
      <c r="A94" s="49"/>
      <c r="B94" s="49"/>
      <c r="C94" s="49" t="s">
        <v>152</v>
      </c>
      <c r="D94" s="49"/>
      <c r="E94" s="827"/>
      <c r="F94" s="828"/>
      <c r="G94" s="828"/>
      <c r="H94" s="829"/>
      <c r="I94" s="830">
        <f t="shared" ref="I94:V94" si="118">I93/I84*1000</f>
        <v>79.784470229444139</v>
      </c>
      <c r="J94" s="827">
        <f t="shared" si="118"/>
        <v>71.504684755026346</v>
      </c>
      <c r="K94" s="828">
        <f t="shared" si="118"/>
        <v>69.999905132340388</v>
      </c>
      <c r="L94" s="828">
        <f t="shared" si="118"/>
        <v>77.441928753573919</v>
      </c>
      <c r="M94" s="829">
        <f t="shared" si="118"/>
        <v>65.750377757630687</v>
      </c>
      <c r="N94" s="830">
        <f t="shared" si="118"/>
        <v>71.592853052342207</v>
      </c>
      <c r="O94" s="827">
        <f t="shared" si="118"/>
        <v>67.208587177255581</v>
      </c>
      <c r="P94" s="828">
        <f t="shared" si="118"/>
        <v>63.401674454828651</v>
      </c>
      <c r="Q94" s="828">
        <f t="shared" si="118"/>
        <v>67.58307582600429</v>
      </c>
      <c r="R94" s="829">
        <f t="shared" si="118"/>
        <v>57.355742296918763</v>
      </c>
      <c r="S94" s="830">
        <f t="shared" si="118"/>
        <v>64.248941574936509</v>
      </c>
      <c r="T94" s="827">
        <f t="shared" si="118"/>
        <v>58.325910107789298</v>
      </c>
      <c r="U94" s="828">
        <f t="shared" si="118"/>
        <v>52.472840248546802</v>
      </c>
      <c r="V94" s="828">
        <f t="shared" si="118"/>
        <v>55.448322575504029</v>
      </c>
      <c r="W94" s="829">
        <f>W93/W84*1000</f>
        <v>50.004310344827587</v>
      </c>
      <c r="X94" s="830">
        <f t="shared" ref="X94:AC94" si="119">X93/X84*1000</f>
        <v>21.661055210009366</v>
      </c>
      <c r="Y94" s="827">
        <f t="shared" si="119"/>
        <v>46.171419933487854</v>
      </c>
      <c r="Z94" s="828">
        <f t="shared" si="119"/>
        <v>47.871040723981899</v>
      </c>
      <c r="AA94" s="828">
        <f t="shared" si="119"/>
        <v>50.550166666666669</v>
      </c>
      <c r="AB94" s="829">
        <f t="shared" si="119"/>
        <v>44.992530345471522</v>
      </c>
      <c r="AC94" s="830">
        <f t="shared" si="119"/>
        <v>21.24347236351306</v>
      </c>
      <c r="AD94" s="827">
        <f t="shared" ref="AD94:AI94" si="120">AD93/AD84*1000</f>
        <v>49.645657037253187</v>
      </c>
      <c r="AE94" s="828">
        <f t="shared" si="120"/>
        <v>45.497091815538013</v>
      </c>
      <c r="AF94" s="828">
        <f t="shared" si="120"/>
        <v>52.317231809903731</v>
      </c>
      <c r="AG94" s="829">
        <f t="shared" si="120"/>
        <v>47.108627914472976</v>
      </c>
      <c r="AH94" s="830">
        <f t="shared" si="120"/>
        <v>22.549807347780206</v>
      </c>
      <c r="AI94" s="827">
        <f t="shared" si="120"/>
        <v>48.133994798188994</v>
      </c>
      <c r="AJ94" s="828">
        <f t="shared" ref="AJ94:AP94" si="121">AJ93/AJ84*1000</f>
        <v>47.805169792194626</v>
      </c>
      <c r="AK94" s="828">
        <f t="shared" si="121"/>
        <v>56.020735460878008</v>
      </c>
      <c r="AL94" s="829">
        <f t="shared" si="121"/>
        <v>45.387167414869161</v>
      </c>
      <c r="AM94" s="830">
        <f t="shared" si="121"/>
        <v>15.448052726183347</v>
      </c>
      <c r="AN94" s="827">
        <f t="shared" si="121"/>
        <v>46.698520345252781</v>
      </c>
      <c r="AO94" s="828">
        <f t="shared" si="121"/>
        <v>45.667356654936867</v>
      </c>
      <c r="AP94" s="828">
        <f t="shared" si="121"/>
        <v>53.635084427767353</v>
      </c>
      <c r="AQ94" s="829">
        <f t="shared" ref="AQ94:AW94" si="122">AQ93/AQ84*1000</f>
        <v>39.608251807741382</v>
      </c>
      <c r="AR94" s="830">
        <f t="shared" si="122"/>
        <v>14.732291416205817</v>
      </c>
      <c r="AS94" s="827">
        <f t="shared" si="122"/>
        <v>40.860653251087065</v>
      </c>
      <c r="AT94" s="828">
        <f t="shared" si="122"/>
        <v>42.226129604507989</v>
      </c>
      <c r="AU94" s="828">
        <f t="shared" si="122"/>
        <v>43.433574776310188</v>
      </c>
      <c r="AV94" s="829">
        <f t="shared" si="122"/>
        <v>53.415740934814508</v>
      </c>
      <c r="AW94" s="830">
        <f t="shared" si="122"/>
        <v>13.126457090971554</v>
      </c>
      <c r="AX94" s="827">
        <f>AS94</f>
        <v>40.860653251087065</v>
      </c>
      <c r="AY94" s="828">
        <f>AT94</f>
        <v>42.226129604507989</v>
      </c>
      <c r="AZ94" s="828">
        <f>AU94</f>
        <v>43.433574776310188</v>
      </c>
      <c r="BA94" s="829">
        <f>AV94</f>
        <v>53.415740934814508</v>
      </c>
      <c r="BB94" s="830">
        <f>BB93/BB84*1000</f>
        <v>44.861875317900441</v>
      </c>
      <c r="BC94" s="827">
        <f>AX94</f>
        <v>40.860653251087065</v>
      </c>
      <c r="BD94" s="828">
        <f>AY94</f>
        <v>42.226129604507989</v>
      </c>
      <c r="BE94" s="828">
        <f>AY94</f>
        <v>42.226129604507989</v>
      </c>
      <c r="BF94" s="829">
        <f>BA94</f>
        <v>53.415740934814508</v>
      </c>
      <c r="BG94" s="830">
        <f>BG93/BG84*1000</f>
        <v>44.651259176640131</v>
      </c>
      <c r="BH94" s="827">
        <f>BC94</f>
        <v>40.860653251087065</v>
      </c>
      <c r="BI94" s="828">
        <f>BD94</f>
        <v>42.226129604507989</v>
      </c>
      <c r="BJ94" s="828">
        <f>BE94</f>
        <v>42.226129604507989</v>
      </c>
      <c r="BK94" s="829">
        <f>BF94</f>
        <v>53.415740934814508</v>
      </c>
      <c r="BL94" s="830">
        <f>BL93/BL84*1000</f>
        <v>44.651259176640131</v>
      </c>
      <c r="BM94" s="827">
        <f>BH94</f>
        <v>40.860653251087065</v>
      </c>
      <c r="BN94" s="828">
        <f>BI94</f>
        <v>42.226129604507989</v>
      </c>
      <c r="BO94" s="828">
        <f>BJ94</f>
        <v>42.226129604507989</v>
      </c>
      <c r="BP94" s="829">
        <f>BK94</f>
        <v>53.415740934814508</v>
      </c>
      <c r="BQ94" s="830">
        <f>BQ93/BQ84*1000</f>
        <v>44.651259176640131</v>
      </c>
      <c r="BR94" s="830"/>
      <c r="BS94" s="49"/>
      <c r="BT94" s="49"/>
      <c r="BU94" s="49"/>
      <c r="BV94" s="49"/>
      <c r="BW94" s="49"/>
      <c r="BX94" s="49"/>
      <c r="BY94" s="49"/>
      <c r="BZ94" s="49"/>
      <c r="CA94" s="49"/>
      <c r="CB94" s="49"/>
      <c r="CC94" s="49"/>
      <c r="CD94" s="49"/>
      <c r="CE94" s="49"/>
      <c r="CF94" s="49"/>
      <c r="CG94" s="49"/>
      <c r="CH94" s="49"/>
      <c r="CI94" s="49"/>
      <c r="CJ94" s="49"/>
      <c r="CK94" s="49"/>
      <c r="CL94" s="49"/>
      <c r="CM94" s="49"/>
      <c r="CN94" s="49"/>
      <c r="CO94" s="49"/>
      <c r="CP94" s="49"/>
      <c r="CQ94" s="49"/>
      <c r="CR94" s="49"/>
      <c r="CS94" s="49"/>
      <c r="CT94" s="49"/>
      <c r="CU94" s="49"/>
      <c r="CV94" s="49"/>
      <c r="CW94" s="49"/>
      <c r="CX94" s="49"/>
      <c r="CY94" s="49"/>
      <c r="CZ94" s="49"/>
      <c r="DA94" s="49"/>
    </row>
    <row r="95" spans="1:105">
      <c r="A95" s="1523"/>
      <c r="B95" s="2"/>
      <c r="C95" s="49"/>
      <c r="D95" s="2"/>
      <c r="E95" s="789"/>
      <c r="F95" s="329"/>
      <c r="G95" s="329"/>
      <c r="H95" s="790"/>
      <c r="I95" s="33"/>
      <c r="J95" s="789"/>
      <c r="K95" s="329"/>
      <c r="L95" s="329"/>
      <c r="M95" s="790"/>
      <c r="N95" s="33"/>
      <c r="O95" s="789"/>
      <c r="P95" s="329"/>
      <c r="Q95" s="329"/>
      <c r="R95" s="790"/>
      <c r="S95" s="33"/>
      <c r="T95" s="789"/>
      <c r="U95" s="329"/>
      <c r="V95" s="329"/>
      <c r="W95" s="790"/>
      <c r="X95" s="33"/>
      <c r="Y95" s="789"/>
      <c r="Z95" s="329"/>
      <c r="AA95" s="329"/>
      <c r="AB95" s="790"/>
      <c r="AC95" s="33"/>
      <c r="AD95" s="789"/>
      <c r="AE95" s="329"/>
      <c r="AF95" s="329"/>
      <c r="AG95" s="790"/>
      <c r="AH95" s="33"/>
      <c r="AI95" s="789"/>
      <c r="AJ95" s="329"/>
      <c r="AK95" s="329"/>
      <c r="AL95" s="790"/>
      <c r="AM95" s="33"/>
      <c r="AN95" s="789"/>
      <c r="AO95" s="329"/>
      <c r="AP95" s="329"/>
      <c r="AQ95" s="790"/>
      <c r="AR95" s="33"/>
      <c r="AS95" s="789"/>
      <c r="AT95" s="329"/>
      <c r="AU95" s="329"/>
      <c r="AV95" s="790"/>
      <c r="AW95" s="33"/>
      <c r="AX95" s="789"/>
      <c r="AY95" s="329"/>
      <c r="AZ95" s="329"/>
      <c r="BA95" s="790"/>
      <c r="BB95" s="33"/>
      <c r="BC95" s="789"/>
      <c r="BD95" s="329"/>
      <c r="BE95" s="329"/>
      <c r="BF95" s="790"/>
      <c r="BG95" s="33"/>
      <c r="BH95" s="789"/>
      <c r="BI95" s="329"/>
      <c r="BJ95" s="329"/>
      <c r="BK95" s="790"/>
      <c r="BL95" s="33"/>
      <c r="BM95" s="789"/>
      <c r="BN95" s="329"/>
      <c r="BO95" s="329"/>
      <c r="BP95" s="790"/>
      <c r="BQ95" s="33"/>
      <c r="BR95" s="33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</row>
    <row r="96" spans="1:105">
      <c r="A96" s="1523"/>
      <c r="B96" s="2"/>
      <c r="C96" s="49" t="s">
        <v>153</v>
      </c>
      <c r="D96" s="2"/>
      <c r="E96" s="396"/>
      <c r="F96" s="343"/>
      <c r="G96" s="343"/>
      <c r="H96" s="397"/>
      <c r="I96" s="297">
        <f t="shared" ref="I96:S96" si="123">I77-I93</f>
        <v>2032.366</v>
      </c>
      <c r="J96" s="396">
        <f t="shared" si="123"/>
        <v>492.36300000000006</v>
      </c>
      <c r="K96" s="343">
        <f t="shared" si="123"/>
        <v>455.13099999999997</v>
      </c>
      <c r="L96" s="343">
        <f t="shared" si="123"/>
        <v>755.82399999999996</v>
      </c>
      <c r="M96" s="397">
        <f t="shared" si="123"/>
        <v>473.29600000000005</v>
      </c>
      <c r="N96" s="297">
        <f t="shared" si="123"/>
        <v>2176.6140000000005</v>
      </c>
      <c r="O96" s="477">
        <f t="shared" si="123"/>
        <v>491.99599999999998</v>
      </c>
      <c r="P96" s="478">
        <f t="shared" si="123"/>
        <v>568.73800000000006</v>
      </c>
      <c r="Q96" s="478">
        <f t="shared" si="123"/>
        <v>747.03399999999999</v>
      </c>
      <c r="R96" s="479">
        <f t="shared" si="123"/>
        <v>469.62400000000002</v>
      </c>
      <c r="S96" s="475">
        <f t="shared" si="123"/>
        <v>2277.3919999999998</v>
      </c>
      <c r="T96" s="477">
        <f t="shared" ref="T96:Z96" si="124">T77-T93</f>
        <v>521.423</v>
      </c>
      <c r="U96" s="478">
        <f t="shared" si="124"/>
        <v>584.42600000000004</v>
      </c>
      <c r="V96" s="478">
        <f t="shared" si="124"/>
        <v>777.17899999999997</v>
      </c>
      <c r="W96" s="479">
        <f t="shared" si="124"/>
        <v>490.96</v>
      </c>
      <c r="X96" s="475">
        <f t="shared" si="124"/>
        <v>3729.0119999999997</v>
      </c>
      <c r="Y96" s="477">
        <f t="shared" si="124"/>
        <v>570.84100000000001</v>
      </c>
      <c r="Z96" s="478">
        <f t="shared" si="124"/>
        <v>646.50199999999995</v>
      </c>
      <c r="AA96" s="478">
        <f t="shared" ref="AA96:AI96" si="125">AA77-AA93</f>
        <v>845.39800000000002</v>
      </c>
      <c r="AB96" s="479">
        <f t="shared" si="125"/>
        <v>580.31700000000001</v>
      </c>
      <c r="AC96" s="475">
        <f t="shared" si="125"/>
        <v>3729.942</v>
      </c>
      <c r="AD96" s="477">
        <f t="shared" si="125"/>
        <v>629.59299999999996</v>
      </c>
      <c r="AE96" s="478">
        <f t="shared" si="125"/>
        <v>670.95399999999995</v>
      </c>
      <c r="AF96" s="478">
        <f t="shared" si="125"/>
        <v>836.73</v>
      </c>
      <c r="AG96" s="479">
        <f t="shared" si="125"/>
        <v>556.55999999999995</v>
      </c>
      <c r="AH96" s="475">
        <f t="shared" si="125"/>
        <v>3765.163</v>
      </c>
      <c r="AI96" s="477">
        <f t="shared" si="125"/>
        <v>657.32100000000003</v>
      </c>
      <c r="AJ96" s="478">
        <f t="shared" ref="AJ96:AR96" si="126">AJ77-AJ93</f>
        <v>722.40200000000004</v>
      </c>
      <c r="AK96" s="478">
        <f t="shared" si="126"/>
        <v>869.36800000000005</v>
      </c>
      <c r="AL96" s="479">
        <f t="shared" si="126"/>
        <v>515.47900000000004</v>
      </c>
      <c r="AM96" s="475">
        <f t="shared" si="126"/>
        <v>4197.43</v>
      </c>
      <c r="AN96" s="477">
        <f t="shared" si="126"/>
        <v>539.53</v>
      </c>
      <c r="AO96" s="478">
        <f t="shared" si="126"/>
        <v>623.76199999999994</v>
      </c>
      <c r="AP96" s="478">
        <f t="shared" si="126"/>
        <v>809.9</v>
      </c>
      <c r="AQ96" s="479">
        <f t="shared" si="126"/>
        <v>532.524</v>
      </c>
      <c r="AR96" s="475">
        <f t="shared" si="126"/>
        <v>3847.2840000000001</v>
      </c>
      <c r="AS96" s="477">
        <f t="shared" ref="AS96:AY96" si="127">AS77-AS93</f>
        <v>587.92900000000009</v>
      </c>
      <c r="AT96" s="478">
        <f t="shared" si="127"/>
        <v>685.34699999999998</v>
      </c>
      <c r="AU96" s="478">
        <f t="shared" si="127"/>
        <v>824.30700000000002</v>
      </c>
      <c r="AV96" s="479">
        <f t="shared" si="127"/>
        <v>438.30699999999996</v>
      </c>
      <c r="AW96" s="475">
        <f t="shared" si="127"/>
        <v>3829.11</v>
      </c>
      <c r="AX96" s="477">
        <f t="shared" si="127"/>
        <v>531.09441280129533</v>
      </c>
      <c r="AY96" s="478">
        <f t="shared" si="127"/>
        <v>627.04175241568191</v>
      </c>
      <c r="AZ96" s="478">
        <f>AZ77-AZ93</f>
        <v>793.29097315841841</v>
      </c>
      <c r="BA96" s="479">
        <f>BA77-BA93</f>
        <v>386.48940508333328</v>
      </c>
      <c r="BB96" s="475">
        <f>BB77-BB93</f>
        <v>2337.9165434587294</v>
      </c>
      <c r="BC96" s="477">
        <f t="shared" ref="BC96:BL96" si="128">BC77-BC93</f>
        <v>597.33191280129529</v>
      </c>
      <c r="BD96" s="478">
        <f t="shared" si="128"/>
        <v>693.27925241568187</v>
      </c>
      <c r="BE96" s="478">
        <f t="shared" si="128"/>
        <v>693.27925241568187</v>
      </c>
      <c r="BF96" s="479">
        <f t="shared" si="128"/>
        <v>452.72690508333324</v>
      </c>
      <c r="BG96" s="475">
        <f t="shared" si="128"/>
        <v>2436.6173227159925</v>
      </c>
      <c r="BH96" s="477">
        <f t="shared" si="128"/>
        <v>644.09441280129522</v>
      </c>
      <c r="BI96" s="478">
        <f t="shared" si="128"/>
        <v>740.04175241568191</v>
      </c>
      <c r="BJ96" s="478">
        <f t="shared" si="128"/>
        <v>740.04175241568191</v>
      </c>
      <c r="BK96" s="479">
        <f t="shared" si="128"/>
        <v>499.48940508333328</v>
      </c>
      <c r="BL96" s="475">
        <f t="shared" si="128"/>
        <v>2623.6673227159918</v>
      </c>
      <c r="BM96" s="477">
        <f>BM77-BM93</f>
        <v>689.2069128012954</v>
      </c>
      <c r="BN96" s="478">
        <f>BN77-BN93</f>
        <v>785.15425241568187</v>
      </c>
      <c r="BO96" s="478">
        <f>BO77-BO93</f>
        <v>785.15425241568187</v>
      </c>
      <c r="BP96" s="479">
        <f>BP77-BP93</f>
        <v>544.60190508333324</v>
      </c>
      <c r="BQ96" s="475">
        <f>BQ77-BQ93</f>
        <v>2804.1173227159925</v>
      </c>
      <c r="BR96" s="475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</row>
    <row r="97" spans="1:105" s="278" customFormat="1">
      <c r="A97" s="290"/>
      <c r="C97" s="290" t="s">
        <v>195</v>
      </c>
      <c r="E97" s="831"/>
      <c r="F97" s="832"/>
      <c r="G97" s="832"/>
      <c r="H97" s="833"/>
      <c r="I97" s="548"/>
      <c r="J97" s="529" t="e">
        <f t="shared" ref="J97:V97" si="129">J96/E96-1</f>
        <v>#DIV/0!</v>
      </c>
      <c r="K97" s="530" t="e">
        <f t="shared" si="129"/>
        <v>#DIV/0!</v>
      </c>
      <c r="L97" s="530" t="e">
        <f t="shared" si="129"/>
        <v>#DIV/0!</v>
      </c>
      <c r="M97" s="531" t="e">
        <f t="shared" si="129"/>
        <v>#DIV/0!</v>
      </c>
      <c r="N97" s="528">
        <f t="shared" si="129"/>
        <v>7.0975405020552662E-2</v>
      </c>
      <c r="O97" s="529">
        <f t="shared" si="129"/>
        <v>-7.453850106529103E-4</v>
      </c>
      <c r="P97" s="530">
        <f t="shared" si="129"/>
        <v>0.24961384744172577</v>
      </c>
      <c r="Q97" s="530">
        <f t="shared" si="129"/>
        <v>-1.162969156840743E-2</v>
      </c>
      <c r="R97" s="531">
        <f t="shared" si="129"/>
        <v>-7.7583584057334676E-3</v>
      </c>
      <c r="S97" s="528">
        <f t="shared" si="129"/>
        <v>4.630035458744608E-2</v>
      </c>
      <c r="T97" s="529">
        <f t="shared" si="129"/>
        <v>5.9811461881803973E-2</v>
      </c>
      <c r="U97" s="530">
        <f t="shared" si="129"/>
        <v>2.7583878692825081E-2</v>
      </c>
      <c r="V97" s="530">
        <f t="shared" si="129"/>
        <v>4.0352915663811828E-2</v>
      </c>
      <c r="W97" s="531">
        <f t="shared" ref="W97:AC97" si="130">W96/R96-1</f>
        <v>4.5432090353133558E-2</v>
      </c>
      <c r="X97" s="528">
        <f t="shared" si="130"/>
        <v>0.63740453992988466</v>
      </c>
      <c r="Y97" s="529">
        <f t="shared" si="130"/>
        <v>9.4775259242495968E-2</v>
      </c>
      <c r="Z97" s="530">
        <f t="shared" si="130"/>
        <v>0.10621704030963697</v>
      </c>
      <c r="AA97" s="530">
        <f t="shared" si="130"/>
        <v>8.7777719161223011E-2</v>
      </c>
      <c r="AB97" s="531">
        <f t="shared" si="130"/>
        <v>0.18200464396284843</v>
      </c>
      <c r="AC97" s="528">
        <f t="shared" si="130"/>
        <v>2.4939581851723958E-4</v>
      </c>
      <c r="AD97" s="529">
        <f t="shared" ref="AD97:AI97" si="131">AD96/Y96-1</f>
        <v>0.10292182937105077</v>
      </c>
      <c r="AE97" s="530">
        <f t="shared" si="131"/>
        <v>3.7822002097441354E-2</v>
      </c>
      <c r="AF97" s="530">
        <f t="shared" si="131"/>
        <v>-1.0253158867184475E-2</v>
      </c>
      <c r="AG97" s="531">
        <f t="shared" si="131"/>
        <v>-4.0937970109440336E-2</v>
      </c>
      <c r="AH97" s="528">
        <f t="shared" si="131"/>
        <v>9.4427741771856422E-3</v>
      </c>
      <c r="AI97" s="529">
        <f t="shared" si="131"/>
        <v>4.4041150393984818E-2</v>
      </c>
      <c r="AJ97" s="530">
        <f t="shared" ref="AJ97:AP97" si="132">AJ96/AE96-1</f>
        <v>7.6678878134715855E-2</v>
      </c>
      <c r="AK97" s="530">
        <f t="shared" si="132"/>
        <v>3.900660906146558E-2</v>
      </c>
      <c r="AL97" s="531">
        <f t="shared" si="132"/>
        <v>-7.3812347276124624E-2</v>
      </c>
      <c r="AM97" s="528">
        <f t="shared" si="132"/>
        <v>0.11480698179600735</v>
      </c>
      <c r="AN97" s="529">
        <f t="shared" si="132"/>
        <v>-0.17919859551117345</v>
      </c>
      <c r="AO97" s="530">
        <f t="shared" si="132"/>
        <v>-0.13654447246823809</v>
      </c>
      <c r="AP97" s="530">
        <f t="shared" si="132"/>
        <v>-6.8403713962326695E-2</v>
      </c>
      <c r="AQ97" s="531">
        <f t="shared" ref="AQ97:AY97" si="133">AQ96/AL96-1</f>
        <v>3.3066332479111615E-2</v>
      </c>
      <c r="AR97" s="528">
        <f t="shared" si="133"/>
        <v>-8.3419139806977127E-2</v>
      </c>
      <c r="AS97" s="529">
        <f t="shared" si="133"/>
        <v>8.9705855096102294E-2</v>
      </c>
      <c r="AT97" s="530">
        <f t="shared" si="133"/>
        <v>9.8731567488882011E-2</v>
      </c>
      <c r="AU97" s="530">
        <f t="shared" si="133"/>
        <v>1.7788615878503666E-2</v>
      </c>
      <c r="AV97" s="531">
        <f t="shared" si="133"/>
        <v>-0.17692535923263564</v>
      </c>
      <c r="AW97" s="528">
        <f t="shared" si="133"/>
        <v>-4.7238519433450143E-3</v>
      </c>
      <c r="AX97" s="529">
        <f t="shared" si="133"/>
        <v>-9.6669133855796785E-2</v>
      </c>
      <c r="AY97" s="530">
        <f t="shared" si="133"/>
        <v>-8.5074053850557552E-2</v>
      </c>
      <c r="AZ97" s="530">
        <f>AZ96/AU96-1</f>
        <v>-3.7626790554467715E-2</v>
      </c>
      <c r="BA97" s="531">
        <f>BA96/AV96-1</f>
        <v>-0.11822214775640516</v>
      </c>
      <c r="BB97" s="528">
        <f>BB96/AW96-1</f>
        <v>-0.38943604559317191</v>
      </c>
      <c r="BC97" s="529">
        <f t="shared" ref="BC97:BL97" si="134">BC96/AX96-1</f>
        <v>0.12471887936200554</v>
      </c>
      <c r="BD97" s="530">
        <f t="shared" si="134"/>
        <v>0.10563491146294424</v>
      </c>
      <c r="BE97" s="530">
        <f>BE96/AY96-1</f>
        <v>0.10563491146294424</v>
      </c>
      <c r="BF97" s="531">
        <f t="shared" si="134"/>
        <v>0.17138244704461725</v>
      </c>
      <c r="BG97" s="528">
        <f t="shared" si="134"/>
        <v>4.2217409142947693E-2</v>
      </c>
      <c r="BH97" s="529">
        <f t="shared" si="134"/>
        <v>7.8285621440680853E-2</v>
      </c>
      <c r="BI97" s="530">
        <f t="shared" si="134"/>
        <v>6.7451174742442443E-2</v>
      </c>
      <c r="BJ97" s="530">
        <f t="shared" si="134"/>
        <v>6.7451174742442443E-2</v>
      </c>
      <c r="BK97" s="531">
        <f t="shared" si="134"/>
        <v>0.10329074652939507</v>
      </c>
      <c r="BL97" s="528">
        <f t="shared" si="134"/>
        <v>7.6766260444829593E-2</v>
      </c>
      <c r="BM97" s="529">
        <f>BM96/BH96-1</f>
        <v>7.0040197684368755E-2</v>
      </c>
      <c r="BN97" s="530">
        <f>BN96/BI96-1</f>
        <v>6.0959398375485474E-2</v>
      </c>
      <c r="BO97" s="530">
        <f>BO96/BJ96-1</f>
        <v>6.0959398375485474E-2</v>
      </c>
      <c r="BP97" s="531">
        <f>BP96/BK96-1</f>
        <v>9.0317231038110846E-2</v>
      </c>
      <c r="BQ97" s="528">
        <f>BQ96/BL96-1</f>
        <v>6.8777774696374472E-2</v>
      </c>
      <c r="BR97" s="528"/>
      <c r="BS97" s="290"/>
      <c r="BT97" s="290"/>
      <c r="BU97" s="290"/>
      <c r="BV97" s="290"/>
      <c r="BW97" s="290"/>
      <c r="BX97" s="290"/>
      <c r="BY97" s="290"/>
      <c r="BZ97" s="290"/>
      <c r="CA97" s="290"/>
      <c r="CB97" s="290"/>
      <c r="CC97" s="290"/>
      <c r="CD97" s="290"/>
      <c r="CE97" s="290"/>
      <c r="CF97" s="290"/>
      <c r="CG97" s="290"/>
      <c r="CH97" s="290"/>
      <c r="CI97" s="290"/>
      <c r="CJ97" s="290"/>
      <c r="CK97" s="290"/>
      <c r="CL97" s="290"/>
      <c r="CM97" s="290"/>
      <c r="CN97" s="290"/>
      <c r="CO97" s="290"/>
      <c r="CP97" s="290"/>
      <c r="CQ97" s="290"/>
      <c r="CR97" s="290"/>
      <c r="CS97" s="290"/>
      <c r="CT97" s="290"/>
      <c r="CU97" s="290"/>
      <c r="CV97" s="290"/>
      <c r="CW97" s="290"/>
      <c r="CX97" s="290"/>
      <c r="CY97" s="290"/>
      <c r="CZ97" s="290"/>
      <c r="DA97" s="290"/>
    </row>
    <row r="98" spans="1:105">
      <c r="A98" s="290"/>
      <c r="B98" s="290"/>
      <c r="C98" s="290"/>
      <c r="D98" s="290"/>
      <c r="E98" s="831"/>
      <c r="F98" s="832"/>
      <c r="G98" s="832"/>
      <c r="H98" s="833"/>
      <c r="I98" s="548"/>
      <c r="J98" s="529"/>
      <c r="K98" s="530"/>
      <c r="L98" s="530"/>
      <c r="M98" s="531"/>
      <c r="N98" s="528"/>
      <c r="O98" s="529"/>
      <c r="P98" s="834"/>
      <c r="Q98" s="834"/>
      <c r="R98" s="531"/>
      <c r="S98" s="528"/>
      <c r="T98" s="529"/>
      <c r="U98" s="530"/>
      <c r="V98" s="530"/>
      <c r="W98" s="531"/>
      <c r="X98" s="528"/>
      <c r="Y98" s="529"/>
      <c r="Z98" s="530"/>
      <c r="AA98" s="530"/>
      <c r="AB98" s="531"/>
      <c r="AC98" s="528"/>
      <c r="AD98" s="529"/>
      <c r="AE98" s="530"/>
      <c r="AF98" s="530"/>
      <c r="AG98" s="531"/>
      <c r="AH98" s="528"/>
      <c r="AI98" s="529"/>
      <c r="AJ98" s="530"/>
      <c r="AK98" s="530"/>
      <c r="AL98" s="531"/>
      <c r="AM98" s="528"/>
      <c r="AN98" s="529"/>
      <c r="AO98" s="530"/>
      <c r="AP98" s="530"/>
      <c r="AQ98" s="531"/>
      <c r="AR98" s="528"/>
      <c r="AS98" s="529"/>
      <c r="AT98" s="530"/>
      <c r="AU98" s="530"/>
      <c r="AV98" s="531"/>
      <c r="AW98" s="528"/>
      <c r="AX98" s="529"/>
      <c r="AY98" s="530"/>
      <c r="AZ98" s="530"/>
      <c r="BA98" s="531"/>
      <c r="BB98" s="528"/>
      <c r="BC98" s="529"/>
      <c r="BD98" s="530"/>
      <c r="BE98" s="530"/>
      <c r="BF98" s="531"/>
      <c r="BG98" s="528"/>
      <c r="BH98" s="529"/>
      <c r="BI98" s="530"/>
      <c r="BJ98" s="530"/>
      <c r="BK98" s="531"/>
      <c r="BL98" s="528"/>
      <c r="BM98" s="529"/>
      <c r="BN98" s="530"/>
      <c r="BO98" s="530"/>
      <c r="BP98" s="531"/>
      <c r="BQ98" s="528"/>
      <c r="BR98" s="528"/>
      <c r="BS98" s="290"/>
      <c r="BT98" s="290"/>
      <c r="BU98" s="290"/>
      <c r="BV98" s="290"/>
      <c r="BW98" s="290"/>
      <c r="BX98" s="290"/>
      <c r="BY98" s="290"/>
      <c r="BZ98" s="290"/>
      <c r="CA98" s="290"/>
      <c r="CB98" s="290"/>
      <c r="CC98" s="290"/>
      <c r="CD98" s="290"/>
      <c r="CE98" s="290"/>
      <c r="CF98" s="290"/>
      <c r="CG98" s="290"/>
      <c r="CH98" s="290"/>
      <c r="CI98" s="290"/>
      <c r="CJ98" s="290"/>
      <c r="CK98" s="290"/>
      <c r="CL98" s="290"/>
      <c r="CM98" s="290"/>
      <c r="CN98" s="290"/>
      <c r="CO98" s="290"/>
      <c r="CP98" s="290"/>
      <c r="CQ98" s="290"/>
      <c r="CR98" s="290"/>
      <c r="CS98" s="290"/>
      <c r="CT98" s="290"/>
      <c r="CU98" s="290"/>
      <c r="CV98" s="290"/>
      <c r="CW98" s="290"/>
      <c r="CX98" s="290"/>
      <c r="CY98" s="290"/>
      <c r="CZ98" s="290"/>
      <c r="DA98" s="290"/>
    </row>
    <row r="99" spans="1:105">
      <c r="A99" s="290"/>
      <c r="B99" s="290"/>
      <c r="C99" s="49" t="s">
        <v>784</v>
      </c>
      <c r="D99" s="290"/>
      <c r="E99" s="831"/>
      <c r="F99" s="832"/>
      <c r="G99" s="832"/>
      <c r="H99" s="833"/>
      <c r="I99" s="548"/>
      <c r="J99" s="529"/>
      <c r="K99" s="530"/>
      <c r="L99" s="530"/>
      <c r="M99" s="531"/>
      <c r="N99" s="528"/>
      <c r="O99" s="529"/>
      <c r="P99" s="834"/>
      <c r="Q99" s="834"/>
      <c r="R99" s="531"/>
      <c r="S99" s="528"/>
      <c r="T99" s="529"/>
      <c r="U99" s="530"/>
      <c r="V99" s="530"/>
      <c r="W99" s="531"/>
      <c r="X99" s="528"/>
      <c r="Y99" s="529"/>
      <c r="Z99" s="530"/>
      <c r="AA99" s="530"/>
      <c r="AB99" s="531"/>
      <c r="AC99" s="528"/>
      <c r="AD99" s="529"/>
      <c r="AE99" s="530"/>
      <c r="AF99" s="530"/>
      <c r="AG99" s="531"/>
      <c r="AH99" s="528"/>
      <c r="AI99" s="529"/>
      <c r="AJ99" s="530"/>
      <c r="AK99" s="530"/>
      <c r="AL99" s="531"/>
      <c r="AM99" s="528"/>
      <c r="AN99" s="529"/>
      <c r="AO99" s="530"/>
      <c r="AP99" s="530"/>
      <c r="AQ99" s="531"/>
      <c r="AR99" s="528"/>
      <c r="AS99" s="529"/>
      <c r="AT99" s="530"/>
      <c r="AU99" s="530"/>
      <c r="AV99" s="531"/>
      <c r="AW99" s="528"/>
      <c r="AX99" s="529"/>
      <c r="AY99" s="530"/>
      <c r="AZ99" s="530"/>
      <c r="BA99" s="531"/>
      <c r="BB99" s="528"/>
      <c r="BC99" s="529"/>
      <c r="BD99" s="530"/>
      <c r="BE99" s="530"/>
      <c r="BF99" s="531"/>
      <c r="BG99" s="528"/>
      <c r="BH99" s="529"/>
      <c r="BI99" s="530"/>
      <c r="BJ99" s="530"/>
      <c r="BK99" s="531"/>
      <c r="BL99" s="528"/>
      <c r="BM99" s="529"/>
      <c r="BN99" s="530"/>
      <c r="BO99" s="530"/>
      <c r="BP99" s="531"/>
      <c r="BQ99" s="528"/>
      <c r="BR99" s="528"/>
      <c r="BS99" s="290"/>
      <c r="BT99" s="290"/>
      <c r="BU99" s="290"/>
      <c r="BV99" s="290"/>
      <c r="BW99" s="290"/>
      <c r="BX99" s="290"/>
      <c r="BY99" s="290"/>
      <c r="BZ99" s="290"/>
      <c r="CA99" s="290"/>
      <c r="CB99" s="290"/>
      <c r="CC99" s="290"/>
      <c r="CD99" s="290"/>
      <c r="CE99" s="290"/>
      <c r="CF99" s="290"/>
      <c r="CG99" s="290"/>
      <c r="CH99" s="290"/>
      <c r="CI99" s="290"/>
      <c r="CJ99" s="290"/>
      <c r="CK99" s="290"/>
      <c r="CL99" s="290"/>
      <c r="CM99" s="290"/>
      <c r="CN99" s="290"/>
      <c r="CO99" s="290"/>
      <c r="CP99" s="290"/>
      <c r="CQ99" s="290"/>
      <c r="CR99" s="290"/>
      <c r="CS99" s="290"/>
      <c r="CT99" s="290"/>
      <c r="CU99" s="290"/>
      <c r="CV99" s="290"/>
      <c r="CW99" s="290"/>
      <c r="CX99" s="290"/>
      <c r="CY99" s="290"/>
      <c r="CZ99" s="290"/>
      <c r="DA99" s="290"/>
    </row>
    <row r="100" spans="1:105">
      <c r="A100" s="290"/>
      <c r="B100" s="290"/>
      <c r="C100" s="37" t="s">
        <v>785</v>
      </c>
      <c r="D100" s="290"/>
      <c r="E100" s="831"/>
      <c r="F100" s="832"/>
      <c r="G100" s="832"/>
      <c r="H100" s="833"/>
      <c r="I100" s="548"/>
      <c r="J100" s="529"/>
      <c r="K100" s="530"/>
      <c r="L100" s="530"/>
      <c r="M100" s="531"/>
      <c r="N100" s="528"/>
      <c r="O100" s="456">
        <v>20</v>
      </c>
      <c r="P100" s="457">
        <v>5187</v>
      </c>
      <c r="Q100" s="457">
        <v>14690</v>
      </c>
      <c r="R100" s="395">
        <f>S100-SUM(O100:Q100)</f>
        <v>302</v>
      </c>
      <c r="S100" s="590">
        <v>20199</v>
      </c>
      <c r="T100" s="456">
        <v>81</v>
      </c>
      <c r="U100" s="457">
        <v>4327</v>
      </c>
      <c r="V100" s="457">
        <v>13546</v>
      </c>
      <c r="W100" s="395">
        <f>X100-SUM(T100:V100)</f>
        <v>300</v>
      </c>
      <c r="X100" s="462">
        <v>18254</v>
      </c>
      <c r="Y100" s="459">
        <v>0</v>
      </c>
      <c r="Z100" s="460">
        <v>4655</v>
      </c>
      <c r="AA100" s="460">
        <v>12355</v>
      </c>
      <c r="AB100" s="395">
        <f>AC100-SUM(Y100:AA100)</f>
        <v>578</v>
      </c>
      <c r="AC100" s="462">
        <v>17588</v>
      </c>
      <c r="AD100" s="459">
        <v>0</v>
      </c>
      <c r="AE100" s="460">
        <v>3434</v>
      </c>
      <c r="AF100" s="460">
        <v>10086</v>
      </c>
      <c r="AG100" s="395">
        <f>AH100-SUM(AD100:AF100)</f>
        <v>244</v>
      </c>
      <c r="AH100" s="462">
        <v>13764</v>
      </c>
      <c r="AI100" s="459">
        <v>0</v>
      </c>
      <c r="AJ100" s="460">
        <v>4814</v>
      </c>
      <c r="AK100" s="460">
        <v>13896</v>
      </c>
      <c r="AL100" s="395">
        <f>AM100-SUM(AI100:AK100)</f>
        <v>270</v>
      </c>
      <c r="AM100" s="462">
        <v>18980</v>
      </c>
      <c r="AN100" s="459">
        <v>69</v>
      </c>
      <c r="AO100" s="460">
        <v>3789</v>
      </c>
      <c r="AP100" s="460">
        <v>15140</v>
      </c>
      <c r="AQ100" s="395">
        <f>AR100-SUM(AN100:AP100)</f>
        <v>455</v>
      </c>
      <c r="AR100" s="462">
        <v>19453</v>
      </c>
      <c r="AS100" s="459">
        <v>15</v>
      </c>
      <c r="AT100" s="460">
        <v>4369</v>
      </c>
      <c r="AU100" s="460">
        <v>11100</v>
      </c>
      <c r="AV100" s="395">
        <f>AW100-SUM(AS100:AU100)</f>
        <v>1160</v>
      </c>
      <c r="AW100" s="462">
        <v>16644</v>
      </c>
      <c r="AX100" s="529"/>
      <c r="AY100" s="530"/>
      <c r="AZ100" s="530"/>
      <c r="BA100" s="531"/>
      <c r="BB100" s="528"/>
      <c r="BC100" s="529"/>
      <c r="BD100" s="530"/>
      <c r="BE100" s="530"/>
      <c r="BF100" s="531"/>
      <c r="BG100" s="528"/>
      <c r="BH100" s="529"/>
      <c r="BI100" s="530"/>
      <c r="BJ100" s="530"/>
      <c r="BK100" s="531"/>
      <c r="BL100" s="528"/>
      <c r="BM100" s="529"/>
      <c r="BN100" s="530"/>
      <c r="BO100" s="530"/>
      <c r="BP100" s="531"/>
      <c r="BQ100" s="528"/>
      <c r="BR100" s="528"/>
      <c r="BS100" s="290"/>
      <c r="BT100" s="290"/>
      <c r="BU100" s="290"/>
      <c r="BV100" s="290"/>
      <c r="BW100" s="290"/>
      <c r="BX100" s="290"/>
      <c r="BY100" s="290"/>
      <c r="BZ100" s="290"/>
      <c r="CA100" s="290"/>
      <c r="CB100" s="290"/>
      <c r="CC100" s="290"/>
      <c r="CD100" s="290"/>
      <c r="CE100" s="290"/>
      <c r="CF100" s="290"/>
      <c r="CG100" s="290"/>
      <c r="CH100" s="290"/>
      <c r="CI100" s="290"/>
      <c r="CJ100" s="290"/>
      <c r="CK100" s="290"/>
      <c r="CL100" s="290"/>
      <c r="CM100" s="290"/>
      <c r="CN100" s="290"/>
      <c r="CO100" s="290"/>
      <c r="CP100" s="290"/>
      <c r="CQ100" s="290"/>
      <c r="CR100" s="290"/>
      <c r="CS100" s="290"/>
      <c r="CT100" s="290"/>
      <c r="CU100" s="290"/>
      <c r="CV100" s="290"/>
      <c r="CW100" s="290"/>
      <c r="CX100" s="290"/>
      <c r="CY100" s="290"/>
      <c r="CZ100" s="290"/>
      <c r="DA100" s="290"/>
    </row>
    <row r="101" spans="1:105">
      <c r="A101" s="290"/>
      <c r="B101" s="290"/>
      <c r="C101" s="37" t="s">
        <v>786</v>
      </c>
      <c r="D101" s="290"/>
      <c r="E101" s="831"/>
      <c r="F101" s="832"/>
      <c r="G101" s="832"/>
      <c r="H101" s="833"/>
      <c r="I101" s="548"/>
      <c r="J101" s="529"/>
      <c r="K101" s="530"/>
      <c r="L101" s="530"/>
      <c r="M101" s="531"/>
      <c r="N101" s="528"/>
      <c r="O101" s="456">
        <v>32</v>
      </c>
      <c r="P101" s="457">
        <v>3813</v>
      </c>
      <c r="Q101" s="457">
        <v>11053</v>
      </c>
      <c r="R101" s="395">
        <f>S101-SUM(O101:Q101)</f>
        <v>327</v>
      </c>
      <c r="S101" s="590">
        <v>15225</v>
      </c>
      <c r="T101" s="456">
        <v>24</v>
      </c>
      <c r="U101" s="457">
        <v>3953</v>
      </c>
      <c r="V101" s="457">
        <v>11291</v>
      </c>
      <c r="W101" s="395">
        <f>X101-SUM(T101:V101)</f>
        <v>289</v>
      </c>
      <c r="X101" s="462">
        <v>15557</v>
      </c>
      <c r="Y101" s="459">
        <v>24</v>
      </c>
      <c r="Z101" s="460">
        <v>3940</v>
      </c>
      <c r="AA101" s="460">
        <v>11508</v>
      </c>
      <c r="AB101" s="395">
        <f>AC101-SUM(Y101:AA101)</f>
        <v>293</v>
      </c>
      <c r="AC101" s="462">
        <v>15765</v>
      </c>
      <c r="AD101" s="459">
        <v>29</v>
      </c>
      <c r="AE101" s="460">
        <v>4018</v>
      </c>
      <c r="AF101" s="460">
        <v>11725</v>
      </c>
      <c r="AG101" s="395">
        <f>AH101-SUM(AD101:AF101)</f>
        <v>301</v>
      </c>
      <c r="AH101" s="462">
        <v>16073</v>
      </c>
      <c r="AI101" s="459">
        <v>29</v>
      </c>
      <c r="AJ101" s="460">
        <v>4044</v>
      </c>
      <c r="AK101" s="460">
        <v>11679</v>
      </c>
      <c r="AL101" s="395">
        <f>AM101-SUM(AI101:AK101)</f>
        <v>322</v>
      </c>
      <c r="AM101" s="462">
        <v>16074</v>
      </c>
      <c r="AN101" s="459">
        <v>29</v>
      </c>
      <c r="AO101" s="460">
        <v>3969</v>
      </c>
      <c r="AP101" s="460">
        <v>11602</v>
      </c>
      <c r="AQ101" s="395">
        <f>AR101-SUM(AN101:AP101)</f>
        <v>329</v>
      </c>
      <c r="AR101" s="462">
        <v>15929</v>
      </c>
      <c r="AS101" s="459">
        <v>29</v>
      </c>
      <c r="AT101" s="460">
        <v>4062</v>
      </c>
      <c r="AU101" s="460">
        <v>11720</v>
      </c>
      <c r="AV101" s="395">
        <f>AW101-SUM(AS101:AU101)</f>
        <v>315</v>
      </c>
      <c r="AW101" s="462">
        <v>16126</v>
      </c>
      <c r="AX101" s="529"/>
      <c r="AY101" s="530"/>
      <c r="AZ101" s="530"/>
      <c r="BA101" s="531"/>
      <c r="BB101" s="528"/>
      <c r="BC101" s="529"/>
      <c r="BD101" s="530"/>
      <c r="BE101" s="530"/>
      <c r="BF101" s="531"/>
      <c r="BG101" s="528"/>
      <c r="BH101" s="529"/>
      <c r="BI101" s="530"/>
      <c r="BJ101" s="530"/>
      <c r="BK101" s="531"/>
      <c r="BL101" s="528"/>
      <c r="BM101" s="529"/>
      <c r="BN101" s="530"/>
      <c r="BO101" s="530"/>
      <c r="BP101" s="531"/>
      <c r="BQ101" s="528"/>
      <c r="BR101" s="528"/>
      <c r="BS101" s="290"/>
      <c r="BT101" s="290"/>
      <c r="BU101" s="290"/>
      <c r="BV101" s="290"/>
      <c r="BW101" s="290"/>
      <c r="BX101" s="290"/>
      <c r="BY101" s="290"/>
      <c r="BZ101" s="290"/>
      <c r="CA101" s="290"/>
      <c r="CB101" s="290"/>
      <c r="CC101" s="290"/>
      <c r="CD101" s="290"/>
      <c r="CE101" s="290"/>
      <c r="CF101" s="290"/>
      <c r="CG101" s="290"/>
      <c r="CH101" s="290"/>
      <c r="CI101" s="290"/>
      <c r="CJ101" s="290"/>
      <c r="CK101" s="290"/>
      <c r="CL101" s="290"/>
      <c r="CM101" s="290"/>
      <c r="CN101" s="290"/>
      <c r="CO101" s="290"/>
      <c r="CP101" s="290"/>
      <c r="CQ101" s="290"/>
      <c r="CR101" s="290"/>
      <c r="CS101" s="290"/>
      <c r="CT101" s="290"/>
      <c r="CU101" s="290"/>
      <c r="CV101" s="290"/>
      <c r="CW101" s="290"/>
      <c r="CX101" s="290"/>
      <c r="CY101" s="290"/>
      <c r="CZ101" s="290"/>
      <c r="DA101" s="290"/>
    </row>
    <row r="102" spans="1:105">
      <c r="A102" s="290"/>
      <c r="B102" s="290"/>
      <c r="C102" s="37"/>
      <c r="D102" s="290"/>
      <c r="E102" s="831"/>
      <c r="F102" s="832"/>
      <c r="G102" s="832"/>
      <c r="H102" s="833"/>
      <c r="I102" s="548"/>
      <c r="J102" s="529"/>
      <c r="K102" s="530"/>
      <c r="L102" s="530"/>
      <c r="M102" s="531"/>
      <c r="N102" s="528"/>
      <c r="O102" s="456"/>
      <c r="P102" s="457"/>
      <c r="Q102" s="457"/>
      <c r="R102" s="395"/>
      <c r="S102" s="590"/>
      <c r="T102" s="456"/>
      <c r="U102" s="457"/>
      <c r="V102" s="457"/>
      <c r="W102" s="531"/>
      <c r="X102" s="528"/>
      <c r="Y102" s="456"/>
      <c r="Z102" s="457"/>
      <c r="AA102" s="460"/>
      <c r="AB102" s="531"/>
      <c r="AC102" s="528"/>
      <c r="AD102" s="456"/>
      <c r="AE102" s="457"/>
      <c r="AF102" s="457"/>
      <c r="AG102" s="531"/>
      <c r="AH102" s="528"/>
      <c r="AI102" s="529"/>
      <c r="AJ102" s="457"/>
      <c r="AK102" s="457"/>
      <c r="AL102" s="531"/>
      <c r="AM102" s="528"/>
      <c r="AN102" s="529"/>
      <c r="AO102" s="457"/>
      <c r="AP102" s="530"/>
      <c r="AQ102" s="531"/>
      <c r="AR102" s="528"/>
      <c r="AS102" s="529"/>
      <c r="AT102" s="530"/>
      <c r="AU102" s="530"/>
      <c r="AV102" s="531"/>
      <c r="AW102" s="528"/>
      <c r="AX102" s="529"/>
      <c r="AY102" s="530"/>
      <c r="AZ102" s="530"/>
      <c r="BA102" s="531"/>
      <c r="BB102" s="528"/>
      <c r="BC102" s="529"/>
      <c r="BD102" s="530"/>
      <c r="BE102" s="530"/>
      <c r="BF102" s="531"/>
      <c r="BG102" s="528"/>
      <c r="BH102" s="529"/>
      <c r="BI102" s="530"/>
      <c r="BJ102" s="530"/>
      <c r="BK102" s="531"/>
      <c r="BL102" s="528"/>
      <c r="BM102" s="529"/>
      <c r="BN102" s="530"/>
      <c r="BO102" s="530"/>
      <c r="BP102" s="531"/>
      <c r="BQ102" s="528"/>
      <c r="BR102" s="528"/>
      <c r="BS102" s="290"/>
      <c r="BT102" s="290"/>
      <c r="BU102" s="290"/>
      <c r="BV102" s="290"/>
      <c r="BW102" s="290"/>
      <c r="BX102" s="290"/>
      <c r="BY102" s="290"/>
      <c r="BZ102" s="290"/>
      <c r="CA102" s="290"/>
      <c r="CB102" s="290"/>
      <c r="CC102" s="290"/>
      <c r="CD102" s="290"/>
      <c r="CE102" s="290"/>
      <c r="CF102" s="290"/>
      <c r="CG102" s="290"/>
      <c r="CH102" s="290"/>
      <c r="CI102" s="290"/>
      <c r="CJ102" s="290"/>
      <c r="CK102" s="290"/>
      <c r="CL102" s="290"/>
      <c r="CM102" s="290"/>
      <c r="CN102" s="290"/>
      <c r="CO102" s="290"/>
      <c r="CP102" s="290"/>
      <c r="CQ102" s="290"/>
      <c r="CR102" s="290"/>
      <c r="CS102" s="290"/>
      <c r="CT102" s="290"/>
      <c r="CU102" s="290"/>
      <c r="CV102" s="290"/>
      <c r="CW102" s="290"/>
      <c r="CX102" s="290"/>
      <c r="CY102" s="290"/>
      <c r="CZ102" s="290"/>
      <c r="DA102" s="290"/>
    </row>
    <row r="103" spans="1:105">
      <c r="A103" s="290"/>
      <c r="B103" s="290"/>
      <c r="C103" s="37" t="s">
        <v>787</v>
      </c>
      <c r="D103" s="290"/>
      <c r="E103" s="831"/>
      <c r="F103" s="832"/>
      <c r="G103" s="832"/>
      <c r="H103" s="833"/>
      <c r="I103" s="548"/>
      <c r="J103" s="529"/>
      <c r="K103" s="530"/>
      <c r="L103" s="530"/>
      <c r="M103" s="531"/>
      <c r="N103" s="528"/>
      <c r="O103" s="456"/>
      <c r="P103" s="457"/>
      <c r="Q103" s="457"/>
      <c r="R103" s="432">
        <f>R100/R101-1</f>
        <v>-7.6452599388379228E-2</v>
      </c>
      <c r="S103" s="590"/>
      <c r="T103" s="422">
        <f>T100/T101-1</f>
        <v>2.375</v>
      </c>
      <c r="U103" s="431">
        <f>U100/U101-1</f>
        <v>9.4611687326081384E-2</v>
      </c>
      <c r="V103" s="431">
        <f>V100/V101-1</f>
        <v>0.19971658843326545</v>
      </c>
      <c r="W103" s="432">
        <f>W100/W101-1</f>
        <v>3.8062283737024138E-2</v>
      </c>
      <c r="X103" s="528"/>
      <c r="Y103" s="422"/>
      <c r="Z103" s="431">
        <f>Z100/Z101-1</f>
        <v>0.18147208121827418</v>
      </c>
      <c r="AA103" s="431">
        <f>AA100/AA101-1</f>
        <v>7.360097323600967E-2</v>
      </c>
      <c r="AB103" s="432">
        <f>AB100/AB101-1</f>
        <v>0.97269624573378843</v>
      </c>
      <c r="AC103" s="528"/>
      <c r="AD103" s="422"/>
      <c r="AE103" s="431">
        <f>(AE100/AE101-1)</f>
        <v>-0.14534594325535088</v>
      </c>
      <c r="AF103" s="431">
        <f>(AF100/AF101-1)</f>
        <v>-0.13978678038379533</v>
      </c>
      <c r="AG103" s="432">
        <f>AG100/AG101-1</f>
        <v>-0.18936877076411962</v>
      </c>
      <c r="AH103" s="528"/>
      <c r="AI103" s="422"/>
      <c r="AJ103" s="431">
        <f>(AJ100/AJ101-1)</f>
        <v>0.1904055390702275</v>
      </c>
      <c r="AK103" s="431">
        <f>(AK100/AK101-1)</f>
        <v>0.18982789622399188</v>
      </c>
      <c r="AL103" s="432">
        <f>AL100/AL101-1</f>
        <v>-0.16149068322981364</v>
      </c>
      <c r="AM103" s="528"/>
      <c r="AN103" s="422">
        <f>AN100/AN101-1</f>
        <v>1.3793103448275863</v>
      </c>
      <c r="AO103" s="431">
        <f>(AO100/AO101-1)</f>
        <v>-4.5351473922902508E-2</v>
      </c>
      <c r="AP103" s="431">
        <f>(AP100/AP101-1)</f>
        <v>0.30494742285812793</v>
      </c>
      <c r="AQ103" s="432">
        <f>AQ100/AQ101-1</f>
        <v>0.38297872340425543</v>
      </c>
      <c r="AR103" s="528"/>
      <c r="AS103" s="422">
        <f>(AS100/AS101-1)</f>
        <v>-0.48275862068965514</v>
      </c>
      <c r="AT103" s="431">
        <f>(AT100/AT101-1)</f>
        <v>7.5578532742491378E-2</v>
      </c>
      <c r="AU103" s="431">
        <f>(AU100/AU101-1)</f>
        <v>-5.2901023890784993E-2</v>
      </c>
      <c r="AV103" s="432">
        <f>AV100/AV101-1</f>
        <v>2.6825396825396823</v>
      </c>
      <c r="AW103" s="528"/>
      <c r="AX103" s="529"/>
      <c r="AY103" s="530"/>
      <c r="AZ103" s="530"/>
      <c r="BA103" s="531"/>
      <c r="BB103" s="528"/>
      <c r="BC103" s="529"/>
      <c r="BD103" s="530"/>
      <c r="BE103" s="530"/>
      <c r="BF103" s="531"/>
      <c r="BG103" s="528"/>
      <c r="BH103" s="529"/>
      <c r="BI103" s="530"/>
      <c r="BJ103" s="530"/>
      <c r="BK103" s="531"/>
      <c r="BL103" s="528"/>
      <c r="BM103" s="529"/>
      <c r="BN103" s="530"/>
      <c r="BO103" s="530"/>
      <c r="BP103" s="531"/>
      <c r="BQ103" s="528"/>
      <c r="BR103" s="528"/>
      <c r="BS103" s="290"/>
      <c r="BT103" s="290"/>
      <c r="BU103" s="290"/>
      <c r="BV103" s="290"/>
      <c r="BW103" s="290"/>
      <c r="BX103" s="290"/>
      <c r="BY103" s="290"/>
      <c r="BZ103" s="290"/>
      <c r="CA103" s="290"/>
      <c r="CB103" s="290"/>
      <c r="CC103" s="290"/>
      <c r="CD103" s="290"/>
      <c r="CE103" s="290"/>
      <c r="CF103" s="290"/>
      <c r="CG103" s="290"/>
      <c r="CH103" s="290"/>
      <c r="CI103" s="290"/>
      <c r="CJ103" s="290"/>
      <c r="CK103" s="290"/>
      <c r="CL103" s="290"/>
      <c r="CM103" s="290"/>
      <c r="CN103" s="290"/>
      <c r="CO103" s="290"/>
      <c r="CP103" s="290"/>
      <c r="CQ103" s="290"/>
      <c r="CR103" s="290"/>
      <c r="CS103" s="290"/>
      <c r="CT103" s="290"/>
      <c r="CU103" s="290"/>
      <c r="CV103" s="290"/>
      <c r="CW103" s="290"/>
      <c r="CX103" s="290"/>
      <c r="CY103" s="290"/>
      <c r="CZ103" s="290"/>
      <c r="DA103" s="290"/>
    </row>
    <row r="104" spans="1:105">
      <c r="A104" s="290"/>
      <c r="B104" s="290"/>
      <c r="C104" s="37" t="s">
        <v>788</v>
      </c>
      <c r="D104" s="290"/>
      <c r="E104" s="831"/>
      <c r="F104" s="832"/>
      <c r="G104" s="832"/>
      <c r="H104" s="833"/>
      <c r="I104" s="548"/>
      <c r="J104" s="529"/>
      <c r="K104" s="530"/>
      <c r="L104" s="530"/>
      <c r="M104" s="531"/>
      <c r="N104" s="528"/>
      <c r="O104" s="456"/>
      <c r="P104" s="457"/>
      <c r="Q104" s="457"/>
      <c r="R104" s="432">
        <f>R103/R105</f>
        <v>-7.6452599388379229E-3</v>
      </c>
      <c r="S104" s="590"/>
      <c r="T104" s="422">
        <f>T103/T105</f>
        <v>4.7499999999999999E-3</v>
      </c>
      <c r="U104" s="431">
        <f>U103/U105</f>
        <v>9.4611687326081381E-3</v>
      </c>
      <c r="V104" s="431">
        <f>V103/V105</f>
        <v>1.9971658843326544E-2</v>
      </c>
      <c r="W104" s="432">
        <f>W103/W105</f>
        <v>7.612456747404828E-5</v>
      </c>
      <c r="X104" s="528"/>
      <c r="Y104" s="380">
        <v>6.7000000000000004E-2</v>
      </c>
      <c r="Z104" s="431">
        <f>Z103/Z105</f>
        <v>1.8147208121827418E-2</v>
      </c>
      <c r="AA104" s="431">
        <f>AA103/AA105</f>
        <v>2.264645330338759E-2</v>
      </c>
      <c r="AB104" s="432">
        <f>AB103/AB105</f>
        <v>2.7019340159271901E-2</v>
      </c>
      <c r="AC104" s="528"/>
      <c r="AD104" s="380">
        <v>1.2999999999999999E-2</v>
      </c>
      <c r="AE104" s="431">
        <f>(AE103/AE105)</f>
        <v>-1.4534594325535088E-2</v>
      </c>
      <c r="AF104" s="431">
        <f>(AF103/AF105)</f>
        <v>-1.7473347547974416E-2</v>
      </c>
      <c r="AG104" s="432">
        <f>AG103/AG105</f>
        <v>-1.8936877076411961E-2</v>
      </c>
      <c r="AH104" s="528"/>
      <c r="AI104" s="1581">
        <f>AI86-0.2%</f>
        <v>7.726680284019018E-3</v>
      </c>
      <c r="AJ104" s="431">
        <f>(AJ103/AJ105)</f>
        <v>1.0578085503901527E-2</v>
      </c>
      <c r="AK104" s="431">
        <f>(AK103/AK105)</f>
        <v>1.8078847259427797E-2</v>
      </c>
      <c r="AL104" s="432">
        <f>AL103/AL105</f>
        <v>-1.6149068322981363E-2</v>
      </c>
      <c r="AM104" s="528"/>
      <c r="AN104" s="529">
        <v>-0.03</v>
      </c>
      <c r="AO104" s="431">
        <f>(AO103/AO105)</f>
        <v>-4.5351473922902504E-3</v>
      </c>
      <c r="AP104" s="431">
        <f>(AP103/AP105)</f>
        <v>1.0164914095270931E-2</v>
      </c>
      <c r="AQ104" s="432">
        <f>AQ103/AQ105</f>
        <v>2.2528160200250318E-2</v>
      </c>
      <c r="AR104" s="528"/>
      <c r="AS104" s="422">
        <f>(AS103/AS105)</f>
        <v>-7.2053525476067932E-3</v>
      </c>
      <c r="AT104" s="431">
        <f>(AT103/AT105)</f>
        <v>5.8137332878839525E-3</v>
      </c>
      <c r="AU104" s="431">
        <f>(AU103/AU105)</f>
        <v>-1.3225255972696248E-2</v>
      </c>
      <c r="AV104" s="1735">
        <v>-4.0000000000000001E-3</v>
      </c>
      <c r="AW104" s="528"/>
      <c r="AX104" s="529"/>
      <c r="AY104" s="530"/>
      <c r="AZ104" s="530"/>
      <c r="BA104" s="531"/>
      <c r="BB104" s="528"/>
      <c r="BC104" s="529"/>
      <c r="BD104" s="530"/>
      <c r="BE104" s="530"/>
      <c r="BF104" s="531"/>
      <c r="BG104" s="528"/>
      <c r="BH104" s="529"/>
      <c r="BI104" s="530"/>
      <c r="BJ104" s="530"/>
      <c r="BK104" s="531"/>
      <c r="BL104" s="528"/>
      <c r="BM104" s="529"/>
      <c r="BN104" s="530"/>
      <c r="BO104" s="530"/>
      <c r="BP104" s="531"/>
      <c r="BQ104" s="528"/>
      <c r="BR104" s="528"/>
      <c r="BS104" s="290"/>
      <c r="BT104" s="290"/>
      <c r="BU104" s="290"/>
      <c r="BV104" s="290"/>
      <c r="BW104" s="290"/>
      <c r="BX104" s="290"/>
      <c r="BY104" s="290"/>
      <c r="BZ104" s="290"/>
      <c r="CA104" s="290"/>
      <c r="CB104" s="290"/>
      <c r="CC104" s="290"/>
      <c r="CD104" s="290"/>
      <c r="CE104" s="290"/>
      <c r="CF104" s="290"/>
      <c r="CG104" s="290"/>
      <c r="CH104" s="290"/>
      <c r="CI104" s="290"/>
      <c r="CJ104" s="290"/>
      <c r="CK104" s="290"/>
      <c r="CL104" s="290"/>
      <c r="CM104" s="290"/>
      <c r="CN104" s="290"/>
      <c r="CO104" s="290"/>
      <c r="CP104" s="290"/>
      <c r="CQ104" s="290"/>
      <c r="CR104" s="290"/>
      <c r="CS104" s="290"/>
      <c r="CT104" s="290"/>
      <c r="CU104" s="290"/>
      <c r="CV104" s="290"/>
      <c r="CW104" s="290"/>
      <c r="CX104" s="290"/>
      <c r="CY104" s="290"/>
      <c r="CZ104" s="290"/>
      <c r="DA104" s="290"/>
    </row>
    <row r="105" spans="1:105">
      <c r="A105" s="290"/>
      <c r="B105" s="290"/>
      <c r="C105" s="37" t="s">
        <v>789</v>
      </c>
      <c r="D105" s="290"/>
      <c r="E105" s="831"/>
      <c r="F105" s="832"/>
      <c r="G105" s="832"/>
      <c r="H105" s="833"/>
      <c r="I105" s="548"/>
      <c r="J105" s="529"/>
      <c r="K105" s="530"/>
      <c r="L105" s="530"/>
      <c r="M105" s="531"/>
      <c r="N105" s="528"/>
      <c r="O105" s="456"/>
      <c r="P105" s="457"/>
      <c r="Q105" s="457"/>
      <c r="R105" s="458">
        <v>10</v>
      </c>
      <c r="S105" s="590"/>
      <c r="T105" s="456">
        <v>500</v>
      </c>
      <c r="U105" s="457">
        <v>10</v>
      </c>
      <c r="V105" s="457">
        <v>10</v>
      </c>
      <c r="W105" s="458">
        <v>500</v>
      </c>
      <c r="X105" s="528"/>
      <c r="Y105" s="456"/>
      <c r="Z105" s="457">
        <v>10</v>
      </c>
      <c r="AA105" s="460">
        <v>3.25</v>
      </c>
      <c r="AB105" s="458">
        <v>36</v>
      </c>
      <c r="AC105" s="528"/>
      <c r="AD105" s="456"/>
      <c r="AE105" s="457">
        <v>10</v>
      </c>
      <c r="AF105" s="457">
        <v>8</v>
      </c>
      <c r="AG105" s="458">
        <v>10</v>
      </c>
      <c r="AH105" s="528"/>
      <c r="AI105" s="456"/>
      <c r="AJ105" s="457">
        <v>18</v>
      </c>
      <c r="AK105" s="457">
        <v>10.5</v>
      </c>
      <c r="AL105" s="458">
        <v>10</v>
      </c>
      <c r="AM105" s="528"/>
      <c r="AN105" s="456">
        <v>3.25</v>
      </c>
      <c r="AO105" s="457">
        <v>10</v>
      </c>
      <c r="AP105" s="457">
        <v>30</v>
      </c>
      <c r="AQ105" s="458">
        <v>17</v>
      </c>
      <c r="AR105" s="528"/>
      <c r="AS105" s="456">
        <v>67</v>
      </c>
      <c r="AT105" s="457">
        <v>13</v>
      </c>
      <c r="AU105" s="457">
        <v>4</v>
      </c>
      <c r="AV105" s="458"/>
      <c r="AW105" s="528"/>
      <c r="AX105" s="529"/>
      <c r="AY105" s="530"/>
      <c r="AZ105" s="530"/>
      <c r="BA105" s="531"/>
      <c r="BB105" s="528"/>
      <c r="BC105" s="529"/>
      <c r="BD105" s="530"/>
      <c r="BE105" s="530"/>
      <c r="BF105" s="531"/>
      <c r="BG105" s="528"/>
      <c r="BH105" s="529"/>
      <c r="BI105" s="530"/>
      <c r="BJ105" s="530"/>
      <c r="BK105" s="531"/>
      <c r="BL105" s="528"/>
      <c r="BM105" s="529"/>
      <c r="BN105" s="530"/>
      <c r="BO105" s="530"/>
      <c r="BP105" s="531"/>
      <c r="BQ105" s="528"/>
      <c r="BR105" s="528"/>
      <c r="BS105" s="290"/>
      <c r="BT105" s="290"/>
      <c r="BU105" s="290"/>
      <c r="BV105" s="290"/>
      <c r="BW105" s="290"/>
      <c r="BX105" s="290"/>
      <c r="BY105" s="290"/>
      <c r="BZ105" s="290"/>
      <c r="CA105" s="290"/>
      <c r="CB105" s="290"/>
      <c r="CC105" s="290"/>
      <c r="CD105" s="290"/>
      <c r="CE105" s="290"/>
      <c r="CF105" s="290"/>
      <c r="CG105" s="290"/>
      <c r="CH105" s="290"/>
      <c r="CI105" s="290"/>
      <c r="CJ105" s="290"/>
      <c r="CK105" s="290"/>
      <c r="CL105" s="290"/>
      <c r="CM105" s="290"/>
      <c r="CN105" s="290"/>
      <c r="CO105" s="290"/>
      <c r="CP105" s="290"/>
      <c r="CQ105" s="290"/>
      <c r="CR105" s="290"/>
      <c r="CS105" s="290"/>
      <c r="CT105" s="290"/>
      <c r="CU105" s="290"/>
      <c r="CV105" s="290"/>
      <c r="CW105" s="290"/>
      <c r="CX105" s="290"/>
      <c r="CY105" s="290"/>
      <c r="CZ105" s="290"/>
      <c r="DA105" s="290"/>
    </row>
    <row r="106" spans="1:105">
      <c r="A106" s="290"/>
      <c r="B106" s="290"/>
      <c r="C106" s="37"/>
      <c r="D106" s="290"/>
      <c r="E106" s="831"/>
      <c r="F106" s="832"/>
      <c r="G106" s="832"/>
      <c r="H106" s="833"/>
      <c r="I106" s="548"/>
      <c r="J106" s="529"/>
      <c r="K106" s="530"/>
      <c r="L106" s="530"/>
      <c r="M106" s="531"/>
      <c r="N106" s="528"/>
      <c r="O106" s="456"/>
      <c r="P106" s="457"/>
      <c r="Q106" s="457"/>
      <c r="R106" s="458"/>
      <c r="S106" s="590"/>
      <c r="T106" s="456"/>
      <c r="U106" s="457"/>
      <c r="V106" s="457"/>
      <c r="W106" s="531"/>
      <c r="X106" s="528"/>
      <c r="Y106" s="456"/>
      <c r="Z106" s="457"/>
      <c r="AA106" s="460"/>
      <c r="AB106" s="531"/>
      <c r="AC106" s="528"/>
      <c r="AD106" s="456"/>
      <c r="AE106" s="457"/>
      <c r="AF106" s="457"/>
      <c r="AG106" s="531"/>
      <c r="AH106" s="528"/>
      <c r="AI106" s="456"/>
      <c r="AJ106" s="530"/>
      <c r="AK106" s="530"/>
      <c r="AL106" s="531"/>
      <c r="AM106" s="528"/>
      <c r="AN106" s="456"/>
      <c r="AO106" s="530"/>
      <c r="AP106" s="530"/>
      <c r="AQ106" s="531"/>
      <c r="AR106" s="528"/>
      <c r="AS106" s="456"/>
      <c r="AT106" s="530"/>
      <c r="AU106" s="530"/>
      <c r="AV106" s="531"/>
      <c r="AW106" s="528"/>
      <c r="AX106" s="529"/>
      <c r="AY106" s="530"/>
      <c r="AZ106" s="530"/>
      <c r="BA106" s="531"/>
      <c r="BB106" s="528"/>
      <c r="BC106" s="529"/>
      <c r="BD106" s="530"/>
      <c r="BE106" s="530"/>
      <c r="BF106" s="531"/>
      <c r="BG106" s="528"/>
      <c r="BH106" s="529"/>
      <c r="BI106" s="530"/>
      <c r="BJ106" s="530"/>
      <c r="BK106" s="531"/>
      <c r="BL106" s="528"/>
      <c r="BM106" s="529"/>
      <c r="BN106" s="530"/>
      <c r="BO106" s="530"/>
      <c r="BP106" s="531"/>
      <c r="BQ106" s="528"/>
      <c r="BR106" s="528"/>
      <c r="BS106" s="290"/>
      <c r="BT106" s="290"/>
      <c r="BU106" s="290"/>
      <c r="BV106" s="290"/>
      <c r="BW106" s="290"/>
      <c r="BX106" s="290"/>
      <c r="BY106" s="290"/>
      <c r="BZ106" s="290"/>
      <c r="CA106" s="290"/>
      <c r="CB106" s="290"/>
      <c r="CC106" s="290"/>
      <c r="CD106" s="290"/>
      <c r="CE106" s="290"/>
      <c r="CF106" s="290"/>
      <c r="CG106" s="290"/>
      <c r="CH106" s="290"/>
      <c r="CI106" s="290"/>
      <c r="CJ106" s="290"/>
      <c r="CK106" s="290"/>
      <c r="CL106" s="290"/>
      <c r="CM106" s="290"/>
      <c r="CN106" s="290"/>
      <c r="CO106" s="290"/>
      <c r="CP106" s="290"/>
      <c r="CQ106" s="290"/>
      <c r="CR106" s="290"/>
      <c r="CS106" s="290"/>
      <c r="CT106" s="290"/>
      <c r="CU106" s="290"/>
      <c r="CV106" s="290"/>
      <c r="CW106" s="290"/>
      <c r="CX106" s="290"/>
      <c r="CY106" s="290"/>
      <c r="CZ106" s="290"/>
      <c r="DA106" s="290"/>
    </row>
    <row r="107" spans="1:105">
      <c r="A107" s="290"/>
      <c r="B107" s="290"/>
      <c r="C107" s="37" t="s">
        <v>790</v>
      </c>
      <c r="D107" s="290"/>
      <c r="E107" s="831"/>
      <c r="F107" s="832"/>
      <c r="G107" s="832"/>
      <c r="H107" s="833"/>
      <c r="I107" s="548"/>
      <c r="J107" s="529"/>
      <c r="K107" s="530"/>
      <c r="L107" s="530"/>
      <c r="M107" s="531"/>
      <c r="N107" s="528"/>
      <c r="O107" s="456"/>
      <c r="P107" s="457"/>
      <c r="Q107" s="457"/>
      <c r="R107" s="1202">
        <f>((R104*(R8-R12))*0.65)/R41</f>
        <v>-4.6027288088583765E-3</v>
      </c>
      <c r="S107" s="590"/>
      <c r="T107" s="1203">
        <f>((T104*(T8-T12))*0.65)/T41</f>
        <v>3.1751507556766964E-3</v>
      </c>
      <c r="U107" s="1204">
        <f>((U104*(U8-U12))*0.65)/U41</f>
        <v>7.0893475706011776E-3</v>
      </c>
      <c r="V107" s="1204">
        <f>((V104*(V8-V12))*0.65)/V41</f>
        <v>1.9895072284625049E-2</v>
      </c>
      <c r="W107" s="1202">
        <f>((W104*(W8-W12))*0.65)/W41</f>
        <v>4.7893714048605444E-5</v>
      </c>
      <c r="X107" s="528"/>
      <c r="Y107" s="1203">
        <f>((Y104*(Y8-Y12))*0.65)/Y41</f>
        <v>4.9012510449114775E-2</v>
      </c>
      <c r="Z107" s="1204">
        <f>((Z104*(Z8-Z12))*0.65)/Z41</f>
        <v>1.5029995455812269E-2</v>
      </c>
      <c r="AA107" s="1204">
        <f>((AA104*(AA8-AA12))*0.65)/AA41</f>
        <v>2.451166079243643E-2</v>
      </c>
      <c r="AB107" s="1202">
        <f>((AB104*(AB8-AB12))*0.65)/AB41</f>
        <v>2.0070773647459461E-2</v>
      </c>
      <c r="AC107" s="528"/>
      <c r="AD107" s="1203">
        <f>((AD104*(AD8-AD12))*0.65)/AD41</f>
        <v>1.0476045869590474E-2</v>
      </c>
      <c r="AE107" s="1204">
        <f>((AE104*(AE8-AE12))*0.65)/AE41</f>
        <v>-1.2476633935455532E-2</v>
      </c>
      <c r="AF107" s="1204">
        <f>((AF104*(AF8-AF12))*0.65)/AF41</f>
        <v>-1.8728608852160159E-2</v>
      </c>
      <c r="AG107" s="1202">
        <f>((AG104*(AG8-AG12))*0.65)/AG41</f>
        <v>-1.3485591335966727E-2</v>
      </c>
      <c r="AH107" s="528"/>
      <c r="AI107" s="1203">
        <f>((AI104*(AI8-AI12))*0.65)/AI41</f>
        <v>6.5007669621027124E-3</v>
      </c>
      <c r="AJ107" s="1204">
        <f>((AJ104*(AJ8-AJ12))*0.65)/AJ41</f>
        <v>9.7776763400062132E-3</v>
      </c>
      <c r="AK107" s="1204">
        <f>((AK104*(AK8-AK12))*0.65)/AK41</f>
        <v>2.0110553808567414E-2</v>
      </c>
      <c r="AL107" s="1202">
        <f>((AL104*(AL8-AL12))*0.65)/AL41</f>
        <v>-1.0651434317992859E-2</v>
      </c>
      <c r="AM107" s="528"/>
      <c r="AN107" s="1203">
        <f>((AN104*(AN8-AN12))*0.65)/AN41</f>
        <v>-2.0710305118110235E-2</v>
      </c>
      <c r="AO107" s="1204">
        <f>((AO104*(AO8-AO12))*0.65)/AO41</f>
        <v>-3.6195948720695635E-3</v>
      </c>
      <c r="AP107" s="1204">
        <f>((AP104*(AP8-AP12))*0.65)/AP41</f>
        <v>1.0533792424692819E-2</v>
      </c>
      <c r="AQ107" s="1202">
        <f>((AQ104*(AQ8-AQ12))*0.65)/AQ41</f>
        <v>1.535021828466686E-2</v>
      </c>
      <c r="AR107" s="528"/>
      <c r="AS107" s="1203">
        <f>((AS104*(AS8-AS12))*0.65)/AS41</f>
        <v>-5.4203803477859145E-3</v>
      </c>
      <c r="AT107" s="1204">
        <f>((AT104*(AT8-AT12))*0.65)/AT41</f>
        <v>5.1082367533992357E-3</v>
      </c>
      <c r="AU107" s="1204">
        <f>((AU104*(AU8-AU12))*0.65)/AU41</f>
        <v>-1.3976501378314523E-2</v>
      </c>
      <c r="AV107" s="531"/>
      <c r="AW107" s="528"/>
      <c r="AX107" s="529"/>
      <c r="AY107" s="530"/>
      <c r="AZ107" s="530"/>
      <c r="BA107" s="531"/>
      <c r="BB107" s="528"/>
      <c r="BC107" s="529"/>
      <c r="BD107" s="530"/>
      <c r="BE107" s="530"/>
      <c r="BF107" s="531"/>
      <c r="BG107" s="528"/>
      <c r="BH107" s="529"/>
      <c r="BI107" s="530"/>
      <c r="BJ107" s="530"/>
      <c r="BK107" s="531"/>
      <c r="BL107" s="528"/>
      <c r="BM107" s="529"/>
      <c r="BN107" s="530"/>
      <c r="BO107" s="530"/>
      <c r="BP107" s="531"/>
      <c r="BQ107" s="528"/>
      <c r="BR107" s="528"/>
      <c r="BS107" s="290"/>
      <c r="BT107" s="290"/>
      <c r="BU107" s="290"/>
      <c r="BV107" s="290"/>
      <c r="BW107" s="290"/>
      <c r="BX107" s="290"/>
      <c r="BY107" s="290"/>
      <c r="BZ107" s="290"/>
      <c r="CA107" s="290"/>
      <c r="CB107" s="290"/>
      <c r="CC107" s="290"/>
      <c r="CD107" s="290"/>
      <c r="CE107" s="290"/>
      <c r="CF107" s="290"/>
      <c r="CG107" s="290"/>
      <c r="CH107" s="290"/>
      <c r="CI107" s="290"/>
      <c r="CJ107" s="290"/>
      <c r="CK107" s="290"/>
      <c r="CL107" s="290"/>
      <c r="CM107" s="290"/>
      <c r="CN107" s="290"/>
      <c r="CO107" s="290"/>
      <c r="CP107" s="290"/>
      <c r="CQ107" s="290"/>
      <c r="CR107" s="290"/>
      <c r="CS107" s="290"/>
      <c r="CT107" s="290"/>
      <c r="CU107" s="290"/>
      <c r="CV107" s="290"/>
      <c r="CW107" s="290"/>
      <c r="CX107" s="290"/>
      <c r="CY107" s="290"/>
      <c r="CZ107" s="290"/>
      <c r="DA107" s="290"/>
    </row>
    <row r="108" spans="1:105">
      <c r="A108" s="290"/>
      <c r="B108" s="290"/>
      <c r="C108" s="290"/>
      <c r="D108" s="290"/>
      <c r="E108" s="831"/>
      <c r="F108" s="832"/>
      <c r="G108" s="832"/>
      <c r="H108" s="833"/>
      <c r="I108" s="548"/>
      <c r="J108" s="529"/>
      <c r="K108" s="530"/>
      <c r="L108" s="530"/>
      <c r="M108" s="531"/>
      <c r="N108" s="528"/>
      <c r="O108" s="529"/>
      <c r="P108" s="834"/>
      <c r="Q108" s="834"/>
      <c r="R108" s="531"/>
      <c r="S108" s="528"/>
      <c r="T108" s="529"/>
      <c r="U108" s="530"/>
      <c r="V108" s="530"/>
      <c r="W108" s="531"/>
      <c r="X108" s="528"/>
      <c r="Y108" s="529"/>
      <c r="Z108" s="530"/>
      <c r="AA108" s="530"/>
      <c r="AB108" s="531"/>
      <c r="AC108" s="528"/>
      <c r="AD108" s="529"/>
      <c r="AE108" s="530"/>
      <c r="AF108" s="530"/>
      <c r="AG108" s="531"/>
      <c r="AH108" s="528"/>
      <c r="AI108" s="529"/>
      <c r="AJ108" s="530"/>
      <c r="AK108" s="530"/>
      <c r="AL108" s="531"/>
      <c r="AM108" s="528"/>
      <c r="AN108" s="529"/>
      <c r="AO108" s="530"/>
      <c r="AP108" s="530"/>
      <c r="AQ108" s="531"/>
      <c r="AR108" s="528"/>
      <c r="AS108" s="529"/>
      <c r="AT108" s="530"/>
      <c r="AU108" s="530"/>
      <c r="AV108" s="531"/>
      <c r="AW108" s="528"/>
      <c r="AX108" s="529"/>
      <c r="AY108" s="530"/>
      <c r="AZ108" s="530"/>
      <c r="BA108" s="531"/>
      <c r="BB108" s="528"/>
      <c r="BC108" s="529"/>
      <c r="BD108" s="530"/>
      <c r="BE108" s="530"/>
      <c r="BF108" s="531"/>
      <c r="BG108" s="528"/>
      <c r="BH108" s="529"/>
      <c r="BI108" s="530"/>
      <c r="BJ108" s="530"/>
      <c r="BK108" s="531"/>
      <c r="BL108" s="528"/>
      <c r="BM108" s="529"/>
      <c r="BN108" s="530"/>
      <c r="BO108" s="530"/>
      <c r="BP108" s="531"/>
      <c r="BQ108" s="528"/>
      <c r="BR108" s="528"/>
      <c r="BS108" s="290"/>
      <c r="BT108" s="290"/>
      <c r="BU108" s="290"/>
      <c r="BV108" s="290"/>
      <c r="BW108" s="290"/>
      <c r="BX108" s="290"/>
      <c r="BY108" s="290"/>
      <c r="BZ108" s="290"/>
      <c r="CA108" s="290"/>
      <c r="CB108" s="290"/>
      <c r="CC108" s="290"/>
      <c r="CD108" s="290"/>
      <c r="CE108" s="290"/>
      <c r="CF108" s="290"/>
      <c r="CG108" s="290"/>
      <c r="CH108" s="290"/>
      <c r="CI108" s="290"/>
      <c r="CJ108" s="290"/>
      <c r="CK108" s="290"/>
      <c r="CL108" s="290"/>
      <c r="CM108" s="290"/>
      <c r="CN108" s="290"/>
      <c r="CO108" s="290"/>
      <c r="CP108" s="290"/>
      <c r="CQ108" s="290"/>
      <c r="CR108" s="290"/>
      <c r="CS108" s="290"/>
      <c r="CT108" s="290"/>
      <c r="CU108" s="290"/>
      <c r="CV108" s="290"/>
      <c r="CW108" s="290"/>
      <c r="CX108" s="290"/>
      <c r="CY108" s="290"/>
      <c r="CZ108" s="290"/>
      <c r="DA108" s="290"/>
    </row>
    <row r="109" spans="1:105">
      <c r="A109" s="290"/>
      <c r="B109" s="290"/>
      <c r="C109" s="290"/>
      <c r="D109" s="290"/>
      <c r="E109" s="831"/>
      <c r="F109" s="832"/>
      <c r="G109" s="832"/>
      <c r="H109" s="833"/>
      <c r="I109" s="548"/>
      <c r="J109" s="529"/>
      <c r="K109" s="530"/>
      <c r="L109" s="530"/>
      <c r="M109" s="531"/>
      <c r="N109" s="528"/>
      <c r="O109" s="529"/>
      <c r="P109" s="834"/>
      <c r="Q109" s="834"/>
      <c r="R109" s="531"/>
      <c r="S109" s="528"/>
      <c r="T109" s="529"/>
      <c r="U109" s="530"/>
      <c r="V109" s="530"/>
      <c r="W109" s="531"/>
      <c r="X109" s="528"/>
      <c r="Y109" s="529"/>
      <c r="Z109" s="530"/>
      <c r="AA109" s="530"/>
      <c r="AB109" s="531"/>
      <c r="AC109" s="528"/>
      <c r="AD109" s="529"/>
      <c r="AE109" s="530"/>
      <c r="AF109" s="530"/>
      <c r="AG109" s="531"/>
      <c r="AH109" s="528"/>
      <c r="AI109" s="529"/>
      <c r="AJ109" s="530"/>
      <c r="AK109" s="530"/>
      <c r="AL109" s="531"/>
      <c r="AM109" s="528"/>
      <c r="AN109" s="529"/>
      <c r="AO109" s="530"/>
      <c r="AP109" s="530"/>
      <c r="AQ109" s="531"/>
      <c r="AR109" s="528"/>
      <c r="AS109" s="529"/>
      <c r="AT109" s="530"/>
      <c r="AU109" s="530"/>
      <c r="AV109" s="531"/>
      <c r="AW109" s="528"/>
      <c r="AX109" s="529"/>
      <c r="AY109" s="530"/>
      <c r="AZ109" s="530"/>
      <c r="BA109" s="531"/>
      <c r="BB109" s="528"/>
      <c r="BC109" s="529"/>
      <c r="BD109" s="530"/>
      <c r="BE109" s="530"/>
      <c r="BF109" s="531"/>
      <c r="BG109" s="528"/>
      <c r="BH109" s="529"/>
      <c r="BI109" s="530"/>
      <c r="BJ109" s="530"/>
      <c r="BK109" s="531"/>
      <c r="BL109" s="528"/>
      <c r="BM109" s="529"/>
      <c r="BN109" s="530"/>
      <c r="BO109" s="530"/>
      <c r="BP109" s="531"/>
      <c r="BQ109" s="528"/>
      <c r="BR109" s="528"/>
      <c r="BS109" s="290"/>
      <c r="BT109" s="290"/>
      <c r="BU109" s="290"/>
      <c r="BV109" s="290"/>
      <c r="BW109" s="290"/>
      <c r="BX109" s="290"/>
      <c r="BY109" s="290"/>
      <c r="BZ109" s="290"/>
      <c r="CA109" s="290"/>
      <c r="CB109" s="290"/>
      <c r="CC109" s="290"/>
      <c r="CD109" s="290"/>
      <c r="CE109" s="290"/>
      <c r="CF109" s="290"/>
      <c r="CG109" s="290"/>
      <c r="CH109" s="290"/>
      <c r="CI109" s="290"/>
      <c r="CJ109" s="290"/>
      <c r="CK109" s="290"/>
      <c r="CL109" s="290"/>
      <c r="CM109" s="290"/>
      <c r="CN109" s="290"/>
      <c r="CO109" s="290"/>
      <c r="CP109" s="290"/>
      <c r="CQ109" s="290"/>
      <c r="CR109" s="290"/>
      <c r="CS109" s="290"/>
      <c r="CT109" s="290"/>
      <c r="CU109" s="290"/>
      <c r="CV109" s="290"/>
      <c r="CW109" s="290"/>
      <c r="CX109" s="290"/>
      <c r="CY109" s="290"/>
      <c r="CZ109" s="290"/>
      <c r="DA109" s="290"/>
    </row>
    <row r="110" spans="1:105">
      <c r="A110" s="290"/>
      <c r="B110" s="304" t="s">
        <v>154</v>
      </c>
      <c r="C110" s="304"/>
      <c r="D110" s="18"/>
      <c r="E110" s="831"/>
      <c r="F110" s="832"/>
      <c r="G110" s="832"/>
      <c r="H110" s="833"/>
      <c r="I110" s="548"/>
      <c r="J110" s="529"/>
      <c r="K110" s="530"/>
      <c r="L110" s="530"/>
      <c r="M110" s="531"/>
      <c r="N110" s="528"/>
      <c r="O110" s="529"/>
      <c r="P110" s="834"/>
      <c r="Q110" s="530"/>
      <c r="R110" s="531"/>
      <c r="S110" s="528"/>
      <c r="T110" s="529"/>
      <c r="U110" s="530"/>
      <c r="V110" s="530"/>
      <c r="W110" s="531"/>
      <c r="X110" s="528"/>
      <c r="Y110" s="529"/>
      <c r="Z110" s="530"/>
      <c r="AA110" s="530"/>
      <c r="AB110" s="531"/>
      <c r="AC110" s="528"/>
      <c r="AD110" s="529"/>
      <c r="AE110" s="530"/>
      <c r="AF110" s="530"/>
      <c r="AG110" s="531"/>
      <c r="AH110" s="528"/>
      <c r="AI110" s="529"/>
      <c r="AJ110" s="530"/>
      <c r="AK110" s="530"/>
      <c r="AL110" s="531"/>
      <c r="AM110" s="528"/>
      <c r="AN110" s="529"/>
      <c r="AO110" s="530"/>
      <c r="AP110" s="530"/>
      <c r="AQ110" s="531"/>
      <c r="AR110" s="528"/>
      <c r="AS110" s="529"/>
      <c r="AT110" s="530"/>
      <c r="AU110" s="530"/>
      <c r="AV110" s="531"/>
      <c r="AW110" s="528"/>
      <c r="AX110" s="529"/>
      <c r="AY110" s="530"/>
      <c r="AZ110" s="530"/>
      <c r="BA110" s="531"/>
      <c r="BB110" s="528"/>
      <c r="BC110" s="529"/>
      <c r="BD110" s="530"/>
      <c r="BE110" s="530"/>
      <c r="BF110" s="531"/>
      <c r="BG110" s="528"/>
      <c r="BH110" s="529"/>
      <c r="BI110" s="530"/>
      <c r="BJ110" s="530"/>
      <c r="BK110" s="531"/>
      <c r="BL110" s="528"/>
      <c r="BM110" s="529"/>
      <c r="BN110" s="530"/>
      <c r="BO110" s="530"/>
      <c r="BP110" s="531"/>
      <c r="BQ110" s="528"/>
      <c r="BR110" s="528"/>
      <c r="BS110" s="290"/>
      <c r="BT110" s="290"/>
      <c r="BU110" s="290"/>
      <c r="BV110" s="290"/>
      <c r="BW110" s="290"/>
      <c r="BX110" s="290"/>
      <c r="BY110" s="290"/>
      <c r="BZ110" s="290"/>
      <c r="CA110" s="290"/>
      <c r="CB110" s="290"/>
      <c r="CC110" s="290"/>
      <c r="CD110" s="290"/>
      <c r="CE110" s="290"/>
      <c r="CF110" s="290"/>
      <c r="CG110" s="290"/>
      <c r="CH110" s="290"/>
      <c r="CI110" s="290"/>
      <c r="CJ110" s="290"/>
      <c r="CK110" s="290"/>
      <c r="CL110" s="290"/>
      <c r="CM110" s="290"/>
      <c r="CN110" s="290"/>
      <c r="CO110" s="290"/>
      <c r="CP110" s="290"/>
      <c r="CQ110" s="290"/>
      <c r="CR110" s="290"/>
      <c r="CS110" s="290"/>
      <c r="CT110" s="290"/>
      <c r="CU110" s="290"/>
      <c r="CV110" s="290"/>
      <c r="CW110" s="290"/>
      <c r="CX110" s="290"/>
      <c r="CY110" s="290"/>
      <c r="CZ110" s="290"/>
      <c r="DA110" s="290"/>
    </row>
    <row r="111" spans="1:105">
      <c r="A111" s="290"/>
      <c r="C111" s="64" t="s">
        <v>197</v>
      </c>
      <c r="E111" s="831"/>
      <c r="F111" s="832"/>
      <c r="G111" s="832"/>
      <c r="H111" s="833"/>
      <c r="I111" s="548"/>
      <c r="J111" s="529"/>
      <c r="K111" s="530"/>
      <c r="L111" s="530"/>
      <c r="M111" s="531"/>
      <c r="N111" s="528"/>
      <c r="O111" s="529"/>
      <c r="P111" s="530"/>
      <c r="Q111" s="530"/>
      <c r="R111" s="531"/>
      <c r="S111" s="528"/>
      <c r="T111" s="529"/>
      <c r="U111" s="530"/>
      <c r="V111" s="530"/>
      <c r="W111" s="531"/>
      <c r="X111" s="528"/>
      <c r="Y111" s="529"/>
      <c r="Z111" s="530"/>
      <c r="AA111" s="530"/>
      <c r="AB111" s="531"/>
      <c r="AC111" s="528"/>
      <c r="AD111" s="529"/>
      <c r="AE111" s="530"/>
      <c r="AF111" s="530"/>
      <c r="AG111" s="531"/>
      <c r="AH111" s="528"/>
      <c r="AI111" s="529"/>
      <c r="AJ111" s="330"/>
      <c r="AK111" s="530"/>
      <c r="AL111" s="531"/>
      <c r="AM111" s="528"/>
      <c r="AN111" s="529"/>
      <c r="AO111" s="530"/>
      <c r="AP111" s="530"/>
      <c r="AQ111" s="531"/>
      <c r="AR111" s="528"/>
      <c r="AS111" s="529"/>
      <c r="AT111" s="530"/>
      <c r="AU111" s="530"/>
      <c r="AV111" s="531"/>
      <c r="AW111" s="528"/>
      <c r="AX111" s="529"/>
      <c r="AY111" s="530"/>
      <c r="AZ111" s="530"/>
      <c r="BA111" s="531"/>
      <c r="BB111" s="528"/>
      <c r="BC111" s="529"/>
      <c r="BD111" s="530"/>
      <c r="BE111" s="530"/>
      <c r="BF111" s="531"/>
      <c r="BG111" s="528"/>
      <c r="BH111" s="529"/>
      <c r="BI111" s="530"/>
      <c r="BJ111" s="530"/>
      <c r="BK111" s="531"/>
      <c r="BL111" s="528"/>
      <c r="BM111" s="529"/>
      <c r="BN111" s="530"/>
      <c r="BO111" s="530"/>
      <c r="BP111" s="531"/>
      <c r="BQ111" s="528"/>
      <c r="BR111" s="528"/>
      <c r="BS111" s="290"/>
      <c r="BT111" s="290"/>
      <c r="BU111" s="290"/>
      <c r="BV111" s="290"/>
      <c r="BW111" s="290"/>
      <c r="BX111" s="290"/>
      <c r="BY111" s="290"/>
      <c r="BZ111" s="290"/>
      <c r="CA111" s="290"/>
      <c r="CB111" s="290"/>
      <c r="CC111" s="290"/>
      <c r="CD111" s="290"/>
      <c r="CE111" s="290"/>
      <c r="CF111" s="290"/>
      <c r="CG111" s="290"/>
      <c r="CH111" s="290"/>
      <c r="CI111" s="290"/>
      <c r="CJ111" s="290"/>
      <c r="CK111" s="290"/>
      <c r="CL111" s="290"/>
      <c r="CM111" s="290"/>
      <c r="CN111" s="290"/>
      <c r="CO111" s="290"/>
      <c r="CP111" s="290"/>
      <c r="CQ111" s="290"/>
      <c r="CR111" s="290"/>
      <c r="CS111" s="290"/>
      <c r="CT111" s="290"/>
      <c r="CU111" s="290"/>
      <c r="CV111" s="290"/>
      <c r="CW111" s="290"/>
      <c r="CX111" s="290"/>
      <c r="CY111" s="290"/>
      <c r="CZ111" s="290"/>
      <c r="DA111" s="290"/>
    </row>
    <row r="112" spans="1:105">
      <c r="A112" s="290"/>
      <c r="C112" s="305" t="s">
        <v>193</v>
      </c>
      <c r="E112" s="456">
        <v>962</v>
      </c>
      <c r="F112" s="457">
        <v>222</v>
      </c>
      <c r="G112" s="457">
        <v>163</v>
      </c>
      <c r="H112" s="395">
        <f>I112-SUM(E112:G112)</f>
        <v>533</v>
      </c>
      <c r="I112" s="590">
        <v>1880</v>
      </c>
      <c r="J112" s="456">
        <v>774</v>
      </c>
      <c r="K112" s="457">
        <v>222</v>
      </c>
      <c r="L112" s="457">
        <v>153</v>
      </c>
      <c r="M112" s="395">
        <f>N112-SUM(J112:L112)</f>
        <v>438</v>
      </c>
      <c r="N112" s="590">
        <v>1587</v>
      </c>
      <c r="O112" s="456">
        <v>632</v>
      </c>
      <c r="P112" s="457">
        <v>211</v>
      </c>
      <c r="Q112" s="457">
        <v>145</v>
      </c>
      <c r="R112" s="395">
        <f>S112-SUM(O112:Q112)</f>
        <v>325</v>
      </c>
      <c r="S112" s="590">
        <v>1313</v>
      </c>
      <c r="T112" s="456">
        <v>417</v>
      </c>
      <c r="U112" s="457">
        <v>153</v>
      </c>
      <c r="V112" s="457">
        <v>111</v>
      </c>
      <c r="W112" s="395">
        <f>X112-SUM(T112:V112)</f>
        <v>333</v>
      </c>
      <c r="X112" s="462">
        <v>1014</v>
      </c>
      <c r="Y112" s="459">
        <v>485</v>
      </c>
      <c r="Z112" s="460">
        <v>172</v>
      </c>
      <c r="AA112" s="460">
        <v>113</v>
      </c>
      <c r="AB112" s="395">
        <f>AC112-SUM(Y112:AA112)</f>
        <v>223</v>
      </c>
      <c r="AC112" s="462">
        <v>993</v>
      </c>
      <c r="AD112" s="459">
        <v>498</v>
      </c>
      <c r="AE112" s="460">
        <v>188</v>
      </c>
      <c r="AF112" s="460">
        <v>116</v>
      </c>
      <c r="AG112" s="395">
        <f>AH112-SUM(AD112:AF112)</f>
        <v>216</v>
      </c>
      <c r="AH112" s="462">
        <v>1018</v>
      </c>
      <c r="AI112" s="459">
        <v>343</v>
      </c>
      <c r="AJ112" s="460">
        <v>130</v>
      </c>
      <c r="AK112" s="460">
        <v>105</v>
      </c>
      <c r="AL112" s="395">
        <f>AM112-SUM(AI112:AK112)</f>
        <v>177</v>
      </c>
      <c r="AM112" s="462">
        <v>755</v>
      </c>
      <c r="AN112" s="459">
        <v>261</v>
      </c>
      <c r="AO112" s="460">
        <v>147</v>
      </c>
      <c r="AP112" s="460">
        <v>95</v>
      </c>
      <c r="AQ112" s="395">
        <f>AR112-SUM(AN112:AP112)</f>
        <v>254</v>
      </c>
      <c r="AR112" s="462">
        <v>757</v>
      </c>
      <c r="AS112" s="459">
        <v>338</v>
      </c>
      <c r="AT112" s="460">
        <v>137</v>
      </c>
      <c r="AU112" s="460">
        <v>91</v>
      </c>
      <c r="AV112" s="395">
        <f>AW112-SUM(AS112:AU112)</f>
        <v>275</v>
      </c>
      <c r="AW112" s="462">
        <v>841</v>
      </c>
      <c r="AX112" s="394">
        <f>AX123*AX115/10</f>
        <v>351.13</v>
      </c>
      <c r="AY112" s="342">
        <f>AY123*AY115/10</f>
        <v>148.12000000000003</v>
      </c>
      <c r="AZ112" s="342">
        <f>AZ123*AZ115/10</f>
        <v>94.347499999999997</v>
      </c>
      <c r="BA112" s="395">
        <f>BA123*BA115/10</f>
        <v>287.5</v>
      </c>
      <c r="BB112" s="77">
        <f>SUM(AX112:BA112)</f>
        <v>881.09749999999997</v>
      </c>
      <c r="BC112" s="394">
        <f>BC123*BC115/10</f>
        <v>364.3913</v>
      </c>
      <c r="BD112" s="342">
        <f>BD123*BD115/10</f>
        <v>159.35120000000001</v>
      </c>
      <c r="BE112" s="342">
        <f>BE123*BE115/10</f>
        <v>159.35120000000001</v>
      </c>
      <c r="BF112" s="395">
        <f>BF123*BF115/10</f>
        <v>300.125</v>
      </c>
      <c r="BG112" s="77">
        <f>SUM(BC112:BF112)</f>
        <v>983.21870000000013</v>
      </c>
      <c r="BH112" s="394">
        <f>BH123*BH115/10</f>
        <v>377.785213</v>
      </c>
      <c r="BI112" s="342">
        <f>BI123*BI115/10</f>
        <v>170.69471200000001</v>
      </c>
      <c r="BJ112" s="342">
        <f>BJ123*BJ115/10</f>
        <v>170.69471200000001</v>
      </c>
      <c r="BK112" s="395">
        <f>BK123*BK115/10</f>
        <v>312.87624999999997</v>
      </c>
      <c r="BL112" s="77">
        <f>SUM(BH112:BK112)</f>
        <v>1032.0508869999999</v>
      </c>
      <c r="BM112" s="394">
        <f>BM123*BM115/10</f>
        <v>391.31306512999993</v>
      </c>
      <c r="BN112" s="342">
        <f>BN123*BN115/10</f>
        <v>182.15165912000001</v>
      </c>
      <c r="BO112" s="342">
        <f>BO123*BO115/10</f>
        <v>182.15165912000001</v>
      </c>
      <c r="BP112" s="395">
        <f>BP123*BP115/10</f>
        <v>325.75501249999991</v>
      </c>
      <c r="BQ112" s="77">
        <f>SUM(BM112:BP112)</f>
        <v>1081.3713958699998</v>
      </c>
      <c r="BR112" s="77"/>
      <c r="BS112" s="290"/>
      <c r="BT112" s="290"/>
      <c r="BU112" s="290"/>
      <c r="BV112" s="290"/>
      <c r="BW112" s="290"/>
      <c r="BX112" s="290"/>
      <c r="BY112" s="290"/>
      <c r="BZ112" s="290"/>
      <c r="CA112" s="290"/>
      <c r="CB112" s="290"/>
      <c r="CC112" s="290"/>
      <c r="CD112" s="290"/>
      <c r="CE112" s="290"/>
      <c r="CF112" s="290"/>
      <c r="CG112" s="290"/>
      <c r="CH112" s="290"/>
      <c r="CI112" s="290"/>
      <c r="CJ112" s="290"/>
      <c r="CK112" s="290"/>
      <c r="CL112" s="290"/>
      <c r="CM112" s="290"/>
      <c r="CN112" s="290"/>
      <c r="CO112" s="290"/>
      <c r="CP112" s="290"/>
      <c r="CQ112" s="290"/>
      <c r="CR112" s="290"/>
      <c r="CS112" s="290"/>
      <c r="CT112" s="290"/>
      <c r="CU112" s="290"/>
      <c r="CV112" s="290"/>
      <c r="CW112" s="290"/>
      <c r="CX112" s="290"/>
      <c r="CY112" s="290"/>
      <c r="CZ112" s="290"/>
      <c r="DA112" s="290"/>
    </row>
    <row r="113" spans="1:105">
      <c r="A113" s="290"/>
      <c r="C113" s="305" t="s">
        <v>458</v>
      </c>
      <c r="E113" s="457">
        <v>457</v>
      </c>
      <c r="F113" s="457">
        <v>121</v>
      </c>
      <c r="G113" s="457">
        <v>95</v>
      </c>
      <c r="H113" s="395">
        <f>I113-SUM(E113:G113)</f>
        <v>309</v>
      </c>
      <c r="I113" s="590">
        <v>982</v>
      </c>
      <c r="J113" s="456">
        <v>443</v>
      </c>
      <c r="K113" s="457">
        <v>121</v>
      </c>
      <c r="L113" s="457">
        <v>96</v>
      </c>
      <c r="M113" s="395">
        <f>N113-SUM(J113:L113)</f>
        <v>319</v>
      </c>
      <c r="N113" s="590">
        <v>979</v>
      </c>
      <c r="O113" s="456">
        <v>487</v>
      </c>
      <c r="P113" s="457">
        <v>140</v>
      </c>
      <c r="Q113" s="457">
        <v>96</v>
      </c>
      <c r="R113" s="395">
        <f>S113-SUM(O113:Q113)</f>
        <v>281</v>
      </c>
      <c r="S113" s="590">
        <v>1004</v>
      </c>
      <c r="T113" s="456">
        <v>427</v>
      </c>
      <c r="U113" s="457">
        <v>146</v>
      </c>
      <c r="V113" s="457">
        <v>99</v>
      </c>
      <c r="W113" s="395">
        <f>X113-SUM(T113:V113)</f>
        <v>309</v>
      </c>
      <c r="X113" s="462">
        <v>981</v>
      </c>
      <c r="Y113" s="459">
        <v>481</v>
      </c>
      <c r="Z113" s="460">
        <v>139</v>
      </c>
      <c r="AA113" s="460">
        <v>101</v>
      </c>
      <c r="AB113" s="395">
        <f>AC113-SUM(Y113:AA113)</f>
        <v>334</v>
      </c>
      <c r="AC113" s="462">
        <v>1055</v>
      </c>
      <c r="AD113" s="459">
        <v>507</v>
      </c>
      <c r="AE113" s="460">
        <v>138</v>
      </c>
      <c r="AF113" s="460">
        <v>99</v>
      </c>
      <c r="AG113" s="395">
        <f>AH113-SUM(AD113:AF113)</f>
        <v>320</v>
      </c>
      <c r="AH113" s="462">
        <v>1064</v>
      </c>
      <c r="AI113" s="459">
        <v>502</v>
      </c>
      <c r="AJ113" s="460">
        <v>142</v>
      </c>
      <c r="AK113" s="460">
        <v>100</v>
      </c>
      <c r="AL113" s="395">
        <f>AM113-SUM(AI113:AK113)</f>
        <v>295</v>
      </c>
      <c r="AM113" s="462">
        <v>1039</v>
      </c>
      <c r="AN113" s="459">
        <v>457</v>
      </c>
      <c r="AO113" s="460">
        <v>138</v>
      </c>
      <c r="AP113" s="460">
        <v>93</v>
      </c>
      <c r="AQ113" s="395">
        <f>AR113-SUM(AN113:AP113)</f>
        <v>316</v>
      </c>
      <c r="AR113" s="462">
        <v>1004</v>
      </c>
      <c r="AS113" s="459">
        <v>482</v>
      </c>
      <c r="AT113" s="460">
        <v>141</v>
      </c>
      <c r="AU113" s="460">
        <v>84</v>
      </c>
      <c r="AV113" s="395">
        <f>AW113-SUM(AS113:AU113)</f>
        <v>322</v>
      </c>
      <c r="AW113" s="462">
        <v>1029</v>
      </c>
      <c r="AX113" s="394">
        <f>AX126*AX116/10</f>
        <v>482.00000000000011</v>
      </c>
      <c r="AY113" s="342">
        <f>AY126*AY116/10</f>
        <v>141.00000000000003</v>
      </c>
      <c r="AZ113" s="342">
        <f>AZ126*AZ116/10</f>
        <v>84</v>
      </c>
      <c r="BA113" s="395">
        <f>BA126*BA116/10</f>
        <v>322</v>
      </c>
      <c r="BB113" s="77">
        <f>SUM(AX113:BA113)</f>
        <v>1029</v>
      </c>
      <c r="BC113" s="394">
        <f>BC126*BC116/10</f>
        <v>482.00000000000011</v>
      </c>
      <c r="BD113" s="342">
        <f>BD126*BD116/10</f>
        <v>141.00000000000003</v>
      </c>
      <c r="BE113" s="342">
        <f>BE126*BE116/10</f>
        <v>141.00000000000003</v>
      </c>
      <c r="BF113" s="395">
        <f>BF126*BF116/10</f>
        <v>322</v>
      </c>
      <c r="BG113" s="77">
        <f>SUM(BC113:BF113)</f>
        <v>1086</v>
      </c>
      <c r="BH113" s="394">
        <f>BH126*BH116/10</f>
        <v>482.00000000000011</v>
      </c>
      <c r="BI113" s="342">
        <f>BI126*BI116/10</f>
        <v>141.00000000000003</v>
      </c>
      <c r="BJ113" s="342">
        <f>BJ126*BJ116/10</f>
        <v>141.00000000000003</v>
      </c>
      <c r="BK113" s="395">
        <f>BK126*BK116/10</f>
        <v>322</v>
      </c>
      <c r="BL113" s="77">
        <f>SUM(BH113:BK113)</f>
        <v>1086</v>
      </c>
      <c r="BM113" s="394">
        <f>BM126*BM116/10</f>
        <v>482.00000000000011</v>
      </c>
      <c r="BN113" s="342">
        <f>BN126*BN116/10</f>
        <v>141.00000000000003</v>
      </c>
      <c r="BO113" s="342">
        <f>BO126*BO116/10</f>
        <v>141.00000000000003</v>
      </c>
      <c r="BP113" s="395">
        <f>BP126*BP116/10</f>
        <v>322</v>
      </c>
      <c r="BQ113" s="77">
        <f>SUM(BM113:BP113)</f>
        <v>1086</v>
      </c>
      <c r="BR113" s="77"/>
      <c r="BS113" s="290"/>
      <c r="BT113" s="290"/>
      <c r="BU113" s="290"/>
      <c r="BV113" s="290"/>
      <c r="BW113" s="290"/>
      <c r="BX113" s="290"/>
      <c r="BY113" s="290"/>
      <c r="BZ113" s="290"/>
      <c r="CA113" s="290"/>
      <c r="CB113" s="290"/>
      <c r="CC113" s="290"/>
      <c r="CD113" s="290"/>
      <c r="CE113" s="290"/>
      <c r="CF113" s="290"/>
      <c r="CG113" s="290"/>
      <c r="CH113" s="290"/>
      <c r="CI113" s="290"/>
      <c r="CJ113" s="290"/>
      <c r="CK113" s="290"/>
      <c r="CL113" s="290"/>
      <c r="CM113" s="290"/>
      <c r="CN113" s="290"/>
      <c r="CO113" s="290"/>
      <c r="CP113" s="290"/>
      <c r="CQ113" s="290"/>
      <c r="CR113" s="290"/>
      <c r="CS113" s="290"/>
      <c r="CT113" s="290"/>
      <c r="CU113" s="290"/>
      <c r="CV113" s="290"/>
      <c r="CW113" s="290"/>
      <c r="CX113" s="290"/>
      <c r="CY113" s="290"/>
      <c r="CZ113" s="290"/>
      <c r="DA113" s="290"/>
    </row>
    <row r="114" spans="1:105">
      <c r="A114" s="290"/>
      <c r="C114" s="305"/>
      <c r="E114" s="831"/>
      <c r="F114" s="457"/>
      <c r="G114" s="457"/>
      <c r="H114" s="395"/>
      <c r="I114" s="590"/>
      <c r="J114" s="456"/>
      <c r="K114" s="457"/>
      <c r="L114" s="457"/>
      <c r="M114" s="395"/>
      <c r="N114" s="590"/>
      <c r="O114" s="456"/>
      <c r="P114" s="457"/>
      <c r="Q114" s="457"/>
      <c r="R114" s="395"/>
      <c r="S114" s="590"/>
      <c r="T114" s="456"/>
      <c r="U114" s="457"/>
      <c r="V114" s="457"/>
      <c r="W114" s="395"/>
      <c r="X114" s="462"/>
      <c r="Y114" s="459"/>
      <c r="Z114" s="460"/>
      <c r="AA114" s="460"/>
      <c r="AB114" s="395"/>
      <c r="AC114" s="462"/>
      <c r="AD114" s="459"/>
      <c r="AE114" s="460"/>
      <c r="AF114" s="460"/>
      <c r="AG114" s="395"/>
      <c r="AH114" s="462"/>
      <c r="AI114" s="459"/>
      <c r="AJ114" s="460"/>
      <c r="AK114" s="460"/>
      <c r="AL114" s="395"/>
      <c r="AM114" s="462"/>
      <c r="AN114" s="529"/>
      <c r="AO114" s="460"/>
      <c r="AP114" s="530"/>
      <c r="AQ114" s="395"/>
      <c r="AR114" s="462"/>
      <c r="AS114" s="529"/>
      <c r="AT114" s="460"/>
      <c r="AU114" s="530"/>
      <c r="AV114" s="395"/>
      <c r="AW114" s="462"/>
      <c r="AX114" s="529"/>
      <c r="AY114" s="530"/>
      <c r="AZ114" s="530"/>
      <c r="BA114" s="531"/>
      <c r="BB114" s="528"/>
      <c r="BC114" s="529"/>
      <c r="BD114" s="530"/>
      <c r="BE114" s="530"/>
      <c r="BF114" s="531"/>
      <c r="BG114" s="528"/>
      <c r="BH114" s="529"/>
      <c r="BI114" s="530"/>
      <c r="BJ114" s="530"/>
      <c r="BK114" s="531"/>
      <c r="BL114" s="528"/>
      <c r="BM114" s="529"/>
      <c r="BN114" s="530"/>
      <c r="BO114" s="530"/>
      <c r="BP114" s="531"/>
      <c r="BQ114" s="528"/>
      <c r="BR114" s="528"/>
      <c r="BS114" s="290"/>
      <c r="BT114" s="290"/>
      <c r="BU114" s="290"/>
      <c r="BV114" s="290"/>
      <c r="BW114" s="290"/>
      <c r="BX114" s="290"/>
      <c r="BY114" s="290"/>
      <c r="BZ114" s="290"/>
      <c r="CA114" s="290"/>
      <c r="CB114" s="290"/>
      <c r="CC114" s="290"/>
      <c r="CD114" s="290"/>
      <c r="CE114" s="290"/>
      <c r="CF114" s="290"/>
      <c r="CG114" s="290"/>
      <c r="CH114" s="290"/>
      <c r="CI114" s="290"/>
      <c r="CJ114" s="290"/>
      <c r="CK114" s="290"/>
      <c r="CL114" s="290"/>
      <c r="CM114" s="290"/>
      <c r="CN114" s="290"/>
      <c r="CO114" s="290"/>
      <c r="CP114" s="290"/>
      <c r="CQ114" s="290"/>
      <c r="CR114" s="290"/>
      <c r="CS114" s="290"/>
      <c r="CT114" s="290"/>
      <c r="CU114" s="290"/>
      <c r="CV114" s="290"/>
      <c r="CW114" s="290"/>
      <c r="CX114" s="290"/>
      <c r="CY114" s="290"/>
      <c r="CZ114" s="290"/>
      <c r="DA114" s="290"/>
    </row>
    <row r="115" spans="1:105" s="305" customFormat="1">
      <c r="A115" s="37"/>
      <c r="B115" s="37"/>
      <c r="C115" s="37" t="s">
        <v>189</v>
      </c>
      <c r="D115" s="37"/>
      <c r="E115" s="878">
        <f>E112/E123*10</f>
        <v>9.4499017681728876</v>
      </c>
      <c r="F115" s="596">
        <f>F112/F123*10</f>
        <v>7.6288659793814428</v>
      </c>
      <c r="G115" s="596">
        <f>G112/G123*10</f>
        <v>8.6243386243386251</v>
      </c>
      <c r="H115" s="879">
        <f>H112/H123*10</f>
        <v>8.8685524126455899</v>
      </c>
      <c r="I115" s="262">
        <f>AVERAGE(E115:H115)</f>
        <v>8.6429146961346373</v>
      </c>
      <c r="J115" s="878">
        <f>J112/J123*10</f>
        <v>8.3856988082340198</v>
      </c>
      <c r="K115" s="596">
        <f>K112/K123*10</f>
        <v>8.7058823529411775</v>
      </c>
      <c r="L115" s="596">
        <f>L112/L123*10</f>
        <v>8.5474860335195544</v>
      </c>
      <c r="M115" s="879">
        <f>M112/M123*10</f>
        <v>6.9194312796208539</v>
      </c>
      <c r="N115" s="262">
        <f>AVERAGE(J115:M115)</f>
        <v>8.1396246185789014</v>
      </c>
      <c r="O115" s="878">
        <f>O112/O123*10</f>
        <v>6.6456361724500521</v>
      </c>
      <c r="P115" s="596">
        <f>P112/P123*10</f>
        <v>7.4035087719298245</v>
      </c>
      <c r="Q115" s="596">
        <f>Q112/Q123*10</f>
        <v>8.2386363636363633</v>
      </c>
      <c r="R115" s="879">
        <f>R112/R123*10</f>
        <v>6.6326530612244898</v>
      </c>
      <c r="S115" s="262">
        <f>AVERAGE(O115:R115)</f>
        <v>7.2301085923101827</v>
      </c>
      <c r="T115" s="878">
        <f>T112/T123*10</f>
        <v>5.6123822341857332</v>
      </c>
      <c r="U115" s="596">
        <f>U112/U123*10</f>
        <v>6.9230769230769234</v>
      </c>
      <c r="V115" s="596">
        <f>V112/V123*10</f>
        <v>8.1617647058823533</v>
      </c>
      <c r="W115" s="879">
        <f>W112/W123*10</f>
        <v>6.1100917431192663</v>
      </c>
      <c r="X115" s="262">
        <f>AVERAGE(T115:W115)</f>
        <v>6.7018289015660697</v>
      </c>
      <c r="Y115" s="878">
        <f>Y112/Y123*10</f>
        <v>5.5683122847301947</v>
      </c>
      <c r="Z115" s="596">
        <f>Z112/Z123*10</f>
        <v>7.0204081632653059</v>
      </c>
      <c r="AA115" s="596">
        <f>AA112/AA123*10</f>
        <v>8.3088235294117645</v>
      </c>
      <c r="AB115" s="879">
        <f>AB112/AB123*10</f>
        <v>4.0917431192660549</v>
      </c>
      <c r="AC115" s="262">
        <f>AVERAGE(Y115:AB115)</f>
        <v>6.2473217741683307</v>
      </c>
      <c r="AD115" s="878">
        <f>AD112/AD123*10</f>
        <v>3.7026022304832713</v>
      </c>
      <c r="AE115" s="596">
        <f>AE112/AE123*10</f>
        <v>5.3107344632768356</v>
      </c>
      <c r="AF115" s="596">
        <f>AF112/AF123*10</f>
        <v>5.8</v>
      </c>
      <c r="AG115" s="879">
        <f>AG112/AG123*10</f>
        <v>2.9629629629629628</v>
      </c>
      <c r="AH115" s="262">
        <f>AVERAGE(AD115:AG115)</f>
        <v>4.4440749141807672</v>
      </c>
      <c r="AI115" s="878">
        <f>AI112/AI123*10</f>
        <v>2.4188998589562765</v>
      </c>
      <c r="AJ115" s="596">
        <f>AJ112/AJ123*10</f>
        <v>3.6312849162011176</v>
      </c>
      <c r="AK115" s="596">
        <f>AK112/AK123*10</f>
        <v>5.3571428571428568</v>
      </c>
      <c r="AL115" s="879">
        <f>AL112/AL123*10</f>
        <v>3.2123411978221417</v>
      </c>
      <c r="AM115" s="262">
        <f>AVERAGE(AI115:AL115)</f>
        <v>3.6549172075305982</v>
      </c>
      <c r="AN115" s="878">
        <f>AN112/AN123*10</f>
        <v>2.4144310823311748</v>
      </c>
      <c r="AO115" s="596">
        <f>AO112/AO123*10</f>
        <v>3.9516129032258061</v>
      </c>
      <c r="AP115" s="596">
        <f>AP112/AP123*10</f>
        <v>5.2197802197802199</v>
      </c>
      <c r="AQ115" s="879">
        <f>AQ112/AQ123*10</f>
        <v>3.5034482758620689</v>
      </c>
      <c r="AR115" s="262">
        <f>AVERAGE(AN115:AQ115)</f>
        <v>3.7723181202998175</v>
      </c>
      <c r="AS115" s="878">
        <f>AS112/AS123*10</f>
        <v>3.0368373764600181</v>
      </c>
      <c r="AT115" s="596">
        <f>AT112/AT123*10</f>
        <v>4.0773809523809526</v>
      </c>
      <c r="AU115" s="596">
        <f>AU112/AU123*10</f>
        <v>4.8148148148148149</v>
      </c>
      <c r="AV115" s="879">
        <f>AV112/AV123*10</f>
        <v>3.6231884057971016</v>
      </c>
      <c r="AW115" s="262">
        <f>AVERAGE(AS115:AV115)</f>
        <v>3.888055387363222</v>
      </c>
      <c r="AX115" s="878">
        <f>AS115+(AX118/AX123*10)</f>
        <v>3.1235711172195386</v>
      </c>
      <c r="AY115" s="596">
        <f>AT115+(AY118/AY123*10)</f>
        <v>4.3646864686468652</v>
      </c>
      <c r="AZ115" s="596">
        <f>AU115+(AZ118/AZ123*10)</f>
        <v>4.9425061553774423</v>
      </c>
      <c r="BA115" s="879">
        <f>AV115+(BA118/BA123*10)</f>
        <v>3.7503750375037503</v>
      </c>
      <c r="BB115" s="262">
        <f>AVERAGE(AX115:BA115)</f>
        <v>4.0452846946868988</v>
      </c>
      <c r="BC115" s="878">
        <f>AX115+(BC118/BC123*10)</f>
        <v>3.2094461080705492</v>
      </c>
      <c r="BD115" s="596">
        <f>AY115+(BD118/BD123*10)</f>
        <v>4.6491473758408377</v>
      </c>
      <c r="BE115" s="596">
        <f>AY115+(BE118/BE123*10)</f>
        <v>4.6491473758408377</v>
      </c>
      <c r="BF115" s="879">
        <f>BA115+(BF118/BF123*10)</f>
        <v>3.8763023956291454</v>
      </c>
      <c r="BG115" s="262">
        <f>AVERAGE(BC115:BF115)</f>
        <v>4.0960108138453428</v>
      </c>
      <c r="BH115" s="878">
        <f>BC115+(BH118/BH123*10)</f>
        <v>3.2944708514873913</v>
      </c>
      <c r="BI115" s="596">
        <f>BD115+(BI118/BI123*10)</f>
        <v>4.9307918384091272</v>
      </c>
      <c r="BJ115" s="596">
        <f>BE115+(BJ118/BJ123*10)</f>
        <v>4.9307918384091272</v>
      </c>
      <c r="BK115" s="879">
        <f>BF115+(BK118/BK123*10)</f>
        <v>4.0009829482285459</v>
      </c>
      <c r="BL115" s="262">
        <f>AVERAGE(BH115:BK115)</f>
        <v>4.2892593691335481</v>
      </c>
      <c r="BM115" s="878">
        <f>BH115+(BM118/BM123*10)</f>
        <v>3.3786537657614923</v>
      </c>
      <c r="BN115" s="596">
        <f>BI115+(BN118/BN123*10)</f>
        <v>5.2096477419420868</v>
      </c>
      <c r="BO115" s="596">
        <f>BJ115+(BO118/BO123*10)</f>
        <v>5.2096477419420868</v>
      </c>
      <c r="BP115" s="879">
        <f>BK115+(BP118/BP123*10)</f>
        <v>4.1244290399111208</v>
      </c>
      <c r="BQ115" s="262">
        <f>AVERAGE(BM115:BP115)</f>
        <v>4.4805945723891973</v>
      </c>
      <c r="BR115" s="262"/>
      <c r="BS115" s="37"/>
      <c r="BT115" s="37"/>
      <c r="BU115" s="37"/>
      <c r="BV115" s="37"/>
      <c r="BW115" s="37"/>
      <c r="BX115" s="37"/>
      <c r="BY115" s="37"/>
      <c r="BZ115" s="37"/>
      <c r="CA115" s="37"/>
      <c r="CB115" s="37"/>
      <c r="CC115" s="37"/>
      <c r="CD115" s="37"/>
      <c r="CE115" s="37"/>
      <c r="CF115" s="37"/>
      <c r="CG115" s="37"/>
      <c r="CH115" s="37"/>
      <c r="CI115" s="37"/>
      <c r="CJ115" s="37"/>
      <c r="CK115" s="37"/>
      <c r="CL115" s="37"/>
      <c r="CM115" s="37"/>
      <c r="CN115" s="37"/>
      <c r="CO115" s="37"/>
      <c r="CP115" s="37"/>
      <c r="CQ115" s="37"/>
      <c r="CR115" s="37"/>
      <c r="CS115" s="37"/>
      <c r="CT115" s="37"/>
      <c r="CU115" s="37"/>
      <c r="CV115" s="37"/>
      <c r="CW115" s="37"/>
      <c r="CX115" s="37"/>
      <c r="CY115" s="37"/>
      <c r="CZ115" s="37"/>
      <c r="DA115" s="37"/>
    </row>
    <row r="116" spans="1:105" s="305" customFormat="1">
      <c r="A116" s="37"/>
      <c r="B116" s="37"/>
      <c r="C116" s="37" t="s">
        <v>190</v>
      </c>
      <c r="D116" s="37"/>
      <c r="E116" s="878">
        <f>E113/E126*10</f>
        <v>11.932114882506529</v>
      </c>
      <c r="F116" s="596">
        <f>F113/F126*10</f>
        <v>3.890675241157556</v>
      </c>
      <c r="G116" s="596">
        <f>G113/G126*10</f>
        <v>2.0787746170678338</v>
      </c>
      <c r="H116" s="879">
        <f>H113/H126*10</f>
        <v>12.36</v>
      </c>
      <c r="I116" s="262">
        <f>AVERAGE(E116:H116)</f>
        <v>7.5653911851829792</v>
      </c>
      <c r="J116" s="878">
        <f>J113/J126*10</f>
        <v>11.074999999999999</v>
      </c>
      <c r="K116" s="596">
        <f>K113/K126*10</f>
        <v>3.890675241157556</v>
      </c>
      <c r="L116" s="596">
        <f>L113/L126*10</f>
        <v>2.807017543859649</v>
      </c>
      <c r="M116" s="879">
        <f>M113/M126*10</f>
        <v>7.5771971496437054</v>
      </c>
      <c r="N116" s="262">
        <f>AVERAGE(J116:M116)</f>
        <v>6.3374724836652279</v>
      </c>
      <c r="O116" s="878">
        <f>O113/O126*10</f>
        <v>10.405982905982906</v>
      </c>
      <c r="P116" s="596">
        <f>P113/P126*10</f>
        <v>4.8275862068965516</v>
      </c>
      <c r="Q116" s="596">
        <f>Q113/Q126*10</f>
        <v>2.7586206896551726</v>
      </c>
      <c r="R116" s="879">
        <f>R113/R126*10</f>
        <v>5.4038461538461533</v>
      </c>
      <c r="S116" s="262">
        <f>AVERAGE(O116:R116)</f>
        <v>5.8490089890951964</v>
      </c>
      <c r="T116" s="878">
        <f>T113/T126*10</f>
        <v>8.75</v>
      </c>
      <c r="U116" s="596">
        <f>U113/U126*10</f>
        <v>4.1833810888252145</v>
      </c>
      <c r="V116" s="596">
        <f>V113/V126*10</f>
        <v>1.944990176817289</v>
      </c>
      <c r="W116" s="879">
        <f>W113/W126*10</f>
        <v>7.6108374384236459</v>
      </c>
      <c r="X116" s="262">
        <f>AVERAGE(T116:W116)</f>
        <v>5.6223021760165377</v>
      </c>
      <c r="Y116" s="878">
        <f>Y113/Y126*10</f>
        <v>9.5247524752475243</v>
      </c>
      <c r="Z116" s="596">
        <f>Z113/Z126*10</f>
        <v>3.6010362694300517</v>
      </c>
      <c r="AA116" s="596">
        <f>AA113/AA126*10</f>
        <v>1.9842829076620825</v>
      </c>
      <c r="AB116" s="879">
        <f>AB113/AB126*10</f>
        <v>8.2266009852216744</v>
      </c>
      <c r="AC116" s="262">
        <f>AVERAGE(Y116:AB116)</f>
        <v>5.8341681593903338</v>
      </c>
      <c r="AD116" s="878">
        <f>AD113/AD126*10</f>
        <v>9.2014519056261346</v>
      </c>
      <c r="AE116" s="596">
        <f>AE113/AE126*10</f>
        <v>2.4381625441696113</v>
      </c>
      <c r="AF116" s="596">
        <f>AF113/AF126*10</f>
        <v>1.3904494382022472</v>
      </c>
      <c r="AG116" s="879">
        <f>AG113/AG126*10</f>
        <v>5.0156739811912221</v>
      </c>
      <c r="AH116" s="262">
        <f>AVERAGE(AD116:AG116)</f>
        <v>4.5114344672973044</v>
      </c>
      <c r="AI116" s="878">
        <f>AI113/AI126*10</f>
        <v>11.106194690265488</v>
      </c>
      <c r="AJ116" s="596">
        <f>AJ113/AJ126*10</f>
        <v>3.008474576271186</v>
      </c>
      <c r="AK116" s="596">
        <f>AK113/AK126*10</f>
        <v>1.4925373134328357</v>
      </c>
      <c r="AL116" s="879">
        <f>AL113/AL126*10</f>
        <v>6.4130434782608692</v>
      </c>
      <c r="AM116" s="262">
        <f>AVERAGE(AI116:AL116)</f>
        <v>5.5050625145575944</v>
      </c>
      <c r="AN116" s="878">
        <f>AN113/AN126*10</f>
        <v>11.038647342995169</v>
      </c>
      <c r="AO116" s="596">
        <f>AO113/AO126*10</f>
        <v>2.9237288135593218</v>
      </c>
      <c r="AP116" s="596">
        <f>AP113/AP126*10</f>
        <v>1.3696612665684831</v>
      </c>
      <c r="AQ116" s="879">
        <f>AQ113/AQ126*10</f>
        <v>9.7832817337461293</v>
      </c>
      <c r="AR116" s="262">
        <f>AVERAGE(AN116:AQ116)</f>
        <v>6.2788297892172764</v>
      </c>
      <c r="AS116" s="878">
        <f>AS113/AS126*10</f>
        <v>14.561933534743204</v>
      </c>
      <c r="AT116" s="596">
        <f>AT113/AT126*10</f>
        <v>3.9606741573033712</v>
      </c>
      <c r="AU116" s="596">
        <f>AU113/AU126*10</f>
        <v>2.8767123287671232</v>
      </c>
      <c r="AV116" s="879">
        <f>AV113/AV126*10</f>
        <v>16.858638743455497</v>
      </c>
      <c r="AW116" s="262">
        <f>AVERAGE(AS116:AV116)</f>
        <v>9.5644896910672994</v>
      </c>
      <c r="AX116" s="878">
        <f>AS116</f>
        <v>14.561933534743204</v>
      </c>
      <c r="AY116" s="596">
        <f>AT116</f>
        <v>3.9606741573033712</v>
      </c>
      <c r="AZ116" s="596">
        <f>AU116</f>
        <v>2.8767123287671232</v>
      </c>
      <c r="BA116" s="879">
        <f>AV116</f>
        <v>16.858638743455497</v>
      </c>
      <c r="BB116" s="262">
        <f>AVERAGE(AX116:BA116)</f>
        <v>9.5644896910672994</v>
      </c>
      <c r="BC116" s="878">
        <f>AX116</f>
        <v>14.561933534743204</v>
      </c>
      <c r="BD116" s="596">
        <f>AY116</f>
        <v>3.9606741573033712</v>
      </c>
      <c r="BE116" s="596">
        <f>AY116</f>
        <v>3.9606741573033712</v>
      </c>
      <c r="BF116" s="879">
        <f>BA116</f>
        <v>16.858638743455497</v>
      </c>
      <c r="BG116" s="262">
        <f>AVERAGE(BC116:BF116)</f>
        <v>9.8354801482013627</v>
      </c>
      <c r="BH116" s="878">
        <f>BC116</f>
        <v>14.561933534743204</v>
      </c>
      <c r="BI116" s="596">
        <f>BD116</f>
        <v>3.9606741573033712</v>
      </c>
      <c r="BJ116" s="596">
        <f>BE116</f>
        <v>3.9606741573033712</v>
      </c>
      <c r="BK116" s="879">
        <f>BF116</f>
        <v>16.858638743455497</v>
      </c>
      <c r="BL116" s="262">
        <f>AVERAGE(BH116:BK116)</f>
        <v>9.8354801482013627</v>
      </c>
      <c r="BM116" s="878">
        <f>BH116</f>
        <v>14.561933534743204</v>
      </c>
      <c r="BN116" s="596">
        <f>BI116</f>
        <v>3.9606741573033712</v>
      </c>
      <c r="BO116" s="596">
        <f>BJ116</f>
        <v>3.9606741573033712</v>
      </c>
      <c r="BP116" s="879">
        <f>BK116</f>
        <v>16.858638743455497</v>
      </c>
      <c r="BQ116" s="262">
        <f>AVERAGE(BM116:BP116)</f>
        <v>9.8354801482013627</v>
      </c>
      <c r="BR116" s="262"/>
      <c r="BS116" s="37"/>
      <c r="BT116" s="37"/>
      <c r="BU116" s="37"/>
      <c r="BV116" s="37"/>
      <c r="BW116" s="37"/>
      <c r="BX116" s="37"/>
      <c r="BY116" s="37"/>
      <c r="BZ116" s="37"/>
      <c r="CA116" s="37"/>
      <c r="CB116" s="37"/>
      <c r="CC116" s="37"/>
      <c r="CD116" s="37"/>
      <c r="CE116" s="37"/>
      <c r="CF116" s="37"/>
      <c r="CG116" s="37"/>
      <c r="CH116" s="37"/>
      <c r="CI116" s="37"/>
      <c r="CJ116" s="37"/>
      <c r="CK116" s="37"/>
      <c r="CL116" s="37"/>
      <c r="CM116" s="37"/>
      <c r="CN116" s="37"/>
      <c r="CO116" s="37"/>
      <c r="CP116" s="37"/>
      <c r="CQ116" s="37"/>
      <c r="CR116" s="37"/>
      <c r="CS116" s="37"/>
      <c r="CT116" s="37"/>
      <c r="CU116" s="37"/>
      <c r="CV116" s="37"/>
      <c r="CW116" s="37"/>
      <c r="CX116" s="37"/>
      <c r="CY116" s="37"/>
      <c r="CZ116" s="37"/>
      <c r="DA116" s="37"/>
    </row>
    <row r="117" spans="1:105">
      <c r="A117" s="290"/>
      <c r="C117" s="64"/>
      <c r="E117" s="831"/>
      <c r="F117" s="832"/>
      <c r="G117" s="832"/>
      <c r="H117" s="833"/>
      <c r="I117" s="548"/>
      <c r="J117" s="529"/>
      <c r="K117" s="530"/>
      <c r="L117" s="530"/>
      <c r="M117" s="531"/>
      <c r="N117" s="528"/>
      <c r="O117" s="529"/>
      <c r="P117" s="530"/>
      <c r="Q117" s="530"/>
      <c r="R117" s="531"/>
      <c r="S117" s="528"/>
      <c r="T117" s="529"/>
      <c r="U117" s="530"/>
      <c r="V117" s="530"/>
      <c r="W117" s="531"/>
      <c r="X117" s="528"/>
      <c r="Y117" s="529"/>
      <c r="Z117" s="530"/>
      <c r="AA117" s="530"/>
      <c r="AB117" s="531"/>
      <c r="AC117" s="528"/>
      <c r="AD117" s="529"/>
      <c r="AE117" s="530"/>
      <c r="AF117" s="530"/>
      <c r="AG117" s="531"/>
      <c r="AH117" s="528"/>
      <c r="AI117" s="529"/>
      <c r="AJ117" s="530"/>
      <c r="AK117" s="530"/>
      <c r="AL117" s="531"/>
      <c r="AM117" s="528"/>
      <c r="AN117" s="529"/>
      <c r="AO117" s="530"/>
      <c r="AP117" s="530"/>
      <c r="AQ117" s="531"/>
      <c r="AR117" s="528"/>
      <c r="AS117" s="529"/>
      <c r="AT117" s="530"/>
      <c r="AU117" s="530"/>
      <c r="AV117" s="531"/>
      <c r="AW117" s="528"/>
      <c r="AX117" s="529"/>
      <c r="AY117" s="530"/>
      <c r="AZ117" s="530"/>
      <c r="BA117" s="531"/>
      <c r="BB117" s="528"/>
      <c r="BC117" s="529"/>
      <c r="BD117" s="530"/>
      <c r="BE117" s="530"/>
      <c r="BF117" s="531"/>
      <c r="BG117" s="528"/>
      <c r="BH117" s="529"/>
      <c r="BI117" s="530"/>
      <c r="BJ117" s="530"/>
      <c r="BK117" s="531"/>
      <c r="BL117" s="528"/>
      <c r="BM117" s="529"/>
      <c r="BN117" s="530"/>
      <c r="BO117" s="530"/>
      <c r="BP117" s="531"/>
      <c r="BQ117" s="528"/>
      <c r="BR117" s="528"/>
      <c r="BS117" s="290"/>
      <c r="BT117" s="290"/>
      <c r="BU117" s="290"/>
      <c r="BV117" s="290"/>
      <c r="BW117" s="290"/>
      <c r="BX117" s="290"/>
      <c r="BY117" s="290"/>
      <c r="BZ117" s="290"/>
      <c r="CA117" s="290"/>
      <c r="CB117" s="290"/>
      <c r="CC117" s="290"/>
      <c r="CD117" s="290"/>
      <c r="CE117" s="290"/>
      <c r="CF117" s="290"/>
      <c r="CG117" s="290"/>
      <c r="CH117" s="290"/>
      <c r="CI117" s="290"/>
      <c r="CJ117" s="290"/>
      <c r="CK117" s="290"/>
      <c r="CL117" s="290"/>
      <c r="CM117" s="290"/>
      <c r="CN117" s="290"/>
      <c r="CO117" s="290"/>
      <c r="CP117" s="290"/>
      <c r="CQ117" s="290"/>
      <c r="CR117" s="290"/>
      <c r="CS117" s="290"/>
      <c r="CT117" s="290"/>
      <c r="CU117" s="290"/>
      <c r="CV117" s="290"/>
      <c r="CW117" s="290"/>
      <c r="CX117" s="290"/>
      <c r="CY117" s="290"/>
      <c r="CZ117" s="290"/>
      <c r="DA117" s="290"/>
    </row>
    <row r="118" spans="1:105">
      <c r="A118" s="1523"/>
      <c r="B118" s="2"/>
      <c r="C118" s="37" t="s">
        <v>666</v>
      </c>
      <c r="D118" s="2"/>
      <c r="E118" s="789"/>
      <c r="F118" s="329"/>
      <c r="G118" s="329"/>
      <c r="H118" s="790"/>
      <c r="I118" s="826"/>
      <c r="J118" s="789"/>
      <c r="K118" s="329"/>
      <c r="L118" s="329"/>
      <c r="M118" s="790"/>
      <c r="N118" s="77"/>
      <c r="O118" s="394"/>
      <c r="P118" s="342"/>
      <c r="Q118" s="342"/>
      <c r="R118" s="395"/>
      <c r="S118" s="77"/>
      <c r="T118" s="394"/>
      <c r="U118" s="342"/>
      <c r="V118" s="342"/>
      <c r="W118" s="395"/>
      <c r="X118" s="77"/>
      <c r="Y118" s="394"/>
      <c r="Z118" s="342"/>
      <c r="AA118" s="342"/>
      <c r="AB118" s="395"/>
      <c r="AC118" s="77"/>
      <c r="AD118" s="394"/>
      <c r="AE118" s="342"/>
      <c r="AF118" s="342"/>
      <c r="AG118" s="395"/>
      <c r="AH118" s="77"/>
      <c r="AI118" s="394"/>
      <c r="AJ118" s="342"/>
      <c r="AK118" s="342"/>
      <c r="AL118" s="395"/>
      <c r="AM118" s="77"/>
      <c r="AN118" s="394"/>
      <c r="AO118" s="342"/>
      <c r="AP118" s="342"/>
      <c r="AQ118" s="395"/>
      <c r="AR118" s="77"/>
      <c r="AS118" s="394"/>
      <c r="AT118" s="342"/>
      <c r="AU118" s="342"/>
      <c r="AV118" s="395"/>
      <c r="AW118" s="77"/>
      <c r="AX118" s="394">
        <f>AX58</f>
        <v>9.75</v>
      </c>
      <c r="AY118" s="342">
        <f>AY58</f>
        <v>9.75</v>
      </c>
      <c r="AZ118" s="342">
        <f>AZ58</f>
        <v>2.4375</v>
      </c>
      <c r="BA118" s="395">
        <f>BA58</f>
        <v>9.75</v>
      </c>
      <c r="BB118" s="77">
        <f>BB58</f>
        <v>39</v>
      </c>
      <c r="BC118" s="394">
        <f t="shared" ref="BC118:BL118" si="135">BC58</f>
        <v>9.75</v>
      </c>
      <c r="BD118" s="342">
        <f t="shared" si="135"/>
        <v>9.75</v>
      </c>
      <c r="BE118" s="342">
        <f t="shared" si="135"/>
        <v>9.75</v>
      </c>
      <c r="BF118" s="395">
        <f t="shared" si="135"/>
        <v>9.75</v>
      </c>
      <c r="BG118" s="77">
        <f t="shared" si="135"/>
        <v>39</v>
      </c>
      <c r="BH118" s="394">
        <f t="shared" si="135"/>
        <v>9.75</v>
      </c>
      <c r="BI118" s="342">
        <f t="shared" si="135"/>
        <v>9.75</v>
      </c>
      <c r="BJ118" s="342">
        <f t="shared" si="135"/>
        <v>9.75</v>
      </c>
      <c r="BK118" s="395">
        <f t="shared" si="135"/>
        <v>9.75</v>
      </c>
      <c r="BL118" s="77">
        <f t="shared" si="135"/>
        <v>39</v>
      </c>
      <c r="BM118" s="394">
        <f>BM58</f>
        <v>9.75</v>
      </c>
      <c r="BN118" s="342">
        <f>BN58</f>
        <v>9.75</v>
      </c>
      <c r="BO118" s="342">
        <f>BO58</f>
        <v>9.75</v>
      </c>
      <c r="BP118" s="395">
        <f>BP58</f>
        <v>9.75</v>
      </c>
      <c r="BQ118" s="77">
        <f>BQ58</f>
        <v>39</v>
      </c>
      <c r="BR118" s="77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</row>
    <row r="119" spans="1:105">
      <c r="A119" s="1523"/>
      <c r="B119" s="2"/>
      <c r="C119" s="37"/>
      <c r="D119" s="2"/>
      <c r="E119" s="789"/>
      <c r="F119" s="329"/>
      <c r="G119" s="329"/>
      <c r="H119" s="790"/>
      <c r="I119" s="826"/>
      <c r="J119" s="789"/>
      <c r="K119" s="329"/>
      <c r="L119" s="329"/>
      <c r="M119" s="790"/>
      <c r="N119" s="77"/>
      <c r="O119" s="394"/>
      <c r="P119" s="342"/>
      <c r="Q119" s="342"/>
      <c r="R119" s="395"/>
      <c r="S119" s="77"/>
      <c r="T119" s="394"/>
      <c r="U119" s="342"/>
      <c r="V119" s="342"/>
      <c r="W119" s="395"/>
      <c r="X119" s="77"/>
      <c r="Y119" s="394"/>
      <c r="Z119" s="342"/>
      <c r="AA119" s="342"/>
      <c r="AB119" s="395"/>
      <c r="AC119" s="77"/>
      <c r="AD119" s="394"/>
      <c r="AE119" s="342"/>
      <c r="AF119" s="342"/>
      <c r="AG119" s="395"/>
      <c r="AH119" s="77"/>
      <c r="AI119" s="394"/>
      <c r="AJ119" s="342"/>
      <c r="AK119" s="342"/>
      <c r="AL119" s="395"/>
      <c r="AM119" s="77"/>
      <c r="AN119" s="394"/>
      <c r="AO119" s="342"/>
      <c r="AP119" s="342"/>
      <c r="AQ119" s="395"/>
      <c r="AR119" s="77"/>
      <c r="AS119" s="394"/>
      <c r="AT119" s="342"/>
      <c r="AU119" s="342"/>
      <c r="AV119" s="395"/>
      <c r="AW119" s="77"/>
      <c r="AX119" s="394"/>
      <c r="AY119" s="342"/>
      <c r="AZ119" s="342"/>
      <c r="BA119" s="395"/>
      <c r="BB119" s="77"/>
      <c r="BC119" s="394"/>
      <c r="BD119" s="342"/>
      <c r="BE119" s="342"/>
      <c r="BF119" s="395"/>
      <c r="BG119" s="77"/>
      <c r="BH119" s="394"/>
      <c r="BI119" s="342"/>
      <c r="BJ119" s="342"/>
      <c r="BK119" s="395"/>
      <c r="BL119" s="77"/>
      <c r="BM119" s="394"/>
      <c r="BN119" s="342"/>
      <c r="BO119" s="342"/>
      <c r="BP119" s="395"/>
      <c r="BQ119" s="77"/>
      <c r="BR119" s="77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</row>
    <row r="120" spans="1:105">
      <c r="A120" s="290"/>
      <c r="C120" s="64" t="s">
        <v>459</v>
      </c>
      <c r="E120" s="407">
        <f t="shared" ref="E120:AN120" si="136">E113+E112</f>
        <v>1419</v>
      </c>
      <c r="F120" s="349">
        <f t="shared" si="136"/>
        <v>343</v>
      </c>
      <c r="G120" s="349">
        <f t="shared" si="136"/>
        <v>258</v>
      </c>
      <c r="H120" s="408">
        <f t="shared" si="136"/>
        <v>842</v>
      </c>
      <c r="I120" s="608">
        <f t="shared" si="136"/>
        <v>2862</v>
      </c>
      <c r="J120" s="407">
        <f t="shared" si="136"/>
        <v>1217</v>
      </c>
      <c r="K120" s="349">
        <f t="shared" si="136"/>
        <v>343</v>
      </c>
      <c r="L120" s="349">
        <f t="shared" si="136"/>
        <v>249</v>
      </c>
      <c r="M120" s="408">
        <f t="shared" si="136"/>
        <v>757</v>
      </c>
      <c r="N120" s="608">
        <f t="shared" si="136"/>
        <v>2566</v>
      </c>
      <c r="O120" s="407">
        <f t="shared" si="136"/>
        <v>1119</v>
      </c>
      <c r="P120" s="349">
        <f t="shared" si="136"/>
        <v>351</v>
      </c>
      <c r="Q120" s="349">
        <f t="shared" si="136"/>
        <v>241</v>
      </c>
      <c r="R120" s="408">
        <f t="shared" si="136"/>
        <v>606</v>
      </c>
      <c r="S120" s="608">
        <f t="shared" si="136"/>
        <v>2317</v>
      </c>
      <c r="T120" s="407">
        <f t="shared" si="136"/>
        <v>844</v>
      </c>
      <c r="U120" s="349">
        <f t="shared" si="136"/>
        <v>299</v>
      </c>
      <c r="V120" s="349">
        <f t="shared" si="136"/>
        <v>210</v>
      </c>
      <c r="W120" s="408">
        <f>W113+W112</f>
        <v>642</v>
      </c>
      <c r="X120" s="608">
        <f t="shared" ref="X120:AC120" si="137">X113+X112</f>
        <v>1995</v>
      </c>
      <c r="Y120" s="407">
        <f t="shared" si="137"/>
        <v>966</v>
      </c>
      <c r="Z120" s="349">
        <f t="shared" si="137"/>
        <v>311</v>
      </c>
      <c r="AA120" s="349">
        <f t="shared" si="137"/>
        <v>214</v>
      </c>
      <c r="AB120" s="408">
        <f t="shared" si="137"/>
        <v>557</v>
      </c>
      <c r="AC120" s="608">
        <f t="shared" si="137"/>
        <v>2048</v>
      </c>
      <c r="AD120" s="407">
        <f t="shared" ref="AD120:AI120" si="138">AD113+AD112</f>
        <v>1005</v>
      </c>
      <c r="AE120" s="349">
        <f t="shared" si="138"/>
        <v>326</v>
      </c>
      <c r="AF120" s="349">
        <f t="shared" si="138"/>
        <v>215</v>
      </c>
      <c r="AG120" s="408">
        <f t="shared" si="138"/>
        <v>536</v>
      </c>
      <c r="AH120" s="608">
        <f t="shared" si="138"/>
        <v>2082</v>
      </c>
      <c r="AI120" s="407">
        <f t="shared" si="138"/>
        <v>845</v>
      </c>
      <c r="AJ120" s="349">
        <f>AJ113+AJ112</f>
        <v>272</v>
      </c>
      <c r="AK120" s="349">
        <f>AK113+AK112</f>
        <v>205</v>
      </c>
      <c r="AL120" s="408">
        <f t="shared" si="136"/>
        <v>472</v>
      </c>
      <c r="AM120" s="608">
        <f t="shared" si="136"/>
        <v>1794</v>
      </c>
      <c r="AN120" s="407">
        <f t="shared" si="136"/>
        <v>718</v>
      </c>
      <c r="AO120" s="349">
        <f t="shared" ref="AO120:AT120" si="139">AO113+AO112</f>
        <v>285</v>
      </c>
      <c r="AP120" s="349">
        <f t="shared" si="139"/>
        <v>188</v>
      </c>
      <c r="AQ120" s="408">
        <f t="shared" si="139"/>
        <v>570</v>
      </c>
      <c r="AR120" s="608">
        <f t="shared" si="139"/>
        <v>1761</v>
      </c>
      <c r="AS120" s="407">
        <f t="shared" si="139"/>
        <v>820</v>
      </c>
      <c r="AT120" s="349">
        <f t="shared" si="139"/>
        <v>278</v>
      </c>
      <c r="AU120" s="349">
        <f t="shared" ref="AU120:BB120" si="140">AU113+AU112</f>
        <v>175</v>
      </c>
      <c r="AV120" s="408">
        <f t="shared" si="140"/>
        <v>597</v>
      </c>
      <c r="AW120" s="608">
        <f t="shared" si="140"/>
        <v>1870</v>
      </c>
      <c r="AX120" s="407">
        <f t="shared" si="140"/>
        <v>833.13000000000011</v>
      </c>
      <c r="AY120" s="349">
        <f t="shared" si="140"/>
        <v>289.12000000000006</v>
      </c>
      <c r="AZ120" s="349">
        <f t="shared" si="140"/>
        <v>178.3475</v>
      </c>
      <c r="BA120" s="408">
        <f t="shared" si="140"/>
        <v>609.5</v>
      </c>
      <c r="BB120" s="608">
        <f t="shared" si="140"/>
        <v>1910.0974999999999</v>
      </c>
      <c r="BC120" s="407">
        <f t="shared" ref="BC120:BL120" si="141">BC113+BC112</f>
        <v>846.39130000000011</v>
      </c>
      <c r="BD120" s="349">
        <f t="shared" si="141"/>
        <v>300.35120000000006</v>
      </c>
      <c r="BE120" s="349">
        <f t="shared" si="141"/>
        <v>300.35120000000006</v>
      </c>
      <c r="BF120" s="408">
        <f t="shared" si="141"/>
        <v>622.125</v>
      </c>
      <c r="BG120" s="608">
        <f t="shared" si="141"/>
        <v>2069.2187000000004</v>
      </c>
      <c r="BH120" s="407">
        <f t="shared" si="141"/>
        <v>859.78521300000011</v>
      </c>
      <c r="BI120" s="349">
        <f t="shared" si="141"/>
        <v>311.69471200000004</v>
      </c>
      <c r="BJ120" s="349">
        <f t="shared" si="141"/>
        <v>311.69471200000004</v>
      </c>
      <c r="BK120" s="408">
        <f t="shared" si="141"/>
        <v>634.87625000000003</v>
      </c>
      <c r="BL120" s="608">
        <f t="shared" si="141"/>
        <v>2118.0508869999999</v>
      </c>
      <c r="BM120" s="407">
        <f>BM113+BM112</f>
        <v>873.31306513000004</v>
      </c>
      <c r="BN120" s="349">
        <f>BN113+BN112</f>
        <v>323.15165912000003</v>
      </c>
      <c r="BO120" s="349">
        <f>BO113+BO112</f>
        <v>323.15165912000003</v>
      </c>
      <c r="BP120" s="408">
        <f>BP113+BP112</f>
        <v>647.75501249999991</v>
      </c>
      <c r="BQ120" s="608">
        <f>BQ113+BQ112</f>
        <v>2167.37139587</v>
      </c>
      <c r="BR120" s="608"/>
      <c r="BS120" s="290"/>
      <c r="BT120" s="290"/>
      <c r="BU120" s="290"/>
      <c r="BV120" s="290"/>
      <c r="BW120" s="290"/>
      <c r="BX120" s="290"/>
      <c r="BY120" s="290"/>
      <c r="BZ120" s="290"/>
      <c r="CA120" s="290"/>
      <c r="CB120" s="290"/>
      <c r="CC120" s="290"/>
      <c r="CD120" s="290"/>
      <c r="CE120" s="290"/>
      <c r="CF120" s="290"/>
      <c r="CG120" s="290"/>
      <c r="CH120" s="290"/>
      <c r="CI120" s="290"/>
      <c r="CJ120" s="290"/>
      <c r="CK120" s="290"/>
      <c r="CL120" s="290"/>
      <c r="CM120" s="290"/>
      <c r="CN120" s="290"/>
      <c r="CO120" s="290"/>
      <c r="CP120" s="290"/>
      <c r="CQ120" s="290"/>
      <c r="CR120" s="290"/>
      <c r="CS120" s="290"/>
      <c r="CT120" s="290"/>
      <c r="CU120" s="290"/>
      <c r="CV120" s="290"/>
      <c r="CW120" s="290"/>
      <c r="CX120" s="290"/>
      <c r="CY120" s="290"/>
      <c r="CZ120" s="290"/>
      <c r="DA120" s="290"/>
    </row>
    <row r="121" spans="1:105">
      <c r="A121" s="290"/>
      <c r="E121" s="831"/>
      <c r="F121" s="832"/>
      <c r="G121" s="832"/>
      <c r="H121" s="833"/>
      <c r="I121" s="548"/>
      <c r="J121" s="529"/>
      <c r="K121" s="530"/>
      <c r="L121" s="530"/>
      <c r="M121" s="531"/>
      <c r="N121" s="528"/>
      <c r="O121" s="529"/>
      <c r="P121" s="530"/>
      <c r="Q121" s="530"/>
      <c r="R121" s="531"/>
      <c r="S121" s="528"/>
      <c r="T121" s="529"/>
      <c r="U121" s="530"/>
      <c r="V121" s="530"/>
      <c r="W121" s="531"/>
      <c r="X121" s="528"/>
      <c r="Y121" s="529"/>
      <c r="Z121" s="530"/>
      <c r="AA121" s="530"/>
      <c r="AB121" s="531"/>
      <c r="AC121" s="528"/>
      <c r="AD121" s="529"/>
      <c r="AE121" s="530"/>
      <c r="AF121" s="530"/>
      <c r="AG121" s="531"/>
      <c r="AH121" s="528"/>
      <c r="AI121" s="529"/>
      <c r="AJ121" s="530"/>
      <c r="AK121" s="530"/>
      <c r="AL121" s="531"/>
      <c r="AM121" s="528"/>
      <c r="AN121" s="529"/>
      <c r="AO121" s="530"/>
      <c r="AP121" s="530"/>
      <c r="AQ121" s="531"/>
      <c r="AR121" s="528"/>
      <c r="AS121" s="529"/>
      <c r="AT121" s="530"/>
      <c r="AU121" s="530"/>
      <c r="AV121" s="531"/>
      <c r="AW121" s="528"/>
      <c r="AX121" s="529"/>
      <c r="AY121" s="530"/>
      <c r="AZ121" s="530"/>
      <c r="BA121" s="531"/>
      <c r="BB121" s="528"/>
      <c r="BC121" s="529"/>
      <c r="BD121" s="530"/>
      <c r="BE121" s="530"/>
      <c r="BF121" s="531"/>
      <c r="BG121" s="528"/>
      <c r="BH121" s="529"/>
      <c r="BI121" s="530"/>
      <c r="BJ121" s="530"/>
      <c r="BK121" s="531"/>
      <c r="BL121" s="528"/>
      <c r="BM121" s="529"/>
      <c r="BN121" s="530"/>
      <c r="BO121" s="530"/>
      <c r="BP121" s="531"/>
      <c r="BQ121" s="528"/>
      <c r="BR121" s="528"/>
      <c r="BS121" s="290"/>
      <c r="BT121" s="290"/>
      <c r="BU121" s="290"/>
      <c r="BV121" s="290"/>
      <c r="BW121" s="290"/>
      <c r="BX121" s="290"/>
      <c r="BY121" s="290"/>
      <c r="BZ121" s="290"/>
      <c r="CA121" s="290"/>
      <c r="CB121" s="290"/>
      <c r="CC121" s="290"/>
      <c r="CD121" s="290"/>
      <c r="CE121" s="290"/>
      <c r="CF121" s="290"/>
      <c r="CG121" s="290"/>
      <c r="CH121" s="290"/>
      <c r="CI121" s="290"/>
      <c r="CJ121" s="290"/>
      <c r="CK121" s="290"/>
      <c r="CL121" s="290"/>
      <c r="CM121" s="290"/>
      <c r="CN121" s="290"/>
      <c r="CO121" s="290"/>
      <c r="CP121" s="290"/>
      <c r="CQ121" s="290"/>
      <c r="CR121" s="290"/>
      <c r="CS121" s="290"/>
      <c r="CT121" s="290"/>
      <c r="CU121" s="290"/>
      <c r="CV121" s="290"/>
      <c r="CW121" s="290"/>
      <c r="CX121" s="290"/>
      <c r="CY121" s="290"/>
      <c r="CZ121" s="290"/>
      <c r="DA121" s="290"/>
    </row>
    <row r="122" spans="1:105">
      <c r="C122" s="64" t="s">
        <v>155</v>
      </c>
      <c r="E122" s="831"/>
      <c r="F122" s="832"/>
      <c r="G122" s="832"/>
      <c r="H122" s="833"/>
      <c r="I122" s="548"/>
      <c r="J122" s="529"/>
      <c r="K122" s="530"/>
      <c r="L122" s="530"/>
      <c r="M122" s="531"/>
      <c r="N122" s="528"/>
      <c r="O122" s="529"/>
      <c r="P122" s="530"/>
      <c r="Q122" s="530"/>
      <c r="R122" s="531"/>
      <c r="S122" s="528"/>
      <c r="T122" s="529"/>
      <c r="U122" s="530"/>
      <c r="V122" s="530"/>
      <c r="W122" s="531"/>
      <c r="X122" s="528"/>
      <c r="Y122" s="529"/>
      <c r="Z122" s="530"/>
      <c r="AA122" s="530"/>
      <c r="AB122" s="531"/>
      <c r="AC122" s="528"/>
      <c r="AD122" s="1525"/>
      <c r="AE122" s="530"/>
      <c r="AF122" s="530"/>
      <c r="AG122" s="531"/>
      <c r="AH122" s="528"/>
      <c r="AI122" s="529"/>
      <c r="AJ122" s="530"/>
      <c r="AK122" s="530"/>
      <c r="AL122" s="531"/>
      <c r="AM122" s="528"/>
      <c r="AN122" s="529"/>
      <c r="AO122" s="530"/>
      <c r="AP122" s="530"/>
      <c r="AQ122" s="531"/>
      <c r="AR122" s="528"/>
      <c r="AS122" s="529"/>
      <c r="AT122" s="530"/>
      <c r="AU122" s="530"/>
      <c r="AV122" s="531"/>
      <c r="AW122" s="528"/>
      <c r="AX122" s="529"/>
      <c r="AY122" s="530"/>
      <c r="AZ122" s="530"/>
      <c r="BA122" s="531"/>
      <c r="BB122" s="528"/>
      <c r="BC122" s="529"/>
      <c r="BD122" s="530"/>
      <c r="BE122" s="530"/>
      <c r="BF122" s="531"/>
      <c r="BG122" s="528"/>
      <c r="BH122" s="529"/>
      <c r="BI122" s="530"/>
      <c r="BJ122" s="530"/>
      <c r="BK122" s="531"/>
      <c r="BL122" s="528"/>
      <c r="BM122" s="529"/>
      <c r="BN122" s="530"/>
      <c r="BO122" s="530"/>
      <c r="BP122" s="531"/>
      <c r="BQ122" s="528"/>
      <c r="BR122" s="528"/>
      <c r="BS122" s="290"/>
      <c r="BT122" s="290"/>
      <c r="BU122" s="290"/>
      <c r="BV122" s="290"/>
      <c r="BW122" s="290"/>
      <c r="BX122" s="290"/>
      <c r="BY122" s="290"/>
      <c r="BZ122" s="290"/>
      <c r="CA122" s="290"/>
      <c r="CB122" s="290"/>
      <c r="CC122" s="290"/>
      <c r="CD122" s="290"/>
      <c r="CE122" s="290"/>
      <c r="CF122" s="290"/>
      <c r="CG122" s="290"/>
      <c r="CH122" s="290"/>
      <c r="CI122" s="290"/>
      <c r="CJ122" s="290"/>
      <c r="CK122" s="290"/>
      <c r="CL122" s="290"/>
      <c r="CM122" s="290"/>
      <c r="CN122" s="290"/>
      <c r="CO122" s="290"/>
      <c r="CP122" s="290"/>
      <c r="CQ122" s="290"/>
      <c r="CR122" s="290"/>
      <c r="CS122" s="290"/>
      <c r="CT122" s="290"/>
      <c r="CU122" s="290"/>
      <c r="CV122" s="290"/>
      <c r="CW122" s="290"/>
      <c r="CX122" s="290"/>
      <c r="CY122" s="290"/>
      <c r="CZ122" s="290"/>
      <c r="DA122" s="290"/>
    </row>
    <row r="123" spans="1:105" s="305" customFormat="1">
      <c r="A123" s="290"/>
      <c r="B123" s="1353"/>
      <c r="C123" s="71" t="s">
        <v>192</v>
      </c>
      <c r="E123" s="456">
        <v>1018</v>
      </c>
      <c r="F123" s="457">
        <v>291</v>
      </c>
      <c r="G123" s="457">
        <v>189</v>
      </c>
      <c r="H123" s="395">
        <f>I123-SUM(E123:G123)</f>
        <v>601</v>
      </c>
      <c r="I123" s="590">
        <v>2099</v>
      </c>
      <c r="J123" s="456">
        <v>923</v>
      </c>
      <c r="K123" s="457">
        <v>255</v>
      </c>
      <c r="L123" s="457">
        <v>179</v>
      </c>
      <c r="M123" s="395">
        <f>N123-SUM(J123:L123)</f>
        <v>633</v>
      </c>
      <c r="N123" s="590">
        <v>1990</v>
      </c>
      <c r="O123" s="456">
        <v>951</v>
      </c>
      <c r="P123" s="457">
        <v>285</v>
      </c>
      <c r="Q123" s="457">
        <v>176</v>
      </c>
      <c r="R123" s="395">
        <f>S123-SUM(O123:Q123)</f>
        <v>490</v>
      </c>
      <c r="S123" s="590">
        <v>1902</v>
      </c>
      <c r="T123" s="456">
        <v>743</v>
      </c>
      <c r="U123" s="457">
        <v>221</v>
      </c>
      <c r="V123" s="457">
        <v>136</v>
      </c>
      <c r="W123" s="395">
        <f>X123-SUM(T123:V123)</f>
        <v>545</v>
      </c>
      <c r="X123" s="462">
        <v>1645</v>
      </c>
      <c r="Y123" s="459">
        <v>871</v>
      </c>
      <c r="Z123" s="460">
        <v>245</v>
      </c>
      <c r="AA123" s="457">
        <v>136</v>
      </c>
      <c r="AB123" s="395">
        <f>AC123-SUM(Y123:AA123)</f>
        <v>545</v>
      </c>
      <c r="AC123" s="462">
        <v>1797</v>
      </c>
      <c r="AD123" s="459">
        <v>1345</v>
      </c>
      <c r="AE123" s="460">
        <v>354</v>
      </c>
      <c r="AF123" s="457">
        <v>200</v>
      </c>
      <c r="AG123" s="395">
        <f>AH123-SUM(AD123:AF123)</f>
        <v>729</v>
      </c>
      <c r="AH123" s="462">
        <v>2628</v>
      </c>
      <c r="AI123" s="459">
        <v>1418</v>
      </c>
      <c r="AJ123" s="460">
        <v>358</v>
      </c>
      <c r="AK123" s="457">
        <v>196</v>
      </c>
      <c r="AL123" s="395">
        <f>AM123-SUM(AI123:AK123)</f>
        <v>551</v>
      </c>
      <c r="AM123" s="462">
        <v>2523</v>
      </c>
      <c r="AN123" s="459">
        <v>1081</v>
      </c>
      <c r="AO123" s="460">
        <v>372</v>
      </c>
      <c r="AP123" s="460">
        <v>182</v>
      </c>
      <c r="AQ123" s="395">
        <f>AR123-SUM(AN123:AP123)</f>
        <v>725</v>
      </c>
      <c r="AR123" s="462">
        <v>2360</v>
      </c>
      <c r="AS123" s="459">
        <v>1113</v>
      </c>
      <c r="AT123" s="460">
        <v>336</v>
      </c>
      <c r="AU123" s="460">
        <v>189</v>
      </c>
      <c r="AV123" s="395">
        <f>AW123-SUM(AS123:AU123)</f>
        <v>759</v>
      </c>
      <c r="AW123" s="462">
        <v>2397</v>
      </c>
      <c r="AX123" s="394">
        <f>AS123*(1+AX51)</f>
        <v>1124.1300000000001</v>
      </c>
      <c r="AY123" s="342">
        <f>AT123*(1+AY51)</f>
        <v>339.36</v>
      </c>
      <c r="AZ123" s="342">
        <f>AU123*(1+AZ51)</f>
        <v>190.89000000000001</v>
      </c>
      <c r="BA123" s="395">
        <f>AV123*(1+BA51)</f>
        <v>766.59</v>
      </c>
      <c r="BB123" s="77">
        <f>SUM(AX123:BA123)</f>
        <v>2420.9700000000003</v>
      </c>
      <c r="BC123" s="394">
        <f>AX123*(1+BC51)</f>
        <v>1135.3713</v>
      </c>
      <c r="BD123" s="342">
        <f>AY123*(1+BD51)</f>
        <v>342.75360000000001</v>
      </c>
      <c r="BE123" s="342">
        <f>AY123*(1+BE51)</f>
        <v>342.75360000000001</v>
      </c>
      <c r="BF123" s="395">
        <f>BA123*(1+BF51)</f>
        <v>774.2559</v>
      </c>
      <c r="BG123" s="77">
        <f>SUM(BC123:BF123)</f>
        <v>2595.1343999999999</v>
      </c>
      <c r="BH123" s="394">
        <f>BC123*(1+BH51)</f>
        <v>1146.725013</v>
      </c>
      <c r="BI123" s="342">
        <f>BD123*(1+BI51)</f>
        <v>346.18113599999998</v>
      </c>
      <c r="BJ123" s="342">
        <f>BE123*(1+BJ51)</f>
        <v>346.18113599999998</v>
      </c>
      <c r="BK123" s="395">
        <f>BF123*(1+BK51)</f>
        <v>781.99845900000003</v>
      </c>
      <c r="BL123" s="77">
        <f>SUM(BH123:BK123)</f>
        <v>2621.085744</v>
      </c>
      <c r="BM123" s="394">
        <f>BH123*(1+BM51)</f>
        <v>1158.1922631299999</v>
      </c>
      <c r="BN123" s="342">
        <f>BI123*(1+BN51)</f>
        <v>349.64294735999999</v>
      </c>
      <c r="BO123" s="342">
        <f>BJ123*(1+BO51)</f>
        <v>349.64294735999999</v>
      </c>
      <c r="BP123" s="395">
        <f>BK123*(1+BP51)</f>
        <v>789.81844359000002</v>
      </c>
      <c r="BQ123" s="77">
        <f>SUM(BM123:BP123)</f>
        <v>2647.2966014399999</v>
      </c>
      <c r="BR123" s="77"/>
      <c r="BS123" s="290"/>
      <c r="BT123" s="290"/>
      <c r="BU123" s="290"/>
      <c r="BV123" s="290"/>
      <c r="BW123" s="290"/>
      <c r="BX123" s="290"/>
      <c r="BY123" s="290"/>
      <c r="BZ123" s="290"/>
      <c r="CA123" s="290"/>
      <c r="CB123" s="290"/>
      <c r="CC123" s="290"/>
      <c r="CD123" s="290"/>
      <c r="CE123" s="290"/>
      <c r="CF123" s="290"/>
      <c r="CG123" s="290"/>
      <c r="CH123" s="290"/>
      <c r="CI123" s="290"/>
      <c r="CJ123" s="290"/>
      <c r="CK123" s="290"/>
      <c r="CL123" s="290"/>
      <c r="CM123" s="290"/>
      <c r="CN123" s="290"/>
      <c r="CO123" s="290"/>
      <c r="CP123" s="290"/>
      <c r="CQ123" s="290"/>
      <c r="CR123" s="290"/>
      <c r="CS123" s="290"/>
      <c r="CT123" s="290"/>
      <c r="CU123" s="290"/>
      <c r="CV123" s="290"/>
      <c r="CW123" s="290"/>
      <c r="CX123" s="290"/>
      <c r="CY123" s="290"/>
      <c r="CZ123" s="290"/>
      <c r="DA123" s="290"/>
    </row>
    <row r="124" spans="1:105" s="278" customFormat="1">
      <c r="A124" s="290"/>
      <c r="B124" s="1354"/>
      <c r="C124" s="290" t="s">
        <v>137</v>
      </c>
      <c r="E124" s="831"/>
      <c r="F124" s="832"/>
      <c r="G124" s="832"/>
      <c r="H124" s="833"/>
      <c r="I124" s="548"/>
      <c r="J124" s="529">
        <f t="shared" ref="J124:V124" si="142">J123/E123-1</f>
        <v>-9.3320235756385039E-2</v>
      </c>
      <c r="K124" s="530">
        <f t="shared" si="142"/>
        <v>-0.12371134020618557</v>
      </c>
      <c r="L124" s="530">
        <f t="shared" si="142"/>
        <v>-5.2910052910052907E-2</v>
      </c>
      <c r="M124" s="531">
        <f t="shared" si="142"/>
        <v>5.3244592346089803E-2</v>
      </c>
      <c r="N124" s="528">
        <f t="shared" si="142"/>
        <v>-5.1929490233444509E-2</v>
      </c>
      <c r="O124" s="529">
        <f t="shared" si="142"/>
        <v>3.0335861321776791E-2</v>
      </c>
      <c r="P124" s="530">
        <f t="shared" si="142"/>
        <v>0.11764705882352944</v>
      </c>
      <c r="Q124" s="530">
        <f t="shared" si="142"/>
        <v>-1.6759776536312887E-2</v>
      </c>
      <c r="R124" s="531">
        <f t="shared" si="142"/>
        <v>-0.22590837282780407</v>
      </c>
      <c r="S124" s="528">
        <f t="shared" si="142"/>
        <v>-4.4221105527638138E-2</v>
      </c>
      <c r="T124" s="529">
        <f t="shared" si="142"/>
        <v>-0.21871713985278651</v>
      </c>
      <c r="U124" s="530">
        <f t="shared" si="142"/>
        <v>-0.22456140350877196</v>
      </c>
      <c r="V124" s="530">
        <f t="shared" si="142"/>
        <v>-0.22727272727272729</v>
      </c>
      <c r="W124" s="531">
        <f t="shared" ref="W124:AC124" si="143">W123/R123-1</f>
        <v>0.11224489795918369</v>
      </c>
      <c r="X124" s="528">
        <f t="shared" si="143"/>
        <v>-0.13512092534174558</v>
      </c>
      <c r="Y124" s="529">
        <f t="shared" si="143"/>
        <v>0.17227456258411844</v>
      </c>
      <c r="Z124" s="530">
        <f t="shared" si="143"/>
        <v>0.10859728506787336</v>
      </c>
      <c r="AA124" s="530">
        <f t="shared" si="143"/>
        <v>0</v>
      </c>
      <c r="AB124" s="531">
        <f t="shared" si="143"/>
        <v>0</v>
      </c>
      <c r="AC124" s="528">
        <f t="shared" si="143"/>
        <v>9.2401215805471226E-2</v>
      </c>
      <c r="AD124" s="529">
        <f t="shared" ref="AD124:AI124" si="144">AD123/Y123-1</f>
        <v>0.54420206659012638</v>
      </c>
      <c r="AE124" s="530">
        <f t="shared" si="144"/>
        <v>0.44489795918367347</v>
      </c>
      <c r="AF124" s="530">
        <f t="shared" si="144"/>
        <v>0.47058823529411775</v>
      </c>
      <c r="AG124" s="531">
        <f t="shared" si="144"/>
        <v>0.33761467889908259</v>
      </c>
      <c r="AH124" s="528">
        <f t="shared" si="144"/>
        <v>0.46243739565943232</v>
      </c>
      <c r="AI124" s="529">
        <f t="shared" si="144"/>
        <v>5.4275092936802993E-2</v>
      </c>
      <c r="AJ124" s="530">
        <f t="shared" ref="AJ124:AO124" si="145">AJ123/AE123-1</f>
        <v>1.1299435028248483E-2</v>
      </c>
      <c r="AK124" s="530">
        <f t="shared" si="145"/>
        <v>-2.0000000000000018E-2</v>
      </c>
      <c r="AL124" s="531">
        <f t="shared" si="145"/>
        <v>-0.24417009602194784</v>
      </c>
      <c r="AM124" s="528">
        <f t="shared" si="145"/>
        <v>-3.9954337899543391E-2</v>
      </c>
      <c r="AN124" s="529">
        <f t="shared" si="145"/>
        <v>-0.23765867418899855</v>
      </c>
      <c r="AO124" s="530">
        <f t="shared" si="145"/>
        <v>3.9106145251396551E-2</v>
      </c>
      <c r="AP124" s="530">
        <f t="shared" ref="AP124:AU124" si="146">AP123/AK123-1</f>
        <v>-7.1428571428571397E-2</v>
      </c>
      <c r="AQ124" s="531">
        <f t="shared" si="146"/>
        <v>0.31578947368421062</v>
      </c>
      <c r="AR124" s="528">
        <f t="shared" si="146"/>
        <v>-6.4605628220372524E-2</v>
      </c>
      <c r="AS124" s="529">
        <f t="shared" si="146"/>
        <v>2.9602220166512483E-2</v>
      </c>
      <c r="AT124" s="530">
        <f t="shared" si="146"/>
        <v>-9.6774193548387122E-2</v>
      </c>
      <c r="AU124" s="530">
        <f t="shared" si="146"/>
        <v>3.8461538461538547E-2</v>
      </c>
      <c r="AV124" s="531">
        <f t="shared" ref="AV124:BB124" si="147">AV123/AQ123-1</f>
        <v>4.689655172413798E-2</v>
      </c>
      <c r="AW124" s="528">
        <f t="shared" si="147"/>
        <v>1.5677966101694807E-2</v>
      </c>
      <c r="AX124" s="529">
        <f t="shared" si="147"/>
        <v>1.0000000000000009E-2</v>
      </c>
      <c r="AY124" s="530">
        <f t="shared" si="147"/>
        <v>1.0000000000000009E-2</v>
      </c>
      <c r="AZ124" s="530">
        <f t="shared" si="147"/>
        <v>1.0000000000000009E-2</v>
      </c>
      <c r="BA124" s="531">
        <f t="shared" si="147"/>
        <v>1.0000000000000009E-2</v>
      </c>
      <c r="BB124" s="528">
        <f t="shared" si="147"/>
        <v>1.0000000000000009E-2</v>
      </c>
      <c r="BC124" s="529">
        <f t="shared" ref="BC124:BL124" si="148">BC123/AX123-1</f>
        <v>1.0000000000000009E-2</v>
      </c>
      <c r="BD124" s="530">
        <f t="shared" si="148"/>
        <v>1.0000000000000009E-2</v>
      </c>
      <c r="BE124" s="530">
        <f>BE123/AY123-1</f>
        <v>1.0000000000000009E-2</v>
      </c>
      <c r="BF124" s="531">
        <f t="shared" si="148"/>
        <v>1.0000000000000009E-2</v>
      </c>
      <c r="BG124" s="528">
        <f t="shared" si="148"/>
        <v>7.1939924906132546E-2</v>
      </c>
      <c r="BH124" s="529">
        <f t="shared" si="148"/>
        <v>1.0000000000000009E-2</v>
      </c>
      <c r="BI124" s="530">
        <f t="shared" si="148"/>
        <v>1.0000000000000009E-2</v>
      </c>
      <c r="BJ124" s="530">
        <f t="shared" si="148"/>
        <v>1.0000000000000009E-2</v>
      </c>
      <c r="BK124" s="531">
        <f t="shared" si="148"/>
        <v>1.0000000000000009E-2</v>
      </c>
      <c r="BL124" s="528">
        <f t="shared" si="148"/>
        <v>1.0000000000000009E-2</v>
      </c>
      <c r="BM124" s="529">
        <f>BM123/BH123-1</f>
        <v>1.0000000000000009E-2</v>
      </c>
      <c r="BN124" s="530">
        <f>BN123/BI123-1</f>
        <v>1.0000000000000009E-2</v>
      </c>
      <c r="BO124" s="530">
        <f>BO123/BJ123-1</f>
        <v>1.0000000000000009E-2</v>
      </c>
      <c r="BP124" s="531">
        <f>BP123/BK123-1</f>
        <v>1.0000000000000009E-2</v>
      </c>
      <c r="BQ124" s="528">
        <f>BQ123/BL123-1</f>
        <v>1.0000000000000009E-2</v>
      </c>
      <c r="BR124" s="528"/>
      <c r="BS124" s="290"/>
      <c r="BT124" s="290"/>
      <c r="BU124" s="290"/>
      <c r="BV124" s="290"/>
      <c r="BW124" s="290"/>
      <c r="BX124" s="290"/>
      <c r="BY124" s="290"/>
      <c r="BZ124" s="290"/>
      <c r="CA124" s="290"/>
      <c r="CB124" s="290"/>
      <c r="CC124" s="290"/>
      <c r="CD124" s="290"/>
      <c r="CE124" s="290"/>
      <c r="CF124" s="290"/>
      <c r="CG124" s="290"/>
      <c r="CH124" s="290"/>
      <c r="CI124" s="290"/>
      <c r="CJ124" s="290"/>
      <c r="CK124" s="290"/>
      <c r="CL124" s="290"/>
      <c r="CM124" s="290"/>
      <c r="CN124" s="290"/>
      <c r="CO124" s="290"/>
      <c r="CP124" s="290"/>
      <c r="CQ124" s="290"/>
      <c r="CR124" s="290"/>
      <c r="CS124" s="290"/>
      <c r="CT124" s="290"/>
      <c r="CU124" s="290"/>
      <c r="CV124" s="290"/>
      <c r="CW124" s="290"/>
      <c r="CX124" s="290"/>
      <c r="CY124" s="290"/>
      <c r="CZ124" s="290"/>
      <c r="DA124" s="290"/>
    </row>
    <row r="125" spans="1:105">
      <c r="A125" s="290"/>
      <c r="B125" s="1355"/>
      <c r="C125" s="37"/>
      <c r="E125" s="831"/>
      <c r="F125" s="832"/>
      <c r="G125" s="832"/>
      <c r="H125" s="833"/>
      <c r="I125" s="548"/>
      <c r="J125" s="529"/>
      <c r="K125" s="530"/>
      <c r="L125" s="530"/>
      <c r="M125" s="531"/>
      <c r="N125" s="528"/>
      <c r="O125" s="529"/>
      <c r="P125" s="530"/>
      <c r="Q125" s="530"/>
      <c r="R125" s="395"/>
      <c r="S125" s="590"/>
      <c r="T125" s="529"/>
      <c r="U125" s="530"/>
      <c r="V125" s="530"/>
      <c r="W125" s="395"/>
      <c r="X125" s="462"/>
      <c r="Y125" s="529"/>
      <c r="Z125" s="530"/>
      <c r="AA125" s="530"/>
      <c r="AB125" s="531"/>
      <c r="AC125" s="528"/>
      <c r="AD125" s="529"/>
      <c r="AE125" s="530"/>
      <c r="AF125" s="530"/>
      <c r="AG125" s="531"/>
      <c r="AH125" s="528"/>
      <c r="AI125" s="529"/>
      <c r="AJ125" s="530"/>
      <c r="AK125" s="530"/>
      <c r="AL125" s="531"/>
      <c r="AM125" s="528"/>
      <c r="AN125" s="529"/>
      <c r="AO125" s="530"/>
      <c r="AP125" s="530"/>
      <c r="AQ125" s="531"/>
      <c r="AR125" s="528"/>
      <c r="AS125" s="529"/>
      <c r="AT125" s="530"/>
      <c r="AU125" s="530"/>
      <c r="AV125" s="531"/>
      <c r="AW125" s="528"/>
      <c r="AX125" s="529"/>
      <c r="AY125" s="530"/>
      <c r="AZ125" s="530"/>
      <c r="BA125" s="531"/>
      <c r="BB125" s="528"/>
      <c r="BC125" s="529"/>
      <c r="BD125" s="530"/>
      <c r="BE125" s="530"/>
      <c r="BF125" s="531"/>
      <c r="BG125" s="528"/>
      <c r="BH125" s="529"/>
      <c r="BI125" s="530"/>
      <c r="BJ125" s="530"/>
      <c r="BK125" s="531"/>
      <c r="BL125" s="528"/>
      <c r="BM125" s="529"/>
      <c r="BN125" s="530"/>
      <c r="BO125" s="530"/>
      <c r="BP125" s="531"/>
      <c r="BQ125" s="528"/>
      <c r="BR125" s="528"/>
      <c r="BS125" s="290"/>
      <c r="BT125" s="290"/>
      <c r="BU125" s="290"/>
      <c r="BV125" s="290"/>
      <c r="BW125" s="290"/>
      <c r="BX125" s="290"/>
      <c r="BY125" s="290"/>
      <c r="BZ125" s="290"/>
      <c r="CA125" s="290"/>
      <c r="CB125" s="290"/>
      <c r="CC125" s="290"/>
      <c r="CD125" s="290"/>
      <c r="CE125" s="290"/>
      <c r="CF125" s="290"/>
      <c r="CG125" s="290"/>
      <c r="CH125" s="290"/>
      <c r="CI125" s="290"/>
      <c r="CJ125" s="290"/>
      <c r="CK125" s="290"/>
      <c r="CL125" s="290"/>
      <c r="CM125" s="290"/>
      <c r="CN125" s="290"/>
      <c r="CO125" s="290"/>
      <c r="CP125" s="290"/>
      <c r="CQ125" s="290"/>
      <c r="CR125" s="290"/>
      <c r="CS125" s="290"/>
      <c r="CT125" s="290"/>
      <c r="CU125" s="290"/>
      <c r="CV125" s="290"/>
      <c r="CW125" s="290"/>
      <c r="CX125" s="290"/>
      <c r="CY125" s="290"/>
      <c r="CZ125" s="290"/>
      <c r="DA125" s="290"/>
    </row>
    <row r="126" spans="1:105" s="305" customFormat="1">
      <c r="A126" s="290"/>
      <c r="B126" s="1353"/>
      <c r="C126" s="305" t="s">
        <v>156</v>
      </c>
      <c r="E126" s="456">
        <v>383</v>
      </c>
      <c r="F126" s="457">
        <v>311</v>
      </c>
      <c r="G126" s="457">
        <v>457</v>
      </c>
      <c r="H126" s="395">
        <f>I126-SUM(E126:G126)</f>
        <v>250</v>
      </c>
      <c r="I126" s="590">
        <f>464+937</f>
        <v>1401</v>
      </c>
      <c r="J126" s="456">
        <v>400</v>
      </c>
      <c r="K126" s="457">
        <v>311</v>
      </c>
      <c r="L126" s="457">
        <v>342</v>
      </c>
      <c r="M126" s="395">
        <f>N126-SUM(J126:L126)</f>
        <v>421</v>
      </c>
      <c r="N126" s="590">
        <f>477+997</f>
        <v>1474</v>
      </c>
      <c r="O126" s="456">
        <v>468</v>
      </c>
      <c r="P126" s="457">
        <v>290</v>
      </c>
      <c r="Q126" s="457">
        <f>64+284</f>
        <v>348</v>
      </c>
      <c r="R126" s="395">
        <f>S126-SUM(O126:Q126)</f>
        <v>520</v>
      </c>
      <c r="S126" s="590">
        <f>532+1094</f>
        <v>1626</v>
      </c>
      <c r="T126" s="456">
        <f>211+277</f>
        <v>488</v>
      </c>
      <c r="U126" s="457">
        <f>82+267</f>
        <v>349</v>
      </c>
      <c r="V126" s="457">
        <f>64+445</f>
        <v>509</v>
      </c>
      <c r="W126" s="395">
        <f>X126-SUM(T126:V126)</f>
        <v>406</v>
      </c>
      <c r="X126" s="462">
        <f>525+1227</f>
        <v>1752</v>
      </c>
      <c r="Y126" s="459">
        <f>298+207</f>
        <v>505</v>
      </c>
      <c r="Z126" s="460">
        <f>104+282</f>
        <v>386</v>
      </c>
      <c r="AA126" s="457">
        <v>509</v>
      </c>
      <c r="AB126" s="395">
        <f>AC126-SUM(Y126:AA126)</f>
        <v>406</v>
      </c>
      <c r="AC126" s="462">
        <v>1806</v>
      </c>
      <c r="AD126" s="459">
        <v>551</v>
      </c>
      <c r="AE126" s="460">
        <v>566</v>
      </c>
      <c r="AF126" s="457">
        <v>712</v>
      </c>
      <c r="AG126" s="395">
        <f>AH126-SUM(AD126:AF126)</f>
        <v>638</v>
      </c>
      <c r="AH126" s="462">
        <v>2467</v>
      </c>
      <c r="AI126" s="459">
        <v>452</v>
      </c>
      <c r="AJ126" s="460">
        <v>472</v>
      </c>
      <c r="AK126" s="457">
        <v>670</v>
      </c>
      <c r="AL126" s="395">
        <f>AM126-SUM(AI126:AK126)</f>
        <v>460</v>
      </c>
      <c r="AM126" s="462">
        <v>2054</v>
      </c>
      <c r="AN126" s="459">
        <v>414</v>
      </c>
      <c r="AO126" s="460">
        <v>472</v>
      </c>
      <c r="AP126" s="460">
        <v>679</v>
      </c>
      <c r="AQ126" s="395">
        <f>AR126-SUM(AN126:AP126)</f>
        <v>323</v>
      </c>
      <c r="AR126" s="462">
        <v>1888</v>
      </c>
      <c r="AS126" s="459">
        <v>331</v>
      </c>
      <c r="AT126" s="460">
        <v>356</v>
      </c>
      <c r="AU126" s="460">
        <v>292</v>
      </c>
      <c r="AV126" s="395">
        <f>AW126-SUM(AS126:AU126)</f>
        <v>191</v>
      </c>
      <c r="AW126" s="462">
        <v>1170</v>
      </c>
      <c r="AX126" s="394">
        <f>AS126*(1+AX52)</f>
        <v>331</v>
      </c>
      <c r="AY126" s="342">
        <f>AT126*(1+AY52)</f>
        <v>356</v>
      </c>
      <c r="AZ126" s="342">
        <f>AU126*(1+AZ52)</f>
        <v>292</v>
      </c>
      <c r="BA126" s="395">
        <f>AV126*(1+BA52)</f>
        <v>191</v>
      </c>
      <c r="BB126" s="77">
        <f>SUM(AX126:BA126)</f>
        <v>1170</v>
      </c>
      <c r="BC126" s="394">
        <f>AX126*(1+BC52)</f>
        <v>331</v>
      </c>
      <c r="BD126" s="342">
        <f>AY126*(1+BD52)</f>
        <v>356</v>
      </c>
      <c r="BE126" s="342">
        <f>AY126*(1+BE52)</f>
        <v>356</v>
      </c>
      <c r="BF126" s="395">
        <f>BA126*(1+BF52)</f>
        <v>191</v>
      </c>
      <c r="BG126" s="77">
        <f>SUM(BC126:BF126)</f>
        <v>1234</v>
      </c>
      <c r="BH126" s="394">
        <f>BC126*(1+BH52)</f>
        <v>331</v>
      </c>
      <c r="BI126" s="342">
        <f>BD126*(1+BI52)</f>
        <v>356</v>
      </c>
      <c r="BJ126" s="342">
        <f>BE126*(1+BJ52)</f>
        <v>356</v>
      </c>
      <c r="BK126" s="395">
        <f>BF126*(1+BK52)</f>
        <v>191</v>
      </c>
      <c r="BL126" s="77">
        <f>SUM(BH126:BK126)</f>
        <v>1234</v>
      </c>
      <c r="BM126" s="394">
        <f>BH126*(1+BM52)</f>
        <v>331</v>
      </c>
      <c r="BN126" s="342">
        <f>BI126*(1+BN52)</f>
        <v>356</v>
      </c>
      <c r="BO126" s="342">
        <f>BJ126*(1+BO52)</f>
        <v>356</v>
      </c>
      <c r="BP126" s="395">
        <f>BK126*(1+BP52)</f>
        <v>191</v>
      </c>
      <c r="BQ126" s="77">
        <f>SUM(BM126:BP126)</f>
        <v>1234</v>
      </c>
      <c r="BR126" s="77"/>
      <c r="BS126" s="290"/>
      <c r="BT126" s="290"/>
      <c r="BU126" s="290"/>
      <c r="BV126" s="290"/>
      <c r="BW126" s="290"/>
      <c r="BX126" s="290"/>
      <c r="BY126" s="290"/>
      <c r="BZ126" s="290"/>
      <c r="CA126" s="290"/>
      <c r="CB126" s="290"/>
      <c r="CC126" s="290"/>
      <c r="CD126" s="290"/>
      <c r="CE126" s="290"/>
      <c r="CF126" s="290"/>
      <c r="CG126" s="290"/>
      <c r="CH126" s="290"/>
      <c r="CI126" s="290"/>
      <c r="CJ126" s="290"/>
      <c r="CK126" s="290"/>
      <c r="CL126" s="290"/>
      <c r="CM126" s="290"/>
      <c r="CN126" s="290"/>
      <c r="CO126" s="290"/>
      <c r="CP126" s="290"/>
      <c r="CQ126" s="290"/>
      <c r="CR126" s="290"/>
      <c r="CS126" s="290"/>
      <c r="CT126" s="290"/>
      <c r="CU126" s="290"/>
      <c r="CV126" s="290"/>
      <c r="CW126" s="290"/>
      <c r="CX126" s="290"/>
      <c r="CY126" s="290"/>
      <c r="CZ126" s="290"/>
      <c r="DA126" s="290"/>
    </row>
    <row r="127" spans="1:105" s="278" customFormat="1">
      <c r="A127" s="290"/>
      <c r="C127" s="290" t="s">
        <v>157</v>
      </c>
      <c r="E127" s="874"/>
      <c r="F127" s="875"/>
      <c r="G127" s="875"/>
      <c r="H127" s="876"/>
      <c r="I127" s="877"/>
      <c r="J127" s="529">
        <f t="shared" ref="J127:S127" si="149">J126/E126-1</f>
        <v>4.4386422976501416E-2</v>
      </c>
      <c r="K127" s="530">
        <f t="shared" si="149"/>
        <v>0</v>
      </c>
      <c r="L127" s="530">
        <f t="shared" si="149"/>
        <v>-0.25164113785557984</v>
      </c>
      <c r="M127" s="531">
        <f t="shared" si="149"/>
        <v>0.68399999999999994</v>
      </c>
      <c r="N127" s="528">
        <f t="shared" si="149"/>
        <v>5.2105638829407663E-2</v>
      </c>
      <c r="O127" s="529">
        <f t="shared" si="149"/>
        <v>0.16999999999999993</v>
      </c>
      <c r="P127" s="530">
        <f t="shared" si="149"/>
        <v>-6.7524115755627001E-2</v>
      </c>
      <c r="Q127" s="530">
        <f t="shared" si="149"/>
        <v>1.7543859649122862E-2</v>
      </c>
      <c r="R127" s="531">
        <f t="shared" si="149"/>
        <v>0.23515439429928731</v>
      </c>
      <c r="S127" s="528">
        <f t="shared" si="149"/>
        <v>0.10312075983717772</v>
      </c>
      <c r="T127" s="529">
        <f>T126/O126-1</f>
        <v>4.2735042735042805E-2</v>
      </c>
      <c r="U127" s="530">
        <f>U126/P126-1</f>
        <v>0.20344827586206904</v>
      </c>
      <c r="V127" s="530">
        <f>V126/Q126-1</f>
        <v>0.46264367816091956</v>
      </c>
      <c r="W127" s="531">
        <f t="shared" ref="W127:AC127" si="150">W126/R126-1</f>
        <v>-0.21923076923076923</v>
      </c>
      <c r="X127" s="528">
        <f t="shared" si="150"/>
        <v>7.7490774907749138E-2</v>
      </c>
      <c r="Y127" s="529">
        <f t="shared" si="150"/>
        <v>3.4836065573770503E-2</v>
      </c>
      <c r="Z127" s="530">
        <f t="shared" si="150"/>
        <v>0.10601719197707737</v>
      </c>
      <c r="AA127" s="530">
        <f t="shared" si="150"/>
        <v>0</v>
      </c>
      <c r="AB127" s="531">
        <f t="shared" si="150"/>
        <v>0</v>
      </c>
      <c r="AC127" s="528">
        <f t="shared" si="150"/>
        <v>3.082191780821919E-2</v>
      </c>
      <c r="AD127" s="529">
        <f t="shared" ref="AD127:AP127" si="151">AD126/Y126-1</f>
        <v>9.108910891089117E-2</v>
      </c>
      <c r="AE127" s="530">
        <f t="shared" si="151"/>
        <v>0.46632124352331616</v>
      </c>
      <c r="AF127" s="530">
        <f t="shared" si="151"/>
        <v>0.3988212180746562</v>
      </c>
      <c r="AG127" s="531">
        <f t="shared" si="151"/>
        <v>0.5714285714285714</v>
      </c>
      <c r="AH127" s="528">
        <f t="shared" si="151"/>
        <v>0.36600221483942419</v>
      </c>
      <c r="AI127" s="529">
        <f t="shared" si="151"/>
        <v>-0.17967332123411983</v>
      </c>
      <c r="AJ127" s="530">
        <f t="shared" si="151"/>
        <v>-0.16607773851590102</v>
      </c>
      <c r="AK127" s="530">
        <f t="shared" si="151"/>
        <v>-5.8988764044943798E-2</v>
      </c>
      <c r="AL127" s="531">
        <f t="shared" si="151"/>
        <v>-0.27899686520376177</v>
      </c>
      <c r="AM127" s="528">
        <f t="shared" si="151"/>
        <v>-0.16740980948520467</v>
      </c>
      <c r="AN127" s="529">
        <f t="shared" si="151"/>
        <v>-8.4070796460177011E-2</v>
      </c>
      <c r="AO127" s="530">
        <f t="shared" si="151"/>
        <v>0</v>
      </c>
      <c r="AP127" s="530">
        <f t="shared" si="151"/>
        <v>1.3432835820895495E-2</v>
      </c>
      <c r="AQ127" s="531">
        <f t="shared" ref="AQ127:AY127" si="152">AQ126/AL126-1</f>
        <v>-0.29782608695652169</v>
      </c>
      <c r="AR127" s="528">
        <f t="shared" si="152"/>
        <v>-8.0817916260954248E-2</v>
      </c>
      <c r="AS127" s="529">
        <f t="shared" si="152"/>
        <v>-0.20048309178743962</v>
      </c>
      <c r="AT127" s="530">
        <f t="shared" si="152"/>
        <v>-0.24576271186440679</v>
      </c>
      <c r="AU127" s="530">
        <f t="shared" si="152"/>
        <v>-0.56995581737849776</v>
      </c>
      <c r="AV127" s="531">
        <f t="shared" si="152"/>
        <v>-0.40866873065015474</v>
      </c>
      <c r="AW127" s="528">
        <f t="shared" si="152"/>
        <v>-0.38029661016949157</v>
      </c>
      <c r="AX127" s="529">
        <f t="shared" si="152"/>
        <v>0</v>
      </c>
      <c r="AY127" s="530">
        <f t="shared" si="152"/>
        <v>0</v>
      </c>
      <c r="AZ127" s="530">
        <f>AZ126/AU126-1</f>
        <v>0</v>
      </c>
      <c r="BA127" s="531">
        <f>BA126/AV126-1</f>
        <v>0</v>
      </c>
      <c r="BB127" s="528">
        <f>BB126/AW126-1</f>
        <v>0</v>
      </c>
      <c r="BC127" s="529">
        <f t="shared" ref="BC127:BL127" si="153">BC126/AX126-1</f>
        <v>0</v>
      </c>
      <c r="BD127" s="530">
        <f t="shared" si="153"/>
        <v>0</v>
      </c>
      <c r="BE127" s="530">
        <f>BE126/AY126-1</f>
        <v>0</v>
      </c>
      <c r="BF127" s="531">
        <f t="shared" si="153"/>
        <v>0</v>
      </c>
      <c r="BG127" s="528">
        <f t="shared" si="153"/>
        <v>5.4700854700854729E-2</v>
      </c>
      <c r="BH127" s="529">
        <f t="shared" si="153"/>
        <v>0</v>
      </c>
      <c r="BI127" s="530">
        <f t="shared" si="153"/>
        <v>0</v>
      </c>
      <c r="BJ127" s="530">
        <f t="shared" si="153"/>
        <v>0</v>
      </c>
      <c r="BK127" s="531">
        <f t="shared" si="153"/>
        <v>0</v>
      </c>
      <c r="BL127" s="528">
        <f t="shared" si="153"/>
        <v>0</v>
      </c>
      <c r="BM127" s="529">
        <f>BM126/BH126-1</f>
        <v>0</v>
      </c>
      <c r="BN127" s="530">
        <f>BN126/BI126-1</f>
        <v>0</v>
      </c>
      <c r="BO127" s="530">
        <f>BO126/BJ126-1</f>
        <v>0</v>
      </c>
      <c r="BP127" s="531">
        <f>BP126/BK126-1</f>
        <v>0</v>
      </c>
      <c r="BQ127" s="528">
        <f>BQ126/BL126-1</f>
        <v>0</v>
      </c>
      <c r="BR127" s="528"/>
      <c r="BS127" s="290"/>
      <c r="BT127" s="290"/>
      <c r="BU127" s="290"/>
      <c r="BV127" s="290"/>
      <c r="BW127" s="290"/>
      <c r="BX127" s="290"/>
      <c r="BY127" s="290"/>
      <c r="BZ127" s="290"/>
      <c r="CA127" s="290"/>
      <c r="CB127" s="290"/>
      <c r="CC127" s="290"/>
      <c r="CD127" s="290"/>
      <c r="CE127" s="290"/>
      <c r="CF127" s="290"/>
      <c r="CG127" s="290"/>
      <c r="CH127" s="290"/>
      <c r="CI127" s="290"/>
      <c r="CJ127" s="290"/>
      <c r="CK127" s="290"/>
      <c r="CL127" s="290"/>
      <c r="CM127" s="290"/>
      <c r="CN127" s="290"/>
      <c r="CO127" s="290"/>
      <c r="CP127" s="290"/>
      <c r="CQ127" s="290"/>
      <c r="CR127" s="290"/>
      <c r="CS127" s="290"/>
      <c r="CT127" s="290"/>
      <c r="CU127" s="290"/>
      <c r="CV127" s="290"/>
      <c r="CW127" s="290"/>
      <c r="CX127" s="290"/>
      <c r="CY127" s="290"/>
      <c r="CZ127" s="290"/>
      <c r="DA127" s="290"/>
    </row>
    <row r="128" spans="1:105">
      <c r="A128" s="290"/>
      <c r="C128" s="64"/>
      <c r="E128" s="831"/>
      <c r="F128" s="832"/>
      <c r="G128" s="832"/>
      <c r="H128" s="833"/>
      <c r="I128" s="548"/>
      <c r="J128" s="529"/>
      <c r="K128" s="530"/>
      <c r="L128" s="530"/>
      <c r="M128" s="531"/>
      <c r="N128" s="528"/>
      <c r="O128" s="529"/>
      <c r="P128" s="530"/>
      <c r="Q128" s="530"/>
      <c r="R128" s="531"/>
      <c r="S128" s="528"/>
      <c r="T128" s="529"/>
      <c r="U128" s="530"/>
      <c r="V128" s="530"/>
      <c r="W128" s="531"/>
      <c r="X128" s="528"/>
      <c r="Y128" s="529"/>
      <c r="Z128" s="530"/>
      <c r="AA128" s="530"/>
      <c r="AB128" s="531"/>
      <c r="AC128" s="528"/>
      <c r="AD128" s="529"/>
      <c r="AE128" s="530"/>
      <c r="AF128" s="530"/>
      <c r="AG128" s="531"/>
      <c r="AH128" s="528"/>
      <c r="AI128" s="529"/>
      <c r="AJ128" s="530"/>
      <c r="AK128" s="530"/>
      <c r="AL128" s="531"/>
      <c r="AM128" s="528"/>
      <c r="AN128" s="529"/>
      <c r="AO128" s="530"/>
      <c r="AP128" s="530"/>
      <c r="AQ128" s="531"/>
      <c r="AR128" s="528"/>
      <c r="AS128" s="529"/>
      <c r="AT128" s="530"/>
      <c r="AU128" s="530"/>
      <c r="AV128" s="531"/>
      <c r="AW128" s="528"/>
      <c r="AX128" s="529"/>
      <c r="AY128" s="530"/>
      <c r="AZ128" s="530"/>
      <c r="BA128" s="531"/>
      <c r="BB128" s="528"/>
      <c r="BC128" s="529"/>
      <c r="BD128" s="530"/>
      <c r="BE128" s="530"/>
      <c r="BF128" s="531"/>
      <c r="BG128" s="528"/>
      <c r="BH128" s="529"/>
      <c r="BI128" s="530"/>
      <c r="BJ128" s="530"/>
      <c r="BK128" s="531"/>
      <c r="BL128" s="528"/>
      <c r="BM128" s="529"/>
      <c r="BN128" s="530"/>
      <c r="BO128" s="530"/>
      <c r="BP128" s="531"/>
      <c r="BQ128" s="528"/>
      <c r="BR128" s="528"/>
      <c r="BS128" s="290"/>
      <c r="BT128" s="290"/>
      <c r="BU128" s="290"/>
      <c r="BV128" s="290"/>
      <c r="BW128" s="290"/>
      <c r="BX128" s="290"/>
      <c r="BY128" s="290"/>
      <c r="BZ128" s="290"/>
      <c r="CA128" s="290"/>
      <c r="CB128" s="290"/>
      <c r="CC128" s="290"/>
      <c r="CD128" s="290"/>
      <c r="CE128" s="290"/>
      <c r="CF128" s="290"/>
      <c r="CG128" s="290"/>
      <c r="CH128" s="290"/>
      <c r="CI128" s="290"/>
      <c r="CJ128" s="290"/>
      <c r="CK128" s="290"/>
      <c r="CL128" s="290"/>
      <c r="CM128" s="290"/>
      <c r="CN128" s="290"/>
      <c r="CO128" s="290"/>
      <c r="CP128" s="290"/>
      <c r="CQ128" s="290"/>
      <c r="CR128" s="290"/>
      <c r="CS128" s="290"/>
      <c r="CT128" s="290"/>
      <c r="CU128" s="290"/>
      <c r="CV128" s="290"/>
      <c r="CW128" s="290"/>
      <c r="CX128" s="290"/>
      <c r="CY128" s="290"/>
      <c r="CZ128" s="290"/>
      <c r="DA128" s="290"/>
    </row>
    <row r="129" spans="1:105">
      <c r="A129" s="290"/>
      <c r="C129" s="37" t="s">
        <v>133</v>
      </c>
      <c r="E129" s="394">
        <f>E13</f>
        <v>1002.042</v>
      </c>
      <c r="F129" s="342">
        <f t="shared" ref="F129:S129" si="154">F13</f>
        <v>212.351</v>
      </c>
      <c r="G129" s="342">
        <f t="shared" si="154"/>
        <v>124.8420000000001</v>
      </c>
      <c r="H129" s="395">
        <f t="shared" si="154"/>
        <v>482.13099999999997</v>
      </c>
      <c r="I129" s="77">
        <f t="shared" si="154"/>
        <v>1821.366</v>
      </c>
      <c r="J129" s="394">
        <f t="shared" si="154"/>
        <v>807.36300000000006</v>
      </c>
      <c r="K129" s="342">
        <f t="shared" si="154"/>
        <v>179.13099999999997</v>
      </c>
      <c r="L129" s="342">
        <f t="shared" si="154"/>
        <v>112.82399999999996</v>
      </c>
      <c r="M129" s="395">
        <f t="shared" si="154"/>
        <v>430.29600000000005</v>
      </c>
      <c r="N129" s="77">
        <f t="shared" si="154"/>
        <v>1529.614</v>
      </c>
      <c r="O129" s="394">
        <f t="shared" si="154"/>
        <v>670.99599999999998</v>
      </c>
      <c r="P129" s="342">
        <f t="shared" si="154"/>
        <v>163.73800000000006</v>
      </c>
      <c r="Q129" s="342">
        <f t="shared" si="154"/>
        <v>90.033999999999992</v>
      </c>
      <c r="R129" s="395">
        <f t="shared" si="154"/>
        <v>294.62400000000002</v>
      </c>
      <c r="S129" s="77">
        <f t="shared" si="154"/>
        <v>1219.3920000000001</v>
      </c>
      <c r="T129" s="394">
        <f t="shared" ref="T129:AD129" si="155">T13</f>
        <v>428.423</v>
      </c>
      <c r="U129" s="342">
        <f t="shared" si="155"/>
        <v>98.426000000000045</v>
      </c>
      <c r="V129" s="342">
        <f t="shared" si="155"/>
        <v>60.178999999999974</v>
      </c>
      <c r="W129" s="395">
        <f t="shared" si="155"/>
        <v>314.95999999999998</v>
      </c>
      <c r="X129" s="77">
        <f t="shared" si="155"/>
        <v>901.98800000000006</v>
      </c>
      <c r="Y129" s="394">
        <f t="shared" si="155"/>
        <v>508.84100000000001</v>
      </c>
      <c r="Z129" s="342">
        <f t="shared" si="155"/>
        <v>114.50200000000001</v>
      </c>
      <c r="AA129" s="342">
        <f t="shared" si="155"/>
        <v>54.398000000000025</v>
      </c>
      <c r="AB129" s="395">
        <f t="shared" si="155"/>
        <v>199.31700000000001</v>
      </c>
      <c r="AC129" s="77">
        <f t="shared" si="155"/>
        <v>877.05800000000011</v>
      </c>
      <c r="AD129" s="394">
        <f t="shared" si="155"/>
        <v>534.59299999999996</v>
      </c>
      <c r="AE129" s="342">
        <f>AE13</f>
        <v>126.95400000000001</v>
      </c>
      <c r="AF129" s="342">
        <f>AF13</f>
        <v>64.730000000000018</v>
      </c>
      <c r="AG129" s="395">
        <f>AG13</f>
        <v>192.56</v>
      </c>
      <c r="AH129" s="77">
        <f>SUM(AD129:AG129)</f>
        <v>918.83699999999999</v>
      </c>
      <c r="AI129" s="394">
        <f>AI13</f>
        <v>392.32100000000003</v>
      </c>
      <c r="AJ129" s="342">
        <f>AJ13</f>
        <v>72.402000000000044</v>
      </c>
      <c r="AK129" s="342">
        <f>AK13</f>
        <v>48.368000000000052</v>
      </c>
      <c r="AL129" s="395">
        <f>AL13</f>
        <v>131.47899999999998</v>
      </c>
      <c r="AM129" s="77">
        <f>SUM(AI129:AL129)</f>
        <v>644.57000000000016</v>
      </c>
      <c r="AN129" s="394">
        <f>AN13</f>
        <v>274.52999999999997</v>
      </c>
      <c r="AO129" s="342">
        <f>AO13</f>
        <v>87.762</v>
      </c>
      <c r="AP129" s="342">
        <f>AP13</f>
        <v>34.899999999999977</v>
      </c>
      <c r="AQ129" s="395">
        <f>AQ13</f>
        <v>215.524</v>
      </c>
      <c r="AR129" s="77">
        <f>SUM(AN129:AQ129)</f>
        <v>612.71599999999989</v>
      </c>
      <c r="AS129" s="394">
        <f>AS13</f>
        <v>348.92900000000003</v>
      </c>
      <c r="AT129" s="342">
        <f>AT13</f>
        <v>67.34699999999998</v>
      </c>
      <c r="AU129" s="342">
        <f>AU13</f>
        <v>25.30699999999996</v>
      </c>
      <c r="AV129" s="395">
        <f>AV13</f>
        <v>93.30699999999996</v>
      </c>
      <c r="AW129" s="77">
        <f>SUM(AS129:AV129)</f>
        <v>534.88999999999987</v>
      </c>
      <c r="AX129" s="394">
        <f>AX130*AX123/10</f>
        <v>352.41829000000007</v>
      </c>
      <c r="AY129" s="342">
        <f>AY130*AY123/10</f>
        <v>68.020469999999989</v>
      </c>
      <c r="AZ129" s="342">
        <f>AZ130*AZ123/10</f>
        <v>25.560069999999961</v>
      </c>
      <c r="BA129" s="395">
        <f>BA130*BA123/10</f>
        <v>94.24006999999996</v>
      </c>
      <c r="BB129" s="77">
        <f>SUM(AX129:BA129)</f>
        <v>540.23889999999994</v>
      </c>
      <c r="BC129" s="394">
        <f>BC130*BC123/10</f>
        <v>355.94247290000004</v>
      </c>
      <c r="BD129" s="342">
        <f>BD130*BD123/10</f>
        <v>68.700674699999993</v>
      </c>
      <c r="BE129" s="342">
        <f>BE130*BE123/10</f>
        <v>68.700674699999993</v>
      </c>
      <c r="BF129" s="395">
        <f>BF130*BF123/10</f>
        <v>95.182470699999953</v>
      </c>
      <c r="BG129" s="77">
        <f>SUM(BC129:BF129)</f>
        <v>588.5262929999999</v>
      </c>
      <c r="BH129" s="394">
        <f>BH130*BH123/10</f>
        <v>359.50189762900004</v>
      </c>
      <c r="BI129" s="342">
        <f>BI130*BI123/10</f>
        <v>69.387681446999977</v>
      </c>
      <c r="BJ129" s="342">
        <f>BJ130*BJ123/10</f>
        <v>69.387681446999977</v>
      </c>
      <c r="BK129" s="395">
        <f>BK130*BK123/10</f>
        <v>96.134295406999954</v>
      </c>
      <c r="BL129" s="77">
        <f>SUM(BH129:BK129)</f>
        <v>594.41155592999996</v>
      </c>
      <c r="BM129" s="394">
        <f>BM130*BM123/10</f>
        <v>363.09691660529001</v>
      </c>
      <c r="BN129" s="342">
        <f>BN130*BN123/10</f>
        <v>70.081558261469979</v>
      </c>
      <c r="BO129" s="342">
        <f>BO130*BO123/10</f>
        <v>70.081558261469979</v>
      </c>
      <c r="BP129" s="395">
        <f>BP130*BP123/10</f>
        <v>97.095638361069945</v>
      </c>
      <c r="BQ129" s="77">
        <f>SUM(BM129:BP129)</f>
        <v>600.35567148929988</v>
      </c>
      <c r="BR129" s="77"/>
      <c r="BS129" s="290"/>
      <c r="BT129" s="290"/>
      <c r="BU129" s="290"/>
      <c r="BV129" s="290"/>
      <c r="BW129" s="290"/>
      <c r="BX129" s="290"/>
      <c r="BY129" s="290"/>
      <c r="BZ129" s="290"/>
      <c r="CA129" s="290"/>
      <c r="CB129" s="290"/>
      <c r="CC129" s="290"/>
      <c r="CD129" s="290"/>
      <c r="CE129" s="290"/>
      <c r="CF129" s="290"/>
      <c r="CG129" s="290"/>
      <c r="CH129" s="290"/>
      <c r="CI129" s="290"/>
      <c r="CJ129" s="290"/>
      <c r="CK129" s="290"/>
      <c r="CL129" s="290"/>
      <c r="CM129" s="290"/>
      <c r="CN129" s="290"/>
      <c r="CO129" s="290"/>
      <c r="CP129" s="290"/>
      <c r="CQ129" s="290"/>
      <c r="CR129" s="290"/>
      <c r="CS129" s="290"/>
      <c r="CT129" s="290"/>
      <c r="CU129" s="290"/>
      <c r="CV129" s="290"/>
      <c r="CW129" s="290"/>
      <c r="CX129" s="290"/>
      <c r="CY129" s="290"/>
      <c r="CZ129" s="290"/>
      <c r="DA129" s="290"/>
    </row>
    <row r="130" spans="1:105" s="305" customFormat="1">
      <c r="A130" s="37"/>
      <c r="B130" s="37"/>
      <c r="C130" s="37" t="s">
        <v>191</v>
      </c>
      <c r="D130" s="37"/>
      <c r="E130" s="878">
        <f t="shared" ref="E130:V130" si="156">E129/E123*10</f>
        <v>9.8432416502946971</v>
      </c>
      <c r="F130" s="596">
        <f t="shared" si="156"/>
        <v>7.2972852233676981</v>
      </c>
      <c r="G130" s="596">
        <f t="shared" si="156"/>
        <v>6.6053968253968307</v>
      </c>
      <c r="H130" s="879">
        <f t="shared" si="156"/>
        <v>8.0221464226289498</v>
      </c>
      <c r="I130" s="262">
        <f t="shared" si="156"/>
        <v>8.6773034778465945</v>
      </c>
      <c r="J130" s="878">
        <f t="shared" si="156"/>
        <v>8.7471614301191778</v>
      </c>
      <c r="K130" s="596">
        <f t="shared" si="156"/>
        <v>7.0247450980392143</v>
      </c>
      <c r="L130" s="596">
        <f t="shared" si="156"/>
        <v>6.3030167597765345</v>
      </c>
      <c r="M130" s="879">
        <f t="shared" si="156"/>
        <v>6.7977251184834131</v>
      </c>
      <c r="N130" s="262">
        <f t="shared" si="156"/>
        <v>7.6865025125628144</v>
      </c>
      <c r="O130" s="878">
        <f t="shared" si="156"/>
        <v>7.0556887486855935</v>
      </c>
      <c r="P130" s="596">
        <f t="shared" si="156"/>
        <v>5.7451929824561425</v>
      </c>
      <c r="Q130" s="596">
        <f t="shared" si="156"/>
        <v>5.1155681818181806</v>
      </c>
      <c r="R130" s="879">
        <f t="shared" si="156"/>
        <v>6.0127346938775519</v>
      </c>
      <c r="S130" s="262">
        <f t="shared" si="156"/>
        <v>6.4111041009463721</v>
      </c>
      <c r="T130" s="878">
        <f t="shared" si="156"/>
        <v>5.7661238223418572</v>
      </c>
      <c r="U130" s="596">
        <f t="shared" si="156"/>
        <v>4.4536651583710434</v>
      </c>
      <c r="V130" s="596">
        <f t="shared" si="156"/>
        <v>4.4249264705882334</v>
      </c>
      <c r="W130" s="879">
        <f t="shared" ref="W130:AC130" si="157">W129/W123*10</f>
        <v>5.7790825688073388</v>
      </c>
      <c r="X130" s="262">
        <f t="shared" si="157"/>
        <v>5.4832097264437696</v>
      </c>
      <c r="Y130" s="878">
        <f t="shared" si="157"/>
        <v>5.8420321469575196</v>
      </c>
      <c r="Z130" s="596">
        <f t="shared" si="157"/>
        <v>4.6735510204081638</v>
      </c>
      <c r="AA130" s="596">
        <f t="shared" si="157"/>
        <v>3.9998529411764721</v>
      </c>
      <c r="AB130" s="879">
        <f t="shared" si="157"/>
        <v>3.657192660550459</v>
      </c>
      <c r="AC130" s="262">
        <f t="shared" si="157"/>
        <v>4.880678909293267</v>
      </c>
      <c r="AD130" s="878">
        <f t="shared" ref="AD130:AI130" si="158">AD129/AD123*10</f>
        <v>3.9746691449814127</v>
      </c>
      <c r="AE130" s="596">
        <f t="shared" si="158"/>
        <v>3.586271186440678</v>
      </c>
      <c r="AF130" s="596">
        <f t="shared" si="158"/>
        <v>3.2365000000000013</v>
      </c>
      <c r="AG130" s="879">
        <f t="shared" si="158"/>
        <v>2.641426611796982</v>
      </c>
      <c r="AH130" s="262">
        <f t="shared" si="158"/>
        <v>3.4963356164383566</v>
      </c>
      <c r="AI130" s="878">
        <f t="shared" si="158"/>
        <v>2.7667207334273627</v>
      </c>
      <c r="AJ130" s="596">
        <f t="shared" ref="AJ130:AO130" si="159">AJ129/AJ123*10</f>
        <v>2.0224022346368726</v>
      </c>
      <c r="AK130" s="596">
        <f t="shared" si="159"/>
        <v>2.4677551020408188</v>
      </c>
      <c r="AL130" s="879">
        <f t="shared" si="159"/>
        <v>2.3861887477313974</v>
      </c>
      <c r="AM130" s="262">
        <f t="shared" si="159"/>
        <v>2.5547760602457399</v>
      </c>
      <c r="AN130" s="878">
        <f t="shared" si="159"/>
        <v>2.5395929694727104</v>
      </c>
      <c r="AO130" s="596">
        <f t="shared" si="159"/>
        <v>2.3591935483870969</v>
      </c>
      <c r="AP130" s="596">
        <f t="shared" ref="AP130:AU130" si="160">AP129/AP123*10</f>
        <v>1.9175824175824163</v>
      </c>
      <c r="AQ130" s="879">
        <f t="shared" si="160"/>
        <v>2.9727448275862067</v>
      </c>
      <c r="AR130" s="262">
        <f t="shared" si="160"/>
        <v>2.5962542372881354</v>
      </c>
      <c r="AS130" s="878">
        <f t="shared" si="160"/>
        <v>3.1350314465408808</v>
      </c>
      <c r="AT130" s="596">
        <f t="shared" si="160"/>
        <v>2.0043749999999996</v>
      </c>
      <c r="AU130" s="596">
        <f t="shared" si="160"/>
        <v>1.338994708994707</v>
      </c>
      <c r="AV130" s="879">
        <f>AV129/AV123*10</f>
        <v>1.2293412384716726</v>
      </c>
      <c r="AW130" s="262">
        <f>AW129/AW123*10</f>
        <v>2.2314977054651641</v>
      </c>
      <c r="AX130" s="878">
        <f>AS130</f>
        <v>3.1350314465408808</v>
      </c>
      <c r="AY130" s="596">
        <f>AT130</f>
        <v>2.0043749999999996</v>
      </c>
      <c r="AZ130" s="596">
        <f>AU130</f>
        <v>1.338994708994707</v>
      </c>
      <c r="BA130" s="879">
        <f>AV130</f>
        <v>1.2293412384716726</v>
      </c>
      <c r="BB130" s="262">
        <f>BB129/BB123*10</f>
        <v>2.2314977054651646</v>
      </c>
      <c r="BC130" s="878">
        <f>AX130</f>
        <v>3.1350314465408808</v>
      </c>
      <c r="BD130" s="596">
        <f>AY130</f>
        <v>2.0043749999999996</v>
      </c>
      <c r="BE130" s="596">
        <f>AY130</f>
        <v>2.0043749999999996</v>
      </c>
      <c r="BF130" s="879">
        <f>BA130</f>
        <v>1.2293412384716726</v>
      </c>
      <c r="BG130" s="262">
        <f>BG129/BG123*10</f>
        <v>2.2678066037735842</v>
      </c>
      <c r="BH130" s="878">
        <f>BC130</f>
        <v>3.1350314465408808</v>
      </c>
      <c r="BI130" s="596">
        <f>BD130</f>
        <v>2.0043749999999996</v>
      </c>
      <c r="BJ130" s="596">
        <f>BE130</f>
        <v>2.0043749999999996</v>
      </c>
      <c r="BK130" s="879">
        <f>BF130</f>
        <v>1.2293412384716726</v>
      </c>
      <c r="BL130" s="262">
        <f>BL129/BL123*10</f>
        <v>2.2678066037735847</v>
      </c>
      <c r="BM130" s="878">
        <f>BH130</f>
        <v>3.1350314465408808</v>
      </c>
      <c r="BN130" s="596">
        <f>BI130</f>
        <v>2.0043749999999996</v>
      </c>
      <c r="BO130" s="596">
        <f>BJ130</f>
        <v>2.0043749999999996</v>
      </c>
      <c r="BP130" s="879">
        <f>BK130</f>
        <v>1.2293412384716726</v>
      </c>
      <c r="BQ130" s="262">
        <f>BQ129/BQ123*10</f>
        <v>2.2678066037735842</v>
      </c>
      <c r="BR130" s="262"/>
      <c r="BS130" s="37"/>
      <c r="BT130" s="37"/>
      <c r="BU130" s="37"/>
      <c r="BV130" s="37"/>
      <c r="BW130" s="37"/>
      <c r="BX130" s="37"/>
      <c r="BY130" s="37"/>
      <c r="BZ130" s="37"/>
      <c r="CA130" s="37"/>
      <c r="CB130" s="37"/>
      <c r="CC130" s="37"/>
      <c r="CD130" s="37"/>
      <c r="CE130" s="37"/>
      <c r="CF130" s="37"/>
      <c r="CG130" s="37"/>
      <c r="CH130" s="37"/>
      <c r="CI130" s="37"/>
      <c r="CJ130" s="37"/>
      <c r="CK130" s="37"/>
      <c r="CL130" s="37"/>
      <c r="CM130" s="37"/>
      <c r="CN130" s="37"/>
      <c r="CO130" s="37"/>
      <c r="CP130" s="37"/>
      <c r="CQ130" s="37"/>
      <c r="CR130" s="37"/>
      <c r="CS130" s="37"/>
      <c r="CT130" s="37"/>
      <c r="CU130" s="37"/>
      <c r="CV130" s="37"/>
      <c r="CW130" s="37"/>
      <c r="CX130" s="37"/>
      <c r="CY130" s="37"/>
      <c r="CZ130" s="37"/>
      <c r="DA130" s="37"/>
    </row>
    <row r="131" spans="1:105" s="305" customFormat="1">
      <c r="A131" s="37"/>
      <c r="B131" s="37"/>
      <c r="C131" s="37"/>
      <c r="D131" s="37"/>
      <c r="E131" s="878"/>
      <c r="F131" s="596"/>
      <c r="G131" s="596"/>
      <c r="H131" s="879"/>
      <c r="I131" s="262"/>
      <c r="J131" s="878"/>
      <c r="K131" s="596"/>
      <c r="L131" s="596"/>
      <c r="M131" s="879"/>
      <c r="N131" s="262"/>
      <c r="O131" s="878"/>
      <c r="P131" s="596"/>
      <c r="Q131" s="596"/>
      <c r="R131" s="879"/>
      <c r="S131" s="262"/>
      <c r="T131" s="878"/>
      <c r="U131" s="596"/>
      <c r="V131" s="596"/>
      <c r="W131" s="879"/>
      <c r="X131" s="262"/>
      <c r="Y131" s="878"/>
      <c r="Z131" s="596"/>
      <c r="AA131" s="596"/>
      <c r="AB131" s="879"/>
      <c r="AC131" s="262"/>
      <c r="AD131" s="878"/>
      <c r="AE131" s="596"/>
      <c r="AF131" s="596"/>
      <c r="AG131" s="879"/>
      <c r="AH131" s="262"/>
      <c r="AI131" s="878"/>
      <c r="AJ131" s="596"/>
      <c r="AK131" s="596"/>
      <c r="AL131" s="879"/>
      <c r="AM131" s="262"/>
      <c r="AN131" s="878"/>
      <c r="AO131" s="596"/>
      <c r="AP131" s="596"/>
      <c r="AQ131" s="879"/>
      <c r="AR131" s="262"/>
      <c r="AS131" s="878"/>
      <c r="AT131" s="596"/>
      <c r="AU131" s="596"/>
      <c r="AV131" s="879"/>
      <c r="AW131" s="262"/>
      <c r="AX131" s="878"/>
      <c r="AY131" s="596"/>
      <c r="AZ131" s="596"/>
      <c r="BA131" s="879"/>
      <c r="BB131" s="262"/>
      <c r="BC131" s="878"/>
      <c r="BD131" s="596"/>
      <c r="BE131" s="596"/>
      <c r="BF131" s="879"/>
      <c r="BG131" s="262"/>
      <c r="BH131" s="878"/>
      <c r="BI131" s="596"/>
      <c r="BJ131" s="596"/>
      <c r="BK131" s="879"/>
      <c r="BL131" s="262"/>
      <c r="BM131" s="878"/>
      <c r="BN131" s="596"/>
      <c r="BO131" s="596"/>
      <c r="BP131" s="879"/>
      <c r="BQ131" s="262"/>
      <c r="BR131" s="262"/>
      <c r="BS131" s="37"/>
      <c r="BT131" s="37"/>
      <c r="BU131" s="37"/>
      <c r="BV131" s="37"/>
      <c r="BW131" s="37"/>
      <c r="BX131" s="37"/>
      <c r="BY131" s="37"/>
      <c r="BZ131" s="37"/>
      <c r="CA131" s="37"/>
      <c r="CB131" s="37"/>
      <c r="CC131" s="37"/>
      <c r="CD131" s="37"/>
      <c r="CE131" s="37"/>
      <c r="CF131" s="37"/>
      <c r="CG131" s="37"/>
      <c r="CH131" s="37"/>
      <c r="CI131" s="37"/>
      <c r="CJ131" s="37"/>
      <c r="CK131" s="37"/>
      <c r="CL131" s="37"/>
      <c r="CM131" s="37"/>
      <c r="CN131" s="37"/>
      <c r="CO131" s="37"/>
      <c r="CP131" s="37"/>
      <c r="CQ131" s="37"/>
      <c r="CR131" s="37"/>
      <c r="CS131" s="37"/>
      <c r="CT131" s="37"/>
      <c r="CU131" s="37"/>
      <c r="CV131" s="37"/>
      <c r="CW131" s="37"/>
      <c r="CX131" s="37"/>
      <c r="CY131" s="37"/>
      <c r="CZ131" s="37"/>
      <c r="DA131" s="37"/>
    </row>
    <row r="132" spans="1:105">
      <c r="A132" s="290"/>
      <c r="C132" s="64" t="s">
        <v>158</v>
      </c>
      <c r="E132" s="396">
        <f t="shared" ref="E132:S132" si="161">E120-E129</f>
        <v>416.95799999999997</v>
      </c>
      <c r="F132" s="343">
        <f t="shared" si="161"/>
        <v>130.649</v>
      </c>
      <c r="G132" s="343">
        <f t="shared" si="161"/>
        <v>133.1579999999999</v>
      </c>
      <c r="H132" s="397">
        <f t="shared" si="161"/>
        <v>359.86900000000003</v>
      </c>
      <c r="I132" s="297">
        <f t="shared" si="161"/>
        <v>1040.634</v>
      </c>
      <c r="J132" s="396">
        <f t="shared" si="161"/>
        <v>409.63699999999994</v>
      </c>
      <c r="K132" s="343">
        <f t="shared" si="161"/>
        <v>163.86900000000003</v>
      </c>
      <c r="L132" s="343">
        <f t="shared" si="161"/>
        <v>136.17600000000004</v>
      </c>
      <c r="M132" s="397">
        <f t="shared" si="161"/>
        <v>326.70399999999995</v>
      </c>
      <c r="N132" s="297">
        <f t="shared" si="161"/>
        <v>1036.386</v>
      </c>
      <c r="O132" s="477">
        <f t="shared" si="161"/>
        <v>448.00400000000002</v>
      </c>
      <c r="P132" s="478">
        <f t="shared" si="161"/>
        <v>187.26199999999994</v>
      </c>
      <c r="Q132" s="478">
        <f t="shared" si="161"/>
        <v>150.96600000000001</v>
      </c>
      <c r="R132" s="479">
        <f t="shared" si="161"/>
        <v>311.37599999999998</v>
      </c>
      <c r="S132" s="475">
        <f t="shared" si="161"/>
        <v>1097.6079999999999</v>
      </c>
      <c r="T132" s="477">
        <f t="shared" ref="T132:Z132" si="162">T120-T129</f>
        <v>415.577</v>
      </c>
      <c r="U132" s="478">
        <f t="shared" si="162"/>
        <v>200.57399999999996</v>
      </c>
      <c r="V132" s="478">
        <f t="shared" si="162"/>
        <v>149.82100000000003</v>
      </c>
      <c r="W132" s="479">
        <f t="shared" si="162"/>
        <v>327.04000000000002</v>
      </c>
      <c r="X132" s="475">
        <f t="shared" si="162"/>
        <v>1093.0119999999999</v>
      </c>
      <c r="Y132" s="477">
        <f t="shared" si="162"/>
        <v>457.15899999999999</v>
      </c>
      <c r="Z132" s="478">
        <f t="shared" si="162"/>
        <v>196.49799999999999</v>
      </c>
      <c r="AA132" s="478">
        <f t="shared" ref="AA132:AF132" si="163">AA120-AA129</f>
        <v>159.60199999999998</v>
      </c>
      <c r="AB132" s="479">
        <f t="shared" si="163"/>
        <v>357.68299999999999</v>
      </c>
      <c r="AC132" s="475">
        <f t="shared" si="163"/>
        <v>1170.942</v>
      </c>
      <c r="AD132" s="477">
        <f t="shared" si="163"/>
        <v>470.40700000000004</v>
      </c>
      <c r="AE132" s="478">
        <f t="shared" si="163"/>
        <v>199.04599999999999</v>
      </c>
      <c r="AF132" s="478">
        <f t="shared" si="163"/>
        <v>150.26999999999998</v>
      </c>
      <c r="AG132" s="479">
        <f>AG120-AG129</f>
        <v>343.44</v>
      </c>
      <c r="AH132" s="475">
        <f>AH120-AH129</f>
        <v>1163.163</v>
      </c>
      <c r="AI132" s="477">
        <f t="shared" ref="AI132:AN132" si="164">AI120-AI129</f>
        <v>452.67899999999997</v>
      </c>
      <c r="AJ132" s="478">
        <f t="shared" si="164"/>
        <v>199.59799999999996</v>
      </c>
      <c r="AK132" s="478">
        <f t="shared" si="164"/>
        <v>156.63199999999995</v>
      </c>
      <c r="AL132" s="479">
        <f t="shared" si="164"/>
        <v>340.52100000000002</v>
      </c>
      <c r="AM132" s="475">
        <f t="shared" si="164"/>
        <v>1149.4299999999998</v>
      </c>
      <c r="AN132" s="477">
        <f t="shared" si="164"/>
        <v>443.47</v>
      </c>
      <c r="AO132" s="478">
        <f t="shared" ref="AO132:AT132" si="165">AO120-AO129</f>
        <v>197.238</v>
      </c>
      <c r="AP132" s="478">
        <f t="shared" si="165"/>
        <v>153.10000000000002</v>
      </c>
      <c r="AQ132" s="479">
        <f t="shared" si="165"/>
        <v>354.476</v>
      </c>
      <c r="AR132" s="475">
        <f t="shared" si="165"/>
        <v>1148.2840000000001</v>
      </c>
      <c r="AS132" s="477">
        <f t="shared" si="165"/>
        <v>471.07099999999997</v>
      </c>
      <c r="AT132" s="478">
        <f t="shared" si="165"/>
        <v>210.65300000000002</v>
      </c>
      <c r="AU132" s="478">
        <f t="shared" ref="AU132:BB132" si="166">AU120-AU129</f>
        <v>149.69300000000004</v>
      </c>
      <c r="AV132" s="479">
        <f t="shared" si="166"/>
        <v>503.69300000000004</v>
      </c>
      <c r="AW132" s="475">
        <f t="shared" si="166"/>
        <v>1335.1100000000001</v>
      </c>
      <c r="AX132" s="477">
        <f t="shared" si="166"/>
        <v>480.71171000000004</v>
      </c>
      <c r="AY132" s="478">
        <f t="shared" si="166"/>
        <v>221.09953000000007</v>
      </c>
      <c r="AZ132" s="478">
        <f t="shared" si="166"/>
        <v>152.78743000000003</v>
      </c>
      <c r="BA132" s="479">
        <f t="shared" si="166"/>
        <v>515.25993000000005</v>
      </c>
      <c r="BB132" s="475">
        <f t="shared" si="166"/>
        <v>1369.8586</v>
      </c>
      <c r="BC132" s="477">
        <f t="shared" ref="BC132:BL132" si="167">BC120-BC129</f>
        <v>490.44882710000007</v>
      </c>
      <c r="BD132" s="478">
        <f t="shared" si="167"/>
        <v>231.65052530000008</v>
      </c>
      <c r="BE132" s="478">
        <f t="shared" si="167"/>
        <v>231.65052530000008</v>
      </c>
      <c r="BF132" s="479">
        <f t="shared" si="167"/>
        <v>526.94252930000005</v>
      </c>
      <c r="BG132" s="475">
        <f t="shared" si="167"/>
        <v>1480.6924070000005</v>
      </c>
      <c r="BH132" s="477">
        <f t="shared" si="167"/>
        <v>500.28331537100007</v>
      </c>
      <c r="BI132" s="478">
        <f t="shared" si="167"/>
        <v>242.30703055300006</v>
      </c>
      <c r="BJ132" s="478">
        <f t="shared" si="167"/>
        <v>242.30703055300006</v>
      </c>
      <c r="BK132" s="479">
        <f t="shared" si="167"/>
        <v>538.74195459300006</v>
      </c>
      <c r="BL132" s="475">
        <f t="shared" si="167"/>
        <v>1523.63933107</v>
      </c>
      <c r="BM132" s="477">
        <f>BM120-BM129</f>
        <v>510.21614852471004</v>
      </c>
      <c r="BN132" s="478">
        <f>BN120-BN129</f>
        <v>253.07010085853005</v>
      </c>
      <c r="BO132" s="478">
        <f>BO120-BO129</f>
        <v>253.07010085853005</v>
      </c>
      <c r="BP132" s="479">
        <f>BP120-BP129</f>
        <v>550.65937413892993</v>
      </c>
      <c r="BQ132" s="475">
        <f>BQ120-BQ129</f>
        <v>1567.0157243807002</v>
      </c>
      <c r="BR132" s="475"/>
      <c r="BS132" s="290"/>
      <c r="BT132" s="290"/>
      <c r="BU132" s="290"/>
      <c r="BV132" s="290"/>
      <c r="BW132" s="290"/>
      <c r="BX132" s="290"/>
      <c r="BY132" s="290"/>
      <c r="BZ132" s="290"/>
      <c r="CA132" s="290"/>
      <c r="CB132" s="290"/>
      <c r="CC132" s="290"/>
      <c r="CD132" s="290"/>
      <c r="CE132" s="290"/>
      <c r="CF132" s="290"/>
      <c r="CG132" s="290"/>
      <c r="CH132" s="290"/>
      <c r="CI132" s="290"/>
      <c r="CJ132" s="290"/>
      <c r="CK132" s="290"/>
      <c r="CL132" s="290"/>
      <c r="CM132" s="290"/>
      <c r="CN132" s="290"/>
      <c r="CO132" s="290"/>
      <c r="CP132" s="290"/>
      <c r="CQ132" s="290"/>
      <c r="CR132" s="290"/>
      <c r="CS132" s="290"/>
      <c r="CT132" s="290"/>
      <c r="CU132" s="290"/>
      <c r="CV132" s="290"/>
      <c r="CW132" s="290"/>
      <c r="CX132" s="290"/>
      <c r="CY132" s="290"/>
      <c r="CZ132" s="290"/>
      <c r="DA132" s="290"/>
    </row>
    <row r="133" spans="1:105" s="278" customFormat="1">
      <c r="A133" s="290"/>
      <c r="C133" s="290" t="s">
        <v>194</v>
      </c>
      <c r="E133" s="831"/>
      <c r="F133" s="832"/>
      <c r="G133" s="832"/>
      <c r="H133" s="833"/>
      <c r="I133" s="548"/>
      <c r="J133" s="529">
        <f t="shared" ref="J133:V133" si="168">J132/E132-1</f>
        <v>-1.7558123360146616E-2</v>
      </c>
      <c r="K133" s="530">
        <f t="shared" si="168"/>
        <v>0.25426907209393135</v>
      </c>
      <c r="L133" s="530">
        <f t="shared" si="168"/>
        <v>2.2664804217547241E-2</v>
      </c>
      <c r="M133" s="531">
        <f t="shared" si="168"/>
        <v>-9.2158535467072977E-2</v>
      </c>
      <c r="N133" s="528">
        <f t="shared" si="168"/>
        <v>-4.0821268572812652E-3</v>
      </c>
      <c r="O133" s="529">
        <f t="shared" si="168"/>
        <v>9.3660973007809512E-2</v>
      </c>
      <c r="P133" s="530">
        <f t="shared" si="168"/>
        <v>0.14275427323044565</v>
      </c>
      <c r="Q133" s="530">
        <f t="shared" si="168"/>
        <v>0.10860944659851923</v>
      </c>
      <c r="R133" s="531">
        <f t="shared" si="168"/>
        <v>-4.6917087026788651E-2</v>
      </c>
      <c r="S133" s="528">
        <f t="shared" si="168"/>
        <v>5.9072584924921845E-2</v>
      </c>
      <c r="T133" s="529">
        <f t="shared" si="168"/>
        <v>-7.2381050169194938E-2</v>
      </c>
      <c r="U133" s="530">
        <f t="shared" si="168"/>
        <v>7.1087567151904896E-2</v>
      </c>
      <c r="V133" s="530">
        <f t="shared" si="168"/>
        <v>-7.5844892227387994E-3</v>
      </c>
      <c r="W133" s="531">
        <f t="shared" ref="W133:AC133" si="169">W132/R132-1</f>
        <v>5.0305739684497253E-2</v>
      </c>
      <c r="X133" s="528">
        <f t="shared" si="169"/>
        <v>-4.1872872646701031E-3</v>
      </c>
      <c r="Y133" s="529">
        <f t="shared" si="169"/>
        <v>0.10005847291837622</v>
      </c>
      <c r="Z133" s="530">
        <f t="shared" si="169"/>
        <v>-2.0321676787619314E-2</v>
      </c>
      <c r="AA133" s="530">
        <f t="shared" si="169"/>
        <v>6.5284572923688611E-2</v>
      </c>
      <c r="AB133" s="531">
        <f t="shared" si="169"/>
        <v>9.3698018590997911E-2</v>
      </c>
      <c r="AC133" s="528">
        <f t="shared" si="169"/>
        <v>7.129839379622549E-2</v>
      </c>
      <c r="AD133" s="529">
        <f>AD132/Y132-1</f>
        <v>2.8978976679886026E-2</v>
      </c>
      <c r="AE133" s="530">
        <f>AE132/Z132-1</f>
        <v>1.2967053099777193E-2</v>
      </c>
      <c r="AF133" s="530">
        <f>AF132/AA132-1</f>
        <v>-5.8470445232515877E-2</v>
      </c>
      <c r="AG133" s="531">
        <f>AG132/AB132-1</f>
        <v>-3.9820175965869176E-2</v>
      </c>
      <c r="AH133" s="528">
        <f>AH132/AC132-1</f>
        <v>-6.6433691848101217E-3</v>
      </c>
      <c r="AI133" s="529">
        <f t="shared" ref="AI133:AP133" si="170">AI132/AD132-1</f>
        <v>-3.7686514018711592E-2</v>
      </c>
      <c r="AJ133" s="530">
        <f t="shared" si="170"/>
        <v>2.7732282989860746E-3</v>
      </c>
      <c r="AK133" s="530">
        <f t="shared" si="170"/>
        <v>4.2337126505622935E-2</v>
      </c>
      <c r="AL133" s="531">
        <f t="shared" si="170"/>
        <v>-8.4993011879803682E-3</v>
      </c>
      <c r="AM133" s="528">
        <f t="shared" si="170"/>
        <v>-1.1806599762888115E-2</v>
      </c>
      <c r="AN133" s="529">
        <f t="shared" si="170"/>
        <v>-2.0343333797238072E-2</v>
      </c>
      <c r="AO133" s="530">
        <f t="shared" si="170"/>
        <v>-1.182376576919586E-2</v>
      </c>
      <c r="AP133" s="530">
        <f t="shared" si="170"/>
        <v>-2.2549670565401247E-2</v>
      </c>
      <c r="AQ133" s="531">
        <f t="shared" ref="AQ133:AY133" si="171">AQ132/AL132-1</f>
        <v>4.098131980112818E-2</v>
      </c>
      <c r="AR133" s="528">
        <f t="shared" si="171"/>
        <v>-9.9701591223455566E-4</v>
      </c>
      <c r="AS133" s="529">
        <f t="shared" si="171"/>
        <v>6.2238708368096862E-2</v>
      </c>
      <c r="AT133" s="530">
        <f t="shared" si="171"/>
        <v>6.8014277167685933E-2</v>
      </c>
      <c r="AU133" s="530">
        <f t="shared" si="171"/>
        <v>-2.2253429131286584E-2</v>
      </c>
      <c r="AV133" s="531">
        <f>AV132/AQ132-1</f>
        <v>0.42095092474525786</v>
      </c>
      <c r="AW133" s="528">
        <f>AW132/AR132-1</f>
        <v>0.16270016825105982</v>
      </c>
      <c r="AX133" s="529">
        <f t="shared" si="171"/>
        <v>2.0465513691142245E-2</v>
      </c>
      <c r="AY133" s="530">
        <f t="shared" si="171"/>
        <v>4.9591176009836424E-2</v>
      </c>
      <c r="AZ133" s="530">
        <f>AZ132/AU132-1</f>
        <v>2.0671841702684768E-2</v>
      </c>
      <c r="BA133" s="531">
        <f>BA132/AV132-1</f>
        <v>2.2964246078464479E-2</v>
      </c>
      <c r="BB133" s="528">
        <f>BB132/AW132-1</f>
        <v>2.6026769329867916E-2</v>
      </c>
      <c r="BC133" s="529">
        <f t="shared" ref="BC133:BL133" si="172">BC132/AX132-1</f>
        <v>2.0255627016034339E-2</v>
      </c>
      <c r="BD133" s="530">
        <f t="shared" si="172"/>
        <v>4.7720568650688744E-2</v>
      </c>
      <c r="BE133" s="530">
        <f>BE132/AY132-1</f>
        <v>4.7720568650688744E-2</v>
      </c>
      <c r="BF133" s="531">
        <f t="shared" si="172"/>
        <v>2.2673215244973566E-2</v>
      </c>
      <c r="BG133" s="528">
        <f t="shared" si="172"/>
        <v>8.0908939798604251E-2</v>
      </c>
      <c r="BH133" s="529">
        <f t="shared" si="172"/>
        <v>2.0052017106760855E-2</v>
      </c>
      <c r="BI133" s="530">
        <f t="shared" si="172"/>
        <v>4.6002508473482751E-2</v>
      </c>
      <c r="BJ133" s="530">
        <f t="shared" si="172"/>
        <v>4.6002508473482751E-2</v>
      </c>
      <c r="BK133" s="531">
        <f t="shared" si="172"/>
        <v>2.2392243246478039E-2</v>
      </c>
      <c r="BL133" s="528">
        <f t="shared" si="172"/>
        <v>2.9004622342200914E-2</v>
      </c>
      <c r="BM133" s="529">
        <f>BM132/BH132-1</f>
        <v>1.985441618484507E-2</v>
      </c>
      <c r="BN133" s="530">
        <f>BN132/BI132-1</f>
        <v>4.4419141619482572E-2</v>
      </c>
      <c r="BO133" s="530">
        <f>BO132/BJ132-1</f>
        <v>4.4419141619482572E-2</v>
      </c>
      <c r="BP133" s="531">
        <f>BP132/BK132-1</f>
        <v>2.212083065803383E-2</v>
      </c>
      <c r="BQ133" s="528">
        <f>BQ132/BL132-1</f>
        <v>2.8468937776920278E-2</v>
      </c>
      <c r="BR133" s="528"/>
      <c r="BS133" s="290"/>
      <c r="BT133" s="290"/>
      <c r="BU133" s="290"/>
      <c r="BV133" s="290"/>
      <c r="BW133" s="290"/>
      <c r="BX133" s="290"/>
      <c r="BY133" s="290"/>
      <c r="BZ133" s="290"/>
      <c r="CA133" s="290"/>
      <c r="CB133" s="290"/>
      <c r="CC133" s="290"/>
      <c r="CD133" s="290"/>
      <c r="CE133" s="290"/>
      <c r="CF133" s="290"/>
      <c r="CG133" s="290"/>
      <c r="CH133" s="290"/>
      <c r="CI133" s="290"/>
      <c r="CJ133" s="290"/>
      <c r="CK133" s="290"/>
      <c r="CL133" s="290"/>
      <c r="CM133" s="290"/>
      <c r="CN133" s="290"/>
      <c r="CO133" s="290"/>
      <c r="CP133" s="290"/>
      <c r="CQ133" s="290"/>
      <c r="CR133" s="290"/>
      <c r="CS133" s="290"/>
      <c r="CT133" s="290"/>
      <c r="CU133" s="290"/>
      <c r="CV133" s="290"/>
      <c r="CW133" s="290"/>
      <c r="CX133" s="290"/>
      <c r="CY133" s="290"/>
      <c r="CZ133" s="290"/>
      <c r="DA133" s="290"/>
    </row>
    <row r="134" spans="1:105">
      <c r="A134" s="1523"/>
      <c r="B134" s="2"/>
      <c r="C134" s="49"/>
      <c r="D134" s="2"/>
      <c r="E134" s="789"/>
      <c r="F134" s="329"/>
      <c r="G134" s="329"/>
      <c r="H134" s="790"/>
      <c r="I134" s="33"/>
      <c r="J134" s="789"/>
      <c r="K134" s="329"/>
      <c r="L134" s="329"/>
      <c r="M134" s="790"/>
      <c r="N134" s="33"/>
      <c r="O134" s="789"/>
      <c r="P134" s="329"/>
      <c r="Q134" s="329"/>
      <c r="R134" s="790"/>
      <c r="S134" s="33"/>
      <c r="T134" s="789"/>
      <c r="U134" s="329"/>
      <c r="V134" s="329"/>
      <c r="W134" s="790"/>
      <c r="X134" s="33"/>
      <c r="Y134" s="789"/>
      <c r="Z134" s="329"/>
      <c r="AA134" s="329"/>
      <c r="AB134" s="790"/>
      <c r="AC134" s="33"/>
      <c r="AD134" s="789"/>
      <c r="AE134" s="329"/>
      <c r="AF134" s="329"/>
      <c r="AG134" s="790"/>
      <c r="AH134" s="33"/>
      <c r="AI134" s="789"/>
      <c r="AJ134" s="329"/>
      <c r="AK134" s="329"/>
      <c r="AL134" s="790"/>
      <c r="AM134" s="33"/>
      <c r="AN134" s="789"/>
      <c r="AO134" s="329"/>
      <c r="AP134" s="329"/>
      <c r="AQ134" s="790"/>
      <c r="AR134" s="33"/>
      <c r="AS134" s="789"/>
      <c r="AT134" s="329"/>
      <c r="AU134" s="329"/>
      <c r="AV134" s="790"/>
      <c r="AW134" s="33"/>
      <c r="AX134" s="789"/>
      <c r="AY134" s="329"/>
      <c r="AZ134" s="329"/>
      <c r="BA134" s="790"/>
      <c r="BB134" s="33"/>
      <c r="BC134" s="789"/>
      <c r="BD134" s="329"/>
      <c r="BE134" s="329"/>
      <c r="BF134" s="790"/>
      <c r="BG134" s="33"/>
      <c r="BH134" s="789"/>
      <c r="BI134" s="329"/>
      <c r="BJ134" s="329"/>
      <c r="BK134" s="790"/>
      <c r="BL134" s="33"/>
      <c r="BM134" s="789"/>
      <c r="BN134" s="329"/>
      <c r="BO134" s="329"/>
      <c r="BP134" s="790"/>
      <c r="BQ134" s="33"/>
      <c r="BR134" s="33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</row>
    <row r="135" spans="1:105">
      <c r="A135" s="1523"/>
      <c r="B135" s="2"/>
      <c r="C135" s="37"/>
      <c r="D135" s="2"/>
      <c r="E135" s="789"/>
      <c r="F135" s="329"/>
      <c r="G135" s="329"/>
      <c r="H135" s="790"/>
      <c r="I135" s="33"/>
      <c r="J135" s="789"/>
      <c r="K135" s="329"/>
      <c r="L135" s="329"/>
      <c r="M135" s="790"/>
      <c r="N135" s="33"/>
      <c r="O135" s="456"/>
      <c r="P135" s="457"/>
      <c r="Q135" s="457"/>
      <c r="R135" s="395"/>
      <c r="S135" s="590"/>
      <c r="T135" s="456"/>
      <c r="U135" s="457"/>
      <c r="V135" s="457"/>
      <c r="W135" s="790"/>
      <c r="X135" s="33"/>
      <c r="Y135" s="789"/>
      <c r="Z135" s="329"/>
      <c r="AA135" s="329"/>
      <c r="AB135" s="790"/>
      <c r="AC135" s="33"/>
      <c r="AD135" s="789"/>
      <c r="AE135" s="329"/>
      <c r="AF135" s="329"/>
      <c r="AG135" s="790"/>
      <c r="AH135" s="33"/>
      <c r="AI135" s="789"/>
      <c r="AJ135" s="329"/>
      <c r="AK135" s="329"/>
      <c r="AL135" s="790"/>
      <c r="AM135" s="33"/>
      <c r="AN135" s="789"/>
      <c r="AO135" s="329"/>
      <c r="AP135" s="329"/>
      <c r="AQ135" s="790"/>
      <c r="AR135" s="33"/>
      <c r="AS135" s="789"/>
      <c r="AT135" s="329"/>
      <c r="AU135" s="329"/>
      <c r="AV135" s="790"/>
      <c r="AW135" s="33"/>
      <c r="AX135" s="789"/>
      <c r="AY135" s="329"/>
      <c r="AZ135" s="329"/>
      <c r="BA135" s="790"/>
      <c r="BB135" s="33"/>
      <c r="BC135" s="789"/>
      <c r="BD135" s="329"/>
      <c r="BE135" s="329"/>
      <c r="BF135" s="790"/>
      <c r="BG135" s="33"/>
      <c r="BH135" s="789"/>
      <c r="BI135" s="329"/>
      <c r="BJ135" s="329"/>
      <c r="BK135" s="790"/>
      <c r="BL135" s="33"/>
      <c r="BM135" s="789"/>
      <c r="BN135" s="329"/>
      <c r="BO135" s="329"/>
      <c r="BP135" s="790"/>
      <c r="BQ135" s="33"/>
      <c r="BR135" s="33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</row>
    <row r="136" spans="1:105">
      <c r="A136" s="1523"/>
      <c r="B136" s="105" t="s">
        <v>547</v>
      </c>
      <c r="C136" s="322"/>
      <c r="D136" s="19"/>
      <c r="E136" s="789"/>
      <c r="F136" s="329"/>
      <c r="G136" s="329"/>
      <c r="H136" s="790"/>
      <c r="I136" s="33"/>
      <c r="J136" s="789"/>
      <c r="K136" s="329"/>
      <c r="L136" s="329"/>
      <c r="M136" s="790"/>
      <c r="N136" s="33"/>
      <c r="O136" s="789"/>
      <c r="P136" s="329"/>
      <c r="Q136" s="329"/>
      <c r="R136" s="790"/>
      <c r="S136" s="33"/>
      <c r="T136" s="789"/>
      <c r="U136" s="329"/>
      <c r="V136" s="329"/>
      <c r="W136" s="790"/>
      <c r="X136" s="33"/>
      <c r="Y136" s="789"/>
      <c r="Z136" s="329"/>
      <c r="AA136" s="329"/>
      <c r="AB136" s="790"/>
      <c r="AC136" s="33"/>
      <c r="AD136" s="789"/>
      <c r="AE136" s="329"/>
      <c r="AF136" s="329"/>
      <c r="AG136" s="790"/>
      <c r="AH136" s="33"/>
      <c r="AI136" s="789"/>
      <c r="AJ136" s="329"/>
      <c r="AK136" s="329"/>
      <c r="AL136" s="790"/>
      <c r="AM136" s="33"/>
      <c r="AN136" s="789"/>
      <c r="AO136" s="329"/>
      <c r="AP136" s="329"/>
      <c r="AQ136" s="790"/>
      <c r="AR136" s="33"/>
      <c r="AS136" s="789"/>
      <c r="AT136" s="329"/>
      <c r="AU136" s="329"/>
      <c r="AV136" s="790"/>
      <c r="AW136" s="33"/>
      <c r="AX136" s="789"/>
      <c r="AY136" s="329"/>
      <c r="AZ136" s="329"/>
      <c r="BA136" s="790"/>
      <c r="BB136" s="33"/>
      <c r="BC136" s="789"/>
      <c r="BD136" s="329"/>
      <c r="BE136" s="329"/>
      <c r="BF136" s="790"/>
      <c r="BG136" s="33"/>
      <c r="BH136" s="789"/>
      <c r="BI136" s="329"/>
      <c r="BJ136" s="329"/>
      <c r="BK136" s="790"/>
      <c r="BL136" s="33"/>
      <c r="BM136" s="789"/>
      <c r="BN136" s="329"/>
      <c r="BO136" s="329"/>
      <c r="BP136" s="790"/>
      <c r="BQ136" s="33"/>
      <c r="BR136" s="33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</row>
    <row r="137" spans="1:105">
      <c r="A137" s="297"/>
      <c r="B137" s="297"/>
      <c r="C137" s="835" t="s">
        <v>340</v>
      </c>
      <c r="D137" s="297"/>
      <c r="E137" s="396">
        <f t="shared" ref="E137:S137" si="173">E18</f>
        <v>395</v>
      </c>
      <c r="F137" s="343">
        <f t="shared" si="173"/>
        <v>344</v>
      </c>
      <c r="G137" s="343">
        <f t="shared" si="173"/>
        <v>351</v>
      </c>
      <c r="H137" s="397">
        <f t="shared" si="173"/>
        <v>384</v>
      </c>
      <c r="I137" s="297">
        <f t="shared" si="173"/>
        <v>1474</v>
      </c>
      <c r="J137" s="396">
        <f t="shared" si="173"/>
        <v>414</v>
      </c>
      <c r="K137" s="343">
        <f t="shared" si="173"/>
        <v>343</v>
      </c>
      <c r="L137" s="343">
        <f t="shared" si="173"/>
        <v>327</v>
      </c>
      <c r="M137" s="397">
        <f t="shared" si="173"/>
        <v>358</v>
      </c>
      <c r="N137" s="297">
        <f t="shared" si="173"/>
        <v>1442</v>
      </c>
      <c r="O137" s="396">
        <f t="shared" si="173"/>
        <v>368</v>
      </c>
      <c r="P137" s="343">
        <f t="shared" si="173"/>
        <v>304</v>
      </c>
      <c r="Q137" s="343">
        <f t="shared" si="173"/>
        <v>342</v>
      </c>
      <c r="R137" s="397">
        <f t="shared" si="173"/>
        <v>358</v>
      </c>
      <c r="S137" s="297">
        <f t="shared" si="173"/>
        <v>1372</v>
      </c>
      <c r="T137" s="396">
        <f t="shared" ref="T137:AB137" si="174">T18</f>
        <v>376</v>
      </c>
      <c r="U137" s="343">
        <f t="shared" si="174"/>
        <v>350</v>
      </c>
      <c r="V137" s="343">
        <f t="shared" si="174"/>
        <v>366</v>
      </c>
      <c r="W137" s="397">
        <f t="shared" si="174"/>
        <v>416</v>
      </c>
      <c r="X137" s="297">
        <f>X19</f>
        <v>778</v>
      </c>
      <c r="Y137" s="396">
        <f t="shared" si="174"/>
        <v>427</v>
      </c>
      <c r="Z137" s="343">
        <f t="shared" si="174"/>
        <v>369</v>
      </c>
      <c r="AA137" s="343">
        <f t="shared" si="174"/>
        <v>408</v>
      </c>
      <c r="AB137" s="397">
        <f t="shared" si="174"/>
        <v>435</v>
      </c>
      <c r="AC137" s="297">
        <f>AC19</f>
        <v>872</v>
      </c>
      <c r="AD137" s="396">
        <f>AD18</f>
        <v>462</v>
      </c>
      <c r="AE137" s="343">
        <f>AE18</f>
        <v>362</v>
      </c>
      <c r="AF137" s="343">
        <f>AF18</f>
        <v>366</v>
      </c>
      <c r="AG137" s="397">
        <f>AG18</f>
        <v>368</v>
      </c>
      <c r="AH137" s="297">
        <f>AH19</f>
        <v>906</v>
      </c>
      <c r="AI137" s="396">
        <f t="shared" ref="AI137:AN137" si="175">AI18</f>
        <v>412</v>
      </c>
      <c r="AJ137" s="343">
        <f t="shared" si="175"/>
        <v>368</v>
      </c>
      <c r="AK137" s="343">
        <f t="shared" si="175"/>
        <v>391</v>
      </c>
      <c r="AL137" s="397">
        <f t="shared" si="175"/>
        <v>389</v>
      </c>
      <c r="AM137" s="297">
        <f t="shared" si="175"/>
        <v>1560</v>
      </c>
      <c r="AN137" s="396">
        <f t="shared" si="175"/>
        <v>382</v>
      </c>
      <c r="AO137" s="343">
        <f t="shared" ref="AO137:AT137" si="176">AO18</f>
        <v>352</v>
      </c>
      <c r="AP137" s="343">
        <f t="shared" si="176"/>
        <v>376</v>
      </c>
      <c r="AQ137" s="397">
        <f t="shared" si="176"/>
        <v>365</v>
      </c>
      <c r="AR137" s="297">
        <f t="shared" si="176"/>
        <v>1475</v>
      </c>
      <c r="AS137" s="396">
        <f t="shared" si="176"/>
        <v>367</v>
      </c>
      <c r="AT137" s="343">
        <f t="shared" si="176"/>
        <v>351</v>
      </c>
      <c r="AU137" s="343">
        <f>AU18</f>
        <v>346</v>
      </c>
      <c r="AV137" s="397">
        <f>AV18</f>
        <v>370</v>
      </c>
      <c r="AW137" s="297">
        <f>AW18</f>
        <v>1434</v>
      </c>
      <c r="AX137" s="396">
        <f>AX139+AX138</f>
        <v>372.50499999999994</v>
      </c>
      <c r="AY137" s="343">
        <f>AY139+AY138</f>
        <v>356.26499999999999</v>
      </c>
      <c r="AZ137" s="343">
        <f>AZ139+AZ138</f>
        <v>351.18999999999994</v>
      </c>
      <c r="BA137" s="397">
        <f>BA139+BA138</f>
        <v>375.54999999999995</v>
      </c>
      <c r="BB137" s="297">
        <f>+SUM(AX137:BA137)</f>
        <v>1455.51</v>
      </c>
      <c r="BC137" s="396">
        <f>BC139+BC138</f>
        <v>378.0925749999999</v>
      </c>
      <c r="BD137" s="343">
        <f>BD139+BD138</f>
        <v>361.60897499999993</v>
      </c>
      <c r="BE137" s="343">
        <f>BE139+BE138</f>
        <v>361.60897499999993</v>
      </c>
      <c r="BF137" s="397">
        <f>BF139+BF138</f>
        <v>381.18324999999993</v>
      </c>
      <c r="BG137" s="297">
        <f>+SUM(BC137:BF137)</f>
        <v>1482.4937749999995</v>
      </c>
      <c r="BH137" s="396">
        <f>BH139+BH138</f>
        <v>383.76396362499986</v>
      </c>
      <c r="BI137" s="343">
        <f>BI139+BI138</f>
        <v>367.0331096249999</v>
      </c>
      <c r="BJ137" s="343">
        <f>BJ139+BJ138</f>
        <v>367.0331096249999</v>
      </c>
      <c r="BK137" s="397">
        <f>BK139+BK138</f>
        <v>386.90099874999987</v>
      </c>
      <c r="BL137" s="297">
        <f>+SUM(BH137:BK137)</f>
        <v>1504.7311816249996</v>
      </c>
      <c r="BM137" s="396">
        <f>BM139+BM138</f>
        <v>389.52042307937484</v>
      </c>
      <c r="BN137" s="343">
        <f>BN139+BN138</f>
        <v>372.53860626937484</v>
      </c>
      <c r="BO137" s="343">
        <f>BO139+BO138</f>
        <v>372.53860626937484</v>
      </c>
      <c r="BP137" s="397">
        <f>BP139+BP138</f>
        <v>392.70451373124985</v>
      </c>
      <c r="BQ137" s="297">
        <f>+SUM(BM137:BP137)</f>
        <v>1527.3021493493743</v>
      </c>
      <c r="BR137" s="297"/>
      <c r="BS137" s="297"/>
      <c r="BT137" s="297"/>
      <c r="BU137" s="297"/>
      <c r="BV137" s="297"/>
      <c r="BW137" s="297"/>
      <c r="BX137" s="297"/>
      <c r="BY137" s="297"/>
      <c r="BZ137" s="297"/>
      <c r="CA137" s="297"/>
      <c r="CB137" s="297"/>
      <c r="CC137" s="297"/>
      <c r="CD137" s="297"/>
      <c r="CE137" s="297"/>
      <c r="CF137" s="297"/>
      <c r="CG137" s="297"/>
      <c r="CH137" s="297"/>
      <c r="CI137" s="297"/>
      <c r="CJ137" s="297"/>
      <c r="CK137" s="297"/>
      <c r="CL137" s="297"/>
      <c r="CM137" s="297"/>
      <c r="CN137" s="297"/>
      <c r="CO137" s="297"/>
      <c r="CP137" s="297"/>
      <c r="CQ137" s="297"/>
      <c r="CR137" s="297"/>
      <c r="CS137" s="297"/>
      <c r="CT137" s="297"/>
      <c r="CU137" s="297"/>
      <c r="CV137" s="297"/>
      <c r="CW137" s="297"/>
      <c r="CX137" s="297"/>
      <c r="CY137" s="297"/>
      <c r="CZ137" s="297"/>
      <c r="DA137" s="297"/>
    </row>
    <row r="138" spans="1:105">
      <c r="A138" s="77"/>
      <c r="B138" s="77"/>
      <c r="C138" s="538" t="s">
        <v>652</v>
      </c>
      <c r="D138" s="589"/>
      <c r="E138" s="418">
        <v>0</v>
      </c>
      <c r="F138" s="353">
        <v>0</v>
      </c>
      <c r="G138" s="353">
        <v>0</v>
      </c>
      <c r="H138" s="419">
        <v>0</v>
      </c>
      <c r="I138" s="589">
        <v>0</v>
      </c>
      <c r="J138" s="418">
        <v>0</v>
      </c>
      <c r="K138" s="353">
        <v>0</v>
      </c>
      <c r="L138" s="353">
        <v>0</v>
      </c>
      <c r="M138" s="419">
        <v>0</v>
      </c>
      <c r="N138" s="589">
        <v>0</v>
      </c>
      <c r="O138" s="418">
        <v>0</v>
      </c>
      <c r="P138" s="353">
        <v>0</v>
      </c>
      <c r="Q138" s="353">
        <v>0</v>
      </c>
      <c r="R138" s="419">
        <v>0</v>
      </c>
      <c r="S138" s="589">
        <v>0</v>
      </c>
      <c r="T138" s="418">
        <v>0</v>
      </c>
      <c r="U138" s="353">
        <v>0</v>
      </c>
      <c r="V138" s="353">
        <v>0</v>
      </c>
      <c r="W138" s="419">
        <v>40</v>
      </c>
      <c r="X138" s="298">
        <f>SUM(T138:W138)</f>
        <v>40</v>
      </c>
      <c r="Y138" s="398">
        <f>8+6</f>
        <v>14</v>
      </c>
      <c r="Z138" s="344">
        <v>0</v>
      </c>
      <c r="AA138" s="344">
        <v>0</v>
      </c>
      <c r="AB138" s="399">
        <v>0</v>
      </c>
      <c r="AC138" s="298">
        <f>SUM(Y138:AB138)</f>
        <v>14</v>
      </c>
      <c r="AD138" s="398">
        <v>0</v>
      </c>
      <c r="AE138" s="344">
        <v>0</v>
      </c>
      <c r="AF138" s="344">
        <v>0</v>
      </c>
      <c r="AG138" s="399">
        <v>0</v>
      </c>
      <c r="AH138" s="298">
        <f>SUM(AD138:AG138)</f>
        <v>0</v>
      </c>
      <c r="AI138" s="398">
        <v>0</v>
      </c>
      <c r="AJ138" s="344">
        <v>0</v>
      </c>
      <c r="AK138" s="344">
        <v>0</v>
      </c>
      <c r="AL138" s="399">
        <v>0</v>
      </c>
      <c r="AM138" s="298">
        <f>SUM(AI138:AL138)</f>
        <v>0</v>
      </c>
      <c r="AN138" s="398">
        <v>0</v>
      </c>
      <c r="AO138" s="344">
        <v>0</v>
      </c>
      <c r="AP138" s="344">
        <v>0</v>
      </c>
      <c r="AQ138" s="399">
        <v>0</v>
      </c>
      <c r="AR138" s="298">
        <f>SUM(AN138:AQ138)</f>
        <v>0</v>
      </c>
      <c r="AS138" s="398">
        <v>0</v>
      </c>
      <c r="AT138" s="344">
        <v>0</v>
      </c>
      <c r="AU138" s="344">
        <v>0</v>
      </c>
      <c r="AV138" s="399">
        <v>0</v>
      </c>
      <c r="AW138" s="298">
        <f>SUM(AS138:AV138)</f>
        <v>0</v>
      </c>
      <c r="AX138" s="418">
        <v>0</v>
      </c>
      <c r="AY138" s="353">
        <v>0</v>
      </c>
      <c r="AZ138" s="353">
        <v>0</v>
      </c>
      <c r="BA138" s="419">
        <v>0</v>
      </c>
      <c r="BB138" s="589">
        <v>0</v>
      </c>
      <c r="BC138" s="418">
        <v>0</v>
      </c>
      <c r="BD138" s="353">
        <v>0</v>
      </c>
      <c r="BE138" s="353">
        <v>0</v>
      </c>
      <c r="BF138" s="419">
        <v>0</v>
      </c>
      <c r="BG138" s="589">
        <v>0</v>
      </c>
      <c r="BH138" s="418">
        <v>0</v>
      </c>
      <c r="BI138" s="353">
        <v>0</v>
      </c>
      <c r="BJ138" s="353">
        <v>0</v>
      </c>
      <c r="BK138" s="419">
        <v>0</v>
      </c>
      <c r="BL138" s="589">
        <v>0</v>
      </c>
      <c r="BM138" s="418">
        <v>0</v>
      </c>
      <c r="BN138" s="353">
        <v>0</v>
      </c>
      <c r="BO138" s="353">
        <v>0</v>
      </c>
      <c r="BP138" s="419">
        <v>0</v>
      </c>
      <c r="BQ138" s="589">
        <v>0</v>
      </c>
      <c r="BR138" s="589"/>
      <c r="BS138" s="589"/>
      <c r="BT138" s="836"/>
      <c r="BU138" s="837"/>
      <c r="BV138" s="77"/>
      <c r="BW138" s="77"/>
      <c r="BX138" s="77"/>
      <c r="BY138" s="77"/>
      <c r="BZ138" s="77"/>
      <c r="CA138" s="77"/>
      <c r="CB138" s="77"/>
      <c r="CC138" s="77"/>
      <c r="CD138" s="77"/>
      <c r="CE138" s="77"/>
      <c r="CF138" s="77"/>
      <c r="CG138" s="77"/>
      <c r="CH138" s="77"/>
      <c r="CI138" s="77"/>
      <c r="CJ138" s="77"/>
      <c r="CK138" s="77"/>
      <c r="CL138" s="77"/>
      <c r="CM138" s="77"/>
      <c r="CN138" s="77"/>
      <c r="CO138" s="77"/>
      <c r="CP138" s="77"/>
      <c r="CQ138" s="77"/>
      <c r="CR138" s="77"/>
      <c r="CS138" s="77"/>
      <c r="CT138" s="77"/>
      <c r="CU138" s="77"/>
      <c r="CV138" s="77"/>
      <c r="CW138" s="77"/>
      <c r="CX138" s="77"/>
      <c r="CY138" s="77"/>
      <c r="CZ138" s="77"/>
      <c r="DA138" s="77"/>
    </row>
    <row r="139" spans="1:105">
      <c r="A139" s="77"/>
      <c r="B139" s="77"/>
      <c r="C139" s="538" t="s">
        <v>653</v>
      </c>
      <c r="D139" s="77"/>
      <c r="E139" s="394">
        <f>E137-E138</f>
        <v>395</v>
      </c>
      <c r="F139" s="342">
        <f>F137-F138</f>
        <v>344</v>
      </c>
      <c r="G139" s="342">
        <f>G137-G138</f>
        <v>351</v>
      </c>
      <c r="H139" s="395">
        <f>H137-H138</f>
        <v>384</v>
      </c>
      <c r="I139" s="77">
        <f>SUM(E139:H139)</f>
        <v>1474</v>
      </c>
      <c r="J139" s="394">
        <f>J137-J138</f>
        <v>414</v>
      </c>
      <c r="K139" s="342">
        <f>K137-K138</f>
        <v>343</v>
      </c>
      <c r="L139" s="342">
        <f>L137-L138</f>
        <v>327</v>
      </c>
      <c r="M139" s="395">
        <f>M137-M138</f>
        <v>358</v>
      </c>
      <c r="N139" s="77">
        <f>SUM(J139:M139)</f>
        <v>1442</v>
      </c>
      <c r="O139" s="394">
        <f>O137-O138</f>
        <v>368</v>
      </c>
      <c r="P139" s="342">
        <f>P137-P138</f>
        <v>304</v>
      </c>
      <c r="Q139" s="342">
        <f>Q137-Q138</f>
        <v>342</v>
      </c>
      <c r="R139" s="395">
        <f>R137-R138</f>
        <v>358</v>
      </c>
      <c r="S139" s="77">
        <f>SUM(O139:R139)</f>
        <v>1372</v>
      </c>
      <c r="T139" s="394">
        <f>T137-T138</f>
        <v>376</v>
      </c>
      <c r="U139" s="342">
        <f>U137-U138</f>
        <v>350</v>
      </c>
      <c r="V139" s="342">
        <f>V137-V138</f>
        <v>366</v>
      </c>
      <c r="W139" s="395">
        <f>W137-W138</f>
        <v>376</v>
      </c>
      <c r="X139" s="77">
        <f>SUM(T139:W139)</f>
        <v>1468</v>
      </c>
      <c r="Y139" s="394">
        <f>Y137-Y138</f>
        <v>413</v>
      </c>
      <c r="Z139" s="342">
        <f>Z137-Z138</f>
        <v>369</v>
      </c>
      <c r="AA139" s="342">
        <f>AA137-AA138</f>
        <v>408</v>
      </c>
      <c r="AB139" s="395">
        <f>AB137-AB138</f>
        <v>435</v>
      </c>
      <c r="AC139" s="77">
        <f>SUM(Y139:AB139)</f>
        <v>1625</v>
      </c>
      <c r="AD139" s="394">
        <f>AD137-AD138</f>
        <v>462</v>
      </c>
      <c r="AE139" s="342">
        <f>AE137-AE138</f>
        <v>362</v>
      </c>
      <c r="AF139" s="342">
        <f>AF137-AF138</f>
        <v>366</v>
      </c>
      <c r="AG139" s="395">
        <f>AG137-AG138</f>
        <v>368</v>
      </c>
      <c r="AH139" s="77">
        <f>SUM(AD139:AG139)</f>
        <v>1558</v>
      </c>
      <c r="AI139" s="394">
        <f>AI137-AI138</f>
        <v>412</v>
      </c>
      <c r="AJ139" s="342">
        <f>AJ137-AJ138</f>
        <v>368</v>
      </c>
      <c r="AK139" s="342">
        <f>AK137-AK138</f>
        <v>391</v>
      </c>
      <c r="AL139" s="395">
        <f>AL137-AL138</f>
        <v>389</v>
      </c>
      <c r="AM139" s="77">
        <f>SUM(AI139:AL139)</f>
        <v>1560</v>
      </c>
      <c r="AN139" s="394">
        <f>AN137-AN138</f>
        <v>382</v>
      </c>
      <c r="AO139" s="342">
        <f>AO137-AO138</f>
        <v>352</v>
      </c>
      <c r="AP139" s="342">
        <f>AP137-AP138</f>
        <v>376</v>
      </c>
      <c r="AQ139" s="395">
        <f>AQ137-AQ138</f>
        <v>365</v>
      </c>
      <c r="AR139" s="77">
        <f>SUM(AN139:AQ139)</f>
        <v>1475</v>
      </c>
      <c r="AS139" s="394">
        <f>AS137-AS138</f>
        <v>367</v>
      </c>
      <c r="AT139" s="342">
        <f>AT137-AT138</f>
        <v>351</v>
      </c>
      <c r="AU139" s="342">
        <f>AU137-AU138</f>
        <v>346</v>
      </c>
      <c r="AV139" s="395">
        <f>AV137-AV138</f>
        <v>370</v>
      </c>
      <c r="AW139" s="77">
        <f>SUM(AS139:AV139)</f>
        <v>1434</v>
      </c>
      <c r="AX139" s="394">
        <f>AS139*(1+AX140)</f>
        <v>372.50499999999994</v>
      </c>
      <c r="AY139" s="342">
        <f>AT139*(1+AY140)</f>
        <v>356.26499999999999</v>
      </c>
      <c r="AZ139" s="342">
        <f>AU139*(1+AZ140)</f>
        <v>351.18999999999994</v>
      </c>
      <c r="BA139" s="395">
        <f>AV139*(1+BA140)</f>
        <v>375.54999999999995</v>
      </c>
      <c r="BB139" s="77">
        <f>SUM(AX139:BA139)</f>
        <v>1455.51</v>
      </c>
      <c r="BC139" s="394">
        <f>AX139*(1+BC140)</f>
        <v>378.0925749999999</v>
      </c>
      <c r="BD139" s="342">
        <f>AY139*(1+BD140)</f>
        <v>361.60897499999993</v>
      </c>
      <c r="BE139" s="342">
        <f>AY139*(1+BE140)</f>
        <v>361.60897499999993</v>
      </c>
      <c r="BF139" s="395">
        <f>BA139*(1+BF140)</f>
        <v>381.18324999999993</v>
      </c>
      <c r="BG139" s="77">
        <f>SUM(BC139:BF139)</f>
        <v>1482.4937749999995</v>
      </c>
      <c r="BH139" s="394">
        <f>BC139*(1+BH140)</f>
        <v>383.76396362499986</v>
      </c>
      <c r="BI139" s="342">
        <f>BD139*(1+BI140)</f>
        <v>367.0331096249999</v>
      </c>
      <c r="BJ139" s="342">
        <f>BE139*(1+BJ140)</f>
        <v>367.0331096249999</v>
      </c>
      <c r="BK139" s="395">
        <f>BF139*(1+BK140)</f>
        <v>386.90099874999987</v>
      </c>
      <c r="BL139" s="77">
        <f>SUM(BH139:BK139)</f>
        <v>1504.7311816249996</v>
      </c>
      <c r="BM139" s="394">
        <f>BH139*(1+BM140)</f>
        <v>389.52042307937484</v>
      </c>
      <c r="BN139" s="342">
        <f>BI139*(1+BN140)</f>
        <v>372.53860626937484</v>
      </c>
      <c r="BO139" s="342">
        <f>BJ139*(1+BO140)</f>
        <v>372.53860626937484</v>
      </c>
      <c r="BP139" s="395">
        <f>BK139*(1+BP140)</f>
        <v>392.70451373124985</v>
      </c>
      <c r="BQ139" s="77">
        <f>SUM(BM139:BP139)</f>
        <v>1527.3021493493743</v>
      </c>
      <c r="BR139" s="77"/>
      <c r="BS139" s="77"/>
      <c r="BT139" s="77"/>
      <c r="BU139" s="77"/>
      <c r="BV139" s="77"/>
      <c r="BW139" s="77"/>
      <c r="BX139" s="77"/>
      <c r="BY139" s="77"/>
      <c r="BZ139" s="77"/>
      <c r="CA139" s="77"/>
      <c r="CB139" s="77"/>
      <c r="CC139" s="77"/>
      <c r="CD139" s="77"/>
      <c r="CE139" s="77"/>
      <c r="CF139" s="77"/>
      <c r="CG139" s="77"/>
      <c r="CH139" s="77"/>
      <c r="CI139" s="77"/>
      <c r="CJ139" s="77"/>
      <c r="CK139" s="77"/>
      <c r="CL139" s="77"/>
      <c r="CM139" s="77"/>
      <c r="CN139" s="77"/>
      <c r="CO139" s="77"/>
      <c r="CP139" s="77"/>
      <c r="CQ139" s="77"/>
      <c r="CR139" s="77"/>
      <c r="CS139" s="77"/>
      <c r="CT139" s="77"/>
      <c r="CU139" s="77"/>
      <c r="CV139" s="77"/>
      <c r="CW139" s="77"/>
      <c r="CX139" s="77"/>
      <c r="CY139" s="77"/>
      <c r="CZ139" s="77"/>
      <c r="DA139" s="77"/>
    </row>
    <row r="140" spans="1:105">
      <c r="A140" s="290"/>
      <c r="B140" s="290"/>
      <c r="C140" s="539" t="s">
        <v>654</v>
      </c>
      <c r="D140" s="290"/>
      <c r="E140" s="838"/>
      <c r="F140" s="537"/>
      <c r="G140" s="537"/>
      <c r="H140" s="839"/>
      <c r="I140" s="289"/>
      <c r="J140" s="369">
        <f t="shared" ref="J140:U140" si="177">J139/E139-1</f>
        <v>4.8101265822784844E-2</v>
      </c>
      <c r="K140" s="330">
        <f t="shared" si="177"/>
        <v>-2.9069767441860517E-3</v>
      </c>
      <c r="L140" s="330">
        <f t="shared" si="177"/>
        <v>-6.8376068376068355E-2</v>
      </c>
      <c r="M140" s="370">
        <f t="shared" si="177"/>
        <v>-6.770833333333337E-2</v>
      </c>
      <c r="N140" s="289">
        <f t="shared" si="177"/>
        <v>-2.170963364993217E-2</v>
      </c>
      <c r="O140" s="369">
        <f t="shared" si="177"/>
        <v>-0.11111111111111116</v>
      </c>
      <c r="P140" s="330">
        <f t="shared" si="177"/>
        <v>-0.11370262390670549</v>
      </c>
      <c r="Q140" s="330">
        <f t="shared" si="177"/>
        <v>4.587155963302747E-2</v>
      </c>
      <c r="R140" s="370">
        <f t="shared" si="177"/>
        <v>0</v>
      </c>
      <c r="S140" s="289">
        <f t="shared" si="177"/>
        <v>-4.8543689320388328E-2</v>
      </c>
      <c r="T140" s="369">
        <f t="shared" si="177"/>
        <v>2.1739130434782705E-2</v>
      </c>
      <c r="U140" s="330">
        <f t="shared" si="177"/>
        <v>0.15131578947368429</v>
      </c>
      <c r="V140" s="330">
        <f>V139/Q139-1</f>
        <v>7.0175438596491224E-2</v>
      </c>
      <c r="W140" s="370">
        <f>W139/R139-1</f>
        <v>5.027932960893855E-2</v>
      </c>
      <c r="X140" s="289">
        <f t="shared" ref="X140:AC140" si="178">X139/S139-1</f>
        <v>6.9970845481049482E-2</v>
      </c>
      <c r="Y140" s="369">
        <f t="shared" si="178"/>
        <v>9.840425531914887E-2</v>
      </c>
      <c r="Z140" s="330">
        <f t="shared" si="178"/>
        <v>5.428571428571427E-2</v>
      </c>
      <c r="AA140" s="330">
        <f t="shared" si="178"/>
        <v>0.11475409836065564</v>
      </c>
      <c r="AB140" s="370">
        <f t="shared" si="178"/>
        <v>0.15691489361702127</v>
      </c>
      <c r="AC140" s="289">
        <f t="shared" si="178"/>
        <v>0.10694822888283384</v>
      </c>
      <c r="AD140" s="369">
        <f t="shared" ref="AD140:AI140" si="179">AD139/Y139-1</f>
        <v>0.11864406779661008</v>
      </c>
      <c r="AE140" s="330">
        <f t="shared" si="179"/>
        <v>-1.8970189701897011E-2</v>
      </c>
      <c r="AF140" s="330">
        <f t="shared" si="179"/>
        <v>-0.1029411764705882</v>
      </c>
      <c r="AG140" s="370">
        <f t="shared" si="179"/>
        <v>-0.15402298850574714</v>
      </c>
      <c r="AH140" s="289">
        <f t="shared" si="179"/>
        <v>-4.1230769230769182E-2</v>
      </c>
      <c r="AI140" s="369">
        <f t="shared" si="179"/>
        <v>-0.10822510822510822</v>
      </c>
      <c r="AJ140" s="330">
        <f t="shared" ref="AJ140:AP140" si="180">AJ139/AE139-1</f>
        <v>1.6574585635359185E-2</v>
      </c>
      <c r="AK140" s="330">
        <f t="shared" si="180"/>
        <v>6.8306010928961713E-2</v>
      </c>
      <c r="AL140" s="370">
        <f t="shared" si="180"/>
        <v>5.7065217391304435E-2</v>
      </c>
      <c r="AM140" s="289">
        <f t="shared" si="180"/>
        <v>1.2836970474967568E-3</v>
      </c>
      <c r="AN140" s="369">
        <f t="shared" si="180"/>
        <v>-7.2815533980582492E-2</v>
      </c>
      <c r="AO140" s="330">
        <f t="shared" si="180"/>
        <v>-4.3478260869565188E-2</v>
      </c>
      <c r="AP140" s="330">
        <f t="shared" si="180"/>
        <v>-3.8363171355498715E-2</v>
      </c>
      <c r="AQ140" s="370">
        <f t="shared" ref="AQ140:AW140" si="181">AQ139/AL139-1</f>
        <v>-6.169665809768643E-2</v>
      </c>
      <c r="AR140" s="289">
        <f t="shared" si="181"/>
        <v>-5.4487179487179516E-2</v>
      </c>
      <c r="AS140" s="369">
        <f t="shared" si="181"/>
        <v>-3.9267015706806241E-2</v>
      </c>
      <c r="AT140" s="330">
        <f t="shared" si="181"/>
        <v>-2.8409090909090606E-3</v>
      </c>
      <c r="AU140" s="330">
        <f t="shared" si="181"/>
        <v>-7.9787234042553168E-2</v>
      </c>
      <c r="AV140" s="370">
        <f t="shared" si="181"/>
        <v>1.3698630136986356E-2</v>
      </c>
      <c r="AW140" s="289">
        <f t="shared" si="181"/>
        <v>-2.7796610169491531E-2</v>
      </c>
      <c r="AX140" s="369">
        <f>AX62</f>
        <v>1.4999999999999999E-2</v>
      </c>
      <c r="AY140" s="330">
        <f>AY62</f>
        <v>1.4999999999999999E-2</v>
      </c>
      <c r="AZ140" s="330">
        <f>AZ62</f>
        <v>1.4999999999999999E-2</v>
      </c>
      <c r="BA140" s="370">
        <f>BA62</f>
        <v>1.4999999999999999E-2</v>
      </c>
      <c r="BB140" s="289">
        <f>BB62</f>
        <v>1.4999999999999999E-2</v>
      </c>
      <c r="BC140" s="369">
        <f t="shared" ref="BC140:BL140" si="182">BC62</f>
        <v>1.4999999999999999E-2</v>
      </c>
      <c r="BD140" s="330">
        <f t="shared" si="182"/>
        <v>1.4999999999999999E-2</v>
      </c>
      <c r="BE140" s="330">
        <f t="shared" si="182"/>
        <v>1.4999999999999999E-2</v>
      </c>
      <c r="BF140" s="370">
        <f t="shared" si="182"/>
        <v>1.4999999999999999E-2</v>
      </c>
      <c r="BG140" s="289">
        <f t="shared" si="182"/>
        <v>1.4999999999999999E-2</v>
      </c>
      <c r="BH140" s="369">
        <f t="shared" si="182"/>
        <v>1.4999999999999999E-2</v>
      </c>
      <c r="BI140" s="330">
        <f t="shared" si="182"/>
        <v>1.4999999999999999E-2</v>
      </c>
      <c r="BJ140" s="330">
        <f t="shared" si="182"/>
        <v>1.4999999999999999E-2</v>
      </c>
      <c r="BK140" s="370">
        <f t="shared" si="182"/>
        <v>1.4999999999999999E-2</v>
      </c>
      <c r="BL140" s="289">
        <f t="shared" si="182"/>
        <v>1.4999999999999999E-2</v>
      </c>
      <c r="BM140" s="369">
        <f>BM62</f>
        <v>1.4999999999999999E-2</v>
      </c>
      <c r="BN140" s="330">
        <f>BN62</f>
        <v>1.4999999999999999E-2</v>
      </c>
      <c r="BO140" s="330">
        <f>BO62</f>
        <v>1.4999999999999999E-2</v>
      </c>
      <c r="BP140" s="370">
        <f>BP62</f>
        <v>1.4999999999999999E-2</v>
      </c>
      <c r="BQ140" s="289">
        <f>BQ62</f>
        <v>1.4999999999999999E-2</v>
      </c>
      <c r="BR140" s="289"/>
      <c r="BS140" s="290"/>
      <c r="BT140" s="290"/>
      <c r="BU140" s="290"/>
      <c r="BV140" s="290"/>
      <c r="BW140" s="290"/>
      <c r="BX140" s="290"/>
      <c r="BY140" s="290"/>
      <c r="BZ140" s="290"/>
      <c r="CA140" s="290"/>
      <c r="CB140" s="290"/>
      <c r="CC140" s="290"/>
      <c r="CD140" s="290"/>
      <c r="CE140" s="290"/>
      <c r="CF140" s="290"/>
      <c r="CG140" s="290"/>
      <c r="CH140" s="290"/>
      <c r="CI140" s="290"/>
      <c r="CJ140" s="290"/>
      <c r="CK140" s="290"/>
      <c r="CL140" s="290"/>
      <c r="CM140" s="290"/>
      <c r="CN140" s="290"/>
      <c r="CO140" s="290"/>
      <c r="CP140" s="290"/>
      <c r="CQ140" s="290"/>
      <c r="CR140" s="290"/>
      <c r="CS140" s="290"/>
      <c r="CT140" s="290"/>
      <c r="CU140" s="290"/>
      <c r="CV140" s="290"/>
      <c r="CW140" s="290"/>
      <c r="CX140" s="290"/>
      <c r="CY140" s="290"/>
      <c r="CZ140" s="290"/>
      <c r="DA140" s="290"/>
    </row>
    <row r="141" spans="1:105">
      <c r="A141" s="37"/>
      <c r="B141" s="37"/>
      <c r="C141" s="538"/>
      <c r="D141" s="37"/>
      <c r="E141" s="571"/>
      <c r="F141" s="318"/>
      <c r="G141" s="318"/>
      <c r="H141" s="572"/>
      <c r="I141" s="30"/>
      <c r="J141" s="571"/>
      <c r="K141" s="318"/>
      <c r="L141" s="318"/>
      <c r="M141" s="572"/>
      <c r="N141" s="30"/>
      <c r="O141" s="571"/>
      <c r="P141" s="318"/>
      <c r="Q141" s="318"/>
      <c r="R141" s="572"/>
      <c r="S141" s="30"/>
      <c r="T141" s="571"/>
      <c r="U141" s="318"/>
      <c r="V141" s="318"/>
      <c r="W141" s="572"/>
      <c r="X141" s="30"/>
      <c r="Y141" s="571"/>
      <c r="Z141" s="318"/>
      <c r="AA141" s="318"/>
      <c r="AB141" s="572"/>
      <c r="AC141" s="30"/>
      <c r="AD141" s="571"/>
      <c r="AE141" s="318"/>
      <c r="AF141" s="318"/>
      <c r="AG141" s="572"/>
      <c r="AH141" s="30"/>
      <c r="AI141" s="571"/>
      <c r="AJ141" s="318"/>
      <c r="AK141" s="318"/>
      <c r="AL141" s="572"/>
      <c r="AM141" s="30"/>
      <c r="AN141" s="571"/>
      <c r="AO141" s="318"/>
      <c r="AP141" s="318"/>
      <c r="AQ141" s="572"/>
      <c r="AR141" s="30"/>
      <c r="AS141" s="571"/>
      <c r="AT141" s="318"/>
      <c r="AU141" s="318"/>
      <c r="AV141" s="572"/>
      <c r="AW141" s="30"/>
      <c r="AX141" s="571"/>
      <c r="AY141" s="318"/>
      <c r="AZ141" s="318"/>
      <c r="BA141" s="572"/>
      <c r="BB141" s="30"/>
      <c r="BC141" s="571"/>
      <c r="BD141" s="318"/>
      <c r="BE141" s="318"/>
      <c r="BF141" s="572"/>
      <c r="BG141" s="30"/>
      <c r="BH141" s="571"/>
      <c r="BI141" s="318"/>
      <c r="BJ141" s="318"/>
      <c r="BK141" s="572"/>
      <c r="BL141" s="30"/>
      <c r="BM141" s="571"/>
      <c r="BN141" s="318"/>
      <c r="BO141" s="318"/>
      <c r="BP141" s="572"/>
      <c r="BQ141" s="30"/>
      <c r="BR141" s="30"/>
      <c r="BS141" s="37"/>
      <c r="BT141" s="37"/>
      <c r="BU141" s="37"/>
      <c r="BV141" s="37"/>
      <c r="BW141" s="37"/>
      <c r="BX141" s="37"/>
      <c r="BY141" s="37"/>
      <c r="BZ141" s="37"/>
      <c r="CA141" s="37"/>
      <c r="CB141" s="37"/>
      <c r="CC141" s="37"/>
      <c r="CD141" s="37"/>
      <c r="CE141" s="37"/>
      <c r="CF141" s="37"/>
      <c r="CG141" s="37"/>
      <c r="CH141" s="37"/>
      <c r="CI141" s="37"/>
      <c r="CJ141" s="37"/>
      <c r="CK141" s="37"/>
      <c r="CL141" s="37"/>
      <c r="CM141" s="37"/>
      <c r="CN141" s="37"/>
      <c r="CO141" s="37"/>
      <c r="CP141" s="37"/>
      <c r="CQ141" s="37"/>
      <c r="CR141" s="37"/>
      <c r="CS141" s="37"/>
      <c r="CT141" s="37"/>
      <c r="CU141" s="37"/>
      <c r="CV141" s="37"/>
      <c r="CW141" s="37"/>
      <c r="CX141" s="37"/>
      <c r="CY141" s="37"/>
      <c r="CZ141" s="37"/>
      <c r="DA141" s="37"/>
    </row>
    <row r="142" spans="1:105">
      <c r="A142" s="77"/>
      <c r="B142" s="77"/>
      <c r="C142" s="538" t="s">
        <v>74</v>
      </c>
      <c r="D142" s="77"/>
      <c r="E142" s="394">
        <f>E20</f>
        <v>44</v>
      </c>
      <c r="F142" s="342">
        <f>F20</f>
        <v>26</v>
      </c>
      <c r="G142" s="342">
        <f>G20</f>
        <v>30</v>
      </c>
      <c r="H142" s="395">
        <f>H20</f>
        <v>33</v>
      </c>
      <c r="I142" s="77">
        <f>SUM(E142:H142)</f>
        <v>133</v>
      </c>
      <c r="J142" s="394">
        <f>J20</f>
        <v>42</v>
      </c>
      <c r="K142" s="342">
        <f>K20</f>
        <v>28</v>
      </c>
      <c r="L142" s="342">
        <f>L20</f>
        <v>31</v>
      </c>
      <c r="M142" s="395">
        <f>M20</f>
        <v>35</v>
      </c>
      <c r="N142" s="77">
        <f>SUM(J142:M142)</f>
        <v>136</v>
      </c>
      <c r="O142" s="394">
        <f>O20</f>
        <v>43</v>
      </c>
      <c r="P142" s="342">
        <f>P20</f>
        <v>28</v>
      </c>
      <c r="Q142" s="342">
        <f>Q20</f>
        <v>31</v>
      </c>
      <c r="R142" s="395">
        <f>R20</f>
        <v>31</v>
      </c>
      <c r="S142" s="77">
        <f>SUM(O142:R142)</f>
        <v>133</v>
      </c>
      <c r="T142" s="394">
        <f>T20</f>
        <v>29</v>
      </c>
      <c r="U142" s="342">
        <f>U20</f>
        <v>20</v>
      </c>
      <c r="V142" s="342">
        <f>V20</f>
        <v>24</v>
      </c>
      <c r="W142" s="395">
        <f>W20</f>
        <v>25</v>
      </c>
      <c r="X142" s="77">
        <f>SUM(T142:W142)</f>
        <v>98</v>
      </c>
      <c r="Y142" s="394">
        <f>Y20</f>
        <v>21</v>
      </c>
      <c r="Z142" s="342">
        <f>Z20</f>
        <v>14</v>
      </c>
      <c r="AA142" s="342">
        <f>AA20</f>
        <v>15</v>
      </c>
      <c r="AB142" s="395">
        <f>AB20</f>
        <v>18</v>
      </c>
      <c r="AC142" s="77">
        <f>SUM(Y142:AB142)</f>
        <v>68</v>
      </c>
      <c r="AD142" s="394">
        <f>AD20</f>
        <v>0</v>
      </c>
      <c r="AE142" s="342">
        <f>AE20</f>
        <v>0</v>
      </c>
      <c r="AF142" s="342">
        <f>AF20</f>
        <v>0</v>
      </c>
      <c r="AG142" s="395">
        <f>AG20</f>
        <v>0</v>
      </c>
      <c r="AH142" s="77">
        <f>SUM(AD142:AG142)</f>
        <v>0</v>
      </c>
      <c r="AI142" s="394">
        <f>AI20</f>
        <v>0</v>
      </c>
      <c r="AJ142" s="342">
        <f>AJ20</f>
        <v>0</v>
      </c>
      <c r="AK142" s="342">
        <f>AK20</f>
        <v>0</v>
      </c>
      <c r="AL142" s="395">
        <f>AL20</f>
        <v>0</v>
      </c>
      <c r="AM142" s="77">
        <f>SUM(AI142:AL142)</f>
        <v>0</v>
      </c>
      <c r="AN142" s="394">
        <f>AN20</f>
        <v>0</v>
      </c>
      <c r="AO142" s="342">
        <f>AO20</f>
        <v>0</v>
      </c>
      <c r="AP142" s="342">
        <f>AP20</f>
        <v>0</v>
      </c>
      <c r="AQ142" s="395">
        <f>AQ20</f>
        <v>0</v>
      </c>
      <c r="AR142" s="77">
        <f>SUM(AN142:AQ142)</f>
        <v>0</v>
      </c>
      <c r="AS142" s="394">
        <f>AS20</f>
        <v>0</v>
      </c>
      <c r="AT142" s="342">
        <f>AT20</f>
        <v>0</v>
      </c>
      <c r="AU142" s="342">
        <f>AU20</f>
        <v>0</v>
      </c>
      <c r="AV142" s="395">
        <f>AV20</f>
        <v>0</v>
      </c>
      <c r="AW142" s="77">
        <f>SUM(AS142:AV142)</f>
        <v>0</v>
      </c>
      <c r="AX142" s="394">
        <f>AS142*(1+AX143)</f>
        <v>0</v>
      </c>
      <c r="AY142" s="342">
        <f>AT142*(1+AY143)</f>
        <v>0</v>
      </c>
      <c r="AZ142" s="342">
        <f>AU142*(1+AZ143)</f>
        <v>0</v>
      </c>
      <c r="BA142" s="395">
        <f>AV142*(1+BA143)</f>
        <v>0</v>
      </c>
      <c r="BB142" s="77">
        <f>SUM(AX142:BA142)</f>
        <v>0</v>
      </c>
      <c r="BC142" s="394">
        <f>AX142*(1+BC143)</f>
        <v>0</v>
      </c>
      <c r="BD142" s="342">
        <f>AY142*(1+BD143)</f>
        <v>0</v>
      </c>
      <c r="BE142" s="342">
        <f>AY142*(1+BE143)</f>
        <v>0</v>
      </c>
      <c r="BF142" s="395">
        <f>BA142*(1+BF143)</f>
        <v>0</v>
      </c>
      <c r="BG142" s="77">
        <f>SUM(BC142:BF142)</f>
        <v>0</v>
      </c>
      <c r="BH142" s="394">
        <f>BC142*(1+BH143)</f>
        <v>0</v>
      </c>
      <c r="BI142" s="342">
        <f>BD142*(1+BI143)</f>
        <v>0</v>
      </c>
      <c r="BJ142" s="342">
        <f>BE142*(1+BJ143)</f>
        <v>0</v>
      </c>
      <c r="BK142" s="395">
        <f>BF142*(1+BK143)</f>
        <v>0</v>
      </c>
      <c r="BL142" s="77">
        <f>SUM(BH142:BK142)</f>
        <v>0</v>
      </c>
      <c r="BM142" s="394">
        <f>BH142*(1+BM143)</f>
        <v>0</v>
      </c>
      <c r="BN142" s="342">
        <f>BI142*(1+BN143)</f>
        <v>0</v>
      </c>
      <c r="BO142" s="342">
        <f>BJ142*(1+BO143)</f>
        <v>0</v>
      </c>
      <c r="BP142" s="395">
        <f>BK142*(1+BP143)</f>
        <v>0</v>
      </c>
      <c r="BQ142" s="77">
        <f>SUM(BM142:BP142)</f>
        <v>0</v>
      </c>
      <c r="BR142" s="77"/>
      <c r="BS142" s="77"/>
      <c r="BT142" s="77"/>
      <c r="BU142" s="77"/>
      <c r="BV142" s="77"/>
      <c r="BW142" s="77"/>
      <c r="BX142" s="77"/>
      <c r="BY142" s="77"/>
      <c r="BZ142" s="77"/>
      <c r="CA142" s="77"/>
      <c r="CB142" s="77"/>
      <c r="CC142" s="77"/>
      <c r="CD142" s="77"/>
      <c r="CE142" s="77"/>
      <c r="CF142" s="77"/>
      <c r="CG142" s="77"/>
      <c r="CH142" s="77"/>
      <c r="CI142" s="77"/>
      <c r="CJ142" s="77"/>
      <c r="CK142" s="77"/>
      <c r="CL142" s="77"/>
      <c r="CM142" s="77"/>
      <c r="CN142" s="77"/>
      <c r="CO142" s="77"/>
      <c r="CP142" s="77"/>
      <c r="CQ142" s="77"/>
      <c r="CR142" s="77"/>
      <c r="CS142" s="77"/>
      <c r="CT142" s="77"/>
      <c r="CU142" s="77"/>
      <c r="CV142" s="77"/>
      <c r="CW142" s="77"/>
      <c r="CX142" s="77"/>
      <c r="CY142" s="77"/>
      <c r="CZ142" s="77"/>
      <c r="DA142" s="77"/>
    </row>
    <row r="143" spans="1:105">
      <c r="A143" s="290"/>
      <c r="B143" s="290"/>
      <c r="C143" s="539" t="s">
        <v>654</v>
      </c>
      <c r="D143" s="290"/>
      <c r="E143" s="838"/>
      <c r="F143" s="537"/>
      <c r="G143" s="537"/>
      <c r="H143" s="839"/>
      <c r="I143" s="289"/>
      <c r="J143" s="369">
        <f t="shared" ref="J143:U143" si="183">J142/E142-1</f>
        <v>-4.5454545454545414E-2</v>
      </c>
      <c r="K143" s="330">
        <f t="shared" si="183"/>
        <v>7.6923076923076872E-2</v>
      </c>
      <c r="L143" s="330">
        <f t="shared" si="183"/>
        <v>3.3333333333333437E-2</v>
      </c>
      <c r="M143" s="370">
        <f t="shared" si="183"/>
        <v>6.0606060606060552E-2</v>
      </c>
      <c r="N143" s="289">
        <f t="shared" si="183"/>
        <v>2.2556390977443552E-2</v>
      </c>
      <c r="O143" s="369">
        <f t="shared" si="183"/>
        <v>2.3809523809523725E-2</v>
      </c>
      <c r="P143" s="330">
        <f t="shared" si="183"/>
        <v>0</v>
      </c>
      <c r="Q143" s="330">
        <f t="shared" si="183"/>
        <v>0</v>
      </c>
      <c r="R143" s="370">
        <f t="shared" si="183"/>
        <v>-0.11428571428571432</v>
      </c>
      <c r="S143" s="289">
        <f t="shared" si="183"/>
        <v>-2.2058823529411797E-2</v>
      </c>
      <c r="T143" s="369">
        <f t="shared" si="183"/>
        <v>-0.32558139534883723</v>
      </c>
      <c r="U143" s="330">
        <f t="shared" si="183"/>
        <v>-0.2857142857142857</v>
      </c>
      <c r="V143" s="330">
        <f>V142/Q142-1</f>
        <v>-0.22580645161290325</v>
      </c>
      <c r="W143" s="370">
        <f>W142/R142-1</f>
        <v>-0.19354838709677424</v>
      </c>
      <c r="X143" s="289">
        <f t="shared" ref="X143:AC143" si="184">X142/S142-1</f>
        <v>-0.26315789473684215</v>
      </c>
      <c r="Y143" s="369">
        <f t="shared" si="184"/>
        <v>-0.27586206896551724</v>
      </c>
      <c r="Z143" s="330">
        <f t="shared" si="184"/>
        <v>-0.30000000000000004</v>
      </c>
      <c r="AA143" s="330">
        <f t="shared" si="184"/>
        <v>-0.375</v>
      </c>
      <c r="AB143" s="370">
        <f t="shared" si="184"/>
        <v>-0.28000000000000003</v>
      </c>
      <c r="AC143" s="289">
        <f t="shared" si="184"/>
        <v>-0.30612244897959184</v>
      </c>
      <c r="AD143" s="369">
        <f>AD142/Y142-1</f>
        <v>-1</v>
      </c>
      <c r="AE143" s="330">
        <f>AE142/Z142-1</f>
        <v>-1</v>
      </c>
      <c r="AF143" s="330">
        <f>AF142/AA142-1</f>
        <v>-1</v>
      </c>
      <c r="AG143" s="370">
        <f>AG142/AB142-1</f>
        <v>-1</v>
      </c>
      <c r="AH143" s="289">
        <f>AH142/AC142-1</f>
        <v>-1</v>
      </c>
      <c r="AI143" s="1501" t="str">
        <f t="shared" ref="AI143:AP143" si="185">IF(ISERROR(AI142/AD142-1),"NM",AI142/AD142-1)</f>
        <v>NM</v>
      </c>
      <c r="AJ143" s="1577" t="str">
        <f t="shared" si="185"/>
        <v>NM</v>
      </c>
      <c r="AK143" s="1577" t="str">
        <f t="shared" si="185"/>
        <v>NM</v>
      </c>
      <c r="AL143" s="1607" t="str">
        <f t="shared" si="185"/>
        <v>NM</v>
      </c>
      <c r="AM143" s="1608" t="str">
        <f t="shared" si="185"/>
        <v>NM</v>
      </c>
      <c r="AN143" s="1501" t="str">
        <f t="shared" si="185"/>
        <v>NM</v>
      </c>
      <c r="AO143" s="1577" t="str">
        <f t="shared" si="185"/>
        <v>NM</v>
      </c>
      <c r="AP143" s="1577" t="str">
        <f t="shared" si="185"/>
        <v>NM</v>
      </c>
      <c r="AQ143" s="1607" t="str">
        <f t="shared" ref="AQ143:AW143" si="186">IF(ISERROR(AQ142/AL142-1),"NM",AQ142/AL142-1)</f>
        <v>NM</v>
      </c>
      <c r="AR143" s="1608" t="str">
        <f t="shared" si="186"/>
        <v>NM</v>
      </c>
      <c r="AS143" s="1501" t="str">
        <f t="shared" si="186"/>
        <v>NM</v>
      </c>
      <c r="AT143" s="1577" t="str">
        <f t="shared" si="186"/>
        <v>NM</v>
      </c>
      <c r="AU143" s="1577" t="str">
        <f t="shared" si="186"/>
        <v>NM</v>
      </c>
      <c r="AV143" s="1607" t="str">
        <f t="shared" si="186"/>
        <v>NM</v>
      </c>
      <c r="AW143" s="1608" t="str">
        <f t="shared" si="186"/>
        <v>NM</v>
      </c>
      <c r="AX143" s="1501">
        <f>AX63</f>
        <v>0</v>
      </c>
      <c r="AY143" s="1577">
        <f>AY63</f>
        <v>0</v>
      </c>
      <c r="AZ143" s="1577">
        <f>AZ63</f>
        <v>0</v>
      </c>
      <c r="BA143" s="1607">
        <f>BA63</f>
        <v>0</v>
      </c>
      <c r="BB143" s="1608" t="str">
        <f>IF(ISERROR(BB142/AW142-1),"NM",BB142/AW142-1)</f>
        <v>NM</v>
      </c>
      <c r="BC143" s="1501">
        <f>BC63</f>
        <v>0</v>
      </c>
      <c r="BD143" s="1577">
        <f>BD63</f>
        <v>0</v>
      </c>
      <c r="BE143" s="1577">
        <f>BE63</f>
        <v>0</v>
      </c>
      <c r="BF143" s="1607">
        <f>BF63</f>
        <v>0</v>
      </c>
      <c r="BG143" s="1608" t="str">
        <f>IF(ISERROR(BG142/BB142-1),"NM",BG142/BB142-1)</f>
        <v>NM</v>
      </c>
      <c r="BH143" s="1501">
        <f>BH63</f>
        <v>0</v>
      </c>
      <c r="BI143" s="1577">
        <f>BI63</f>
        <v>0</v>
      </c>
      <c r="BJ143" s="1577">
        <f>BJ63</f>
        <v>0</v>
      </c>
      <c r="BK143" s="1607">
        <f>BK63</f>
        <v>0</v>
      </c>
      <c r="BL143" s="1608" t="str">
        <f>IF(ISERROR(BL142/BG142-1),"NM",BL142/BG142-1)</f>
        <v>NM</v>
      </c>
      <c r="BM143" s="1501">
        <f>BM63</f>
        <v>0</v>
      </c>
      <c r="BN143" s="1577">
        <f>BN63</f>
        <v>0</v>
      </c>
      <c r="BO143" s="1577">
        <f>BO63</f>
        <v>0</v>
      </c>
      <c r="BP143" s="1607">
        <f>BP63</f>
        <v>0</v>
      </c>
      <c r="BQ143" s="1608" t="str">
        <f>IF(ISERROR(BQ142/BL142-1),"NM",BQ142/BL142-1)</f>
        <v>NM</v>
      </c>
      <c r="BR143" s="1608"/>
      <c r="BS143" s="290"/>
      <c r="BT143" s="290"/>
      <c r="BU143" s="290"/>
      <c r="BV143" s="290"/>
      <c r="BW143" s="290"/>
      <c r="BX143" s="290"/>
      <c r="BY143" s="290"/>
      <c r="BZ143" s="290"/>
      <c r="CA143" s="290"/>
      <c r="CB143" s="290"/>
      <c r="CC143" s="290"/>
      <c r="CD143" s="290"/>
      <c r="CE143" s="290"/>
      <c r="CF143" s="290"/>
      <c r="CG143" s="290"/>
      <c r="CH143" s="290"/>
      <c r="CI143" s="290"/>
      <c r="CJ143" s="290"/>
      <c r="CK143" s="290"/>
      <c r="CL143" s="290"/>
      <c r="CM143" s="290"/>
      <c r="CN143" s="290"/>
      <c r="CO143" s="290"/>
      <c r="CP143" s="290"/>
      <c r="CQ143" s="290"/>
      <c r="CR143" s="290"/>
      <c r="CS143" s="290"/>
      <c r="CT143" s="290"/>
      <c r="CU143" s="290"/>
      <c r="CV143" s="290"/>
      <c r="CW143" s="290"/>
      <c r="CX143" s="290"/>
      <c r="CY143" s="290"/>
      <c r="CZ143" s="290"/>
      <c r="DA143" s="290"/>
    </row>
    <row r="144" spans="1:105">
      <c r="A144" s="37"/>
      <c r="B144" s="37"/>
      <c r="C144" s="37"/>
      <c r="D144" s="37"/>
      <c r="E144" s="571"/>
      <c r="F144" s="318"/>
      <c r="G144" s="318"/>
      <c r="H144" s="572"/>
      <c r="I144" s="30"/>
      <c r="J144" s="571"/>
      <c r="K144" s="318"/>
      <c r="L144" s="318"/>
      <c r="M144" s="572"/>
      <c r="N144" s="30"/>
      <c r="O144" s="571"/>
      <c r="P144" s="318"/>
      <c r="Q144" s="318"/>
      <c r="R144" s="572"/>
      <c r="S144" s="30"/>
      <c r="T144" s="571"/>
      <c r="U144" s="318"/>
      <c r="V144" s="318"/>
      <c r="W144" s="572"/>
      <c r="X144" s="30"/>
      <c r="Y144" s="571"/>
      <c r="Z144" s="318"/>
      <c r="AA144" s="318"/>
      <c r="AB144" s="572"/>
      <c r="AC144" s="30"/>
      <c r="AD144" s="571"/>
      <c r="AE144" s="318"/>
      <c r="AF144" s="318"/>
      <c r="AG144" s="572"/>
      <c r="AH144" s="30"/>
      <c r="AI144" s="571"/>
      <c r="AJ144" s="318"/>
      <c r="AK144" s="318"/>
      <c r="AL144" s="572"/>
      <c r="AM144" s="30"/>
      <c r="AN144" s="571"/>
      <c r="AO144" s="318"/>
      <c r="AP144" s="318"/>
      <c r="AQ144" s="572"/>
      <c r="AR144" s="30"/>
      <c r="AS144" s="571"/>
      <c r="AT144" s="318"/>
      <c r="AU144" s="318"/>
      <c r="AV144" s="572"/>
      <c r="AW144" s="30"/>
      <c r="AX144" s="571"/>
      <c r="AY144" s="318"/>
      <c r="AZ144" s="318"/>
      <c r="BA144" s="572"/>
      <c r="BB144" s="30"/>
      <c r="BC144" s="571"/>
      <c r="BD144" s="318"/>
      <c r="BE144" s="318"/>
      <c r="BF144" s="572"/>
      <c r="BG144" s="30"/>
      <c r="BH144" s="571"/>
      <c r="BI144" s="318"/>
      <c r="BJ144" s="318"/>
      <c r="BK144" s="572"/>
      <c r="BL144" s="30"/>
      <c r="BM144" s="571"/>
      <c r="BN144" s="318"/>
      <c r="BO144" s="318"/>
      <c r="BP144" s="572"/>
      <c r="BQ144" s="30"/>
      <c r="BR144" s="30"/>
      <c r="BS144" s="37"/>
      <c r="BT144" s="37"/>
      <c r="BU144" s="37"/>
      <c r="BV144" s="37"/>
      <c r="BW144" s="37"/>
      <c r="BX144" s="37"/>
      <c r="BY144" s="37"/>
      <c r="BZ144" s="37"/>
      <c r="CA144" s="37"/>
      <c r="CB144" s="37"/>
      <c r="CC144" s="37"/>
      <c r="CD144" s="37"/>
      <c r="CE144" s="37"/>
      <c r="CF144" s="37"/>
      <c r="CG144" s="37"/>
      <c r="CH144" s="37"/>
      <c r="CI144" s="37"/>
      <c r="CJ144" s="37"/>
      <c r="CK144" s="37"/>
      <c r="CL144" s="37"/>
      <c r="CM144" s="37"/>
      <c r="CN144" s="37"/>
      <c r="CO144" s="37"/>
      <c r="CP144" s="37"/>
      <c r="CQ144" s="37"/>
      <c r="CR144" s="37"/>
      <c r="CS144" s="37"/>
      <c r="CT144" s="37"/>
      <c r="CU144" s="37"/>
      <c r="CV144" s="37"/>
      <c r="CW144" s="37"/>
      <c r="CX144" s="37"/>
      <c r="CY144" s="37"/>
      <c r="CZ144" s="37"/>
      <c r="DA144" s="37"/>
    </row>
    <row r="145" spans="1:105">
      <c r="A145" s="37"/>
      <c r="B145" s="37"/>
      <c r="C145" s="37"/>
      <c r="D145" s="37"/>
      <c r="E145" s="571"/>
      <c r="F145" s="318"/>
      <c r="G145" s="318"/>
      <c r="H145" s="572"/>
      <c r="I145" s="30"/>
      <c r="J145" s="571"/>
      <c r="K145" s="318"/>
      <c r="L145" s="318"/>
      <c r="M145" s="572"/>
      <c r="N145" s="30"/>
      <c r="O145" s="571"/>
      <c r="P145" s="318"/>
      <c r="Q145" s="318"/>
      <c r="R145" s="572"/>
      <c r="S145" s="30"/>
      <c r="T145" s="571"/>
      <c r="U145" s="318"/>
      <c r="V145" s="318"/>
      <c r="W145" s="572"/>
      <c r="X145" s="30"/>
      <c r="Y145" s="571"/>
      <c r="Z145" s="318"/>
      <c r="AA145" s="318"/>
      <c r="AB145" s="572"/>
      <c r="AC145" s="30"/>
      <c r="AD145" s="571"/>
      <c r="AE145" s="318"/>
      <c r="AF145" s="318"/>
      <c r="AG145" s="572"/>
      <c r="AH145" s="30"/>
      <c r="AI145" s="571"/>
      <c r="AJ145" s="318"/>
      <c r="AK145" s="318"/>
      <c r="AL145" s="572"/>
      <c r="AM145" s="30"/>
      <c r="AN145" s="571"/>
      <c r="AO145" s="318"/>
      <c r="AP145" s="318"/>
      <c r="AQ145" s="572"/>
      <c r="AR145" s="30"/>
      <c r="AS145" s="571"/>
      <c r="AT145" s="318"/>
      <c r="AU145" s="318"/>
      <c r="AV145" s="572"/>
      <c r="AW145" s="30"/>
      <c r="AX145" s="571"/>
      <c r="AY145" s="318"/>
      <c r="AZ145" s="318"/>
      <c r="BA145" s="572"/>
      <c r="BB145" s="30"/>
      <c r="BC145" s="571"/>
      <c r="BD145" s="318"/>
      <c r="BE145" s="318"/>
      <c r="BF145" s="572"/>
      <c r="BG145" s="30"/>
      <c r="BH145" s="571"/>
      <c r="BI145" s="318"/>
      <c r="BJ145" s="318"/>
      <c r="BK145" s="572"/>
      <c r="BL145" s="30"/>
      <c r="BM145" s="571"/>
      <c r="BN145" s="318"/>
      <c r="BO145" s="318"/>
      <c r="BP145" s="572"/>
      <c r="BQ145" s="30"/>
      <c r="BR145" s="30"/>
      <c r="BS145" s="37"/>
      <c r="BT145" s="37"/>
      <c r="BU145" s="37"/>
      <c r="BV145" s="37"/>
      <c r="BW145" s="37"/>
      <c r="BX145" s="37"/>
      <c r="BY145" s="37"/>
      <c r="BZ145" s="37"/>
      <c r="CA145" s="37"/>
      <c r="CB145" s="37"/>
      <c r="CC145" s="37"/>
      <c r="CD145" s="37"/>
      <c r="CE145" s="37"/>
      <c r="CF145" s="37"/>
      <c r="CG145" s="37"/>
      <c r="CH145" s="37"/>
      <c r="CI145" s="37"/>
      <c r="CJ145" s="37"/>
      <c r="CK145" s="37"/>
      <c r="CL145" s="37"/>
      <c r="CM145" s="37"/>
      <c r="CN145" s="37"/>
      <c r="CO145" s="37"/>
      <c r="CP145" s="37"/>
      <c r="CQ145" s="37"/>
      <c r="CR145" s="37"/>
      <c r="CS145" s="37"/>
      <c r="CT145" s="37"/>
      <c r="CU145" s="37"/>
      <c r="CV145" s="37"/>
      <c r="CW145" s="37"/>
      <c r="CX145" s="37"/>
      <c r="CY145" s="37"/>
      <c r="CZ145" s="37"/>
      <c r="DA145" s="37"/>
    </row>
    <row r="146" spans="1:105">
      <c r="A146" s="37"/>
      <c r="B146" s="105" t="s">
        <v>341</v>
      </c>
      <c r="C146" s="322"/>
      <c r="D146" s="19"/>
      <c r="E146" s="571"/>
      <c r="F146" s="318"/>
      <c r="G146" s="318"/>
      <c r="H146" s="572"/>
      <c r="I146" s="30"/>
      <c r="J146" s="571"/>
      <c r="K146" s="318"/>
      <c r="L146" s="318"/>
      <c r="M146" s="572"/>
      <c r="N146" s="30"/>
      <c r="O146" s="571"/>
      <c r="P146" s="318"/>
      <c r="Q146" s="318"/>
      <c r="R146" s="572"/>
      <c r="S146" s="77"/>
      <c r="T146" s="571"/>
      <c r="U146" s="318"/>
      <c r="V146" s="318"/>
      <c r="W146" s="572"/>
      <c r="X146" s="30"/>
      <c r="Y146" s="571"/>
      <c r="Z146" s="318"/>
      <c r="AA146" s="318"/>
      <c r="AB146" s="572"/>
      <c r="AC146" s="30"/>
      <c r="AD146" s="571"/>
      <c r="AE146" s="318"/>
      <c r="AF146" s="318"/>
      <c r="AG146" s="572"/>
      <c r="AH146" s="30"/>
      <c r="AI146" s="571"/>
      <c r="AJ146" s="318"/>
      <c r="AK146" s="318"/>
      <c r="AL146" s="572"/>
      <c r="AM146" s="30"/>
      <c r="AN146" s="571"/>
      <c r="AO146" s="318"/>
      <c r="AP146" s="318"/>
      <c r="AQ146" s="572"/>
      <c r="AR146" s="30"/>
      <c r="AS146" s="571"/>
      <c r="AT146" s="318"/>
      <c r="AU146" s="318"/>
      <c r="AV146" s="572"/>
      <c r="AW146" s="30"/>
      <c r="AX146" s="571"/>
      <c r="AY146" s="318"/>
      <c r="AZ146" s="318"/>
      <c r="BA146" s="572"/>
      <c r="BB146" s="30"/>
      <c r="BC146" s="571"/>
      <c r="BD146" s="318"/>
      <c r="BE146" s="318"/>
      <c r="BF146" s="572"/>
      <c r="BG146" s="30"/>
      <c r="BH146" s="571"/>
      <c r="BI146" s="318"/>
      <c r="BJ146" s="318"/>
      <c r="BK146" s="572"/>
      <c r="BL146" s="30"/>
      <c r="BM146" s="571"/>
      <c r="BN146" s="318"/>
      <c r="BO146" s="318"/>
      <c r="BP146" s="572"/>
      <c r="BQ146" s="30"/>
      <c r="BR146" s="30"/>
      <c r="BS146" s="37"/>
      <c r="BT146" s="37"/>
      <c r="BU146" s="37"/>
      <c r="BV146" s="37"/>
      <c r="BW146" s="37"/>
      <c r="BX146" s="37"/>
      <c r="BY146" s="37"/>
      <c r="BZ146" s="37"/>
      <c r="CA146" s="37"/>
      <c r="CB146" s="37"/>
      <c r="CC146" s="37"/>
      <c r="CD146" s="37"/>
      <c r="CE146" s="37"/>
      <c r="CF146" s="37"/>
      <c r="CG146" s="37"/>
      <c r="CH146" s="37"/>
      <c r="CI146" s="37"/>
      <c r="CJ146" s="37"/>
      <c r="CK146" s="37"/>
      <c r="CL146" s="37"/>
      <c r="CM146" s="37"/>
      <c r="CN146" s="37"/>
      <c r="CO146" s="37"/>
      <c r="CP146" s="37"/>
      <c r="CQ146" s="37"/>
      <c r="CR146" s="37"/>
      <c r="CS146" s="37"/>
      <c r="CT146" s="37"/>
      <c r="CU146" s="37"/>
      <c r="CV146" s="37"/>
      <c r="CW146" s="37"/>
      <c r="CX146" s="37"/>
      <c r="CY146" s="37"/>
      <c r="CZ146" s="37"/>
      <c r="DA146" s="37"/>
    </row>
    <row r="147" spans="1:105">
      <c r="A147" s="37"/>
      <c r="B147" s="37"/>
      <c r="C147" s="37"/>
      <c r="D147" s="37"/>
      <c r="E147" s="571"/>
      <c r="F147" s="318"/>
      <c r="G147" s="318"/>
      <c r="H147" s="572"/>
      <c r="I147" s="30"/>
      <c r="J147" s="571"/>
      <c r="K147" s="318"/>
      <c r="L147" s="318"/>
      <c r="M147" s="572"/>
      <c r="N147" s="30"/>
      <c r="O147" s="571"/>
      <c r="P147" s="318"/>
      <c r="Q147" s="318"/>
      <c r="R147" s="572"/>
      <c r="S147" s="30"/>
      <c r="T147" s="571"/>
      <c r="U147" s="318"/>
      <c r="V147" s="318"/>
      <c r="W147" s="572"/>
      <c r="X147" s="30"/>
      <c r="Y147" s="571"/>
      <c r="Z147" s="318"/>
      <c r="AA147" s="318"/>
      <c r="AB147" s="572"/>
      <c r="AC147" s="30"/>
      <c r="AD147" s="571"/>
      <c r="AE147" s="318"/>
      <c r="AF147" s="318"/>
      <c r="AG147" s="572"/>
      <c r="AH147" s="30"/>
      <c r="AI147" s="571"/>
      <c r="AJ147" s="318"/>
      <c r="AK147" s="318"/>
      <c r="AL147" s="572"/>
      <c r="AM147" s="30"/>
      <c r="AN147" s="571"/>
      <c r="AO147" s="318"/>
      <c r="AP147" s="318"/>
      <c r="AQ147" s="572"/>
      <c r="AR147" s="30"/>
      <c r="AS147" s="571"/>
      <c r="AT147" s="318"/>
      <c r="AU147" s="318"/>
      <c r="AV147" s="572"/>
      <c r="AW147" s="30"/>
      <c r="AX147" s="571"/>
      <c r="AY147" s="318"/>
      <c r="AZ147" s="318"/>
      <c r="BA147" s="572"/>
      <c r="BB147" s="30"/>
      <c r="BC147" s="571"/>
      <c r="BD147" s="318"/>
      <c r="BE147" s="318"/>
      <c r="BF147" s="572"/>
      <c r="BG147" s="30"/>
      <c r="BH147" s="571"/>
      <c r="BI147" s="318"/>
      <c r="BJ147" s="318"/>
      <c r="BK147" s="572"/>
      <c r="BL147" s="30"/>
      <c r="BM147" s="571"/>
      <c r="BN147" s="318"/>
      <c r="BO147" s="318"/>
      <c r="BP147" s="572"/>
      <c r="BQ147" s="30"/>
      <c r="BR147" s="30"/>
      <c r="BS147" s="37"/>
      <c r="BT147" s="37"/>
      <c r="BU147" s="37"/>
      <c r="BV147" s="37"/>
      <c r="BW147" s="37"/>
      <c r="BX147" s="37"/>
      <c r="BY147" s="37"/>
      <c r="BZ147" s="37"/>
      <c r="CA147" s="37"/>
      <c r="CB147" s="37"/>
      <c r="CC147" s="37"/>
      <c r="CD147" s="37"/>
      <c r="CE147" s="37"/>
      <c r="CF147" s="37"/>
      <c r="CG147" s="37"/>
      <c r="CH147" s="37"/>
      <c r="CI147" s="37"/>
      <c r="CJ147" s="37"/>
      <c r="CK147" s="37"/>
      <c r="CL147" s="37"/>
      <c r="CM147" s="37"/>
      <c r="CN147" s="37"/>
      <c r="CO147" s="37"/>
      <c r="CP147" s="37"/>
      <c r="CQ147" s="37"/>
      <c r="CR147" s="37"/>
      <c r="CS147" s="37"/>
      <c r="CT147" s="37"/>
      <c r="CU147" s="37"/>
      <c r="CV147" s="37"/>
      <c r="CW147" s="37"/>
      <c r="CX147" s="37"/>
      <c r="CY147" s="37"/>
      <c r="CZ147" s="37"/>
      <c r="DA147" s="37"/>
    </row>
    <row r="148" spans="1:105">
      <c r="A148" s="77"/>
      <c r="B148" s="77"/>
      <c r="C148" s="538" t="s">
        <v>159</v>
      </c>
      <c r="D148" s="77"/>
      <c r="E148" s="456">
        <v>12453</v>
      </c>
      <c r="F148" s="457">
        <v>12623</v>
      </c>
      <c r="G148" s="457">
        <v>12824</v>
      </c>
      <c r="H148" s="395">
        <f>I148</f>
        <v>12933</v>
      </c>
      <c r="I148" s="462">
        <f>12825+108</f>
        <v>12933</v>
      </c>
      <c r="J148" s="456">
        <f>13145-J152</f>
        <v>12977.64</v>
      </c>
      <c r="K148" s="457">
        <f>13436-K152</f>
        <v>13260.996999999999</v>
      </c>
      <c r="L148" s="457">
        <f>13749-L152</f>
        <v>13477.231</v>
      </c>
      <c r="M148" s="395">
        <f>N148</f>
        <v>13827.834000000001</v>
      </c>
      <c r="N148" s="462">
        <f>13857+211-N152</f>
        <v>13827.834000000001</v>
      </c>
      <c r="O148" s="456">
        <f>14363-O152</f>
        <v>14035.744000000001</v>
      </c>
      <c r="P148" s="457">
        <f>14612-P152</f>
        <v>14294.731</v>
      </c>
      <c r="Q148" s="457">
        <f>14917-Q152</f>
        <v>14436.52</v>
      </c>
      <c r="R148" s="395">
        <f>S148</f>
        <v>14741.063</v>
      </c>
      <c r="S148" s="462">
        <f>15306-S152</f>
        <v>14741.063</v>
      </c>
      <c r="T148" s="456">
        <f>15637-T152</f>
        <v>14949.54725</v>
      </c>
      <c r="U148" s="457">
        <f>16050-U152</f>
        <v>15240.031499999999</v>
      </c>
      <c r="V148" s="457">
        <f>16509-V152</f>
        <v>15576.51575</v>
      </c>
      <c r="W148" s="395">
        <f>V148+W168-(W152-V152)</f>
        <v>15855</v>
      </c>
      <c r="X148" s="462">
        <f>17006-X152</f>
        <v>15951</v>
      </c>
      <c r="Y148" s="459">
        <f>17494-Y152</f>
        <v>16301.5</v>
      </c>
      <c r="Z148" s="460">
        <f>18015-Z152</f>
        <v>16685</v>
      </c>
      <c r="AA148" s="460">
        <f>18503-AA152</f>
        <v>17035.5</v>
      </c>
      <c r="AB148" s="395">
        <f>AC148</f>
        <v>17466</v>
      </c>
      <c r="AC148" s="462">
        <f>19071-AC152</f>
        <v>17466</v>
      </c>
      <c r="AD148" s="459">
        <f>19424-AD152</f>
        <v>17894.25</v>
      </c>
      <c r="AE148" s="460">
        <f>19889-AE152</f>
        <v>18434.5</v>
      </c>
      <c r="AF148" s="460">
        <f>20347-AF152</f>
        <v>18967.75</v>
      </c>
      <c r="AG148" s="395">
        <f>AH148</f>
        <v>19799</v>
      </c>
      <c r="AH148" s="462">
        <f>21103-AH152</f>
        <v>19799</v>
      </c>
      <c r="AI148" s="459">
        <f>21610-AI152</f>
        <v>20267.25</v>
      </c>
      <c r="AJ148" s="460">
        <f>22274-AJ152</f>
        <v>20892.5</v>
      </c>
      <c r="AK148" s="460">
        <f>22940-AK152</f>
        <v>21519.75</v>
      </c>
      <c r="AL148" s="395">
        <f>AM148</f>
        <v>22273</v>
      </c>
      <c r="AM148" s="462">
        <f>23732-AM152</f>
        <v>22273</v>
      </c>
      <c r="AN148" s="459">
        <f>24347-AN152</f>
        <v>22846</v>
      </c>
      <c r="AO148" s="460">
        <f>24976-AO152</f>
        <v>23475</v>
      </c>
      <c r="AP148" s="460">
        <f>25617-AP152</f>
        <v>24116</v>
      </c>
      <c r="AQ148" s="395">
        <f>AR148</f>
        <v>24846</v>
      </c>
      <c r="AR148" s="462">
        <f>26347-AR152</f>
        <v>24846</v>
      </c>
      <c r="AS148" s="459">
        <f>26931-AS152</f>
        <v>25196</v>
      </c>
      <c r="AT148" s="460">
        <f>27562-AT152</f>
        <v>25827</v>
      </c>
      <c r="AU148" s="460">
        <f>28301-AU152</f>
        <v>26566</v>
      </c>
      <c r="AV148" s="395">
        <f>AW148</f>
        <v>27382</v>
      </c>
      <c r="AW148" s="462">
        <f>29117-AW152</f>
        <v>27382</v>
      </c>
      <c r="AX148" s="394">
        <f>AW148+AX168-(AX152-AW152)</f>
        <v>28128.624700239809</v>
      </c>
      <c r="AY148" s="342">
        <f>AX148+AY168-(AY152-AX152)</f>
        <v>28846.124700239809</v>
      </c>
      <c r="AZ148" s="342">
        <f>AY148+AZ168-(AZ152-AY152)</f>
        <v>30846.746060294623</v>
      </c>
      <c r="BA148" s="395">
        <f>AY148+BA168-(BA152-AY152)</f>
        <v>29563.624700239809</v>
      </c>
      <c r="BB148" s="77">
        <f>BA148</f>
        <v>29563.624700239809</v>
      </c>
      <c r="BC148" s="394">
        <f>BB148+BC168-(BC152-BB152)</f>
        <v>30289.734241178485</v>
      </c>
      <c r="BD148" s="342">
        <f>BC148+BD168-(BD152-BC152)</f>
        <v>31000.984241178485</v>
      </c>
      <c r="BE148" s="342">
        <f>BD148+BE168-(BE152-BD152)</f>
        <v>31712.234241178485</v>
      </c>
      <c r="BF148" s="395">
        <f>BE148+BF168-(BF152-BE152)</f>
        <v>32423.484241178485</v>
      </c>
      <c r="BG148" s="77">
        <f>BF148</f>
        <v>32423.484241178485</v>
      </c>
      <c r="BH148" s="394">
        <f>BG148+BH168-(BH152-BG152)</f>
        <v>33148.50950668037</v>
      </c>
      <c r="BI148" s="342">
        <f>BH148+BI168-(BI152-BH152)</f>
        <v>33849.75950668037</v>
      </c>
      <c r="BJ148" s="342">
        <f>BI148+BJ168-(BJ152-BI152)</f>
        <v>34551.00950668037</v>
      </c>
      <c r="BK148" s="395">
        <f>BJ148+BK168-(BK152-BJ152)</f>
        <v>35252.25950668037</v>
      </c>
      <c r="BL148" s="77">
        <f>BK148</f>
        <v>35252.25950668037</v>
      </c>
      <c r="BM148" s="394">
        <f>BL148+BM168-(BM152-BL152)</f>
        <v>36105.037427201096</v>
      </c>
      <c r="BN148" s="342">
        <f>BM148+BN168-(BN152-BM152)</f>
        <v>36696.287427201096</v>
      </c>
      <c r="BO148" s="342">
        <f>BN148+BO168-(BO152-BN152)</f>
        <v>37287.537427201096</v>
      </c>
      <c r="BP148" s="395">
        <f>BO148+BP168-(BP152-BO152)</f>
        <v>37878.787427201096</v>
      </c>
      <c r="BQ148" s="77">
        <f>BP148</f>
        <v>37878.787427201096</v>
      </c>
      <c r="BR148" s="77"/>
      <c r="BS148" s="77"/>
      <c r="BT148" s="77"/>
      <c r="BU148" s="77"/>
      <c r="BV148" s="77"/>
      <c r="BW148" s="77"/>
      <c r="BX148" s="77"/>
      <c r="BY148" s="77"/>
      <c r="BZ148" s="77"/>
      <c r="CA148" s="77"/>
      <c r="CB148" s="77"/>
      <c r="CC148" s="77"/>
      <c r="CD148" s="77"/>
      <c r="CE148" s="77"/>
      <c r="CF148" s="77"/>
      <c r="CG148" s="77"/>
      <c r="CH148" s="77"/>
      <c r="CI148" s="77"/>
      <c r="CJ148" s="77"/>
      <c r="CK148" s="77"/>
      <c r="CL148" s="77"/>
      <c r="CM148" s="77"/>
      <c r="CN148" s="77"/>
      <c r="CO148" s="77"/>
      <c r="CP148" s="77"/>
      <c r="CQ148" s="77"/>
      <c r="CR148" s="77"/>
      <c r="CS148" s="77"/>
      <c r="CT148" s="77"/>
      <c r="CU148" s="77"/>
      <c r="CV148" s="77"/>
      <c r="CW148" s="77"/>
      <c r="CX148" s="77"/>
      <c r="CY148" s="77"/>
      <c r="CZ148" s="77"/>
      <c r="DA148" s="77"/>
    </row>
    <row r="149" spans="1:105">
      <c r="A149" s="77"/>
      <c r="B149" s="77"/>
      <c r="C149" s="538" t="s">
        <v>446</v>
      </c>
      <c r="D149" s="77"/>
      <c r="E149" s="456">
        <v>-4184</v>
      </c>
      <c r="F149" s="457">
        <v>-4232</v>
      </c>
      <c r="G149" s="457">
        <v>-4297</v>
      </c>
      <c r="H149" s="395">
        <f>I149</f>
        <v>-4187</v>
      </c>
      <c r="I149" s="462">
        <v>-4187</v>
      </c>
      <c r="J149" s="456">
        <v>-4242</v>
      </c>
      <c r="K149" s="457">
        <v>-4283</v>
      </c>
      <c r="L149" s="457">
        <v>-4311</v>
      </c>
      <c r="M149" s="395">
        <f>N149</f>
        <v>-4326</v>
      </c>
      <c r="N149" s="462">
        <v>-4326</v>
      </c>
      <c r="O149" s="456">
        <v>-4393</v>
      </c>
      <c r="P149" s="457">
        <v>-4431</v>
      </c>
      <c r="Q149" s="457">
        <v>-4500</v>
      </c>
      <c r="R149" s="395">
        <f>S149</f>
        <v>-4539</v>
      </c>
      <c r="S149" s="462">
        <v>-4539</v>
      </c>
      <c r="T149" s="456">
        <v>-4572</v>
      </c>
      <c r="U149" s="457">
        <v>-4618</v>
      </c>
      <c r="V149" s="457">
        <v>-4674</v>
      </c>
      <c r="W149" s="395">
        <f>V149-W156</f>
        <v>-4759.0126964749998</v>
      </c>
      <c r="X149" s="462">
        <v>-4726</v>
      </c>
      <c r="Y149" s="459">
        <v>-4780</v>
      </c>
      <c r="Z149" s="460">
        <v>-4851</v>
      </c>
      <c r="AA149" s="460">
        <v>-4916</v>
      </c>
      <c r="AB149" s="395">
        <f>AC149</f>
        <v>-4964</v>
      </c>
      <c r="AC149" s="462">
        <v>-4964</v>
      </c>
      <c r="AD149" s="459">
        <v>-4993</v>
      </c>
      <c r="AE149" s="460">
        <v>-5048</v>
      </c>
      <c r="AF149" s="460">
        <v>-5057</v>
      </c>
      <c r="AG149" s="395">
        <f>AH149</f>
        <v>-5183</v>
      </c>
      <c r="AH149" s="462">
        <v>-5183</v>
      </c>
      <c r="AI149" s="459">
        <v>-5263</v>
      </c>
      <c r="AJ149" s="460">
        <v>-5336</v>
      </c>
      <c r="AK149" s="460">
        <v>-5419</v>
      </c>
      <c r="AL149" s="395">
        <f>AM149</f>
        <v>-5504</v>
      </c>
      <c r="AM149" s="462">
        <v>-5504</v>
      </c>
      <c r="AN149" s="459">
        <v>-5584</v>
      </c>
      <c r="AO149" s="460">
        <v>-5627</v>
      </c>
      <c r="AP149" s="460">
        <v>-5701</v>
      </c>
      <c r="AQ149" s="395">
        <f>AR149</f>
        <v>-5760</v>
      </c>
      <c r="AR149" s="462">
        <v>-5760</v>
      </c>
      <c r="AS149" s="459">
        <v>-5849</v>
      </c>
      <c r="AT149" s="460">
        <v>-5930</v>
      </c>
      <c r="AU149" s="460">
        <v>-6019</v>
      </c>
      <c r="AV149" s="395">
        <f>AW149</f>
        <v>-6101</v>
      </c>
      <c r="AW149" s="462">
        <v>-6101</v>
      </c>
      <c r="AX149" s="394">
        <f>AW149-AX156</f>
        <v>-6252.0306007387426</v>
      </c>
      <c r="AY149" s="342">
        <f>AX149-AY156</f>
        <v>-6407.2881144347757</v>
      </c>
      <c r="AZ149" s="342">
        <f>AY149-AZ156</f>
        <v>-6566.5358457177326</v>
      </c>
      <c r="BA149" s="395">
        <f>AY149-BA156</f>
        <v>-6566.5358457177326</v>
      </c>
      <c r="BB149" s="77">
        <f>BA149</f>
        <v>-6566.5358457177326</v>
      </c>
      <c r="BC149" s="394">
        <f>BB149-BC156</f>
        <v>-6728.7854346999775</v>
      </c>
      <c r="BD149" s="342">
        <f>BC149-BD156</f>
        <v>-6895.0131813537091</v>
      </c>
      <c r="BE149" s="342">
        <f>BD149-BE156</f>
        <v>-7065.0861815154394</v>
      </c>
      <c r="BF149" s="395">
        <f>BE149-BF156</f>
        <v>-7238.9773060643847</v>
      </c>
      <c r="BG149" s="77">
        <f>BF149</f>
        <v>-7238.9773060643847</v>
      </c>
      <c r="BH149" s="394">
        <f>BG149-BH156</f>
        <v>-7414.7197897245169</v>
      </c>
      <c r="BI149" s="342">
        <f>BH149-BI156</f>
        <v>-7594.2952775630247</v>
      </c>
      <c r="BJ149" s="342">
        <f>BI149-BJ156</f>
        <v>-7777.5111135991629</v>
      </c>
      <c r="BK149" s="395">
        <f>BJ149-BK156</f>
        <v>-7964.3418947613009</v>
      </c>
      <c r="BL149" s="77">
        <f>BK149</f>
        <v>-7964.3418947613009</v>
      </c>
      <c r="BM149" s="394">
        <f>BL149-BM156</f>
        <v>-8152.9522868466056</v>
      </c>
      <c r="BN149" s="342">
        <f>BM149-BN156</f>
        <v>-8346.1533149683455</v>
      </c>
      <c r="BO149" s="342">
        <f>BN149-BO156</f>
        <v>-8542.1056036927748</v>
      </c>
      <c r="BP149" s="395">
        <f>BO149-BP156</f>
        <v>-8740.7901366790938</v>
      </c>
      <c r="BQ149" s="77">
        <f>BP149</f>
        <v>-8740.7901366790938</v>
      </c>
      <c r="BR149" s="77"/>
      <c r="BS149" s="77"/>
      <c r="BT149" s="77"/>
      <c r="BU149" s="77"/>
      <c r="BV149" s="77"/>
      <c r="BW149" s="77"/>
      <c r="BX149" s="77"/>
      <c r="BY149" s="77"/>
      <c r="BZ149" s="77"/>
      <c r="CA149" s="77"/>
      <c r="CB149" s="77"/>
      <c r="CC149" s="77"/>
      <c r="CD149" s="77"/>
      <c r="CE149" s="77"/>
      <c r="CF149" s="77"/>
      <c r="CG149" s="77"/>
      <c r="CH149" s="77"/>
      <c r="CI149" s="77"/>
      <c r="CJ149" s="77"/>
      <c r="CK149" s="77"/>
      <c r="CL149" s="77"/>
      <c r="CM149" s="77"/>
      <c r="CN149" s="77"/>
      <c r="CO149" s="77"/>
      <c r="CP149" s="77"/>
      <c r="CQ149" s="77"/>
      <c r="CR149" s="77"/>
      <c r="CS149" s="77"/>
      <c r="CT149" s="77"/>
      <c r="CU149" s="77"/>
      <c r="CV149" s="77"/>
      <c r="CW149" s="77"/>
      <c r="CX149" s="77"/>
      <c r="CY149" s="77"/>
      <c r="CZ149" s="77"/>
      <c r="DA149" s="77"/>
    </row>
    <row r="150" spans="1:105">
      <c r="A150" s="77"/>
      <c r="B150" s="77"/>
      <c r="C150" s="835" t="s">
        <v>160</v>
      </c>
      <c r="D150" s="77"/>
      <c r="E150" s="362">
        <f>E148+E149</f>
        <v>8269</v>
      </c>
      <c r="F150" s="317">
        <f t="shared" ref="F150:AP150" si="187">F148+F149</f>
        <v>8391</v>
      </c>
      <c r="G150" s="317">
        <f t="shared" si="187"/>
        <v>8527</v>
      </c>
      <c r="H150" s="397">
        <f t="shared" si="187"/>
        <v>8746</v>
      </c>
      <c r="I150" s="297">
        <f t="shared" si="187"/>
        <v>8746</v>
      </c>
      <c r="J150" s="362">
        <f t="shared" si="187"/>
        <v>8735.64</v>
      </c>
      <c r="K150" s="317">
        <f t="shared" si="187"/>
        <v>8977.9969999999994</v>
      </c>
      <c r="L150" s="317">
        <f t="shared" si="187"/>
        <v>9166.2309999999998</v>
      </c>
      <c r="M150" s="397">
        <f>M148+M149</f>
        <v>9501.8340000000007</v>
      </c>
      <c r="N150" s="297">
        <f>N148+N149</f>
        <v>9501.8340000000007</v>
      </c>
      <c r="O150" s="362">
        <f t="shared" si="187"/>
        <v>9642.7440000000006</v>
      </c>
      <c r="P150" s="317">
        <f t="shared" si="187"/>
        <v>9863.7309999999998</v>
      </c>
      <c r="Q150" s="317">
        <f t="shared" si="187"/>
        <v>9936.52</v>
      </c>
      <c r="R150" s="397">
        <f t="shared" si="187"/>
        <v>10202.063</v>
      </c>
      <c r="S150" s="297">
        <f>S148+S149</f>
        <v>10202.063</v>
      </c>
      <c r="T150" s="362">
        <f>T148+T149</f>
        <v>10377.54725</v>
      </c>
      <c r="U150" s="317">
        <f t="shared" si="187"/>
        <v>10622.031499999999</v>
      </c>
      <c r="V150" s="317">
        <f t="shared" si="187"/>
        <v>10902.51575</v>
      </c>
      <c r="W150" s="397">
        <f t="shared" si="187"/>
        <v>11095.987303525</v>
      </c>
      <c r="X150" s="297">
        <f t="shared" si="187"/>
        <v>11225</v>
      </c>
      <c r="Y150" s="362">
        <f t="shared" si="187"/>
        <v>11521.5</v>
      </c>
      <c r="Z150" s="317">
        <f t="shared" si="187"/>
        <v>11834</v>
      </c>
      <c r="AA150" s="317">
        <f t="shared" si="187"/>
        <v>12119.5</v>
      </c>
      <c r="AB150" s="397">
        <f t="shared" si="187"/>
        <v>12502</v>
      </c>
      <c r="AC150" s="297">
        <f t="shared" si="187"/>
        <v>12502</v>
      </c>
      <c r="AD150" s="362">
        <f t="shared" ref="AD150:AI150" si="188">AD148+AD149</f>
        <v>12901.25</v>
      </c>
      <c r="AE150" s="317">
        <f t="shared" si="188"/>
        <v>13386.5</v>
      </c>
      <c r="AF150" s="317">
        <f t="shared" si="188"/>
        <v>13910.75</v>
      </c>
      <c r="AG150" s="397">
        <f t="shared" si="188"/>
        <v>14616</v>
      </c>
      <c r="AH150" s="297">
        <f t="shared" si="188"/>
        <v>14616</v>
      </c>
      <c r="AI150" s="362">
        <f t="shared" si="188"/>
        <v>15004.25</v>
      </c>
      <c r="AJ150" s="317">
        <f>AJ148+AJ149</f>
        <v>15556.5</v>
      </c>
      <c r="AK150" s="317">
        <f>AK148+AK149</f>
        <v>16100.75</v>
      </c>
      <c r="AL150" s="397">
        <f>AL148+AL149</f>
        <v>16769</v>
      </c>
      <c r="AM150" s="297">
        <f>AM148+AM149</f>
        <v>16769</v>
      </c>
      <c r="AN150" s="362">
        <f>AN148+AN149</f>
        <v>17262</v>
      </c>
      <c r="AO150" s="317">
        <f t="shared" si="187"/>
        <v>17848</v>
      </c>
      <c r="AP150" s="317">
        <f t="shared" si="187"/>
        <v>18415</v>
      </c>
      <c r="AQ150" s="397">
        <f t="shared" ref="AQ150:AY150" si="189">AQ148+AQ149</f>
        <v>19086</v>
      </c>
      <c r="AR150" s="297">
        <f t="shared" si="189"/>
        <v>19086</v>
      </c>
      <c r="AS150" s="362">
        <f t="shared" si="189"/>
        <v>19347</v>
      </c>
      <c r="AT150" s="317">
        <f t="shared" si="189"/>
        <v>19897</v>
      </c>
      <c r="AU150" s="317">
        <f t="shared" si="189"/>
        <v>20547</v>
      </c>
      <c r="AV150" s="397">
        <f t="shared" si="189"/>
        <v>21281</v>
      </c>
      <c r="AW150" s="297">
        <f t="shared" si="189"/>
        <v>21281</v>
      </c>
      <c r="AX150" s="362">
        <f t="shared" si="189"/>
        <v>21876.594099501068</v>
      </c>
      <c r="AY150" s="317">
        <f t="shared" si="189"/>
        <v>22438.836585805031</v>
      </c>
      <c r="AZ150" s="317">
        <f>AZ148+AZ149</f>
        <v>24280.210214576891</v>
      </c>
      <c r="BA150" s="397">
        <f>BA148+BA149</f>
        <v>22997.088854522077</v>
      </c>
      <c r="BB150" s="297">
        <f>BB148+BB149</f>
        <v>22997.088854522077</v>
      </c>
      <c r="BC150" s="362">
        <f t="shared" ref="BC150:BL150" si="190">BC148+BC149</f>
        <v>23560.948806478507</v>
      </c>
      <c r="BD150" s="317">
        <f t="shared" si="190"/>
        <v>24105.971059824777</v>
      </c>
      <c r="BE150" s="317">
        <f t="shared" si="190"/>
        <v>24647.148059663046</v>
      </c>
      <c r="BF150" s="397">
        <f t="shared" si="190"/>
        <v>25184.506935114099</v>
      </c>
      <c r="BG150" s="297">
        <f t="shared" si="190"/>
        <v>25184.506935114099</v>
      </c>
      <c r="BH150" s="362">
        <f t="shared" si="190"/>
        <v>25733.789716955853</v>
      </c>
      <c r="BI150" s="317">
        <f t="shared" si="190"/>
        <v>26255.464229117344</v>
      </c>
      <c r="BJ150" s="317">
        <f t="shared" si="190"/>
        <v>26773.498393081209</v>
      </c>
      <c r="BK150" s="397">
        <f t="shared" si="190"/>
        <v>27287.917611919067</v>
      </c>
      <c r="BL150" s="297">
        <f t="shared" si="190"/>
        <v>27287.917611919067</v>
      </c>
      <c r="BM150" s="362">
        <f>BM148+BM149</f>
        <v>27952.085140354491</v>
      </c>
      <c r="BN150" s="317">
        <f>BN148+BN149</f>
        <v>28350.13411223275</v>
      </c>
      <c r="BO150" s="317">
        <f>BO148+BO149</f>
        <v>28745.431823508319</v>
      </c>
      <c r="BP150" s="397">
        <f>BP148+BP149</f>
        <v>29137.997290522002</v>
      </c>
      <c r="BQ150" s="297">
        <f>BQ148+BQ149</f>
        <v>29137.997290522002</v>
      </c>
      <c r="BR150" s="297"/>
      <c r="BS150" s="77"/>
      <c r="BT150" s="77"/>
      <c r="BU150" s="77"/>
      <c r="BV150" s="77"/>
      <c r="BW150" s="77"/>
      <c r="BX150" s="77"/>
      <c r="BY150" s="77"/>
      <c r="BZ150" s="77"/>
      <c r="CA150" s="77"/>
      <c r="CB150" s="77"/>
      <c r="CC150" s="77"/>
      <c r="CD150" s="77"/>
      <c r="CE150" s="77"/>
      <c r="CF150" s="77"/>
      <c r="CG150" s="77"/>
      <c r="CH150" s="77"/>
      <c r="CI150" s="77"/>
      <c r="CJ150" s="77"/>
      <c r="CK150" s="77"/>
      <c r="CL150" s="77"/>
      <c r="CM150" s="77"/>
      <c r="CN150" s="77"/>
      <c r="CO150" s="77"/>
      <c r="CP150" s="77"/>
      <c r="CQ150" s="77"/>
      <c r="CR150" s="77"/>
      <c r="CS150" s="77"/>
      <c r="CT150" s="77"/>
      <c r="CU150" s="77"/>
      <c r="CV150" s="77"/>
      <c r="CW150" s="77"/>
      <c r="CX150" s="77"/>
      <c r="CY150" s="77"/>
      <c r="CZ150" s="77"/>
      <c r="DA150" s="77"/>
    </row>
    <row r="151" spans="1:105">
      <c r="A151" s="77"/>
      <c r="B151" s="77"/>
      <c r="C151" s="538"/>
      <c r="D151" s="77"/>
      <c r="E151" s="456"/>
      <c r="F151" s="457"/>
      <c r="G151" s="457"/>
      <c r="H151" s="405"/>
      <c r="I151" s="840"/>
      <c r="J151" s="456"/>
      <c r="K151" s="457"/>
      <c r="L151" s="457"/>
      <c r="M151" s="405"/>
      <c r="N151" s="840"/>
      <c r="O151" s="456"/>
      <c r="P151" s="457"/>
      <c r="Q151" s="841"/>
      <c r="R151" s="784"/>
      <c r="S151" s="842"/>
      <c r="T151" s="456"/>
      <c r="U151" s="457"/>
      <c r="V151" s="457"/>
      <c r="W151" s="784"/>
      <c r="X151" s="842"/>
      <c r="Y151" s="459"/>
      <c r="Z151" s="841"/>
      <c r="AA151" s="841"/>
      <c r="AB151" s="784"/>
      <c r="AC151" s="842"/>
      <c r="AD151" s="459"/>
      <c r="AE151" s="841"/>
      <c r="AF151" s="841"/>
      <c r="AG151" s="784"/>
      <c r="AH151" s="842"/>
      <c r="AI151" s="459"/>
      <c r="AJ151" s="841"/>
      <c r="AK151" s="841"/>
      <c r="AL151" s="784"/>
      <c r="AM151" s="842"/>
      <c r="AN151" s="459"/>
      <c r="AO151" s="841"/>
      <c r="AP151" s="841"/>
      <c r="AQ151" s="784"/>
      <c r="AR151" s="842"/>
      <c r="AS151" s="459"/>
      <c r="AT151" s="841"/>
      <c r="AU151" s="841"/>
      <c r="AV151" s="784"/>
      <c r="AW151" s="842"/>
      <c r="AX151" s="843"/>
      <c r="AY151" s="841"/>
      <c r="AZ151" s="841"/>
      <c r="BA151" s="784"/>
      <c r="BB151" s="842"/>
      <c r="BC151" s="843"/>
      <c r="BD151" s="841"/>
      <c r="BE151" s="841"/>
      <c r="BF151" s="784"/>
      <c r="BG151" s="842"/>
      <c r="BH151" s="843"/>
      <c r="BI151" s="841"/>
      <c r="BJ151" s="841"/>
      <c r="BK151" s="784"/>
      <c r="BL151" s="842"/>
      <c r="BM151" s="843"/>
      <c r="BN151" s="841"/>
      <c r="BO151" s="841"/>
      <c r="BP151" s="784"/>
      <c r="BQ151" s="842"/>
      <c r="BR151" s="842"/>
      <c r="BS151" s="77"/>
      <c r="BT151" s="77"/>
      <c r="BU151" s="77"/>
      <c r="BV151" s="77"/>
      <c r="BW151" s="77"/>
      <c r="BX151" s="77"/>
      <c r="BY151" s="77"/>
      <c r="BZ151" s="77"/>
      <c r="CA151" s="77"/>
      <c r="CB151" s="77"/>
      <c r="CC151" s="77"/>
      <c r="CD151" s="77"/>
      <c r="CE151" s="77"/>
      <c r="CF151" s="77"/>
      <c r="CG151" s="77"/>
      <c r="CH151" s="77"/>
      <c r="CI151" s="77"/>
      <c r="CJ151" s="77"/>
      <c r="CK151" s="77"/>
      <c r="CL151" s="77"/>
      <c r="CM151" s="77"/>
      <c r="CN151" s="77"/>
      <c r="CO151" s="77"/>
      <c r="CP151" s="77"/>
      <c r="CQ151" s="77"/>
      <c r="CR151" s="77"/>
      <c r="CS151" s="77"/>
      <c r="CT151" s="77"/>
      <c r="CU151" s="77"/>
      <c r="CV151" s="77"/>
      <c r="CW151" s="77"/>
      <c r="CX151" s="77"/>
      <c r="CY151" s="77"/>
      <c r="CZ151" s="77"/>
      <c r="DA151" s="77"/>
    </row>
    <row r="152" spans="1:105" s="305" customFormat="1">
      <c r="A152" s="77"/>
      <c r="B152" s="77"/>
      <c r="C152" s="538" t="s">
        <v>546</v>
      </c>
      <c r="D152" s="77"/>
      <c r="E152" s="456"/>
      <c r="F152" s="457"/>
      <c r="G152" s="457"/>
      <c r="H152" s="458"/>
      <c r="I152" s="77"/>
      <c r="J152" s="456">
        <v>167.36</v>
      </c>
      <c r="K152" s="457">
        <v>175.00299999999999</v>
      </c>
      <c r="L152" s="457">
        <v>271.76900000000001</v>
      </c>
      <c r="M152" s="458">
        <v>240.166</v>
      </c>
      <c r="N152" s="77">
        <f>M152</f>
        <v>240.166</v>
      </c>
      <c r="O152" s="456">
        <v>327.25599999999997</v>
      </c>
      <c r="P152" s="457">
        <v>317.26900000000001</v>
      </c>
      <c r="Q152" s="457">
        <v>480.48</v>
      </c>
      <c r="R152" s="458">
        <v>564.93700000000001</v>
      </c>
      <c r="S152" s="77">
        <f>R152</f>
        <v>564.93700000000001</v>
      </c>
      <c r="T152" s="394">
        <f>+S152+((X152-S152)/4)</f>
        <v>687.45275000000004</v>
      </c>
      <c r="U152" s="342">
        <f>+T152+((X152-S152)/4)</f>
        <v>809.96850000000006</v>
      </c>
      <c r="V152" s="342">
        <f>+U152+((X152-S152)/4)</f>
        <v>932.48425000000009</v>
      </c>
      <c r="W152" s="395">
        <f>+V152+((X152-S152)/4)</f>
        <v>1055</v>
      </c>
      <c r="X152" s="462">
        <f>1048+7</f>
        <v>1055</v>
      </c>
      <c r="Y152" s="394">
        <f>+X152+((AC152-X152)/4)</f>
        <v>1192.5</v>
      </c>
      <c r="Z152" s="342">
        <f>+Y152+((AC152-X152)/4)</f>
        <v>1330</v>
      </c>
      <c r="AA152" s="342">
        <f>+Z152+((AC152-X152)/4)</f>
        <v>1467.5</v>
      </c>
      <c r="AB152" s="395">
        <f>+AA152+((AC152-X152)/4)</f>
        <v>1605</v>
      </c>
      <c r="AC152" s="462">
        <v>1605</v>
      </c>
      <c r="AD152" s="394">
        <f>+AC152+((AH152-AC152)/4)</f>
        <v>1529.75</v>
      </c>
      <c r="AE152" s="342">
        <f>+AD152+((AH152-AC152)/4)</f>
        <v>1454.5</v>
      </c>
      <c r="AF152" s="342">
        <f>+AE152+((AH152-AC152)/4)</f>
        <v>1379.25</v>
      </c>
      <c r="AG152" s="395">
        <f>+AF152+((AH152-AC152)/4)</f>
        <v>1304</v>
      </c>
      <c r="AH152" s="462">
        <v>1304</v>
      </c>
      <c r="AI152" s="394">
        <f>+AH152+((AM152-AH152)/4)</f>
        <v>1342.75</v>
      </c>
      <c r="AJ152" s="342">
        <f>+AI152+((AM152-AH152)/4)</f>
        <v>1381.5</v>
      </c>
      <c r="AK152" s="342">
        <f>+AJ152+((AM152-AH152)/4)</f>
        <v>1420.25</v>
      </c>
      <c r="AL152" s="395">
        <f>+AK152+((AM152-AH152)/4)</f>
        <v>1459</v>
      </c>
      <c r="AM152" s="462">
        <v>1459</v>
      </c>
      <c r="AN152" s="394">
        <f>+AR152</f>
        <v>1501</v>
      </c>
      <c r="AO152" s="342">
        <f>AR152</f>
        <v>1501</v>
      </c>
      <c r="AP152" s="342">
        <f>+AR152</f>
        <v>1501</v>
      </c>
      <c r="AQ152" s="395">
        <f>+AR152</f>
        <v>1501</v>
      </c>
      <c r="AR152" s="462">
        <v>1501</v>
      </c>
      <c r="AS152" s="394">
        <f>+AW152</f>
        <v>1735</v>
      </c>
      <c r="AT152" s="342">
        <f>+AS152</f>
        <v>1735</v>
      </c>
      <c r="AU152" s="342">
        <f>+AT152</f>
        <v>1735</v>
      </c>
      <c r="AV152" s="395">
        <f>+AW152</f>
        <v>1735</v>
      </c>
      <c r="AW152" s="462">
        <v>1735</v>
      </c>
      <c r="AX152" s="843">
        <f>BB168*AX159</f>
        <v>1705.8752997601919</v>
      </c>
      <c r="AY152" s="844">
        <f>AY159*BB168</f>
        <v>1705.8752997601919</v>
      </c>
      <c r="AZ152" s="844">
        <f>AZ159*BC168</f>
        <v>422.75393970537857</v>
      </c>
      <c r="BA152" s="784">
        <f>BA159*BB168</f>
        <v>1705.8752997601919</v>
      </c>
      <c r="BB152" s="786">
        <f>BA152</f>
        <v>1705.8752997601919</v>
      </c>
      <c r="BC152" s="843">
        <f>BG168*BC159</f>
        <v>1691.0157588215143</v>
      </c>
      <c r="BD152" s="844">
        <f>BD159*BG168</f>
        <v>1691.0157588215143</v>
      </c>
      <c r="BE152" s="844">
        <f>BE159*BG168</f>
        <v>1691.0157588215143</v>
      </c>
      <c r="BF152" s="784">
        <f>BF159*BG168</f>
        <v>1691.0157588215143</v>
      </c>
      <c r="BG152" s="786">
        <f>BF152</f>
        <v>1691.0157588215143</v>
      </c>
      <c r="BH152" s="843">
        <f>BL168*BH159</f>
        <v>1667.2404933196299</v>
      </c>
      <c r="BI152" s="844">
        <f>BI159*BL168</f>
        <v>1667.2404933196299</v>
      </c>
      <c r="BJ152" s="844">
        <f>BJ159*BL168</f>
        <v>1667.2404933196299</v>
      </c>
      <c r="BK152" s="784">
        <f>BK159*BL168</f>
        <v>1667.2404933196299</v>
      </c>
      <c r="BL152" s="786">
        <f>BK152</f>
        <v>1667.2404933196299</v>
      </c>
      <c r="BM152" s="843">
        <f>BQ168*BM159</f>
        <v>1405.7125727989037</v>
      </c>
      <c r="BN152" s="844">
        <f>BN159*BQ168</f>
        <v>1405.7125727989037</v>
      </c>
      <c r="BO152" s="844">
        <f>BO159*BQ168</f>
        <v>1405.7125727989037</v>
      </c>
      <c r="BP152" s="784">
        <f>BP159*BQ168</f>
        <v>1405.7125727989037</v>
      </c>
      <c r="BQ152" s="786">
        <f>BP152</f>
        <v>1405.7125727989037</v>
      </c>
      <c r="BR152" s="786"/>
      <c r="BS152" s="77"/>
      <c r="BT152" s="77"/>
      <c r="BU152" s="77"/>
      <c r="BV152" s="77"/>
      <c r="BW152" s="77"/>
      <c r="BX152" s="77"/>
      <c r="BY152" s="77"/>
      <c r="BZ152" s="77"/>
      <c r="CA152" s="77"/>
      <c r="CB152" s="77"/>
      <c r="CC152" s="77"/>
      <c r="CD152" s="77"/>
      <c r="CE152" s="77"/>
      <c r="CF152" s="77"/>
      <c r="CG152" s="77"/>
      <c r="CH152" s="77"/>
      <c r="CI152" s="77"/>
      <c r="CJ152" s="77"/>
      <c r="CK152" s="77"/>
      <c r="CL152" s="77"/>
      <c r="CM152" s="77"/>
      <c r="CN152" s="77"/>
      <c r="CO152" s="77"/>
      <c r="CP152" s="77"/>
      <c r="CQ152" s="77"/>
      <c r="CR152" s="77"/>
      <c r="CS152" s="77"/>
      <c r="CT152" s="77"/>
      <c r="CU152" s="77"/>
      <c r="CV152" s="77"/>
      <c r="CW152" s="77"/>
      <c r="CX152" s="77"/>
      <c r="CY152" s="77"/>
      <c r="CZ152" s="77"/>
      <c r="DA152" s="77"/>
    </row>
    <row r="153" spans="1:105">
      <c r="A153" s="297"/>
      <c r="B153" s="297"/>
      <c r="C153" s="835"/>
      <c r="D153" s="297"/>
      <c r="E153" s="467"/>
      <c r="F153" s="470"/>
      <c r="G153" s="470"/>
      <c r="H153" s="397"/>
      <c r="I153" s="845"/>
      <c r="J153" s="467"/>
      <c r="K153" s="470"/>
      <c r="L153" s="470"/>
      <c r="M153" s="397"/>
      <c r="N153" s="845"/>
      <c r="O153" s="467"/>
      <c r="P153" s="470"/>
      <c r="Q153" s="780"/>
      <c r="R153" s="781"/>
      <c r="S153" s="782"/>
      <c r="T153" s="467"/>
      <c r="U153" s="470"/>
      <c r="V153" s="470"/>
      <c r="W153" s="781"/>
      <c r="X153" s="782"/>
      <c r="Y153" s="779"/>
      <c r="Z153" s="780"/>
      <c r="AA153" s="780"/>
      <c r="AB153" s="781"/>
      <c r="AC153" s="782"/>
      <c r="AD153" s="779"/>
      <c r="AE153" s="780"/>
      <c r="AF153" s="780"/>
      <c r="AG153" s="781"/>
      <c r="AH153" s="782"/>
      <c r="AI153" s="779"/>
      <c r="AJ153" s="780"/>
      <c r="AK153" s="780"/>
      <c r="AL153" s="781"/>
      <c r="AM153" s="782"/>
      <c r="AN153" s="779"/>
      <c r="AO153" s="780"/>
      <c r="AP153" s="780"/>
      <c r="AQ153" s="781"/>
      <c r="AR153" s="782"/>
      <c r="AS153" s="779"/>
      <c r="AT153" s="780"/>
      <c r="AU153" s="780"/>
      <c r="AV153" s="781"/>
      <c r="AW153" s="782"/>
      <c r="AX153" s="779"/>
      <c r="AY153" s="780"/>
      <c r="AZ153" s="780"/>
      <c r="BA153" s="781"/>
      <c r="BB153" s="782"/>
      <c r="BC153" s="779"/>
      <c r="BD153" s="780"/>
      <c r="BE153" s="780"/>
      <c r="BF153" s="781"/>
      <c r="BG153" s="782"/>
      <c r="BH153" s="779"/>
      <c r="BI153" s="780"/>
      <c r="BJ153" s="780"/>
      <c r="BK153" s="781"/>
      <c r="BL153" s="782"/>
      <c r="BM153" s="779"/>
      <c r="BN153" s="780"/>
      <c r="BO153" s="780"/>
      <c r="BP153" s="781"/>
      <c r="BQ153" s="782"/>
      <c r="BR153" s="782"/>
      <c r="BS153" s="297"/>
      <c r="BT153" s="297"/>
      <c r="BU153" s="297"/>
      <c r="BV153" s="297"/>
      <c r="BW153" s="297"/>
      <c r="BX153" s="297"/>
      <c r="BY153" s="297"/>
      <c r="BZ153" s="297"/>
      <c r="CA153" s="297"/>
      <c r="CB153" s="297"/>
      <c r="CC153" s="297"/>
      <c r="CD153" s="297"/>
      <c r="CE153" s="297"/>
      <c r="CF153" s="297"/>
      <c r="CG153" s="297"/>
      <c r="CH153" s="297"/>
      <c r="CI153" s="297"/>
      <c r="CJ153" s="297"/>
      <c r="CK153" s="297"/>
      <c r="CL153" s="297"/>
      <c r="CM153" s="297"/>
      <c r="CN153" s="297"/>
      <c r="CO153" s="297"/>
      <c r="CP153" s="297"/>
      <c r="CQ153" s="297"/>
      <c r="CR153" s="297"/>
      <c r="CS153" s="297"/>
      <c r="CT153" s="297"/>
      <c r="CU153" s="297"/>
      <c r="CV153" s="297"/>
      <c r="CW153" s="297"/>
      <c r="CX153" s="297"/>
      <c r="CY153" s="297"/>
      <c r="CZ153" s="297"/>
      <c r="DA153" s="297"/>
    </row>
    <row r="154" spans="1:105">
      <c r="A154" s="297"/>
      <c r="B154" s="297"/>
      <c r="C154" s="835" t="s">
        <v>161</v>
      </c>
      <c r="D154" s="297"/>
      <c r="E154" s="396">
        <f t="shared" ref="E154:AB154" si="191">E19</f>
        <v>149</v>
      </c>
      <c r="F154" s="343">
        <f t="shared" si="191"/>
        <v>144</v>
      </c>
      <c r="G154" s="343">
        <f t="shared" si="191"/>
        <v>169</v>
      </c>
      <c r="H154" s="397">
        <f t="shared" si="191"/>
        <v>146</v>
      </c>
      <c r="I154" s="692">
        <f t="shared" si="191"/>
        <v>608</v>
      </c>
      <c r="J154" s="396">
        <f t="shared" si="191"/>
        <v>177</v>
      </c>
      <c r="K154" s="343">
        <f t="shared" si="191"/>
        <v>177</v>
      </c>
      <c r="L154" s="343">
        <f t="shared" si="191"/>
        <v>209</v>
      </c>
      <c r="M154" s="397">
        <f t="shared" si="191"/>
        <v>187</v>
      </c>
      <c r="N154" s="692">
        <f t="shared" si="191"/>
        <v>750</v>
      </c>
      <c r="O154" s="396">
        <f t="shared" si="191"/>
        <v>179</v>
      </c>
      <c r="P154" s="343">
        <f t="shared" si="191"/>
        <v>172</v>
      </c>
      <c r="Q154" s="780">
        <f t="shared" si="191"/>
        <v>197</v>
      </c>
      <c r="R154" s="781">
        <f t="shared" si="191"/>
        <v>171</v>
      </c>
      <c r="S154" s="782">
        <f t="shared" si="191"/>
        <v>719</v>
      </c>
      <c r="T154" s="396">
        <f t="shared" si="191"/>
        <v>190</v>
      </c>
      <c r="U154" s="343">
        <f t="shared" si="191"/>
        <v>188</v>
      </c>
      <c r="V154" s="343">
        <f t="shared" si="191"/>
        <v>216</v>
      </c>
      <c r="W154" s="781">
        <f t="shared" si="191"/>
        <v>184</v>
      </c>
      <c r="X154" s="782">
        <f t="shared" si="191"/>
        <v>778</v>
      </c>
      <c r="Y154" s="396">
        <f t="shared" si="191"/>
        <v>215</v>
      </c>
      <c r="Z154" s="343">
        <f t="shared" si="191"/>
        <v>207</v>
      </c>
      <c r="AA154" s="343">
        <f t="shared" si="191"/>
        <v>236</v>
      </c>
      <c r="AB154" s="781">
        <f t="shared" si="191"/>
        <v>214</v>
      </c>
      <c r="AC154" s="693">
        <f>SUM(Y154:AB154)</f>
        <v>872</v>
      </c>
      <c r="AD154" s="396">
        <f>AD19</f>
        <v>227</v>
      </c>
      <c r="AE154" s="343">
        <f>AE19</f>
        <v>217</v>
      </c>
      <c r="AF154" s="343">
        <f>AF19</f>
        <v>238</v>
      </c>
      <c r="AG154" s="781">
        <f>AG19</f>
        <v>224</v>
      </c>
      <c r="AH154" s="693">
        <f>SUM(AD154:AG154)</f>
        <v>906</v>
      </c>
      <c r="AI154" s="396">
        <f>AI19</f>
        <v>247</v>
      </c>
      <c r="AJ154" s="343">
        <f>AJ19</f>
        <v>234</v>
      </c>
      <c r="AK154" s="343">
        <f>AK19</f>
        <v>231</v>
      </c>
      <c r="AL154" s="781">
        <f>AL19</f>
        <v>180</v>
      </c>
      <c r="AM154" s="693">
        <f>SUM(AI154:AL154)</f>
        <v>892</v>
      </c>
      <c r="AN154" s="396">
        <f>AN19</f>
        <v>139</v>
      </c>
      <c r="AO154" s="343">
        <f>AO19</f>
        <v>136</v>
      </c>
      <c r="AP154" s="343">
        <f>AP19</f>
        <v>137</v>
      </c>
      <c r="AQ154" s="781">
        <f>AQ19</f>
        <v>153</v>
      </c>
      <c r="AR154" s="693">
        <f>SUM(AN154:AQ154)</f>
        <v>565</v>
      </c>
      <c r="AS154" s="396">
        <f>AS19</f>
        <v>171</v>
      </c>
      <c r="AT154" s="343">
        <f>AT19</f>
        <v>166</v>
      </c>
      <c r="AU154" s="343">
        <f>AU19</f>
        <v>169</v>
      </c>
      <c r="AV154" s="781">
        <f>AV19</f>
        <v>179</v>
      </c>
      <c r="AW154" s="693">
        <f>SUM(AS154:AV154)</f>
        <v>685</v>
      </c>
      <c r="AX154" s="396">
        <f>+AX155+AX156</f>
        <v>151.03060073874286</v>
      </c>
      <c r="AY154" s="343">
        <f>+AY155+AY156</f>
        <v>155.25751369603324</v>
      </c>
      <c r="AZ154" s="343">
        <f>+AZ155+AZ156</f>
        <v>159.24773128295735</v>
      </c>
      <c r="BA154" s="781">
        <f>+BA155+BA156</f>
        <v>159.24773128295735</v>
      </c>
      <c r="BB154" s="693">
        <f>SUM(AX154:BA154)</f>
        <v>624.7835770006908</v>
      </c>
      <c r="BC154" s="396">
        <f>+BC155+BC156</f>
        <v>162.24958898224457</v>
      </c>
      <c r="BD154" s="343">
        <f>+BD155+BD156</f>
        <v>166.22774665373129</v>
      </c>
      <c r="BE154" s="780">
        <f>+BE155+BE156</f>
        <v>170.07300016172999</v>
      </c>
      <c r="BF154" s="781">
        <f>+BF155+BF156</f>
        <v>173.8911245489451</v>
      </c>
      <c r="BG154" s="693">
        <f>SUM(BC154:BF154)</f>
        <v>672.44146034665096</v>
      </c>
      <c r="BH154" s="396">
        <f>+BH155+BH156</f>
        <v>175.74248366013242</v>
      </c>
      <c r="BI154" s="343">
        <f>+BI155+BI156</f>
        <v>179.57548783850783</v>
      </c>
      <c r="BJ154" s="780">
        <f>+BJ155+BJ156</f>
        <v>183.21583603613806</v>
      </c>
      <c r="BK154" s="781">
        <f>+BK155+BK156</f>
        <v>186.83078116213829</v>
      </c>
      <c r="BL154" s="693">
        <f>SUM(BH154:BK154)</f>
        <v>725.3645886969166</v>
      </c>
      <c r="BM154" s="396">
        <f>+BM155+BM156</f>
        <v>188.61039208530505</v>
      </c>
      <c r="BN154" s="343">
        <f>+BN155+BN156</f>
        <v>193.20102812173963</v>
      </c>
      <c r="BO154" s="780">
        <f>+BO155+BO156</f>
        <v>195.95228872442917</v>
      </c>
      <c r="BP154" s="781">
        <f>+BP155+BP156</f>
        <v>198.68453298631974</v>
      </c>
      <c r="BQ154" s="693">
        <f>SUM(BM154:BP154)</f>
        <v>776.44824191779355</v>
      </c>
      <c r="BR154" s="693"/>
      <c r="BS154" s="297"/>
      <c r="BT154" s="297"/>
      <c r="BU154" s="297"/>
      <c r="BV154" s="297"/>
      <c r="BW154" s="297"/>
      <c r="BX154" s="297"/>
      <c r="BY154" s="297"/>
      <c r="BZ154" s="297"/>
      <c r="CA154" s="297"/>
      <c r="CB154" s="297"/>
      <c r="CC154" s="297"/>
      <c r="CD154" s="297"/>
      <c r="CE154" s="297"/>
      <c r="CF154" s="297"/>
      <c r="CG154" s="297"/>
      <c r="CH154" s="297"/>
      <c r="CI154" s="297"/>
      <c r="CJ154" s="297"/>
      <c r="CK154" s="297"/>
      <c r="CL154" s="297"/>
      <c r="CM154" s="297"/>
      <c r="CN154" s="297"/>
      <c r="CO154" s="297"/>
      <c r="CP154" s="297"/>
      <c r="CQ154" s="297"/>
      <c r="CR154" s="297"/>
      <c r="CS154" s="297"/>
      <c r="CT154" s="297"/>
      <c r="CU154" s="297"/>
      <c r="CV154" s="297"/>
      <c r="CW154" s="297"/>
      <c r="CX154" s="297"/>
      <c r="CY154" s="297"/>
      <c r="CZ154" s="297"/>
      <c r="DA154" s="297"/>
    </row>
    <row r="155" spans="1:105" s="305" customFormat="1">
      <c r="A155" s="77"/>
      <c r="B155" s="77"/>
      <c r="C155" s="538" t="s">
        <v>183</v>
      </c>
      <c r="D155" s="77"/>
      <c r="E155" s="456"/>
      <c r="F155" s="457"/>
      <c r="G155" s="457"/>
      <c r="H155" s="395"/>
      <c r="I155" s="840"/>
      <c r="J155" s="394">
        <f>N155/4</f>
        <v>105.176558175</v>
      </c>
      <c r="K155" s="342">
        <f>N155/4</f>
        <v>105.176558175</v>
      </c>
      <c r="L155" s="342">
        <f>N155/4</f>
        <v>105.176558175</v>
      </c>
      <c r="M155" s="395">
        <f>N155/4</f>
        <v>105.176558175</v>
      </c>
      <c r="N155" s="589">
        <f>N154-N156</f>
        <v>420.70623269999999</v>
      </c>
      <c r="O155" s="394">
        <f>S155/4</f>
        <v>91.331360825000004</v>
      </c>
      <c r="P155" s="342">
        <f>S155/4</f>
        <v>91.331360825000004</v>
      </c>
      <c r="Q155" s="342">
        <f>S155/4</f>
        <v>91.331360825000004</v>
      </c>
      <c r="R155" s="395">
        <f>S155/4</f>
        <v>91.331360825000004</v>
      </c>
      <c r="S155" s="589">
        <f>S154-S156</f>
        <v>365.32544330000002</v>
      </c>
      <c r="T155" s="394">
        <f>X155/4</f>
        <v>98.987303525000002</v>
      </c>
      <c r="U155" s="342">
        <f>X155/4</f>
        <v>98.987303525000002</v>
      </c>
      <c r="V155" s="342">
        <f>X155/4</f>
        <v>98.987303525000002</v>
      </c>
      <c r="W155" s="395">
        <f>X155/4</f>
        <v>98.987303525000002</v>
      </c>
      <c r="X155" s="298">
        <f>X154-X156</f>
        <v>395.94921410000001</v>
      </c>
      <c r="Y155" s="394">
        <f>AC155/4</f>
        <v>113.39360000000001</v>
      </c>
      <c r="Z155" s="342">
        <f>AC155/4</f>
        <v>113.39360000000001</v>
      </c>
      <c r="AA155" s="342">
        <f>AC155/4</f>
        <v>113.39360000000001</v>
      </c>
      <c r="AB155" s="395">
        <f>AC155/4</f>
        <v>113.39360000000001</v>
      </c>
      <c r="AC155" s="298">
        <f>AC154-AC156</f>
        <v>453.57440000000003</v>
      </c>
      <c r="AD155" s="394">
        <f>AH155/4</f>
        <v>110.57132187499998</v>
      </c>
      <c r="AE155" s="342">
        <f>AH155/4</f>
        <v>110.57132187499998</v>
      </c>
      <c r="AF155" s="342">
        <f>AH155/4</f>
        <v>110.57132187499998</v>
      </c>
      <c r="AG155" s="395">
        <f>AH155/4</f>
        <v>110.57132187499998</v>
      </c>
      <c r="AH155" s="298">
        <f>AH154-AH156</f>
        <v>442.28528749999992</v>
      </c>
      <c r="AI155" s="394">
        <f>AM155/4</f>
        <v>92.385531249999985</v>
      </c>
      <c r="AJ155" s="342">
        <f>AM155/4</f>
        <v>92.385531249999985</v>
      </c>
      <c r="AK155" s="342">
        <f>AM155/4</f>
        <v>92.385531249999985</v>
      </c>
      <c r="AL155" s="395">
        <f>AM155/4</f>
        <v>92.385531249999985</v>
      </c>
      <c r="AM155" s="298">
        <f>AM154-AM156</f>
        <v>369.54212499999994</v>
      </c>
      <c r="AN155" s="394">
        <f>AR155/4</f>
        <v>-4.6520937500000059</v>
      </c>
      <c r="AO155" s="342">
        <f>AR155/4</f>
        <v>-4.6520937500000059</v>
      </c>
      <c r="AP155" s="342">
        <f>AR155/4</f>
        <v>-4.6520937500000059</v>
      </c>
      <c r="AQ155" s="395">
        <f>AR155/4</f>
        <v>-4.6520937500000059</v>
      </c>
      <c r="AR155" s="298">
        <f>AR154-AR156</f>
        <v>-18.608375000000024</v>
      </c>
      <c r="AS155" s="394">
        <f>AW155/4</f>
        <v>28.008322916666685</v>
      </c>
      <c r="AT155" s="342">
        <f>AW155/4</f>
        <v>28.008322916666685</v>
      </c>
      <c r="AU155" s="342">
        <f>AW155/4</f>
        <v>28.008322916666685</v>
      </c>
      <c r="AV155" s="395">
        <f>AW155/4</f>
        <v>28.008322916666685</v>
      </c>
      <c r="AW155" s="298">
        <f>AW154-AW156</f>
        <v>112.03329166666674</v>
      </c>
      <c r="AX155" s="394">
        <f>BB155/4</f>
        <v>0</v>
      </c>
      <c r="AY155" s="342">
        <f>BB155/4</f>
        <v>0</v>
      </c>
      <c r="AZ155" s="342">
        <f>BC155/4</f>
        <v>0</v>
      </c>
      <c r="BA155" s="395">
        <f>BB155/4</f>
        <v>0</v>
      </c>
      <c r="BB155" s="589">
        <v>0</v>
      </c>
      <c r="BC155" s="394">
        <f>BG155/4</f>
        <v>0</v>
      </c>
      <c r="BD155" s="342">
        <f>BG155/4</f>
        <v>0</v>
      </c>
      <c r="BE155" s="342">
        <f>BG155/4</f>
        <v>0</v>
      </c>
      <c r="BF155" s="395">
        <f>BG155/4</f>
        <v>0</v>
      </c>
      <c r="BG155" s="589">
        <v>0</v>
      </c>
      <c r="BH155" s="394">
        <f>BL155/4</f>
        <v>0</v>
      </c>
      <c r="BI155" s="342">
        <f>BL155/4</f>
        <v>0</v>
      </c>
      <c r="BJ155" s="342">
        <f>BL155/4</f>
        <v>0</v>
      </c>
      <c r="BK155" s="395">
        <f>BL155/4</f>
        <v>0</v>
      </c>
      <c r="BL155" s="589">
        <v>0</v>
      </c>
      <c r="BM155" s="394">
        <f>BQ155/4</f>
        <v>0</v>
      </c>
      <c r="BN155" s="342">
        <f>BQ155/4</f>
        <v>0</v>
      </c>
      <c r="BO155" s="342">
        <f>BQ155/4</f>
        <v>0</v>
      </c>
      <c r="BP155" s="395">
        <f>BQ155/4</f>
        <v>0</v>
      </c>
      <c r="BQ155" s="589">
        <v>0</v>
      </c>
      <c r="BR155" s="589"/>
      <c r="BS155" s="77"/>
      <c r="BT155" s="77"/>
      <c r="BU155" s="77"/>
      <c r="BV155" s="77"/>
      <c r="BW155" s="77"/>
      <c r="BX155" s="77"/>
      <c r="BY155" s="77"/>
      <c r="BZ155" s="77"/>
      <c r="CA155" s="77"/>
      <c r="CB155" s="77"/>
      <c r="CC155" s="77"/>
      <c r="CD155" s="77"/>
      <c r="CE155" s="77"/>
      <c r="CF155" s="77"/>
      <c r="CG155" s="77"/>
      <c r="CH155" s="77"/>
      <c r="CI155" s="77"/>
      <c r="CJ155" s="77"/>
      <c r="CK155" s="77"/>
      <c r="CL155" s="77"/>
      <c r="CM155" s="77"/>
      <c r="CN155" s="77"/>
      <c r="CO155" s="77"/>
      <c r="CP155" s="77"/>
      <c r="CQ155" s="77"/>
      <c r="CR155" s="77"/>
      <c r="CS155" s="77"/>
      <c r="CT155" s="77"/>
      <c r="CU155" s="77"/>
      <c r="CV155" s="77"/>
      <c r="CW155" s="77"/>
      <c r="CX155" s="77"/>
      <c r="CY155" s="77"/>
      <c r="CZ155" s="77"/>
      <c r="DA155" s="77"/>
    </row>
    <row r="156" spans="1:105" s="64" customFormat="1">
      <c r="A156" s="297"/>
      <c r="B156" s="297"/>
      <c r="C156" s="835" t="s">
        <v>162</v>
      </c>
      <c r="D156" s="297"/>
      <c r="E156" s="467"/>
      <c r="F156" s="470"/>
      <c r="G156" s="470"/>
      <c r="H156" s="397"/>
      <c r="I156" s="845"/>
      <c r="J156" s="396">
        <f t="shared" ref="J156:R156" si="192">+J154-J155</f>
        <v>71.823441825000003</v>
      </c>
      <c r="K156" s="343">
        <f t="shared" si="192"/>
        <v>71.823441825000003</v>
      </c>
      <c r="L156" s="343">
        <f t="shared" si="192"/>
        <v>103.823441825</v>
      </c>
      <c r="M156" s="397">
        <f t="shared" si="192"/>
        <v>81.823441825000003</v>
      </c>
      <c r="N156" s="864">
        <f>2.46%*AVERAGE(J148:M148)</f>
        <v>329.29376730000001</v>
      </c>
      <c r="O156" s="396">
        <f t="shared" si="192"/>
        <v>87.668639174999996</v>
      </c>
      <c r="P156" s="343">
        <f t="shared" si="192"/>
        <v>80.668639174999996</v>
      </c>
      <c r="Q156" s="343">
        <f t="shared" si="192"/>
        <v>105.668639175</v>
      </c>
      <c r="R156" s="397">
        <f t="shared" si="192"/>
        <v>79.668639174999996</v>
      </c>
      <c r="S156" s="864">
        <f>2.46%*AVERAGE(O148:R148)</f>
        <v>353.67455669999998</v>
      </c>
      <c r="T156" s="396">
        <f>+T154-T155</f>
        <v>91.012696474999998</v>
      </c>
      <c r="U156" s="343">
        <f>+U154-U155</f>
        <v>89.012696474999998</v>
      </c>
      <c r="V156" s="343">
        <f>+V154-V155</f>
        <v>117.012696475</v>
      </c>
      <c r="W156" s="397">
        <f>+W154-W155</f>
        <v>85.012696474999998</v>
      </c>
      <c r="X156" s="864">
        <f>2.48%*AVERAGE(T148:W148)</f>
        <v>382.05078589999999</v>
      </c>
      <c r="Y156" s="396">
        <f>+Y154-Y155</f>
        <v>101.60639999999999</v>
      </c>
      <c r="Z156" s="343">
        <f>+Z154-Z155</f>
        <v>93.606399999999994</v>
      </c>
      <c r="AA156" s="343">
        <f>+AA154-AA155</f>
        <v>122.60639999999999</v>
      </c>
      <c r="AB156" s="397">
        <f>+AB154-AB155</f>
        <v>100.60639999999999</v>
      </c>
      <c r="AC156" s="864">
        <f>2.48%*AVERAGE(Y148:AB148)</f>
        <v>418.42559999999997</v>
      </c>
      <c r="AD156" s="396">
        <f>+AD154-AD155</f>
        <v>116.42867812500002</v>
      </c>
      <c r="AE156" s="343">
        <f>+AE154-AE155</f>
        <v>106.42867812500002</v>
      </c>
      <c r="AF156" s="343">
        <f>+AF154-AF155</f>
        <v>127.42867812500002</v>
      </c>
      <c r="AG156" s="397">
        <f>+AG154-AG155</f>
        <v>113.42867812500002</v>
      </c>
      <c r="AH156" s="864">
        <f>2.47%*AVERAGE(AD148:AG148)</f>
        <v>463.71471250000008</v>
      </c>
      <c r="AI156" s="396">
        <f>+AI154-AI155</f>
        <v>154.61446875000001</v>
      </c>
      <c r="AJ156" s="343">
        <f>+AJ154-AJ155</f>
        <v>141.61446875000001</v>
      </c>
      <c r="AK156" s="343">
        <f>+AK154-AK155</f>
        <v>138.61446875000001</v>
      </c>
      <c r="AL156" s="397">
        <f>+AL154-AL155</f>
        <v>87.614468750000015</v>
      </c>
      <c r="AM156" s="864">
        <f>2.46%*AVERAGE(AI148:AL148)</f>
        <v>522.45787500000006</v>
      </c>
      <c r="AN156" s="396">
        <f>+AN154-AN155</f>
        <v>143.65209375000001</v>
      </c>
      <c r="AO156" s="343">
        <f>+AO154-AO155</f>
        <v>140.65209375000001</v>
      </c>
      <c r="AP156" s="343">
        <f>+AP154-AP155</f>
        <v>141.65209375000001</v>
      </c>
      <c r="AQ156" s="397">
        <f>+AQ154-AQ155</f>
        <v>157.65209375000001</v>
      </c>
      <c r="AR156" s="864">
        <f>2.45%*AVERAGE(AN148:AQ148)</f>
        <v>583.60837500000002</v>
      </c>
      <c r="AS156" s="396">
        <f>+AS154-AS155</f>
        <v>142.99167708333331</v>
      </c>
      <c r="AT156" s="343">
        <f>+AT154-AT155</f>
        <v>137.99167708333331</v>
      </c>
      <c r="AU156" s="343">
        <f>+AU154-AU155</f>
        <v>140.99167708333331</v>
      </c>
      <c r="AV156" s="397">
        <f>+AV154-AV155</f>
        <v>150.99167708333331</v>
      </c>
      <c r="AW156" s="864">
        <f>AVERAGE(2.41%,2.51%,1.63%)*AVERAGE(AS148:AV148)</f>
        <v>572.96670833333326</v>
      </c>
      <c r="AX156" s="779">
        <f>+AX158*AW150/4</f>
        <v>151.03060073874286</v>
      </c>
      <c r="AY156" s="780">
        <f>+AY158*AX150/4</f>
        <v>155.25751369603324</v>
      </c>
      <c r="AZ156" s="780">
        <f>+AZ158*AY150/4</f>
        <v>159.24773128295735</v>
      </c>
      <c r="BA156" s="781">
        <f>+BA158*AY150/4</f>
        <v>159.24773128295735</v>
      </c>
      <c r="BB156" s="782">
        <f>SUM(AX156:BA156)</f>
        <v>624.7835770006908</v>
      </c>
      <c r="BC156" s="779">
        <f>+BC158*BB150/4</f>
        <v>162.24958898224457</v>
      </c>
      <c r="BD156" s="780">
        <f>+BD158*BC150/4</f>
        <v>166.22774665373129</v>
      </c>
      <c r="BE156" s="780">
        <f>+BE158*BD150/4</f>
        <v>170.07300016172999</v>
      </c>
      <c r="BF156" s="781">
        <f>+BF158*BE150/4</f>
        <v>173.8911245489451</v>
      </c>
      <c r="BG156" s="782">
        <f>SUM(BC156:BF156)</f>
        <v>672.44146034665096</v>
      </c>
      <c r="BH156" s="779">
        <f>+BH158*BG150/4</f>
        <v>175.74248366013242</v>
      </c>
      <c r="BI156" s="780">
        <f>+BI158*BH150/4</f>
        <v>179.57548783850783</v>
      </c>
      <c r="BJ156" s="780">
        <f>+BJ158*BI150/4</f>
        <v>183.21583603613806</v>
      </c>
      <c r="BK156" s="781">
        <f>+BK158*BJ150/4</f>
        <v>186.83078116213829</v>
      </c>
      <c r="BL156" s="782">
        <f>SUM(BH156:BK156)</f>
        <v>725.3645886969166</v>
      </c>
      <c r="BM156" s="779">
        <f>+BM158*BL150/4</f>
        <v>188.61039208530505</v>
      </c>
      <c r="BN156" s="780">
        <f>+BN158*BM150/4</f>
        <v>193.20102812173963</v>
      </c>
      <c r="BO156" s="780">
        <f>+BO158*BN150/4</f>
        <v>195.95228872442917</v>
      </c>
      <c r="BP156" s="781">
        <f>+BP158*BO150/4</f>
        <v>198.68453298631974</v>
      </c>
      <c r="BQ156" s="782">
        <f>SUM(BM156:BP156)</f>
        <v>776.44824191779355</v>
      </c>
      <c r="BR156" s="782"/>
      <c r="BS156" s="297"/>
      <c r="BT156" s="297"/>
      <c r="BU156" s="297"/>
      <c r="BV156" s="77"/>
      <c r="BW156" s="77"/>
      <c r="BX156" s="77"/>
      <c r="BY156" s="77"/>
      <c r="BZ156" s="77"/>
      <c r="CA156" s="77"/>
      <c r="CB156" s="297"/>
      <c r="CC156" s="297"/>
      <c r="CD156" s="297"/>
      <c r="CE156" s="297"/>
      <c r="CF156" s="297"/>
      <c r="CG156" s="297"/>
      <c r="CH156" s="297"/>
      <c r="CI156" s="297"/>
      <c r="CJ156" s="297"/>
      <c r="CK156" s="297"/>
      <c r="CL156" s="297"/>
      <c r="CM156" s="297"/>
      <c r="CN156" s="297"/>
      <c r="CO156" s="297"/>
      <c r="CP156" s="297"/>
      <c r="CQ156" s="297"/>
      <c r="CR156" s="297"/>
      <c r="CS156" s="297"/>
      <c r="CT156" s="297"/>
      <c r="CU156" s="297"/>
      <c r="CV156" s="297"/>
      <c r="CW156" s="297"/>
      <c r="CX156" s="297"/>
      <c r="CY156" s="297"/>
      <c r="CZ156" s="297"/>
      <c r="DA156" s="297"/>
    </row>
    <row r="157" spans="1:105">
      <c r="A157" s="297"/>
      <c r="B157" s="297"/>
      <c r="C157" s="538"/>
      <c r="D157" s="297"/>
      <c r="E157" s="467"/>
      <c r="F157" s="470"/>
      <c r="G157" s="470"/>
      <c r="H157" s="397"/>
      <c r="I157" s="845"/>
      <c r="J157" s="467"/>
      <c r="K157" s="470"/>
      <c r="L157" s="470"/>
      <c r="M157" s="397"/>
      <c r="N157" s="864"/>
      <c r="O157" s="467"/>
      <c r="P157" s="470"/>
      <c r="Q157" s="780"/>
      <c r="R157" s="781"/>
      <c r="S157" s="864"/>
      <c r="T157" s="467"/>
      <c r="U157" s="470"/>
      <c r="V157" s="780"/>
      <c r="W157" s="781"/>
      <c r="X157" s="782"/>
      <c r="Y157" s="467"/>
      <c r="Z157" s="780"/>
      <c r="AA157" s="780"/>
      <c r="AB157" s="781"/>
      <c r="AC157" s="782"/>
      <c r="AD157" s="467"/>
      <c r="AE157" s="780"/>
      <c r="AF157" s="780"/>
      <c r="AG157" s="781"/>
      <c r="AH157" s="782"/>
      <c r="AI157" s="467"/>
      <c r="AJ157" s="780"/>
      <c r="AK157" s="780"/>
      <c r="AL157" s="781"/>
      <c r="AM157" s="782"/>
      <c r="AN157" s="467"/>
      <c r="AO157" s="780"/>
      <c r="AP157" s="780"/>
      <c r="AQ157" s="781"/>
      <c r="AR157" s="782"/>
      <c r="AS157" s="467"/>
      <c r="AT157" s="780"/>
      <c r="AU157" s="780"/>
      <c r="AV157" s="781"/>
      <c r="AW157" s="782"/>
      <c r="AX157" s="779"/>
      <c r="AY157" s="780"/>
      <c r="AZ157" s="780"/>
      <c r="BA157" s="781"/>
      <c r="BB157" s="782"/>
      <c r="BC157" s="779"/>
      <c r="BD157" s="780"/>
      <c r="BE157" s="780"/>
      <c r="BF157" s="781"/>
      <c r="BG157" s="782"/>
      <c r="BH157" s="779"/>
      <c r="BI157" s="780"/>
      <c r="BJ157" s="780"/>
      <c r="BK157" s="781"/>
      <c r="BL157" s="782"/>
      <c r="BM157" s="779"/>
      <c r="BN157" s="780"/>
      <c r="BO157" s="780"/>
      <c r="BP157" s="781"/>
      <c r="BQ157" s="782"/>
      <c r="BR157" s="782"/>
      <c r="BS157" s="297"/>
      <c r="BT157" s="297"/>
      <c r="BU157" s="297"/>
      <c r="BV157" s="77"/>
      <c r="BW157" s="77"/>
      <c r="BX157" s="77"/>
      <c r="BY157" s="77"/>
      <c r="BZ157" s="77"/>
      <c r="CA157" s="77"/>
      <c r="CB157" s="297"/>
      <c r="CC157" s="297"/>
      <c r="CD157" s="297"/>
      <c r="CE157" s="297"/>
      <c r="CF157" s="297"/>
      <c r="CG157" s="297"/>
      <c r="CH157" s="297"/>
      <c r="CI157" s="297"/>
      <c r="CJ157" s="297"/>
      <c r="CK157" s="297"/>
      <c r="CL157" s="297"/>
      <c r="CM157" s="297"/>
      <c r="CN157" s="297"/>
      <c r="CO157" s="297"/>
      <c r="CP157" s="297"/>
      <c r="CQ157" s="297"/>
      <c r="CR157" s="297"/>
      <c r="CS157" s="297"/>
      <c r="CT157" s="297"/>
      <c r="CU157" s="297"/>
      <c r="CV157" s="297"/>
      <c r="CW157" s="297"/>
      <c r="CX157" s="297"/>
      <c r="CY157" s="297"/>
      <c r="CZ157" s="297"/>
      <c r="DA157" s="297"/>
    </row>
    <row r="158" spans="1:105">
      <c r="A158" s="37"/>
      <c r="B158" s="37"/>
      <c r="C158" s="538" t="s">
        <v>163</v>
      </c>
      <c r="D158" s="37"/>
      <c r="E158" s="386"/>
      <c r="F158" s="316"/>
      <c r="G158" s="316"/>
      <c r="H158" s="387"/>
      <c r="I158" s="32"/>
      <c r="J158" s="386">
        <f>J156/I150*4</f>
        <v>3.2848589903956095E-2</v>
      </c>
      <c r="K158" s="316">
        <f>K156/J150*4</f>
        <v>3.2887546567853074E-2</v>
      </c>
      <c r="L158" s="316">
        <f>L156/K150*4</f>
        <v>4.6256839615785132E-2</v>
      </c>
      <c r="M158" s="387">
        <f>M156/L150*4</f>
        <v>3.5706471645761496E-2</v>
      </c>
      <c r="N158" s="32">
        <f>N156/AVERAGE(N150,I150)</f>
        <v>3.6091271687368483E-2</v>
      </c>
      <c r="O158" s="386">
        <f>O156/N150*4</f>
        <v>3.6905986433776884E-2</v>
      </c>
      <c r="P158" s="316">
        <f>P156/O150*4</f>
        <v>3.3462939252561302E-2</v>
      </c>
      <c r="Q158" s="316">
        <f>Q156/P150*4</f>
        <v>4.2851387238763909E-2</v>
      </c>
      <c r="R158" s="387">
        <f>R156/Q150*4</f>
        <v>3.2071042648734165E-2</v>
      </c>
      <c r="S158" s="32">
        <f>S156/AVERAGE(S150,N150)</f>
        <v>3.589894493459847E-2</v>
      </c>
      <c r="T158" s="386">
        <f>T156/S150*4</f>
        <v>3.5684036248354867E-2</v>
      </c>
      <c r="U158" s="316">
        <f>U156/T150*4</f>
        <v>3.4309724381163385E-2</v>
      </c>
      <c r="V158" s="316">
        <f>V156/U150*4</f>
        <v>4.4064149677959442E-2</v>
      </c>
      <c r="W158" s="387">
        <f>W156/V150*4</f>
        <v>3.1190121041558685E-2</v>
      </c>
      <c r="X158" s="32">
        <f>X156/AVERAGE(X150,S150)</f>
        <v>3.5660583618016148E-2</v>
      </c>
      <c r="Y158" s="386">
        <f>Y156/X150*4</f>
        <v>3.6207180400890868E-2</v>
      </c>
      <c r="Z158" s="316">
        <f>Z156/Y150*4</f>
        <v>3.2497990713014797E-2</v>
      </c>
      <c r="AA158" s="316">
        <f>AA156/Z150*4</f>
        <v>4.1442082136217674E-2</v>
      </c>
      <c r="AB158" s="387">
        <f>AB156/AA150*4</f>
        <v>3.3204802178307687E-2</v>
      </c>
      <c r="AC158" s="32">
        <f>AC156/AVERAGE(AC150,X150)</f>
        <v>3.5269996206852949E-2</v>
      </c>
      <c r="AD158" s="386">
        <f>AD156/AC150*4</f>
        <v>3.7251216805311155E-2</v>
      </c>
      <c r="AE158" s="316">
        <f>AE156/AD150*4</f>
        <v>3.2997943028776289E-2</v>
      </c>
      <c r="AF158" s="316">
        <f>AF156/AE150*4</f>
        <v>3.8076772307922169E-2</v>
      </c>
      <c r="AG158" s="387">
        <f>AG156/AF150*4</f>
        <v>3.2616121524720099E-2</v>
      </c>
      <c r="AH158" s="32">
        <f>AH156/AVERAGE(AH150,AC150)</f>
        <v>3.419977229146693E-2</v>
      </c>
      <c r="AI158" s="386">
        <f>AI156/AH150*4</f>
        <v>4.2313757183908049E-2</v>
      </c>
      <c r="AJ158" s="316">
        <f>AJ156/AI150*4</f>
        <v>3.7753161604212146E-2</v>
      </c>
      <c r="AK158" s="316">
        <f>AK156/AJ150*4</f>
        <v>3.5641556584064545E-2</v>
      </c>
      <c r="AL158" s="387">
        <f>AL156/AK150*4</f>
        <v>2.1766555905780791E-2</v>
      </c>
      <c r="AM158" s="32">
        <f>AM156/AVERAGE(AM150,AH150)</f>
        <v>3.3293476182889921E-2</v>
      </c>
      <c r="AN158" s="386">
        <f>AN156/AM150*4</f>
        <v>3.4266108593237525E-2</v>
      </c>
      <c r="AO158" s="316">
        <f>AO156/AN150*4</f>
        <v>3.2592305352798057E-2</v>
      </c>
      <c r="AP158" s="316">
        <f>AP156/AO150*4</f>
        <v>3.174632311743613E-2</v>
      </c>
      <c r="AQ158" s="387">
        <f>AQ156/AP150*4</f>
        <v>3.4244277762693461E-2</v>
      </c>
      <c r="AR158" s="32">
        <f>AR156/AVERAGE(AR150,AM150)</f>
        <v>3.255380700041835E-2</v>
      </c>
      <c r="AS158" s="386">
        <f>AS156/AR150*4</f>
        <v>2.9967866935624712E-2</v>
      </c>
      <c r="AT158" s="316">
        <f>AT156/AS150*4</f>
        <v>2.8529834513533532E-2</v>
      </c>
      <c r="AU158" s="316">
        <f>AU156/AT150*4</f>
        <v>2.8344308605987498E-2</v>
      </c>
      <c r="AV158" s="387">
        <f>AV156/AU150*4</f>
        <v>2.939439861455849E-2</v>
      </c>
      <c r="AW158" s="32">
        <f>AW156/AVERAGE(AW150,AR150)</f>
        <v>2.8387876648417434E-2</v>
      </c>
      <c r="AX158" s="386">
        <f>+AW158</f>
        <v>2.8387876648417434E-2</v>
      </c>
      <c r="AY158" s="316">
        <f>+AX158</f>
        <v>2.8387876648417434E-2</v>
      </c>
      <c r="AZ158" s="316">
        <f>+AY158</f>
        <v>2.8387876648417434E-2</v>
      </c>
      <c r="BA158" s="387">
        <f>+AY158</f>
        <v>2.8387876648417434E-2</v>
      </c>
      <c r="BB158" s="32">
        <f>BB156/AVERAGE(BB150,AW150)</f>
        <v>2.8220891784803501E-2</v>
      </c>
      <c r="BC158" s="386">
        <f>+BB158</f>
        <v>2.8220891784803501E-2</v>
      </c>
      <c r="BD158" s="316">
        <f>+BC158</f>
        <v>2.8220891784803501E-2</v>
      </c>
      <c r="BE158" s="316">
        <f>+BD158</f>
        <v>2.8220891784803501E-2</v>
      </c>
      <c r="BF158" s="387">
        <f>+BE158</f>
        <v>2.8220891784803501E-2</v>
      </c>
      <c r="BG158" s="32">
        <f>BG156/AVERAGE(BG150,BB150)</f>
        <v>2.7912793228458927E-2</v>
      </c>
      <c r="BH158" s="386">
        <f>+BG158</f>
        <v>2.7912793228458927E-2</v>
      </c>
      <c r="BI158" s="316">
        <f>+BH158</f>
        <v>2.7912793228458927E-2</v>
      </c>
      <c r="BJ158" s="316">
        <f>+BI158</f>
        <v>2.7912793228458927E-2</v>
      </c>
      <c r="BK158" s="387">
        <f>+BJ158</f>
        <v>2.7912793228458927E-2</v>
      </c>
      <c r="BL158" s="32">
        <f>BL156/AVERAGE(BL150,BG150)</f>
        <v>2.7647458449218135E-2</v>
      </c>
      <c r="BM158" s="386">
        <f>+BL158</f>
        <v>2.7647458449218135E-2</v>
      </c>
      <c r="BN158" s="316">
        <f>+BM158</f>
        <v>2.7647458449218135E-2</v>
      </c>
      <c r="BO158" s="316">
        <f>+BN158</f>
        <v>2.7647458449218135E-2</v>
      </c>
      <c r="BP158" s="387">
        <f>+BO158</f>
        <v>2.7647458449218135E-2</v>
      </c>
      <c r="BQ158" s="32">
        <f>BQ156/AVERAGE(BQ150,BL150)</f>
        <v>2.7520980147517402E-2</v>
      </c>
      <c r="BR158" s="32"/>
      <c r="BS158" s="37"/>
      <c r="BT158" s="37"/>
      <c r="BU158" s="37"/>
      <c r="BV158" s="77"/>
      <c r="BW158" s="77"/>
      <c r="BX158" s="77"/>
      <c r="BY158" s="77"/>
      <c r="BZ158" s="77"/>
      <c r="CA158" s="77"/>
      <c r="CB158" s="37"/>
      <c r="CC158" s="37"/>
      <c r="CD158" s="37"/>
      <c r="CE158" s="37"/>
      <c r="CF158" s="37"/>
      <c r="CG158" s="37"/>
      <c r="CH158" s="37"/>
      <c r="CI158" s="37"/>
      <c r="CJ158" s="37"/>
      <c r="CK158" s="37"/>
      <c r="CL158" s="37"/>
      <c r="CM158" s="37"/>
      <c r="CN158" s="37"/>
      <c r="CO158" s="37"/>
      <c r="CP158" s="37"/>
      <c r="CQ158" s="37"/>
      <c r="CR158" s="37"/>
      <c r="CS158" s="37"/>
      <c r="CT158" s="37"/>
      <c r="CU158" s="37"/>
      <c r="CV158" s="37"/>
      <c r="CW158" s="37"/>
      <c r="CX158" s="37"/>
      <c r="CY158" s="37"/>
      <c r="CZ158" s="37"/>
      <c r="DA158" s="37"/>
    </row>
    <row r="159" spans="1:105">
      <c r="A159" s="1524"/>
      <c r="B159" s="1318"/>
      <c r="C159" s="846" t="s">
        <v>164</v>
      </c>
      <c r="D159" s="846"/>
      <c r="E159" s="409"/>
      <c r="F159" s="847"/>
      <c r="G159" s="847"/>
      <c r="H159" s="410"/>
      <c r="I159" s="673"/>
      <c r="J159" s="369">
        <f>J152/N168</f>
        <v>0.13314240254574383</v>
      </c>
      <c r="K159" s="848">
        <f>K152/N168</f>
        <v>0.13922275258552108</v>
      </c>
      <c r="L159" s="848">
        <f>L152/N168</f>
        <v>0.21620445505171043</v>
      </c>
      <c r="M159" s="370">
        <f>M152/N168</f>
        <v>0.19106284805091486</v>
      </c>
      <c r="N159" s="849">
        <f>N152/N168</f>
        <v>0.19106284805091486</v>
      </c>
      <c r="O159" s="369">
        <f>O152/S168</f>
        <v>0.25134869431643625</v>
      </c>
      <c r="P159" s="848">
        <f>P152/S168</f>
        <v>0.24367818740399386</v>
      </c>
      <c r="Q159" s="848">
        <f>Q152/S168</f>
        <v>0.36903225806451612</v>
      </c>
      <c r="R159" s="370">
        <f>R152/S168</f>
        <v>0.43389938556067587</v>
      </c>
      <c r="S159" s="849">
        <f>S152/S168</f>
        <v>0.43389938556067587</v>
      </c>
      <c r="T159" s="369">
        <f>T152/X168</f>
        <v>0.388391384180791</v>
      </c>
      <c r="U159" s="848">
        <f>U152/X168</f>
        <v>0.45760932203389831</v>
      </c>
      <c r="V159" s="848">
        <f>V152/X168</f>
        <v>0.52682725988700574</v>
      </c>
      <c r="W159" s="370">
        <f>W152/X168</f>
        <v>0.596045197740113</v>
      </c>
      <c r="X159" s="849">
        <f>X152/X168</f>
        <v>0.596045197740113</v>
      </c>
      <c r="Y159" s="369">
        <f>Y152/AC168</f>
        <v>0.5482758620689655</v>
      </c>
      <c r="Z159" s="848">
        <f>Z152/$AC168</f>
        <v>0.61149425287356318</v>
      </c>
      <c r="AA159" s="848">
        <f>AA152/$AC168</f>
        <v>0.67471264367816097</v>
      </c>
      <c r="AB159" s="370">
        <f>AB152/AC168</f>
        <v>0.73793103448275865</v>
      </c>
      <c r="AC159" s="849">
        <f>AC152/AC168</f>
        <v>0.73793103448275865</v>
      </c>
      <c r="AD159" s="369">
        <f>AD152/AH168</f>
        <v>0.70690850277264328</v>
      </c>
      <c r="AE159" s="848">
        <f>AE152/AH168</f>
        <v>0.6721349353049908</v>
      </c>
      <c r="AF159" s="848">
        <f>AF152/AH168</f>
        <v>0.63736136783733821</v>
      </c>
      <c r="AG159" s="370">
        <f>AG152/AH168</f>
        <v>0.60258780036968573</v>
      </c>
      <c r="AH159" s="849">
        <f>AH152/AH168</f>
        <v>0.60258780036968573</v>
      </c>
      <c r="AI159" s="369">
        <f>AI152/AM168</f>
        <v>0.49879271916790491</v>
      </c>
      <c r="AJ159" s="848">
        <f>AJ152/AM168</f>
        <v>0.51318722139673101</v>
      </c>
      <c r="AK159" s="848">
        <f>AK152/AM168</f>
        <v>0.52758172362555722</v>
      </c>
      <c r="AL159" s="370">
        <f>AL152/AM168</f>
        <v>0.54197622585438332</v>
      </c>
      <c r="AM159" s="849">
        <f>AM152/AM168</f>
        <v>0.54197622585438332</v>
      </c>
      <c r="AN159" s="369">
        <f>AN152/AR168</f>
        <v>0.53302556818181823</v>
      </c>
      <c r="AO159" s="848">
        <f>AO152/AR168</f>
        <v>0.53302556818181823</v>
      </c>
      <c r="AP159" s="848">
        <f>AP152/AR168</f>
        <v>0.53302556818181823</v>
      </c>
      <c r="AQ159" s="370">
        <f>AQ152/AR168</f>
        <v>0.53302556818181823</v>
      </c>
      <c r="AR159" s="849">
        <f>AR152/AR168</f>
        <v>0.53302556818181823</v>
      </c>
      <c r="AS159" s="369">
        <f>AS152/AW168</f>
        <v>0.59438163754710516</v>
      </c>
      <c r="AT159" s="848">
        <f>AT152/AW168</f>
        <v>0.59438163754710516</v>
      </c>
      <c r="AU159" s="848">
        <f>AU152/AW168</f>
        <v>0.59438163754710516</v>
      </c>
      <c r="AV159" s="370">
        <f>AV152/AW168</f>
        <v>0.59438163754710516</v>
      </c>
      <c r="AW159" s="849">
        <f>AW152/AW168</f>
        <v>0.59438163754710516</v>
      </c>
      <c r="AX159" s="409">
        <f t="shared" ref="AX159:BL159" si="193">AW159</f>
        <v>0.59438163754710516</v>
      </c>
      <c r="AY159" s="847">
        <f t="shared" si="193"/>
        <v>0.59438163754710516</v>
      </c>
      <c r="AZ159" s="847">
        <f>AY159</f>
        <v>0.59438163754710516</v>
      </c>
      <c r="BA159" s="410">
        <f>AY159</f>
        <v>0.59438163754710516</v>
      </c>
      <c r="BB159" s="849">
        <f>BA159</f>
        <v>0.59438163754710516</v>
      </c>
      <c r="BC159" s="409">
        <f t="shared" si="193"/>
        <v>0.59438163754710516</v>
      </c>
      <c r="BD159" s="847">
        <f t="shared" si="193"/>
        <v>0.59438163754710516</v>
      </c>
      <c r="BE159" s="847">
        <f t="shared" si="193"/>
        <v>0.59438163754710516</v>
      </c>
      <c r="BF159" s="410">
        <f t="shared" si="193"/>
        <v>0.59438163754710516</v>
      </c>
      <c r="BG159" s="849">
        <f t="shared" si="193"/>
        <v>0.59438163754710516</v>
      </c>
      <c r="BH159" s="409">
        <f t="shared" si="193"/>
        <v>0.59438163754710516</v>
      </c>
      <c r="BI159" s="847">
        <f t="shared" si="193"/>
        <v>0.59438163754710516</v>
      </c>
      <c r="BJ159" s="847">
        <f t="shared" si="193"/>
        <v>0.59438163754710516</v>
      </c>
      <c r="BK159" s="410">
        <f t="shared" si="193"/>
        <v>0.59438163754710516</v>
      </c>
      <c r="BL159" s="849">
        <f t="shared" si="193"/>
        <v>0.59438163754710516</v>
      </c>
      <c r="BM159" s="409">
        <f>BL159</f>
        <v>0.59438163754710516</v>
      </c>
      <c r="BN159" s="847">
        <f>BM159</f>
        <v>0.59438163754710516</v>
      </c>
      <c r="BO159" s="847">
        <f>BN159</f>
        <v>0.59438163754710516</v>
      </c>
      <c r="BP159" s="410">
        <f>BO159</f>
        <v>0.59438163754710516</v>
      </c>
      <c r="BQ159" s="849">
        <f>BP159</f>
        <v>0.59438163754710516</v>
      </c>
      <c r="BR159" s="849"/>
      <c r="BS159" s="1740"/>
      <c r="BT159" s="846"/>
      <c r="BU159" s="1524"/>
      <c r="BV159" s="77"/>
      <c r="BW159" s="77"/>
      <c r="BX159" s="77"/>
      <c r="BY159" s="77"/>
      <c r="BZ159" s="77"/>
      <c r="CA159" s="77"/>
      <c r="CB159" s="846"/>
      <c r="CC159" s="846"/>
      <c r="CD159" s="846"/>
      <c r="CE159" s="846"/>
      <c r="CF159" s="846"/>
      <c r="CG159" s="846"/>
      <c r="CH159" s="846"/>
      <c r="CI159" s="846"/>
      <c r="CJ159" s="846"/>
      <c r="CK159" s="846"/>
      <c r="CL159" s="846"/>
      <c r="CM159" s="846"/>
      <c r="CN159" s="846"/>
      <c r="CO159" s="846"/>
      <c r="CP159" s="846"/>
      <c r="CQ159" s="846"/>
      <c r="CR159" s="846"/>
      <c r="CS159" s="846"/>
      <c r="CT159" s="846"/>
      <c r="CU159" s="846"/>
      <c r="CV159" s="846"/>
      <c r="CW159" s="846"/>
      <c r="CX159" s="846"/>
      <c r="CY159" s="846"/>
      <c r="CZ159" s="846"/>
      <c r="DA159" s="846"/>
    </row>
    <row r="160" spans="1:105">
      <c r="A160" s="37"/>
      <c r="B160" s="37"/>
      <c r="C160" s="538"/>
      <c r="D160" s="37"/>
      <c r="E160" s="386"/>
      <c r="F160" s="316"/>
      <c r="G160" s="316"/>
      <c r="H160" s="387"/>
      <c r="I160" s="32"/>
      <c r="J160" s="386"/>
      <c r="K160" s="316"/>
      <c r="L160" s="316"/>
      <c r="M160" s="387"/>
      <c r="N160" s="32"/>
      <c r="O160" s="386"/>
      <c r="P160" s="316"/>
      <c r="Q160" s="850"/>
      <c r="R160" s="851"/>
      <c r="S160" s="32"/>
      <c r="T160" s="386"/>
      <c r="U160" s="850"/>
      <c r="V160" s="850"/>
      <c r="W160" s="851"/>
      <c r="X160" s="32"/>
      <c r="Y160" s="852"/>
      <c r="Z160" s="850"/>
      <c r="AA160" s="850"/>
      <c r="AB160" s="851"/>
      <c r="AC160" s="32"/>
      <c r="AD160" s="852"/>
      <c r="AE160" s="850"/>
      <c r="AF160" s="850"/>
      <c r="AG160" s="851"/>
      <c r="AH160" s="32"/>
      <c r="AI160" s="852"/>
      <c r="AJ160" s="316"/>
      <c r="AK160" s="850"/>
      <c r="AL160" s="851"/>
      <c r="AM160" s="32"/>
      <c r="AN160" s="386"/>
      <c r="AO160" s="316"/>
      <c r="AP160" s="316"/>
      <c r="AQ160" s="851"/>
      <c r="AR160" s="32"/>
      <c r="AS160" s="386"/>
      <c r="AT160" s="316"/>
      <c r="AU160" s="850"/>
      <c r="AV160" s="851"/>
      <c r="AW160" s="32"/>
      <c r="AX160" s="386"/>
      <c r="AY160" s="316"/>
      <c r="AZ160" s="316"/>
      <c r="BA160" s="851"/>
      <c r="BB160" s="32"/>
      <c r="BC160" s="386"/>
      <c r="BD160" s="316"/>
      <c r="BE160" s="850"/>
      <c r="BF160" s="851"/>
      <c r="BG160" s="32"/>
      <c r="BH160" s="386"/>
      <c r="BI160" s="316"/>
      <c r="BJ160" s="850"/>
      <c r="BK160" s="851"/>
      <c r="BL160" s="32"/>
      <c r="BM160" s="386"/>
      <c r="BN160" s="316"/>
      <c r="BO160" s="850"/>
      <c r="BP160" s="851"/>
      <c r="BQ160" s="32"/>
      <c r="BR160" s="32"/>
      <c r="BS160" s="37"/>
      <c r="BT160" s="1527" t="s">
        <v>1108</v>
      </c>
      <c r="BU160" s="1502"/>
      <c r="BV160" s="77"/>
      <c r="BW160" s="77"/>
      <c r="BX160" s="77"/>
      <c r="BY160" s="77"/>
      <c r="BZ160" s="77"/>
      <c r="CA160" s="77"/>
      <c r="CB160" s="37"/>
      <c r="CC160" s="37"/>
      <c r="CD160" s="37"/>
      <c r="CE160" s="37"/>
      <c r="CF160" s="37"/>
      <c r="CG160" s="37"/>
      <c r="CH160" s="37"/>
      <c r="CI160" s="37"/>
      <c r="CJ160" s="37"/>
      <c r="CK160" s="37"/>
      <c r="CL160" s="37"/>
      <c r="CM160" s="37"/>
      <c r="CN160" s="37"/>
      <c r="CO160" s="37"/>
      <c r="CP160" s="37"/>
      <c r="CQ160" s="37"/>
      <c r="CR160" s="37"/>
      <c r="CS160" s="37"/>
      <c r="CT160" s="37"/>
      <c r="CU160" s="37"/>
      <c r="CV160" s="37"/>
      <c r="CW160" s="37"/>
      <c r="CX160" s="37"/>
      <c r="CY160" s="37"/>
      <c r="CZ160" s="37"/>
      <c r="DA160" s="37"/>
    </row>
    <row r="161" spans="1:105">
      <c r="A161" s="37"/>
      <c r="B161" s="37"/>
      <c r="C161" s="538" t="s">
        <v>165</v>
      </c>
      <c r="D161" s="37"/>
      <c r="E161" s="386"/>
      <c r="F161" s="316"/>
      <c r="G161" s="316"/>
      <c r="H161" s="387"/>
      <c r="I161" s="590"/>
      <c r="J161" s="386"/>
      <c r="K161" s="316"/>
      <c r="L161" s="316"/>
      <c r="M161" s="387"/>
      <c r="N161" s="590"/>
      <c r="O161" s="456"/>
      <c r="P161" s="457"/>
      <c r="Q161" s="457"/>
      <c r="R161" s="395"/>
      <c r="S161" s="590"/>
      <c r="T161" s="456"/>
      <c r="U161" s="457"/>
      <c r="V161" s="457"/>
      <c r="W161" s="395"/>
      <c r="X161" s="462"/>
      <c r="Y161" s="459"/>
      <c r="Z161" s="460"/>
      <c r="AA161" s="460"/>
      <c r="AB161" s="395"/>
      <c r="AC161" s="462"/>
      <c r="AD161" s="459"/>
      <c r="AE161" s="460"/>
      <c r="AF161" s="460"/>
      <c r="AG161" s="395"/>
      <c r="AH161" s="462"/>
      <c r="AI161" s="459"/>
      <c r="AJ161" s="460"/>
      <c r="AK161" s="460"/>
      <c r="AL161" s="395"/>
      <c r="AM161" s="462"/>
      <c r="AN161" s="459"/>
      <c r="AO161" s="460"/>
      <c r="AP161" s="460"/>
      <c r="AQ161" s="395"/>
      <c r="AR161" s="462"/>
      <c r="AS161" s="394"/>
      <c r="AT161" s="342"/>
      <c r="AU161" s="342"/>
      <c r="AV161" s="395"/>
      <c r="AW161" s="462"/>
      <c r="AX161" s="394">
        <f t="shared" ref="AX161:AX168" si="194">BB161/4</f>
        <v>308.75</v>
      </c>
      <c r="AY161" s="342">
        <f t="shared" ref="AY161:AY167" si="195">BB161/4</f>
        <v>308.75</v>
      </c>
      <c r="AZ161" s="342">
        <f t="shared" ref="AZ161:AZ167" si="196">BC161/4</f>
        <v>80.625</v>
      </c>
      <c r="BA161" s="395">
        <f t="shared" ref="BA161:BA167" si="197">BB161/4</f>
        <v>308.75</v>
      </c>
      <c r="BB161" s="589">
        <v>1235</v>
      </c>
      <c r="BC161" s="394">
        <f t="shared" ref="BC161:BC168" si="198">BG161/4</f>
        <v>322.5</v>
      </c>
      <c r="BD161" s="342">
        <f t="shared" ref="BD161:BD167" si="199">BG161/4</f>
        <v>322.5</v>
      </c>
      <c r="BE161" s="342">
        <f t="shared" ref="BE161:BE167" si="200">BG161/4</f>
        <v>322.5</v>
      </c>
      <c r="BF161" s="395">
        <f t="shared" ref="BF161:BF167" si="201">BG161/4</f>
        <v>322.5</v>
      </c>
      <c r="BG161" s="589">
        <v>1290</v>
      </c>
      <c r="BH161" s="394">
        <f t="shared" ref="BH161:BH168" si="202">BL161/4</f>
        <v>320</v>
      </c>
      <c r="BI161" s="342">
        <f t="shared" ref="BI161:BI167" si="203">BL161/4</f>
        <v>320</v>
      </c>
      <c r="BJ161" s="342">
        <f t="shared" ref="BJ161:BJ167" si="204">BL161/4</f>
        <v>320</v>
      </c>
      <c r="BK161" s="395">
        <f t="shared" ref="BK161:BK167" si="205">BL161/4</f>
        <v>320</v>
      </c>
      <c r="BL161" s="589">
        <v>1280</v>
      </c>
      <c r="BM161" s="394">
        <f t="shared" ref="BM161:BM168" si="206">BQ161/4</f>
        <v>250</v>
      </c>
      <c r="BN161" s="342">
        <f t="shared" ref="BN161:BN167" si="207">BQ161/4</f>
        <v>250</v>
      </c>
      <c r="BO161" s="342">
        <f t="shared" ref="BO161:BO167" si="208">BQ161/4</f>
        <v>250</v>
      </c>
      <c r="BP161" s="395">
        <f t="shared" ref="BP161:BP167" si="209">BQ161/4</f>
        <v>250</v>
      </c>
      <c r="BQ161" s="589">
        <v>1000</v>
      </c>
      <c r="BR161" s="77"/>
      <c r="BS161" s="37">
        <v>1000</v>
      </c>
      <c r="BT161" s="476">
        <f t="shared" ref="BT161:BT168" si="210">BS161+BB161+BG161+BL161+BQ161</f>
        <v>5805</v>
      </c>
      <c r="BU161" s="1502"/>
      <c r="BV161" s="77"/>
      <c r="BW161" s="77"/>
      <c r="BX161" s="77"/>
      <c r="BY161" s="77"/>
      <c r="BZ161" s="77"/>
      <c r="CA161" s="77"/>
      <c r="CB161" s="37"/>
      <c r="CC161" s="37"/>
      <c r="CD161" s="37"/>
      <c r="CE161" s="37"/>
      <c r="CF161" s="37"/>
      <c r="CG161" s="37"/>
      <c r="CH161" s="37"/>
      <c r="CI161" s="37"/>
      <c r="CJ161" s="37"/>
      <c r="CK161" s="37"/>
      <c r="CL161" s="37"/>
      <c r="CM161" s="37"/>
      <c r="CN161" s="37"/>
      <c r="CO161" s="37"/>
      <c r="CP161" s="37"/>
      <c r="CQ161" s="37"/>
      <c r="CR161" s="37"/>
      <c r="CS161" s="37"/>
      <c r="CT161" s="37"/>
      <c r="CU161" s="37"/>
      <c r="CV161" s="37"/>
      <c r="CW161" s="37"/>
      <c r="CX161" s="37"/>
      <c r="CY161" s="37"/>
      <c r="CZ161" s="37"/>
      <c r="DA161" s="37"/>
    </row>
    <row r="162" spans="1:105">
      <c r="A162" s="37"/>
      <c r="B162" s="37"/>
      <c r="C162" s="538" t="s">
        <v>166</v>
      </c>
      <c r="D162" s="37"/>
      <c r="E162" s="386"/>
      <c r="F162" s="316"/>
      <c r="G162" s="316"/>
      <c r="H162" s="387"/>
      <c r="I162" s="590"/>
      <c r="J162" s="386"/>
      <c r="K162" s="316"/>
      <c r="L162" s="316"/>
      <c r="M162" s="387"/>
      <c r="N162" s="590"/>
      <c r="O162" s="456"/>
      <c r="P162" s="457"/>
      <c r="Q162" s="457"/>
      <c r="R162" s="395"/>
      <c r="S162" s="590"/>
      <c r="T162" s="456"/>
      <c r="U162" s="457"/>
      <c r="V162" s="457"/>
      <c r="W162" s="395"/>
      <c r="X162" s="462"/>
      <c r="Y162" s="459"/>
      <c r="Z162" s="460"/>
      <c r="AA162" s="460"/>
      <c r="AB162" s="395"/>
      <c r="AC162" s="462"/>
      <c r="AD162" s="459"/>
      <c r="AE162" s="460"/>
      <c r="AF162" s="460"/>
      <c r="AG162" s="395"/>
      <c r="AH162" s="462"/>
      <c r="AI162" s="459"/>
      <c r="AJ162" s="460"/>
      <c r="AK162" s="460"/>
      <c r="AL162" s="395"/>
      <c r="AM162" s="462"/>
      <c r="AN162" s="459"/>
      <c r="AO162" s="460"/>
      <c r="AP162" s="460"/>
      <c r="AQ162" s="395"/>
      <c r="AR162" s="462"/>
      <c r="AS162" s="394"/>
      <c r="AT162" s="342"/>
      <c r="AU162" s="342"/>
      <c r="AV162" s="395"/>
      <c r="AW162" s="462"/>
      <c r="AX162" s="394">
        <f t="shared" si="194"/>
        <v>253.75</v>
      </c>
      <c r="AY162" s="342">
        <f t="shared" si="195"/>
        <v>253.75</v>
      </c>
      <c r="AZ162" s="342">
        <f t="shared" si="196"/>
        <v>44.6875</v>
      </c>
      <c r="BA162" s="395">
        <f t="shared" si="197"/>
        <v>253.75</v>
      </c>
      <c r="BB162" s="589">
        <v>1015</v>
      </c>
      <c r="BC162" s="394">
        <f t="shared" si="198"/>
        <v>178.75</v>
      </c>
      <c r="BD162" s="342">
        <f t="shared" si="199"/>
        <v>178.75</v>
      </c>
      <c r="BE162" s="342">
        <f t="shared" si="200"/>
        <v>178.75</v>
      </c>
      <c r="BF162" s="395">
        <f t="shared" si="201"/>
        <v>178.75</v>
      </c>
      <c r="BG162" s="589">
        <v>715</v>
      </c>
      <c r="BH162" s="394">
        <f t="shared" si="202"/>
        <v>176.25</v>
      </c>
      <c r="BI162" s="342">
        <f t="shared" si="203"/>
        <v>176.25</v>
      </c>
      <c r="BJ162" s="342">
        <f t="shared" si="204"/>
        <v>176.25</v>
      </c>
      <c r="BK162" s="395">
        <f t="shared" si="205"/>
        <v>176.25</v>
      </c>
      <c r="BL162" s="589">
        <v>705</v>
      </c>
      <c r="BM162" s="394">
        <f t="shared" si="206"/>
        <v>150</v>
      </c>
      <c r="BN162" s="342">
        <f t="shared" si="207"/>
        <v>150</v>
      </c>
      <c r="BO162" s="342">
        <f t="shared" si="208"/>
        <v>150</v>
      </c>
      <c r="BP162" s="395">
        <f t="shared" si="209"/>
        <v>150</v>
      </c>
      <c r="BQ162" s="589">
        <v>600</v>
      </c>
      <c r="BR162" s="77"/>
      <c r="BS162" s="476">
        <v>600</v>
      </c>
      <c r="BT162" s="476">
        <f t="shared" si="210"/>
        <v>3635</v>
      </c>
      <c r="BU162" s="1502"/>
      <c r="BV162" s="77"/>
      <c r="BW162" s="77"/>
      <c r="BX162" s="77"/>
      <c r="BY162" s="77"/>
      <c r="BZ162" s="77"/>
      <c r="CA162" s="77"/>
      <c r="CB162" s="37"/>
      <c r="CC162" s="37"/>
      <c r="CD162" s="37"/>
      <c r="CE162" s="37"/>
      <c r="CF162" s="37"/>
      <c r="CG162" s="37"/>
      <c r="CH162" s="37"/>
      <c r="CI162" s="37"/>
      <c r="CJ162" s="37"/>
      <c r="CK162" s="37"/>
      <c r="CL162" s="37"/>
      <c r="CM162" s="37"/>
      <c r="CN162" s="37"/>
      <c r="CO162" s="37"/>
      <c r="CP162" s="37"/>
      <c r="CQ162" s="37"/>
      <c r="CR162" s="37"/>
      <c r="CS162" s="37"/>
      <c r="CT162" s="37"/>
      <c r="CU162" s="37"/>
      <c r="CV162" s="37"/>
      <c r="CW162" s="37"/>
      <c r="CX162" s="37"/>
      <c r="CY162" s="37"/>
      <c r="CZ162" s="37"/>
      <c r="DA162" s="37"/>
    </row>
    <row r="163" spans="1:105">
      <c r="A163" s="37"/>
      <c r="B163" s="37"/>
      <c r="C163" s="538" t="s">
        <v>167</v>
      </c>
      <c r="D163" s="37"/>
      <c r="E163" s="386"/>
      <c r="F163" s="316"/>
      <c r="G163" s="316"/>
      <c r="H163" s="387"/>
      <c r="I163" s="590"/>
      <c r="J163" s="386"/>
      <c r="K163" s="316"/>
      <c r="L163" s="316"/>
      <c r="M163" s="387"/>
      <c r="N163" s="590"/>
      <c r="O163" s="456"/>
      <c r="P163" s="457"/>
      <c r="Q163" s="457"/>
      <c r="R163" s="395"/>
      <c r="S163" s="590"/>
      <c r="T163" s="456"/>
      <c r="U163" s="457"/>
      <c r="V163" s="457"/>
      <c r="W163" s="395"/>
      <c r="X163" s="462"/>
      <c r="Y163" s="459"/>
      <c r="Z163" s="460"/>
      <c r="AA163" s="460"/>
      <c r="AB163" s="395"/>
      <c r="AC163" s="462"/>
      <c r="AD163" s="459"/>
      <c r="AE163" s="460"/>
      <c r="AF163" s="460"/>
      <c r="AG163" s="395"/>
      <c r="AH163" s="462"/>
      <c r="AI163" s="459"/>
      <c r="AJ163" s="460"/>
      <c r="AK163" s="460"/>
      <c r="AL163" s="395"/>
      <c r="AM163" s="462"/>
      <c r="AN163" s="459"/>
      <c r="AO163" s="460"/>
      <c r="AP163" s="460"/>
      <c r="AQ163" s="395"/>
      <c r="AR163" s="462"/>
      <c r="AS163" s="394"/>
      <c r="AT163" s="342"/>
      <c r="AU163" s="342"/>
      <c r="AV163" s="395"/>
      <c r="AW163" s="462"/>
      <c r="AX163" s="394">
        <f t="shared" si="194"/>
        <v>0</v>
      </c>
      <c r="AY163" s="342">
        <f t="shared" si="195"/>
        <v>0</v>
      </c>
      <c r="AZ163" s="342">
        <f t="shared" si="196"/>
        <v>0</v>
      </c>
      <c r="BA163" s="395">
        <f t="shared" si="197"/>
        <v>0</v>
      </c>
      <c r="BB163" s="589">
        <v>0</v>
      </c>
      <c r="BC163" s="394">
        <f t="shared" si="198"/>
        <v>0</v>
      </c>
      <c r="BD163" s="342">
        <f t="shared" si="199"/>
        <v>0</v>
      </c>
      <c r="BE163" s="342">
        <f t="shared" si="200"/>
        <v>0</v>
      </c>
      <c r="BF163" s="395">
        <f t="shared" si="201"/>
        <v>0</v>
      </c>
      <c r="BG163" s="589">
        <v>0</v>
      </c>
      <c r="BH163" s="394">
        <f t="shared" si="202"/>
        <v>0</v>
      </c>
      <c r="BI163" s="342">
        <f t="shared" si="203"/>
        <v>0</v>
      </c>
      <c r="BJ163" s="342">
        <f t="shared" si="204"/>
        <v>0</v>
      </c>
      <c r="BK163" s="395">
        <f t="shared" si="205"/>
        <v>0</v>
      </c>
      <c r="BL163" s="589">
        <v>0</v>
      </c>
      <c r="BM163" s="394">
        <f t="shared" si="206"/>
        <v>0</v>
      </c>
      <c r="BN163" s="342">
        <f t="shared" si="207"/>
        <v>0</v>
      </c>
      <c r="BO163" s="342">
        <f t="shared" si="208"/>
        <v>0</v>
      </c>
      <c r="BP163" s="395">
        <f t="shared" si="209"/>
        <v>0</v>
      </c>
      <c r="BQ163" s="589">
        <v>0</v>
      </c>
      <c r="BR163" s="77"/>
      <c r="BS163" s="37"/>
      <c r="BT163" s="476">
        <f t="shared" si="210"/>
        <v>0</v>
      </c>
      <c r="BU163" s="1502"/>
      <c r="BV163" s="37"/>
      <c r="BW163" s="37"/>
      <c r="BX163" s="37"/>
      <c r="BY163" s="37"/>
      <c r="BZ163" s="37"/>
      <c r="CA163" s="37"/>
      <c r="CB163" s="37"/>
      <c r="CC163" s="37"/>
      <c r="CD163" s="37"/>
      <c r="CE163" s="37"/>
      <c r="CF163" s="37"/>
      <c r="CG163" s="37"/>
      <c r="CH163" s="37"/>
      <c r="CI163" s="37"/>
      <c r="CJ163" s="37"/>
      <c r="CK163" s="37"/>
      <c r="CL163" s="37"/>
      <c r="CM163" s="37"/>
      <c r="CN163" s="37"/>
      <c r="CO163" s="37"/>
      <c r="CP163" s="37"/>
      <c r="CQ163" s="37"/>
      <c r="CR163" s="37"/>
      <c r="CS163" s="37"/>
      <c r="CT163" s="37"/>
      <c r="CU163" s="37"/>
      <c r="CV163" s="37"/>
      <c r="CW163" s="37"/>
      <c r="CX163" s="37"/>
      <c r="CY163" s="37"/>
      <c r="CZ163" s="37"/>
      <c r="DA163" s="37"/>
    </row>
    <row r="164" spans="1:105">
      <c r="A164" s="37"/>
      <c r="B164" s="37"/>
      <c r="C164" s="538" t="s">
        <v>168</v>
      </c>
      <c r="D164" s="37"/>
      <c r="E164" s="386"/>
      <c r="F164" s="316"/>
      <c r="G164" s="316"/>
      <c r="H164" s="387"/>
      <c r="I164" s="590"/>
      <c r="J164" s="386"/>
      <c r="K164" s="316"/>
      <c r="L164" s="316"/>
      <c r="M164" s="387"/>
      <c r="N164" s="590"/>
      <c r="O164" s="456"/>
      <c r="P164" s="457"/>
      <c r="Q164" s="457"/>
      <c r="R164" s="395"/>
      <c r="S164" s="590"/>
      <c r="T164" s="456"/>
      <c r="U164" s="457"/>
      <c r="V164" s="457"/>
      <c r="W164" s="395"/>
      <c r="X164" s="462"/>
      <c r="Y164" s="459"/>
      <c r="Z164" s="460"/>
      <c r="AA164" s="460"/>
      <c r="AB164" s="395"/>
      <c r="AC164" s="462"/>
      <c r="AD164" s="459"/>
      <c r="AE164" s="460"/>
      <c r="AF164" s="460"/>
      <c r="AG164" s="395"/>
      <c r="AH164" s="462"/>
      <c r="AI164" s="459"/>
      <c r="AJ164" s="460"/>
      <c r="AK164" s="460"/>
      <c r="AL164" s="395"/>
      <c r="AM164" s="462"/>
      <c r="AN164" s="459"/>
      <c r="AO164" s="460"/>
      <c r="AP164" s="460"/>
      <c r="AQ164" s="395"/>
      <c r="AR164" s="462"/>
      <c r="AS164" s="394"/>
      <c r="AT164" s="342"/>
      <c r="AU164" s="342"/>
      <c r="AV164" s="395"/>
      <c r="AW164" s="462"/>
      <c r="AX164" s="394">
        <f t="shared" si="194"/>
        <v>21.25</v>
      </c>
      <c r="AY164" s="342">
        <f t="shared" si="195"/>
        <v>21.25</v>
      </c>
      <c r="AZ164" s="342">
        <f t="shared" si="196"/>
        <v>4.6875</v>
      </c>
      <c r="BA164" s="395">
        <f t="shared" si="197"/>
        <v>21.25</v>
      </c>
      <c r="BB164" s="589">
        <v>85</v>
      </c>
      <c r="BC164" s="394">
        <f t="shared" si="198"/>
        <v>18.75</v>
      </c>
      <c r="BD164" s="342">
        <f t="shared" si="199"/>
        <v>18.75</v>
      </c>
      <c r="BE164" s="342">
        <f t="shared" si="200"/>
        <v>18.75</v>
      </c>
      <c r="BF164" s="395">
        <f t="shared" si="201"/>
        <v>18.75</v>
      </c>
      <c r="BG164" s="589">
        <v>75</v>
      </c>
      <c r="BH164" s="394">
        <f t="shared" si="202"/>
        <v>13.75</v>
      </c>
      <c r="BI164" s="342">
        <f t="shared" si="203"/>
        <v>13.75</v>
      </c>
      <c r="BJ164" s="342">
        <f t="shared" si="204"/>
        <v>13.75</v>
      </c>
      <c r="BK164" s="395">
        <f t="shared" si="205"/>
        <v>13.75</v>
      </c>
      <c r="BL164" s="589">
        <v>55</v>
      </c>
      <c r="BM164" s="394">
        <f t="shared" si="206"/>
        <v>0</v>
      </c>
      <c r="BN164" s="342">
        <f t="shared" si="207"/>
        <v>0</v>
      </c>
      <c r="BO164" s="342">
        <f t="shared" si="208"/>
        <v>0</v>
      </c>
      <c r="BP164" s="395">
        <f t="shared" si="209"/>
        <v>0</v>
      </c>
      <c r="BQ164" s="589">
        <v>0</v>
      </c>
      <c r="BR164" s="77"/>
      <c r="BS164" s="37"/>
      <c r="BT164" s="476">
        <f t="shared" si="210"/>
        <v>215</v>
      </c>
      <c r="BU164" s="1502"/>
      <c r="CB164" s="37"/>
      <c r="CC164" s="37"/>
      <c r="CD164" s="37"/>
      <c r="CE164" s="37"/>
      <c r="CF164" s="37"/>
      <c r="CG164" s="37"/>
      <c r="CH164" s="37"/>
      <c r="CI164" s="37"/>
      <c r="CJ164" s="37"/>
      <c r="CK164" s="37"/>
      <c r="CL164" s="37"/>
      <c r="CM164" s="37"/>
      <c r="CN164" s="37"/>
      <c r="CO164" s="37"/>
      <c r="CP164" s="37"/>
      <c r="CQ164" s="37"/>
      <c r="CR164" s="37"/>
      <c r="CS164" s="37"/>
      <c r="CT164" s="37"/>
      <c r="CU164" s="37"/>
      <c r="CV164" s="37"/>
      <c r="CW164" s="37"/>
      <c r="CX164" s="37"/>
      <c r="CY164" s="37"/>
      <c r="CZ164" s="37"/>
      <c r="DA164" s="37"/>
    </row>
    <row r="165" spans="1:105">
      <c r="A165" s="37"/>
      <c r="B165" s="37"/>
      <c r="C165" s="538" t="s">
        <v>863</v>
      </c>
      <c r="D165" s="37"/>
      <c r="E165" s="386"/>
      <c r="F165" s="316"/>
      <c r="G165" s="316"/>
      <c r="H165" s="387"/>
      <c r="I165" s="590"/>
      <c r="J165" s="386"/>
      <c r="K165" s="316"/>
      <c r="L165" s="316"/>
      <c r="M165" s="387"/>
      <c r="N165" s="590"/>
      <c r="O165" s="456"/>
      <c r="P165" s="457"/>
      <c r="Q165" s="457"/>
      <c r="R165" s="395"/>
      <c r="S165" s="590"/>
      <c r="T165" s="456"/>
      <c r="U165" s="457"/>
      <c r="V165" s="457"/>
      <c r="W165" s="395"/>
      <c r="X165" s="462"/>
      <c r="Y165" s="459"/>
      <c r="Z165" s="460"/>
      <c r="AA165" s="460"/>
      <c r="AB165" s="395"/>
      <c r="AC165" s="462"/>
      <c r="AD165" s="459"/>
      <c r="AE165" s="460"/>
      <c r="AF165" s="460"/>
      <c r="AG165" s="395"/>
      <c r="AH165" s="462"/>
      <c r="AI165" s="459"/>
      <c r="AJ165" s="460"/>
      <c r="AK165" s="460"/>
      <c r="AL165" s="395"/>
      <c r="AM165" s="462"/>
      <c r="AN165" s="459"/>
      <c r="AO165" s="460"/>
      <c r="AP165" s="460"/>
      <c r="AQ165" s="395"/>
      <c r="AR165" s="462"/>
      <c r="AS165" s="394"/>
      <c r="AT165" s="342"/>
      <c r="AU165" s="342"/>
      <c r="AV165" s="395"/>
      <c r="AW165" s="462"/>
      <c r="AX165" s="394">
        <f t="shared" si="194"/>
        <v>8.75</v>
      </c>
      <c r="AY165" s="342">
        <f t="shared" si="195"/>
        <v>8.75</v>
      </c>
      <c r="AZ165" s="342">
        <f t="shared" si="196"/>
        <v>0</v>
      </c>
      <c r="BA165" s="395">
        <f t="shared" si="197"/>
        <v>8.75</v>
      </c>
      <c r="BB165" s="589">
        <v>35</v>
      </c>
      <c r="BC165" s="394">
        <f t="shared" si="198"/>
        <v>0</v>
      </c>
      <c r="BD165" s="342">
        <f t="shared" si="199"/>
        <v>0</v>
      </c>
      <c r="BE165" s="342">
        <f t="shared" si="200"/>
        <v>0</v>
      </c>
      <c r="BF165" s="395">
        <f t="shared" si="201"/>
        <v>0</v>
      </c>
      <c r="BG165" s="589">
        <v>0</v>
      </c>
      <c r="BH165" s="394">
        <f t="shared" si="202"/>
        <v>0</v>
      </c>
      <c r="BI165" s="342">
        <f t="shared" si="203"/>
        <v>0</v>
      </c>
      <c r="BJ165" s="342">
        <f t="shared" si="204"/>
        <v>0</v>
      </c>
      <c r="BK165" s="395">
        <f t="shared" si="205"/>
        <v>0</v>
      </c>
      <c r="BL165" s="589">
        <v>0</v>
      </c>
      <c r="BM165" s="394">
        <f t="shared" si="206"/>
        <v>0</v>
      </c>
      <c r="BN165" s="342">
        <f t="shared" si="207"/>
        <v>0</v>
      </c>
      <c r="BO165" s="342">
        <f t="shared" si="208"/>
        <v>0</v>
      </c>
      <c r="BP165" s="395">
        <f t="shared" si="209"/>
        <v>0</v>
      </c>
      <c r="BQ165" s="589">
        <v>0</v>
      </c>
      <c r="BR165" s="77"/>
      <c r="BS165" s="37"/>
      <c r="BT165" s="476">
        <f t="shared" si="210"/>
        <v>35</v>
      </c>
      <c r="BU165" s="1502"/>
      <c r="CB165" s="37"/>
      <c r="CC165" s="37"/>
      <c r="CD165" s="37"/>
      <c r="CE165" s="37"/>
      <c r="CF165" s="37"/>
      <c r="CG165" s="37"/>
      <c r="CH165" s="37"/>
      <c r="CI165" s="37"/>
      <c r="CJ165" s="37"/>
      <c r="CK165" s="37"/>
      <c r="CL165" s="37"/>
      <c r="CM165" s="37"/>
      <c r="CN165" s="37"/>
      <c r="CO165" s="37"/>
      <c r="CP165" s="37"/>
      <c r="CQ165" s="37"/>
      <c r="CR165" s="37"/>
      <c r="CS165" s="37"/>
      <c r="CT165" s="37"/>
      <c r="CU165" s="37"/>
      <c r="CV165" s="37"/>
      <c r="CW165" s="37"/>
      <c r="CX165" s="37"/>
      <c r="CY165" s="37"/>
      <c r="CZ165" s="37"/>
      <c r="DA165" s="37"/>
    </row>
    <row r="166" spans="1:105">
      <c r="A166" s="37"/>
      <c r="B166" s="37"/>
      <c r="C166" s="538" t="s">
        <v>1015</v>
      </c>
      <c r="D166" s="37"/>
      <c r="E166" s="386"/>
      <c r="F166" s="316"/>
      <c r="G166" s="316"/>
      <c r="H166" s="387"/>
      <c r="I166" s="590"/>
      <c r="J166" s="386"/>
      <c r="K166" s="316"/>
      <c r="L166" s="316"/>
      <c r="M166" s="387"/>
      <c r="N166" s="590"/>
      <c r="O166" s="456"/>
      <c r="P166" s="457"/>
      <c r="Q166" s="457"/>
      <c r="R166" s="395"/>
      <c r="S166" s="590"/>
      <c r="T166" s="456"/>
      <c r="U166" s="457"/>
      <c r="V166" s="457"/>
      <c r="W166" s="395"/>
      <c r="X166" s="462"/>
      <c r="Y166" s="459"/>
      <c r="Z166" s="460"/>
      <c r="AA166" s="460"/>
      <c r="AB166" s="395"/>
      <c r="AC166" s="462"/>
      <c r="AD166" s="459"/>
      <c r="AE166" s="460"/>
      <c r="AF166" s="460"/>
      <c r="AG166" s="395"/>
      <c r="AH166" s="462"/>
      <c r="AI166" s="459"/>
      <c r="AJ166" s="460"/>
      <c r="AK166" s="460"/>
      <c r="AL166" s="395"/>
      <c r="AM166" s="462"/>
      <c r="AN166" s="459"/>
      <c r="AO166" s="460"/>
      <c r="AP166" s="460"/>
      <c r="AQ166" s="395"/>
      <c r="AR166" s="462"/>
      <c r="AS166" s="394"/>
      <c r="AT166" s="342"/>
      <c r="AU166" s="342"/>
      <c r="AV166" s="395"/>
      <c r="AW166" s="462"/>
      <c r="AX166" s="394">
        <f t="shared" si="194"/>
        <v>75</v>
      </c>
      <c r="AY166" s="342">
        <f t="shared" si="195"/>
        <v>75</v>
      </c>
      <c r="AZ166" s="342">
        <f t="shared" si="196"/>
        <v>18.75</v>
      </c>
      <c r="BA166" s="395">
        <f t="shared" si="197"/>
        <v>75</v>
      </c>
      <c r="BB166" s="589">
        <v>300</v>
      </c>
      <c r="BC166" s="394">
        <f t="shared" si="198"/>
        <v>75</v>
      </c>
      <c r="BD166" s="342">
        <f t="shared" si="199"/>
        <v>75</v>
      </c>
      <c r="BE166" s="342">
        <f t="shared" si="200"/>
        <v>75</v>
      </c>
      <c r="BF166" s="395">
        <f t="shared" si="201"/>
        <v>75</v>
      </c>
      <c r="BG166" s="589">
        <v>300</v>
      </c>
      <c r="BH166" s="394">
        <f t="shared" si="202"/>
        <v>75</v>
      </c>
      <c r="BI166" s="342">
        <f t="shared" si="203"/>
        <v>75</v>
      </c>
      <c r="BJ166" s="342">
        <f t="shared" si="204"/>
        <v>75</v>
      </c>
      <c r="BK166" s="395">
        <f t="shared" si="205"/>
        <v>75</v>
      </c>
      <c r="BL166" s="589">
        <v>300</v>
      </c>
      <c r="BM166" s="394">
        <f t="shared" si="206"/>
        <v>75</v>
      </c>
      <c r="BN166" s="342">
        <f t="shared" si="207"/>
        <v>75</v>
      </c>
      <c r="BO166" s="342">
        <f t="shared" si="208"/>
        <v>75</v>
      </c>
      <c r="BP166" s="395">
        <f t="shared" si="209"/>
        <v>75</v>
      </c>
      <c r="BQ166" s="589">
        <v>300</v>
      </c>
      <c r="BR166" s="77"/>
      <c r="BS166" s="37">
        <v>300</v>
      </c>
      <c r="BT166" s="476">
        <f t="shared" si="210"/>
        <v>1500</v>
      </c>
      <c r="BU166" s="1502"/>
      <c r="CB166" s="37"/>
      <c r="CC166" s="37"/>
      <c r="CD166" s="37"/>
      <c r="CE166" s="37"/>
      <c r="CF166" s="37"/>
      <c r="CG166" s="37"/>
      <c r="CH166" s="37"/>
      <c r="CI166" s="37"/>
      <c r="CJ166" s="37"/>
      <c r="CK166" s="37"/>
      <c r="CL166" s="37"/>
      <c r="CM166" s="37"/>
      <c r="CN166" s="37"/>
      <c r="CO166" s="37"/>
      <c r="CP166" s="37"/>
      <c r="CQ166" s="37"/>
      <c r="CR166" s="37"/>
      <c r="CS166" s="37"/>
      <c r="CT166" s="37"/>
      <c r="CU166" s="37"/>
      <c r="CV166" s="37"/>
      <c r="CW166" s="37"/>
      <c r="CX166" s="37"/>
      <c r="CY166" s="37"/>
      <c r="CZ166" s="37"/>
      <c r="DA166" s="37"/>
    </row>
    <row r="167" spans="1:105">
      <c r="A167" s="37"/>
      <c r="B167" s="37"/>
      <c r="C167" s="538" t="s">
        <v>839</v>
      </c>
      <c r="D167" s="37"/>
      <c r="E167" s="386"/>
      <c r="F167" s="316"/>
      <c r="G167" s="316"/>
      <c r="H167" s="387"/>
      <c r="I167" s="590"/>
      <c r="J167" s="386"/>
      <c r="K167" s="316"/>
      <c r="L167" s="316"/>
      <c r="M167" s="387"/>
      <c r="N167" s="590"/>
      <c r="O167" s="456"/>
      <c r="P167" s="457"/>
      <c r="Q167" s="457"/>
      <c r="R167" s="395"/>
      <c r="S167" s="590"/>
      <c r="T167" s="456"/>
      <c r="U167" s="457"/>
      <c r="V167" s="457"/>
      <c r="W167" s="395"/>
      <c r="Y167" s="459"/>
      <c r="Z167" s="460"/>
      <c r="AA167" s="460"/>
      <c r="AB167" s="395"/>
      <c r="AD167" s="459"/>
      <c r="AE167" s="460"/>
      <c r="AF167" s="460"/>
      <c r="AG167" s="395"/>
      <c r="AI167" s="459"/>
      <c r="AJ167" s="460"/>
      <c r="AK167" s="460"/>
      <c r="AL167" s="395"/>
      <c r="AN167" s="459"/>
      <c r="AO167" s="460"/>
      <c r="AP167" s="460"/>
      <c r="AQ167" s="395"/>
      <c r="AS167" s="394"/>
      <c r="AT167" s="342"/>
      <c r="AU167" s="342"/>
      <c r="AV167" s="395"/>
      <c r="AX167" s="394">
        <f t="shared" si="194"/>
        <v>50</v>
      </c>
      <c r="AY167" s="342">
        <f t="shared" si="195"/>
        <v>50</v>
      </c>
      <c r="AZ167" s="342">
        <f t="shared" si="196"/>
        <v>29.0625</v>
      </c>
      <c r="BA167" s="395">
        <f t="shared" si="197"/>
        <v>50</v>
      </c>
      <c r="BB167" s="589">
        <v>200</v>
      </c>
      <c r="BC167" s="394">
        <f t="shared" si="198"/>
        <v>116.25</v>
      </c>
      <c r="BD167" s="342">
        <f t="shared" si="199"/>
        <v>116.25</v>
      </c>
      <c r="BE167" s="342">
        <f t="shared" si="200"/>
        <v>116.25</v>
      </c>
      <c r="BF167" s="395">
        <f t="shared" si="201"/>
        <v>116.25</v>
      </c>
      <c r="BG167" s="589">
        <f>100+265+100</f>
        <v>465</v>
      </c>
      <c r="BH167" s="394">
        <f t="shared" si="202"/>
        <v>116.25</v>
      </c>
      <c r="BI167" s="342">
        <f t="shared" si="203"/>
        <v>116.25</v>
      </c>
      <c r="BJ167" s="342">
        <f t="shared" si="204"/>
        <v>116.25</v>
      </c>
      <c r="BK167" s="395">
        <f t="shared" si="205"/>
        <v>116.25</v>
      </c>
      <c r="BL167" s="589">
        <f>100+265+100</f>
        <v>465</v>
      </c>
      <c r="BM167" s="394">
        <f t="shared" si="206"/>
        <v>116.25</v>
      </c>
      <c r="BN167" s="342">
        <f t="shared" si="207"/>
        <v>116.25</v>
      </c>
      <c r="BO167" s="342">
        <f t="shared" si="208"/>
        <v>116.25</v>
      </c>
      <c r="BP167" s="395">
        <f t="shared" si="209"/>
        <v>116.25</v>
      </c>
      <c r="BQ167" s="589">
        <f>100+265+100</f>
        <v>465</v>
      </c>
      <c r="BR167" s="77"/>
      <c r="BS167" s="589">
        <f>100+265+100</f>
        <v>465</v>
      </c>
      <c r="BT167" s="476">
        <f t="shared" si="210"/>
        <v>2060</v>
      </c>
      <c r="BU167" s="1502"/>
      <c r="CB167" s="37"/>
      <c r="CC167" s="37"/>
      <c r="CD167" s="37"/>
      <c r="CE167" s="37"/>
      <c r="CF167" s="37"/>
      <c r="CG167" s="37"/>
      <c r="CH167" s="37"/>
      <c r="CI167" s="37"/>
      <c r="CJ167" s="37"/>
      <c r="CK167" s="37"/>
      <c r="CL167" s="37"/>
      <c r="CM167" s="37"/>
      <c r="CN167" s="37"/>
      <c r="CO167" s="37"/>
      <c r="CP167" s="37"/>
      <c r="CQ167" s="37"/>
      <c r="CR167" s="37"/>
      <c r="CS167" s="37"/>
      <c r="CT167" s="37"/>
      <c r="CU167" s="37"/>
      <c r="CV167" s="37"/>
      <c r="CW167" s="37"/>
      <c r="CX167" s="37"/>
      <c r="CY167" s="37"/>
      <c r="CZ167" s="37"/>
      <c r="DA167" s="37"/>
    </row>
    <row r="168" spans="1:105" s="64" customFormat="1">
      <c r="A168" s="297"/>
      <c r="B168" s="297"/>
      <c r="C168" s="835" t="s">
        <v>169</v>
      </c>
      <c r="D168" s="297"/>
      <c r="E168" s="396">
        <f t="shared" ref="E168:R168" si="211">+-E196</f>
        <v>194</v>
      </c>
      <c r="F168" s="343">
        <f t="shared" si="211"/>
        <v>185</v>
      </c>
      <c r="G168" s="343">
        <f t="shared" si="211"/>
        <v>201</v>
      </c>
      <c r="H168" s="397">
        <f t="shared" si="211"/>
        <v>275</v>
      </c>
      <c r="I168" s="297">
        <f t="shared" si="211"/>
        <v>855</v>
      </c>
      <c r="J168" s="396">
        <f t="shared" si="211"/>
        <v>217</v>
      </c>
      <c r="K168" s="343">
        <f t="shared" si="211"/>
        <v>313</v>
      </c>
      <c r="L168" s="343">
        <f t="shared" si="211"/>
        <v>341</v>
      </c>
      <c r="M168" s="397">
        <f t="shared" si="211"/>
        <v>386</v>
      </c>
      <c r="N168" s="297">
        <f t="shared" si="211"/>
        <v>1257</v>
      </c>
      <c r="O168" s="396">
        <f t="shared" si="211"/>
        <v>339</v>
      </c>
      <c r="P168" s="343">
        <f t="shared" si="211"/>
        <v>335</v>
      </c>
      <c r="Q168" s="343">
        <f t="shared" si="211"/>
        <v>265</v>
      </c>
      <c r="R168" s="397">
        <f t="shared" si="211"/>
        <v>363</v>
      </c>
      <c r="S168" s="297">
        <f t="shared" ref="S168:X168" si="212">+-S196</f>
        <v>1302</v>
      </c>
      <c r="T168" s="396">
        <f t="shared" si="212"/>
        <v>435</v>
      </c>
      <c r="U168" s="343">
        <f t="shared" si="212"/>
        <v>435</v>
      </c>
      <c r="V168" s="343">
        <f t="shared" si="212"/>
        <v>499</v>
      </c>
      <c r="W168" s="397">
        <f t="shared" si="212"/>
        <v>401</v>
      </c>
      <c r="X168" s="297">
        <f t="shared" si="212"/>
        <v>1770</v>
      </c>
      <c r="Y168" s="396">
        <f t="shared" ref="Y168:AM168" si="213">+-Y196</f>
        <v>572</v>
      </c>
      <c r="Z168" s="343">
        <f t="shared" si="213"/>
        <v>576</v>
      </c>
      <c r="AA168" s="343">
        <f t="shared" si="213"/>
        <v>480</v>
      </c>
      <c r="AB168" s="397">
        <f t="shared" si="213"/>
        <v>547</v>
      </c>
      <c r="AC168" s="297">
        <f t="shared" si="213"/>
        <v>2175</v>
      </c>
      <c r="AD168" s="396">
        <f t="shared" si="213"/>
        <v>481</v>
      </c>
      <c r="AE168" s="343">
        <f t="shared" si="213"/>
        <v>515</v>
      </c>
      <c r="AF168" s="343">
        <f t="shared" si="213"/>
        <v>497</v>
      </c>
      <c r="AG168" s="397">
        <f t="shared" si="213"/>
        <v>671</v>
      </c>
      <c r="AH168" s="297">
        <f t="shared" si="213"/>
        <v>2164</v>
      </c>
      <c r="AI168" s="396">
        <f t="shared" si="213"/>
        <v>599</v>
      </c>
      <c r="AJ168" s="343">
        <f t="shared" si="213"/>
        <v>631</v>
      </c>
      <c r="AK168" s="343">
        <f t="shared" si="213"/>
        <v>716</v>
      </c>
      <c r="AL168" s="397">
        <f t="shared" si="213"/>
        <v>746</v>
      </c>
      <c r="AM168" s="297">
        <f t="shared" si="213"/>
        <v>2692</v>
      </c>
      <c r="AN168" s="396">
        <f t="shared" ref="AN168:AU168" si="214">+-AN196</f>
        <v>724</v>
      </c>
      <c r="AO168" s="343">
        <f t="shared" si="214"/>
        <v>631</v>
      </c>
      <c r="AP168" s="343">
        <f t="shared" si="214"/>
        <v>680</v>
      </c>
      <c r="AQ168" s="397">
        <f t="shared" si="214"/>
        <v>781</v>
      </c>
      <c r="AR168" s="297">
        <f t="shared" si="214"/>
        <v>2816</v>
      </c>
      <c r="AS168" s="396">
        <f t="shared" si="214"/>
        <v>748</v>
      </c>
      <c r="AT168" s="343">
        <f t="shared" si="214"/>
        <v>641</v>
      </c>
      <c r="AU168" s="343">
        <f t="shared" si="214"/>
        <v>729</v>
      </c>
      <c r="AV168" s="397">
        <f>+-AV196</f>
        <v>801</v>
      </c>
      <c r="AW168" s="297">
        <f>+-AW196</f>
        <v>2919</v>
      </c>
      <c r="AX168" s="396">
        <f t="shared" si="194"/>
        <v>717.5</v>
      </c>
      <c r="AY168" s="343">
        <f>AX168</f>
        <v>717.5</v>
      </c>
      <c r="AZ168" s="343">
        <f>(BB168-AX168-AY168)/2</f>
        <v>717.5</v>
      </c>
      <c r="BA168" s="397">
        <f>BB168-SUM(AX168:AZ168)</f>
        <v>717.5</v>
      </c>
      <c r="BB168" s="297">
        <f>SUM(BB161:BB167)</f>
        <v>2870</v>
      </c>
      <c r="BC168" s="396">
        <f t="shared" si="198"/>
        <v>711.25</v>
      </c>
      <c r="BD168" s="343">
        <f>BC168</f>
        <v>711.25</v>
      </c>
      <c r="BE168" s="343">
        <f>(BG168-BC168-BD168)/2</f>
        <v>711.25</v>
      </c>
      <c r="BF168" s="397">
        <f>BG168-SUM(BC168:BE168)</f>
        <v>711.25</v>
      </c>
      <c r="BG168" s="297">
        <f>SUM(BG161:BG167)</f>
        <v>2845</v>
      </c>
      <c r="BH168" s="396">
        <f t="shared" si="202"/>
        <v>701.25</v>
      </c>
      <c r="BI168" s="343">
        <f>BH168</f>
        <v>701.25</v>
      </c>
      <c r="BJ168" s="343">
        <f>(BL168-BH168-BI168)/2</f>
        <v>701.25</v>
      </c>
      <c r="BK168" s="397">
        <f>BL168-SUM(BH168:BJ168)</f>
        <v>701.25</v>
      </c>
      <c r="BL168" s="297">
        <f>SUM(BL161:BL167)</f>
        <v>2805</v>
      </c>
      <c r="BM168" s="396">
        <f t="shared" si="206"/>
        <v>591.25</v>
      </c>
      <c r="BN168" s="343">
        <f>BM168</f>
        <v>591.25</v>
      </c>
      <c r="BO168" s="343">
        <f>(BQ168-BM168-BN168)/2</f>
        <v>591.25</v>
      </c>
      <c r="BP168" s="397">
        <f>BQ168-SUM(BM168:BO168)</f>
        <v>591.25</v>
      </c>
      <c r="BQ168" s="297">
        <f>SUM(BQ161:BQ167)</f>
        <v>2365</v>
      </c>
      <c r="BR168" s="297"/>
      <c r="BS168" s="297">
        <f>SUM(BS161:BS167)</f>
        <v>2365</v>
      </c>
      <c r="BT168" s="297">
        <f t="shared" si="210"/>
        <v>13250</v>
      </c>
      <c r="BU168" s="203"/>
      <c r="BV168"/>
      <c r="BW168"/>
      <c r="BX168"/>
      <c r="BY168"/>
      <c r="BZ168"/>
      <c r="CA168"/>
      <c r="CB168" s="297"/>
      <c r="CC168" s="297"/>
      <c r="CD168" s="297"/>
      <c r="CE168" s="297"/>
      <c r="CF168" s="297"/>
      <c r="CG168" s="297"/>
      <c r="CH168" s="297"/>
      <c r="CI168" s="297"/>
      <c r="CJ168" s="297"/>
      <c r="CK168" s="297"/>
      <c r="CL168" s="297"/>
      <c r="CM168" s="297"/>
      <c r="CN168" s="297"/>
      <c r="CO168" s="297"/>
      <c r="CP168" s="297"/>
      <c r="CQ168" s="297"/>
      <c r="CR168" s="297"/>
      <c r="CS168" s="297"/>
      <c r="CT168" s="297"/>
      <c r="CU168" s="297"/>
      <c r="CV168" s="297"/>
      <c r="CW168" s="297"/>
      <c r="CX168" s="297"/>
      <c r="CY168" s="297"/>
      <c r="CZ168" s="297"/>
      <c r="DA168" s="297"/>
    </row>
    <row r="169" spans="1:105">
      <c r="A169" s="538"/>
      <c r="B169" s="538"/>
      <c r="C169" s="538"/>
      <c r="D169" s="538"/>
      <c r="E169" s="808"/>
      <c r="F169" s="809"/>
      <c r="G169" s="809"/>
      <c r="H169" s="853"/>
      <c r="I169" s="854"/>
      <c r="J169" s="808"/>
      <c r="K169" s="809"/>
      <c r="L169" s="809"/>
      <c r="M169" s="853"/>
      <c r="N169" s="854"/>
      <c r="O169" s="805"/>
      <c r="P169" s="806"/>
      <c r="Q169" s="806"/>
      <c r="R169" s="807"/>
      <c r="S169" s="538"/>
      <c r="T169" s="805"/>
      <c r="U169" s="806"/>
      <c r="V169" s="806"/>
      <c r="W169" s="807"/>
      <c r="X169" s="538"/>
      <c r="Y169" s="805"/>
      <c r="Z169" s="806"/>
      <c r="AA169" s="806"/>
      <c r="AB169" s="807"/>
      <c r="AC169" s="538"/>
      <c r="AD169" s="805"/>
      <c r="AE169" s="806"/>
      <c r="AF169" s="806"/>
      <c r="AG169" s="807"/>
      <c r="AH169" s="538"/>
      <c r="AI169" s="805"/>
      <c r="AJ169" s="806"/>
      <c r="AK169" s="806"/>
      <c r="AL169" s="807"/>
      <c r="AM169" s="538"/>
      <c r="AN169" s="805"/>
      <c r="AO169" s="806"/>
      <c r="AP169" s="806"/>
      <c r="AQ169" s="807"/>
      <c r="AR169" s="538"/>
      <c r="AS169" s="805"/>
      <c r="AT169" s="806"/>
      <c r="AU169" s="806"/>
      <c r="AV169" s="807"/>
      <c r="AW169" s="538"/>
      <c r="AX169" s="805"/>
      <c r="AY169" s="806"/>
      <c r="AZ169" s="806"/>
      <c r="BA169" s="807"/>
      <c r="BB169" s="538"/>
      <c r="BC169" s="805"/>
      <c r="BD169" s="806"/>
      <c r="BE169" s="806"/>
      <c r="BF169" s="807"/>
      <c r="BG169" s="538"/>
      <c r="BH169" s="805"/>
      <c r="BI169" s="806"/>
      <c r="BJ169" s="806"/>
      <c r="BK169" s="807"/>
      <c r="BL169" s="538"/>
      <c r="BM169" s="805"/>
      <c r="BN169" s="806"/>
      <c r="BO169" s="806"/>
      <c r="BP169" s="807"/>
      <c r="BQ169" s="538"/>
      <c r="BR169" s="538"/>
      <c r="BS169" s="538"/>
      <c r="BT169" s="538"/>
      <c r="BU169" s="538"/>
      <c r="CB169" s="538"/>
      <c r="CC169" s="538"/>
      <c r="CD169" s="538"/>
      <c r="CE169" s="538"/>
      <c r="CF169" s="538"/>
      <c r="CG169" s="538"/>
      <c r="CH169" s="538"/>
      <c r="CI169" s="538"/>
      <c r="CJ169" s="538"/>
      <c r="CK169" s="538"/>
      <c r="CL169" s="538"/>
      <c r="CM169" s="538"/>
      <c r="CN169" s="538"/>
      <c r="CO169" s="538"/>
      <c r="CP169" s="538"/>
      <c r="CQ169" s="538"/>
      <c r="CR169" s="538"/>
      <c r="CS169" s="538"/>
      <c r="CT169" s="538"/>
      <c r="CU169" s="538"/>
      <c r="CV169" s="538"/>
      <c r="CW169" s="538"/>
      <c r="CX169" s="538"/>
      <c r="CY169" s="538"/>
      <c r="CZ169" s="538"/>
      <c r="DA169" s="538"/>
    </row>
    <row r="170" spans="1:105">
      <c r="A170" s="538"/>
      <c r="B170" s="538"/>
      <c r="C170" s="538"/>
      <c r="D170" s="538"/>
      <c r="E170" s="805"/>
      <c r="F170" s="806"/>
      <c r="G170" s="806"/>
      <c r="H170" s="807"/>
      <c r="I170" s="538"/>
      <c r="J170" s="805"/>
      <c r="K170" s="806"/>
      <c r="L170" s="806"/>
      <c r="M170" s="807"/>
      <c r="N170" s="538"/>
      <c r="O170" s="805"/>
      <c r="P170" s="806"/>
      <c r="Q170" s="806"/>
      <c r="R170" s="807"/>
      <c r="S170" s="538"/>
      <c r="T170" s="805"/>
      <c r="U170" s="806"/>
      <c r="V170" s="806"/>
      <c r="W170" s="807"/>
      <c r="X170" s="538"/>
      <c r="Y170" s="805"/>
      <c r="Z170" s="806"/>
      <c r="AA170" s="806"/>
      <c r="AB170" s="807"/>
      <c r="AC170" s="538"/>
      <c r="AD170" s="805"/>
      <c r="AE170" s="806"/>
      <c r="AF170" s="806"/>
      <c r="AG170" s="807"/>
      <c r="AH170" s="538"/>
      <c r="AI170" s="805"/>
      <c r="AJ170" s="806"/>
      <c r="AK170" s="806"/>
      <c r="AL170" s="807"/>
      <c r="AM170" s="538"/>
      <c r="AN170" s="805"/>
      <c r="AO170" s="806"/>
      <c r="AP170" s="806"/>
      <c r="AQ170" s="807"/>
      <c r="AR170" s="538"/>
      <c r="AS170" s="805"/>
      <c r="AT170" s="806"/>
      <c r="AU170" s="806"/>
      <c r="AV170" s="807"/>
      <c r="AW170" s="538"/>
      <c r="AX170" s="805"/>
      <c r="AY170" s="806"/>
      <c r="AZ170" s="806"/>
      <c r="BA170" s="807"/>
      <c r="BB170" s="538"/>
      <c r="BC170" s="805"/>
      <c r="BD170" s="806"/>
      <c r="BE170" s="806"/>
      <c r="BF170" s="807"/>
      <c r="BG170" s="538"/>
      <c r="BH170" s="805"/>
      <c r="BI170" s="806"/>
      <c r="BJ170" s="806"/>
      <c r="BK170" s="807"/>
      <c r="BL170" s="538"/>
      <c r="BM170" s="805"/>
      <c r="BN170" s="806"/>
      <c r="BO170" s="806"/>
      <c r="BP170" s="807"/>
      <c r="BQ170" s="538"/>
      <c r="BR170" s="538"/>
      <c r="BS170" s="538"/>
      <c r="BT170" s="538"/>
      <c r="BU170" s="538"/>
      <c r="CB170" s="538"/>
      <c r="CC170" s="538"/>
      <c r="CD170" s="538"/>
      <c r="CE170" s="538"/>
      <c r="CF170" s="538"/>
      <c r="CG170" s="538"/>
      <c r="CH170" s="538"/>
      <c r="CI170" s="538"/>
      <c r="CJ170" s="538"/>
      <c r="CK170" s="538"/>
      <c r="CL170" s="538"/>
      <c r="CM170" s="538"/>
      <c r="CN170" s="538"/>
      <c r="CO170" s="538"/>
      <c r="CP170" s="538"/>
      <c r="CQ170" s="538"/>
      <c r="CR170" s="538"/>
      <c r="CS170" s="538"/>
      <c r="CT170" s="538"/>
      <c r="CU170" s="538"/>
      <c r="CV170" s="538"/>
      <c r="CW170" s="538"/>
      <c r="CX170" s="538"/>
      <c r="CY170" s="538"/>
      <c r="CZ170" s="538"/>
      <c r="DA170" s="538"/>
    </row>
    <row r="171" spans="1:105">
      <c r="A171" s="538"/>
      <c r="B171" s="533" t="s">
        <v>343</v>
      </c>
      <c r="C171" s="855"/>
      <c r="D171" s="856"/>
      <c r="E171" s="805"/>
      <c r="F171" s="806"/>
      <c r="G171" s="806"/>
      <c r="H171" s="807"/>
      <c r="I171" s="538"/>
      <c r="J171" s="805"/>
      <c r="K171" s="806"/>
      <c r="L171" s="806"/>
      <c r="M171" s="807"/>
      <c r="N171" s="538"/>
      <c r="O171" s="805"/>
      <c r="P171" s="806"/>
      <c r="Q171" s="806"/>
      <c r="R171" s="807"/>
      <c r="S171" s="538"/>
      <c r="T171" s="805"/>
      <c r="U171" s="806"/>
      <c r="V171" s="806"/>
      <c r="W171" s="807"/>
      <c r="X171" s="538"/>
      <c r="Y171" s="805"/>
      <c r="Z171" s="806"/>
      <c r="AA171" s="806"/>
      <c r="AB171" s="807"/>
      <c r="AC171" s="538"/>
      <c r="AD171" s="805"/>
      <c r="AE171" s="806"/>
      <c r="AF171" s="806"/>
      <c r="AG171" s="807"/>
      <c r="AH171" s="538"/>
      <c r="AI171" s="805"/>
      <c r="AJ171" s="806"/>
      <c r="AK171" s="806"/>
      <c r="AL171" s="807"/>
      <c r="AM171" s="538"/>
      <c r="AN171" s="805"/>
      <c r="AO171" s="806"/>
      <c r="AP171" s="806"/>
      <c r="AQ171" s="807"/>
      <c r="AR171" s="538"/>
      <c r="AS171" s="805"/>
      <c r="AT171" s="806"/>
      <c r="AU171" s="806"/>
      <c r="AV171" s="807"/>
      <c r="AW171" s="538"/>
      <c r="AX171" s="805"/>
      <c r="AY171" s="806"/>
      <c r="AZ171" s="806"/>
      <c r="BA171" s="807"/>
      <c r="BB171" s="538"/>
      <c r="BC171" s="805"/>
      <c r="BD171" s="806"/>
      <c r="BE171" s="806"/>
      <c r="BF171" s="807"/>
      <c r="BG171" s="538"/>
      <c r="BH171" s="805"/>
      <c r="BI171" s="806"/>
      <c r="BJ171" s="806"/>
      <c r="BK171" s="807"/>
      <c r="BL171" s="538"/>
      <c r="BM171" s="805"/>
      <c r="BN171" s="806"/>
      <c r="BO171" s="806"/>
      <c r="BP171" s="807"/>
      <c r="BQ171" s="538"/>
      <c r="BR171" s="538"/>
      <c r="BS171" s="538"/>
      <c r="BT171" s="538"/>
      <c r="BU171" s="538"/>
      <c r="CB171" s="538"/>
      <c r="CC171" s="538"/>
      <c r="CD171" s="538"/>
      <c r="CE171" s="538"/>
      <c r="CF171" s="538"/>
      <c r="CG171" s="538"/>
      <c r="CH171" s="538"/>
      <c r="CI171" s="538"/>
      <c r="CJ171" s="538"/>
      <c r="CK171" s="538"/>
      <c r="CL171" s="538"/>
      <c r="CM171" s="538"/>
      <c r="CN171" s="538"/>
      <c r="CO171" s="538"/>
      <c r="CP171" s="538"/>
      <c r="CQ171" s="538"/>
      <c r="CR171" s="538"/>
      <c r="CS171" s="538"/>
      <c r="CT171" s="538"/>
      <c r="CU171" s="538"/>
      <c r="CV171" s="538"/>
      <c r="CW171" s="538"/>
      <c r="CX171" s="538"/>
      <c r="CY171" s="538"/>
      <c r="CZ171" s="538"/>
      <c r="DA171" s="538"/>
    </row>
    <row r="172" spans="1:105">
      <c r="A172" s="538"/>
      <c r="B172" s="538"/>
      <c r="C172" s="545" t="s">
        <v>318</v>
      </c>
      <c r="D172" s="538"/>
      <c r="E172" s="805"/>
      <c r="F172" s="806"/>
      <c r="G172" s="806"/>
      <c r="H172" s="807"/>
      <c r="I172" s="538"/>
      <c r="J172" s="805"/>
      <c r="K172" s="806"/>
      <c r="L172" s="806"/>
      <c r="M172" s="807"/>
      <c r="N172" s="538"/>
      <c r="O172" s="805"/>
      <c r="P172" s="806"/>
      <c r="Q172" s="806"/>
      <c r="R172" s="807"/>
      <c r="S172" s="538"/>
      <c r="T172" s="805"/>
      <c r="U172" s="806"/>
      <c r="V172" s="806"/>
      <c r="W172" s="807"/>
      <c r="X172" s="538"/>
      <c r="Y172" s="805"/>
      <c r="Z172" s="806"/>
      <c r="AA172" s="806"/>
      <c r="AB172" s="807"/>
      <c r="AC172" s="538"/>
      <c r="AD172" s="805"/>
      <c r="AE172" s="806"/>
      <c r="AF172" s="806"/>
      <c r="AG172" s="807"/>
      <c r="AH172" s="538"/>
      <c r="AI172" s="805"/>
      <c r="AJ172" s="806"/>
      <c r="AK172" s="806"/>
      <c r="AL172" s="807"/>
      <c r="AM172" s="538"/>
      <c r="AN172" s="805"/>
      <c r="AO172" s="806"/>
      <c r="AP172" s="806"/>
      <c r="AQ172" s="807"/>
      <c r="AR172" s="538"/>
      <c r="AS172" s="805"/>
      <c r="AT172" s="806"/>
      <c r="AU172" s="806"/>
      <c r="AV172" s="807"/>
      <c r="AW172" s="538"/>
      <c r="AX172" s="805"/>
      <c r="AY172" s="806"/>
      <c r="AZ172" s="806"/>
      <c r="BA172" s="807"/>
      <c r="BB172" s="538"/>
      <c r="BC172" s="805"/>
      <c r="BD172" s="806"/>
      <c r="BE172" s="806"/>
      <c r="BF172" s="807"/>
      <c r="BG172" s="538"/>
      <c r="BH172" s="805"/>
      <c r="BI172" s="806"/>
      <c r="BJ172" s="806"/>
      <c r="BK172" s="807"/>
      <c r="BL172" s="538"/>
      <c r="BM172" s="805"/>
      <c r="BN172" s="806"/>
      <c r="BO172" s="806"/>
      <c r="BP172" s="807"/>
      <c r="BQ172" s="538"/>
      <c r="BR172" s="538"/>
      <c r="BS172" s="538"/>
      <c r="BT172" s="538"/>
      <c r="BU172" s="538"/>
      <c r="CB172" s="538"/>
      <c r="CC172" s="538"/>
      <c r="CD172" s="538"/>
      <c r="CE172" s="538"/>
      <c r="CF172" s="538"/>
      <c r="CG172" s="538"/>
      <c r="CH172" s="538"/>
      <c r="CI172" s="538"/>
      <c r="CJ172" s="538"/>
      <c r="CK172" s="538"/>
      <c r="CL172" s="538"/>
      <c r="CM172" s="538"/>
      <c r="CN172" s="538"/>
      <c r="CO172" s="538"/>
      <c r="CP172" s="538"/>
      <c r="CQ172" s="538"/>
      <c r="CR172" s="538"/>
      <c r="CS172" s="538"/>
      <c r="CT172" s="538"/>
      <c r="CU172" s="538"/>
      <c r="CV172" s="538"/>
      <c r="CW172" s="538"/>
      <c r="CX172" s="538"/>
      <c r="CY172" s="538"/>
      <c r="CZ172" s="538"/>
      <c r="DA172" s="538"/>
    </row>
    <row r="173" spans="1:105">
      <c r="A173" s="77"/>
      <c r="B173" s="77"/>
      <c r="C173" s="547" t="s">
        <v>316</v>
      </c>
      <c r="D173" s="77"/>
      <c r="E173" s="394">
        <f>E200</f>
        <v>0</v>
      </c>
      <c r="F173" s="342">
        <f t="shared" ref="F173:M173" si="215">F200</f>
        <v>0</v>
      </c>
      <c r="G173" s="342">
        <f t="shared" si="215"/>
        <v>0</v>
      </c>
      <c r="H173" s="395">
        <f t="shared" si="215"/>
        <v>250</v>
      </c>
      <c r="I173" s="77">
        <f t="shared" si="215"/>
        <v>250</v>
      </c>
      <c r="J173" s="394">
        <f t="shared" si="215"/>
        <v>300</v>
      </c>
      <c r="K173" s="342">
        <f t="shared" si="215"/>
        <v>300</v>
      </c>
      <c r="L173" s="342">
        <f t="shared" si="215"/>
        <v>414</v>
      </c>
      <c r="M173" s="395">
        <f t="shared" si="215"/>
        <v>100</v>
      </c>
      <c r="N173" s="77">
        <f t="shared" ref="N173:S173" si="216">N200</f>
        <v>1114</v>
      </c>
      <c r="O173" s="394">
        <f t="shared" si="216"/>
        <v>0</v>
      </c>
      <c r="P173" s="342">
        <f t="shared" si="216"/>
        <v>0</v>
      </c>
      <c r="Q173" s="342">
        <f t="shared" si="216"/>
        <v>250</v>
      </c>
      <c r="R173" s="395">
        <f t="shared" si="216"/>
        <v>0</v>
      </c>
      <c r="S173" s="77">
        <f t="shared" si="216"/>
        <v>250</v>
      </c>
      <c r="T173" s="394">
        <f t="shared" ref="T173:AC174" si="217">T200</f>
        <v>0</v>
      </c>
      <c r="U173" s="342">
        <f t="shared" si="217"/>
        <v>500</v>
      </c>
      <c r="V173" s="342">
        <f t="shared" si="217"/>
        <v>350</v>
      </c>
      <c r="W173" s="395">
        <f t="shared" si="217"/>
        <v>50</v>
      </c>
      <c r="X173" s="77">
        <f t="shared" si="217"/>
        <v>900</v>
      </c>
      <c r="Y173" s="394">
        <f t="shared" si="217"/>
        <v>400</v>
      </c>
      <c r="Z173" s="342">
        <f t="shared" si="217"/>
        <v>500</v>
      </c>
      <c r="AA173" s="342">
        <f t="shared" si="217"/>
        <v>600</v>
      </c>
      <c r="AB173" s="395">
        <f t="shared" si="217"/>
        <v>0</v>
      </c>
      <c r="AC173" s="77">
        <f t="shared" si="217"/>
        <v>1500</v>
      </c>
      <c r="AD173" s="394">
        <f t="shared" ref="AD173:AH174" si="218">AD200</f>
        <v>0</v>
      </c>
      <c r="AE173" s="342">
        <f t="shared" si="218"/>
        <v>500</v>
      </c>
      <c r="AF173" s="342">
        <f t="shared" si="218"/>
        <v>500</v>
      </c>
      <c r="AG173" s="395">
        <f t="shared" si="218"/>
        <v>250</v>
      </c>
      <c r="AH173" s="77">
        <f t="shared" si="218"/>
        <v>1250</v>
      </c>
      <c r="AI173" s="394">
        <f t="shared" ref="AI173:AM174" si="219">AI200</f>
        <v>0</v>
      </c>
      <c r="AJ173" s="342">
        <f t="shared" si="219"/>
        <v>600</v>
      </c>
      <c r="AK173" s="342">
        <f t="shared" si="219"/>
        <v>0</v>
      </c>
      <c r="AL173" s="395">
        <f t="shared" si="219"/>
        <v>250</v>
      </c>
      <c r="AM173" s="77">
        <f t="shared" si="219"/>
        <v>850</v>
      </c>
      <c r="AN173" s="394">
        <f t="shared" ref="AN173:AR174" si="220">AN200</f>
        <v>850</v>
      </c>
      <c r="AO173" s="342">
        <f t="shared" si="220"/>
        <v>0</v>
      </c>
      <c r="AP173" s="342">
        <f t="shared" si="220"/>
        <v>425</v>
      </c>
      <c r="AQ173" s="395">
        <f t="shared" si="220"/>
        <v>0</v>
      </c>
      <c r="AR173" s="77">
        <f t="shared" si="220"/>
        <v>1275</v>
      </c>
      <c r="AS173" s="394">
        <f t="shared" ref="AS173:AW174" si="221">AS200</f>
        <v>0</v>
      </c>
      <c r="AT173" s="342">
        <f t="shared" si="221"/>
        <v>425</v>
      </c>
      <c r="AU173" s="342">
        <f t="shared" si="221"/>
        <v>0</v>
      </c>
      <c r="AV173" s="395">
        <f t="shared" si="221"/>
        <v>350</v>
      </c>
      <c r="AW173" s="77">
        <f t="shared" si="221"/>
        <v>775</v>
      </c>
      <c r="AX173" s="394">
        <f>Debt!AL85</f>
        <v>0</v>
      </c>
      <c r="AY173" s="342">
        <f>Debt!AM85</f>
        <v>1600</v>
      </c>
      <c r="AZ173" s="342">
        <f>Debt!AN85</f>
        <v>0</v>
      </c>
      <c r="BA173" s="395">
        <f>Debt!AO85</f>
        <v>0</v>
      </c>
      <c r="BB173" s="589">
        <v>1600</v>
      </c>
      <c r="BC173" s="394">
        <f>Debt!AQ85</f>
        <v>0</v>
      </c>
      <c r="BD173" s="342">
        <f>Debt!AR85</f>
        <v>1500</v>
      </c>
      <c r="BE173" s="342">
        <f>Debt!AS85</f>
        <v>0</v>
      </c>
      <c r="BF173" s="395">
        <f>Debt!AT85</f>
        <v>0</v>
      </c>
      <c r="BG173" s="589">
        <v>1500</v>
      </c>
      <c r="BH173" s="394">
        <f>Debt!AV85</f>
        <v>0</v>
      </c>
      <c r="BI173" s="342">
        <f>Debt!AW85</f>
        <v>1400</v>
      </c>
      <c r="BJ173" s="342">
        <f>Debt!AX85</f>
        <v>0</v>
      </c>
      <c r="BK173" s="395">
        <f>Debt!AY85</f>
        <v>0</v>
      </c>
      <c r="BL173" s="589">
        <v>1400</v>
      </c>
      <c r="BM173" s="394">
        <f>Debt!BA85</f>
        <v>0</v>
      </c>
      <c r="BN173" s="342">
        <f>Debt!BB85</f>
        <v>1100</v>
      </c>
      <c r="BO173" s="342">
        <f>Debt!BC85</f>
        <v>0</v>
      </c>
      <c r="BP173" s="395">
        <f>Debt!BD85</f>
        <v>0</v>
      </c>
      <c r="BQ173" s="589">
        <v>1100</v>
      </c>
      <c r="BR173" s="77"/>
      <c r="BS173" s="77"/>
      <c r="BT173" s="77"/>
      <c r="BU173" s="77"/>
      <c r="CB173" s="77"/>
      <c r="CC173" s="77"/>
      <c r="CD173" s="77"/>
      <c r="CE173" s="77"/>
      <c r="CF173" s="77"/>
      <c r="CG173" s="77"/>
      <c r="CH173" s="77"/>
      <c r="CI173" s="77"/>
      <c r="CJ173" s="77"/>
      <c r="CK173" s="77"/>
      <c r="CL173" s="77"/>
      <c r="CM173" s="77"/>
      <c r="CN173" s="77"/>
      <c r="CO173" s="77"/>
      <c r="CP173" s="77"/>
      <c r="CQ173" s="77"/>
      <c r="CR173" s="77"/>
      <c r="CS173" s="77"/>
      <c r="CT173" s="77"/>
      <c r="CU173" s="77"/>
      <c r="CV173" s="77"/>
      <c r="CW173" s="77"/>
      <c r="CX173" s="77"/>
      <c r="CY173" s="77"/>
      <c r="CZ173" s="77"/>
      <c r="DA173" s="77"/>
    </row>
    <row r="174" spans="1:105">
      <c r="A174" s="77"/>
      <c r="B174" s="77"/>
      <c r="C174" s="547" t="s">
        <v>317</v>
      </c>
      <c r="D174" s="77"/>
      <c r="E174" s="394">
        <f>E201</f>
        <v>-42</v>
      </c>
      <c r="F174" s="342">
        <f t="shared" ref="F174:M174" si="222">F201</f>
        <v>-105</v>
      </c>
      <c r="G174" s="342">
        <f t="shared" si="222"/>
        <v>-46</v>
      </c>
      <c r="H174" s="395">
        <f t="shared" si="222"/>
        <v>-197</v>
      </c>
      <c r="I174" s="77">
        <f t="shared" si="222"/>
        <v>-390</v>
      </c>
      <c r="J174" s="394">
        <f t="shared" si="222"/>
        <v>-344</v>
      </c>
      <c r="K174" s="342">
        <f t="shared" si="222"/>
        <v>-47</v>
      </c>
      <c r="L174" s="342">
        <f t="shared" si="222"/>
        <v>-49</v>
      </c>
      <c r="M174" s="395">
        <f t="shared" si="222"/>
        <v>-157</v>
      </c>
      <c r="N174" s="77">
        <f t="shared" ref="N174:S174" si="223">N201</f>
        <v>-597</v>
      </c>
      <c r="O174" s="394">
        <f t="shared" si="223"/>
        <v>-46</v>
      </c>
      <c r="P174" s="342">
        <f t="shared" si="223"/>
        <v>-50</v>
      </c>
      <c r="Q174" s="342">
        <f t="shared" si="223"/>
        <v>-51</v>
      </c>
      <c r="R174" s="395">
        <f t="shared" si="223"/>
        <v>-323</v>
      </c>
      <c r="S174" s="77">
        <f t="shared" si="223"/>
        <v>-470</v>
      </c>
      <c r="T174" s="394">
        <f t="shared" si="217"/>
        <v>-49</v>
      </c>
      <c r="U174" s="342">
        <f t="shared" si="217"/>
        <v>-125</v>
      </c>
      <c r="V174" s="342">
        <f t="shared" si="217"/>
        <v>-353</v>
      </c>
      <c r="W174" s="395">
        <f t="shared" si="217"/>
        <v>-62</v>
      </c>
      <c r="X174" s="77">
        <f t="shared" si="217"/>
        <v>-589</v>
      </c>
      <c r="Y174" s="394">
        <f t="shared" si="217"/>
        <v>-150</v>
      </c>
      <c r="Z174" s="342">
        <f t="shared" si="217"/>
        <v>-106</v>
      </c>
      <c r="AA174" s="342">
        <f t="shared" si="217"/>
        <v>-356</v>
      </c>
      <c r="AB174" s="395">
        <f t="shared" si="217"/>
        <v>-339</v>
      </c>
      <c r="AC174" s="77">
        <f t="shared" si="217"/>
        <v>-951</v>
      </c>
      <c r="AD174" s="394">
        <f t="shared" si="218"/>
        <v>0</v>
      </c>
      <c r="AE174" s="342">
        <f t="shared" si="218"/>
        <v>0</v>
      </c>
      <c r="AF174" s="342">
        <f t="shared" si="218"/>
        <v>-670</v>
      </c>
      <c r="AG174" s="395">
        <f t="shared" si="218"/>
        <v>-67</v>
      </c>
      <c r="AH174" s="77">
        <f t="shared" si="218"/>
        <v>-737</v>
      </c>
      <c r="AI174" s="394">
        <f t="shared" si="219"/>
        <v>-58</v>
      </c>
      <c r="AJ174" s="342">
        <f t="shared" si="219"/>
        <v>-367</v>
      </c>
      <c r="AK174" s="342">
        <f t="shared" si="219"/>
        <v>-66</v>
      </c>
      <c r="AL174" s="395">
        <f t="shared" si="219"/>
        <v>-68</v>
      </c>
      <c r="AM174" s="77">
        <f t="shared" si="219"/>
        <v>-559</v>
      </c>
      <c r="AN174" s="394">
        <f t="shared" si="220"/>
        <v>-171</v>
      </c>
      <c r="AO174" s="342">
        <f t="shared" si="220"/>
        <v>0</v>
      </c>
      <c r="AP174" s="342">
        <f t="shared" si="220"/>
        <v>-100</v>
      </c>
      <c r="AQ174" s="395">
        <f t="shared" si="220"/>
        <v>0</v>
      </c>
      <c r="AR174" s="77">
        <f t="shared" si="220"/>
        <v>-271</v>
      </c>
      <c r="AS174" s="394">
        <f t="shared" si="221"/>
        <v>0</v>
      </c>
      <c r="AT174" s="342">
        <f t="shared" si="221"/>
        <v>0</v>
      </c>
      <c r="AU174" s="342">
        <f t="shared" si="221"/>
        <v>0</v>
      </c>
      <c r="AV174" s="395">
        <f t="shared" si="221"/>
        <v>0</v>
      </c>
      <c r="AW174" s="77">
        <f t="shared" si="221"/>
        <v>0</v>
      </c>
      <c r="AX174" s="394">
        <f>Debt!AL75</f>
        <v>0</v>
      </c>
      <c r="AY174" s="342">
        <f>Debt!AM75</f>
        <v>-750</v>
      </c>
      <c r="AZ174" s="342">
        <f>Debt!AN75</f>
        <v>0</v>
      </c>
      <c r="BA174" s="395">
        <f>Debt!AO75</f>
        <v>0</v>
      </c>
      <c r="BB174" s="77">
        <f>+SUM(AX174:BA174)</f>
        <v>-750</v>
      </c>
      <c r="BC174" s="394">
        <f>Debt!AQ75</f>
        <v>0</v>
      </c>
      <c r="BD174" s="342">
        <f>Debt!AR75</f>
        <v>-250</v>
      </c>
      <c r="BE174" s="342">
        <f>Debt!AS75</f>
        <v>-250</v>
      </c>
      <c r="BF174" s="395">
        <f>Debt!AT75</f>
        <v>0</v>
      </c>
      <c r="BG174" s="77">
        <f>+SUM(BC174:BF174)</f>
        <v>-500</v>
      </c>
      <c r="BH174" s="394">
        <f>Debt!AV75</f>
        <v>0</v>
      </c>
      <c r="BI174" s="342">
        <f>Debt!AW75</f>
        <v>-250</v>
      </c>
      <c r="BJ174" s="342">
        <f>Debt!AX75</f>
        <v>0</v>
      </c>
      <c r="BK174" s="395">
        <f>Debt!AY75</f>
        <v>-9</v>
      </c>
      <c r="BL174" s="77">
        <f>+SUM(BH174:BK174)</f>
        <v>-259</v>
      </c>
      <c r="BM174" s="394">
        <f>Debt!BA75</f>
        <v>-300</v>
      </c>
      <c r="BN174" s="342">
        <f>Debt!BB75</f>
        <v>-134</v>
      </c>
      <c r="BO174" s="342">
        <f>Debt!BC75</f>
        <v>0</v>
      </c>
      <c r="BP174" s="395">
        <f>Debt!BD75</f>
        <v>0</v>
      </c>
      <c r="BQ174" s="77">
        <f>+SUM(BM174:BP174)</f>
        <v>-434</v>
      </c>
      <c r="BR174" s="77"/>
      <c r="BS174" s="77"/>
      <c r="BT174" s="77"/>
      <c r="BU174" s="77"/>
      <c r="CB174" s="77"/>
      <c r="CC174" s="77"/>
      <c r="CD174" s="77"/>
      <c r="CE174" s="77"/>
      <c r="CF174" s="77"/>
      <c r="CG174" s="77"/>
      <c r="CH174" s="77"/>
      <c r="CI174" s="77"/>
      <c r="CJ174" s="77"/>
      <c r="CK174" s="77"/>
      <c r="CL174" s="77"/>
      <c r="CM174" s="77"/>
      <c r="CN174" s="77"/>
      <c r="CO174" s="77"/>
      <c r="CP174" s="77"/>
      <c r="CQ174" s="77"/>
      <c r="CR174" s="77"/>
      <c r="CS174" s="77"/>
      <c r="CT174" s="77"/>
      <c r="CU174" s="77"/>
      <c r="CV174" s="77"/>
      <c r="CW174" s="77"/>
      <c r="CX174" s="77"/>
      <c r="CY174" s="77"/>
      <c r="CZ174" s="77"/>
      <c r="DA174" s="77"/>
    </row>
    <row r="175" spans="1:105">
      <c r="A175" s="538"/>
      <c r="B175" s="538"/>
      <c r="C175" s="547"/>
      <c r="D175" s="538"/>
      <c r="E175" s="805"/>
      <c r="F175" s="806"/>
      <c r="G175" s="806"/>
      <c r="H175" s="807"/>
      <c r="I175" s="538"/>
      <c r="J175" s="805"/>
      <c r="K175" s="806"/>
      <c r="L175" s="806"/>
      <c r="M175" s="807"/>
      <c r="N175" s="538"/>
      <c r="O175" s="805"/>
      <c r="P175" s="806"/>
      <c r="Q175" s="342"/>
      <c r="R175" s="395"/>
      <c r="S175" s="77"/>
      <c r="T175" s="805"/>
      <c r="U175" s="342"/>
      <c r="V175" s="342"/>
      <c r="W175" s="395"/>
      <c r="X175" s="77"/>
      <c r="Y175" s="805"/>
      <c r="Z175" s="342"/>
      <c r="AA175" s="342"/>
      <c r="AB175" s="395"/>
      <c r="AC175" s="77"/>
      <c r="AD175" s="805"/>
      <c r="AE175" s="342"/>
      <c r="AF175" s="342"/>
      <c r="AG175" s="395"/>
      <c r="AH175" s="77"/>
      <c r="AI175" s="805"/>
      <c r="AJ175" s="342"/>
      <c r="AK175" s="342"/>
      <c r="AL175" s="395"/>
      <c r="AM175" s="77"/>
      <c r="AN175" s="805"/>
      <c r="AO175" s="342"/>
      <c r="AP175" s="342"/>
      <c r="AQ175" s="395"/>
      <c r="AR175" s="77"/>
      <c r="AS175" s="805"/>
      <c r="AT175" s="342"/>
      <c r="AU175" s="342"/>
      <c r="AV175" s="395"/>
      <c r="AW175" s="77"/>
      <c r="AX175" s="394"/>
      <c r="AY175" s="342"/>
      <c r="AZ175" s="342"/>
      <c r="BA175" s="395"/>
      <c r="BB175" s="77"/>
      <c r="BC175" s="394"/>
      <c r="BD175" s="342"/>
      <c r="BE175" s="342"/>
      <c r="BF175" s="395"/>
      <c r="BG175" s="77"/>
      <c r="BH175" s="394"/>
      <c r="BI175" s="342"/>
      <c r="BJ175" s="342"/>
      <c r="BK175" s="395"/>
      <c r="BL175" s="77"/>
      <c r="BM175" s="394"/>
      <c r="BN175" s="342"/>
      <c r="BO175" s="342"/>
      <c r="BP175" s="395"/>
      <c r="BQ175" s="77"/>
      <c r="BR175" s="77"/>
      <c r="BS175" s="538"/>
      <c r="BT175" s="538"/>
      <c r="BU175" s="538"/>
      <c r="CB175" s="538"/>
      <c r="CC175" s="538"/>
      <c r="CD175" s="538"/>
      <c r="CE175" s="538"/>
      <c r="CF175" s="538"/>
      <c r="CG175" s="538"/>
      <c r="CH175" s="538"/>
      <c r="CI175" s="538"/>
      <c r="CJ175" s="538"/>
      <c r="CK175" s="538"/>
      <c r="CL175" s="538"/>
      <c r="CM175" s="538"/>
      <c r="CN175" s="538"/>
      <c r="CO175" s="538"/>
      <c r="CP175" s="538"/>
      <c r="CQ175" s="538"/>
      <c r="CR175" s="538"/>
      <c r="CS175" s="538"/>
      <c r="CT175" s="538"/>
      <c r="CU175" s="538"/>
      <c r="CV175" s="538"/>
      <c r="CW175" s="538"/>
      <c r="CX175" s="538"/>
      <c r="CY175" s="538"/>
      <c r="CZ175" s="538"/>
      <c r="DA175" s="538"/>
    </row>
    <row r="176" spans="1:105">
      <c r="A176" s="538"/>
      <c r="B176" s="538"/>
      <c r="C176" s="547" t="s">
        <v>185</v>
      </c>
      <c r="D176" s="538"/>
      <c r="E176" s="805"/>
      <c r="F176" s="806"/>
      <c r="G176" s="806"/>
      <c r="H176" s="807"/>
      <c r="I176" s="538"/>
      <c r="J176" s="805"/>
      <c r="K176" s="806"/>
      <c r="L176" s="806"/>
      <c r="M176" s="807"/>
      <c r="N176" s="77"/>
      <c r="O176" s="805"/>
      <c r="P176" s="806"/>
      <c r="Q176" s="342"/>
      <c r="R176" s="395"/>
      <c r="S176" s="77">
        <f>690+32</f>
        <v>722</v>
      </c>
      <c r="T176" s="805"/>
      <c r="U176" s="342"/>
      <c r="V176" s="342"/>
      <c r="W176" s="395"/>
      <c r="X176" s="77">
        <f>690+32</f>
        <v>722</v>
      </c>
      <c r="Y176" s="805"/>
      <c r="Z176" s="342"/>
      <c r="AA176" s="342"/>
      <c r="AB176" s="395"/>
      <c r="AC176" s="77">
        <f>476+20</f>
        <v>496</v>
      </c>
      <c r="AD176" s="805"/>
      <c r="AE176" s="342"/>
      <c r="AF176" s="342"/>
      <c r="AG176" s="395"/>
      <c r="AH176" s="77">
        <v>0</v>
      </c>
      <c r="AI176" s="805"/>
      <c r="AJ176" s="342"/>
      <c r="AK176" s="342"/>
      <c r="AL176" s="395"/>
      <c r="AM176" s="77">
        <f>+AH176</f>
        <v>0</v>
      </c>
      <c r="AN176" s="805"/>
      <c r="AO176" s="342"/>
      <c r="AP176" s="342"/>
      <c r="AQ176" s="395"/>
      <c r="AR176" s="77">
        <f>+AM176</f>
        <v>0</v>
      </c>
      <c r="AS176" s="805"/>
      <c r="AT176" s="342"/>
      <c r="AU176" s="342"/>
      <c r="AV176" s="395"/>
      <c r="AW176" s="77">
        <f>+AR176</f>
        <v>0</v>
      </c>
      <c r="AX176" s="394"/>
      <c r="AY176" s="342"/>
      <c r="AZ176" s="342"/>
      <c r="BA176" s="395"/>
      <c r="BB176" s="77">
        <f>+AW176</f>
        <v>0</v>
      </c>
      <c r="BC176" s="394"/>
      <c r="BD176" s="342"/>
      <c r="BE176" s="342"/>
      <c r="BF176" s="395"/>
      <c r="BG176" s="77">
        <f>+BB176</f>
        <v>0</v>
      </c>
      <c r="BH176" s="394"/>
      <c r="BI176" s="342"/>
      <c r="BJ176" s="342"/>
      <c r="BK176" s="395"/>
      <c r="BL176" s="77">
        <f>+BG176</f>
        <v>0</v>
      </c>
      <c r="BM176" s="394"/>
      <c r="BN176" s="342"/>
      <c r="BO176" s="342"/>
      <c r="BP176" s="395"/>
      <c r="BQ176" s="77">
        <f>+BL176</f>
        <v>0</v>
      </c>
      <c r="BR176" s="77"/>
      <c r="BS176" s="538"/>
      <c r="BT176" s="538"/>
      <c r="BU176" s="538"/>
      <c r="CB176" s="538"/>
      <c r="CC176" s="538"/>
      <c r="CD176" s="538"/>
      <c r="CE176" s="538"/>
      <c r="CF176" s="538"/>
      <c r="CG176" s="538"/>
      <c r="CH176" s="538"/>
      <c r="CI176" s="538"/>
      <c r="CJ176" s="538"/>
      <c r="CK176" s="538"/>
      <c r="CL176" s="538"/>
      <c r="CM176" s="538"/>
      <c r="CN176" s="538"/>
      <c r="CO176" s="538"/>
      <c r="CP176" s="538"/>
      <c r="CQ176" s="538"/>
      <c r="CR176" s="538"/>
      <c r="CS176" s="538"/>
      <c r="CT176" s="538"/>
      <c r="CU176" s="538"/>
      <c r="CV176" s="538"/>
      <c r="CW176" s="538"/>
      <c r="CX176" s="538"/>
      <c r="CY176" s="538"/>
      <c r="CZ176" s="538"/>
      <c r="DA176" s="538"/>
    </row>
    <row r="177" spans="1:107">
      <c r="A177" s="538"/>
      <c r="B177" s="538"/>
      <c r="C177" s="547" t="s">
        <v>186</v>
      </c>
      <c r="D177" s="538"/>
      <c r="E177" s="805"/>
      <c r="F177" s="806"/>
      <c r="G177" s="806"/>
      <c r="H177" s="807"/>
      <c r="I177" s="538"/>
      <c r="J177" s="805"/>
      <c r="K177" s="806"/>
      <c r="L177" s="806"/>
      <c r="M177" s="807"/>
      <c r="N177" s="538"/>
      <c r="O177" s="394">
        <f>S177/4</f>
        <v>18</v>
      </c>
      <c r="P177" s="342">
        <f>S177/4</f>
        <v>18</v>
      </c>
      <c r="Q177" s="342">
        <f>S177/4</f>
        <v>18</v>
      </c>
      <c r="R177" s="395">
        <f>S177/4</f>
        <v>18</v>
      </c>
      <c r="S177" s="589">
        <f>69+3</f>
        <v>72</v>
      </c>
      <c r="T177" s="394">
        <f>X177/4</f>
        <v>14.5</v>
      </c>
      <c r="U177" s="342">
        <f>X177/4</f>
        <v>14.5</v>
      </c>
      <c r="V177" s="342">
        <f>X177/4</f>
        <v>14.5</v>
      </c>
      <c r="W177" s="395">
        <f>X177/4</f>
        <v>14.5</v>
      </c>
      <c r="X177" s="298">
        <f>56+2</f>
        <v>58</v>
      </c>
      <c r="Y177" s="394">
        <f>AC177/4</f>
        <v>11.5</v>
      </c>
      <c r="Z177" s="342">
        <f>AC177/4</f>
        <v>11.5</v>
      </c>
      <c r="AA177" s="342">
        <f>AC177/4</f>
        <v>11.5</v>
      </c>
      <c r="AB177" s="395">
        <f>AC177/4</f>
        <v>11.5</v>
      </c>
      <c r="AC177" s="298">
        <v>46</v>
      </c>
      <c r="AD177" s="394">
        <f>AH177/4</f>
        <v>7.5</v>
      </c>
      <c r="AE177" s="342">
        <f>AH177/4</f>
        <v>7.5</v>
      </c>
      <c r="AF177" s="342">
        <f>AH177/4</f>
        <v>7.5</v>
      </c>
      <c r="AG177" s="395">
        <f>AH177/4</f>
        <v>7.5</v>
      </c>
      <c r="AH177" s="589">
        <v>30</v>
      </c>
      <c r="AI177" s="394">
        <f>AM177/4</f>
        <v>2.75</v>
      </c>
      <c r="AJ177" s="342">
        <f>AM177/4</f>
        <v>2.75</v>
      </c>
      <c r="AK177" s="342">
        <f>AM177/4</f>
        <v>2.75</v>
      </c>
      <c r="AL177" s="395">
        <f>AM177/4</f>
        <v>2.75</v>
      </c>
      <c r="AM177" s="589">
        <v>11</v>
      </c>
      <c r="AN177" s="394">
        <f>AR177/4</f>
        <v>0</v>
      </c>
      <c r="AO177" s="342">
        <f>AR177/4</f>
        <v>0</v>
      </c>
      <c r="AP177" s="342">
        <f>AR177/4</f>
        <v>0</v>
      </c>
      <c r="AQ177" s="395">
        <f>AR177/4</f>
        <v>0</v>
      </c>
      <c r="AR177" s="589">
        <v>0</v>
      </c>
      <c r="AS177" s="394">
        <f>AW177/4</f>
        <v>0</v>
      </c>
      <c r="AT177" s="342">
        <f>AW177/4</f>
        <v>0</v>
      </c>
      <c r="AU177" s="342">
        <f>AW177/4</f>
        <v>0</v>
      </c>
      <c r="AV177" s="395">
        <f>AW177/4</f>
        <v>0</v>
      </c>
      <c r="AW177" s="589">
        <v>0</v>
      </c>
      <c r="AX177" s="394">
        <f>BB177/4</f>
        <v>0</v>
      </c>
      <c r="AY177" s="342">
        <f>BB177/4</f>
        <v>0</v>
      </c>
      <c r="AZ177" s="342">
        <f>BC177/4</f>
        <v>0</v>
      </c>
      <c r="BA177" s="395">
        <f>BB177/4</f>
        <v>0</v>
      </c>
      <c r="BB177" s="589">
        <v>0</v>
      </c>
      <c r="BC177" s="394">
        <f>BG177/4</f>
        <v>0</v>
      </c>
      <c r="BD177" s="342">
        <f>BG177/4</f>
        <v>0</v>
      </c>
      <c r="BE177" s="342">
        <f>BG177/4</f>
        <v>0</v>
      </c>
      <c r="BF177" s="395">
        <f>BG177/4</f>
        <v>0</v>
      </c>
      <c r="BG177" s="589">
        <v>0</v>
      </c>
      <c r="BH177" s="394">
        <f>BL177/4</f>
        <v>0</v>
      </c>
      <c r="BI177" s="342">
        <f>BL177/4</f>
        <v>0</v>
      </c>
      <c r="BJ177" s="342">
        <f>BL177/4</f>
        <v>0</v>
      </c>
      <c r="BK177" s="395">
        <f>BL177/4</f>
        <v>0</v>
      </c>
      <c r="BL177" s="589">
        <v>0</v>
      </c>
      <c r="BM177" s="394">
        <f>BQ177/4</f>
        <v>0</v>
      </c>
      <c r="BN177" s="342">
        <f>BQ177/4</f>
        <v>0</v>
      </c>
      <c r="BO177" s="342">
        <f>BQ177/4</f>
        <v>0</v>
      </c>
      <c r="BP177" s="395">
        <f>BQ177/4</f>
        <v>0</v>
      </c>
      <c r="BQ177" s="589">
        <v>0</v>
      </c>
      <c r="BR177" s="589"/>
      <c r="BS177" s="538"/>
      <c r="BT177" s="538"/>
      <c r="BU177" s="538"/>
      <c r="CB177" s="538"/>
      <c r="CC177" s="538"/>
      <c r="CD177" s="538"/>
      <c r="CE177" s="538"/>
      <c r="CF177" s="538"/>
      <c r="CG177" s="538"/>
      <c r="CH177" s="538"/>
      <c r="CI177" s="538"/>
      <c r="CJ177" s="538"/>
      <c r="CK177" s="538"/>
      <c r="CL177" s="538"/>
      <c r="CM177" s="538"/>
      <c r="CN177" s="538"/>
      <c r="CO177" s="538"/>
      <c r="CP177" s="538"/>
      <c r="CQ177" s="538"/>
      <c r="CR177" s="538"/>
      <c r="CS177" s="538"/>
      <c r="CT177" s="538"/>
      <c r="CU177" s="538"/>
      <c r="CV177" s="538"/>
      <c r="CW177" s="538"/>
      <c r="CX177" s="538"/>
      <c r="CY177" s="538"/>
      <c r="CZ177" s="538"/>
      <c r="DA177" s="538"/>
    </row>
    <row r="178" spans="1:107">
      <c r="A178" s="77"/>
      <c r="B178" s="77"/>
      <c r="C178" s="547" t="s">
        <v>184</v>
      </c>
      <c r="D178" s="77"/>
      <c r="E178" s="394"/>
      <c r="F178" s="342"/>
      <c r="G178" s="342"/>
      <c r="H178" s="395"/>
      <c r="I178" s="77"/>
      <c r="J178" s="394"/>
      <c r="K178" s="342"/>
      <c r="L178" s="342"/>
      <c r="M178" s="395"/>
      <c r="N178" s="77"/>
      <c r="O178" s="394"/>
      <c r="P178" s="342"/>
      <c r="Q178" s="342"/>
      <c r="R178" s="395"/>
      <c r="S178" s="77"/>
      <c r="T178" s="394"/>
      <c r="U178" s="342"/>
      <c r="V178" s="342"/>
      <c r="W178" s="395"/>
      <c r="X178" s="77"/>
      <c r="Y178" s="805"/>
      <c r="Z178" s="342"/>
      <c r="AA178" s="342"/>
      <c r="AB178" s="395"/>
      <c r="AC178" s="77"/>
      <c r="AD178" s="805"/>
      <c r="AE178" s="342"/>
      <c r="AF178" s="342"/>
      <c r="AG178" s="395"/>
      <c r="AH178" s="77"/>
      <c r="AI178" s="805"/>
      <c r="AJ178" s="342"/>
      <c r="AK178" s="342"/>
      <c r="AL178" s="395"/>
      <c r="AM178" s="77"/>
      <c r="AN178" s="805"/>
      <c r="AO178" s="342"/>
      <c r="AP178" s="342"/>
      <c r="AQ178" s="395"/>
      <c r="AR178" s="77"/>
      <c r="AS178" s="805"/>
      <c r="AT178" s="342"/>
      <c r="AU178" s="342"/>
      <c r="AV178" s="395"/>
      <c r="AW178" s="77"/>
      <c r="AX178" s="394">
        <f>+AX177-AS177</f>
        <v>0</v>
      </c>
      <c r="AY178" s="342">
        <f>+AY177-AT177</f>
        <v>0</v>
      </c>
      <c r="AZ178" s="342">
        <f>+AZ177-AU177</f>
        <v>0</v>
      </c>
      <c r="BA178" s="395">
        <f>+BA177-AV177</f>
        <v>0</v>
      </c>
      <c r="BB178" s="77">
        <f>+SUM(AX178:BA178)</f>
        <v>0</v>
      </c>
      <c r="BC178" s="394">
        <f>+BC177-AX177</f>
        <v>0</v>
      </c>
      <c r="BD178" s="342">
        <f>+BD177-AY177</f>
        <v>0</v>
      </c>
      <c r="BE178" s="342">
        <f>+BE177-AY177</f>
        <v>0</v>
      </c>
      <c r="BF178" s="395">
        <f>+BF177-BA177</f>
        <v>0</v>
      </c>
      <c r="BG178" s="77">
        <f>+SUM(BC178:BF178)</f>
        <v>0</v>
      </c>
      <c r="BH178" s="394">
        <f>+BH177-BC177</f>
        <v>0</v>
      </c>
      <c r="BI178" s="342">
        <f>+BI177-BD177</f>
        <v>0</v>
      </c>
      <c r="BJ178" s="342">
        <f>+BJ177-BE177</f>
        <v>0</v>
      </c>
      <c r="BK178" s="395">
        <f>+BK177-BF177</f>
        <v>0</v>
      </c>
      <c r="BL178" s="77">
        <f>+SUM(BH178:BK178)</f>
        <v>0</v>
      </c>
      <c r="BM178" s="394">
        <f>+BM177-BH177</f>
        <v>0</v>
      </c>
      <c r="BN178" s="342">
        <f>+BN177-BI177</f>
        <v>0</v>
      </c>
      <c r="BO178" s="342">
        <f>+BO177-BJ177</f>
        <v>0</v>
      </c>
      <c r="BP178" s="395">
        <f>+BP177-BK177</f>
        <v>0</v>
      </c>
      <c r="BQ178" s="77">
        <f>+SUM(BM178:BP178)</f>
        <v>0</v>
      </c>
      <c r="BR178" s="77"/>
      <c r="BS178" s="77"/>
      <c r="BT178" s="77"/>
      <c r="BU178" s="77"/>
      <c r="CB178" s="77"/>
      <c r="CC178" s="77"/>
      <c r="CD178" s="77"/>
      <c r="CE178" s="77"/>
      <c r="CF178" s="77"/>
      <c r="CG178" s="77"/>
      <c r="CH178" s="77"/>
      <c r="CI178" s="77"/>
      <c r="CJ178" s="77"/>
      <c r="CK178" s="77"/>
      <c r="CL178" s="77"/>
      <c r="CM178" s="77"/>
      <c r="CN178" s="77"/>
      <c r="CO178" s="77"/>
      <c r="CP178" s="77"/>
      <c r="CQ178" s="77"/>
      <c r="CR178" s="77"/>
      <c r="CS178" s="77"/>
      <c r="CT178" s="77"/>
      <c r="CU178" s="77"/>
      <c r="CV178" s="77"/>
      <c r="CW178" s="77"/>
      <c r="CX178" s="77"/>
      <c r="CY178" s="77"/>
      <c r="CZ178" s="77"/>
      <c r="DA178" s="77"/>
    </row>
    <row r="179" spans="1:107">
      <c r="A179" s="538"/>
      <c r="B179" s="538"/>
      <c r="C179" s="547"/>
      <c r="D179" s="538"/>
      <c r="E179" s="805"/>
      <c r="F179" s="806"/>
      <c r="G179" s="806"/>
      <c r="H179" s="807"/>
      <c r="I179" s="538"/>
      <c r="J179" s="805"/>
      <c r="K179" s="806"/>
      <c r="L179" s="806"/>
      <c r="M179" s="807"/>
      <c r="N179" s="538"/>
      <c r="O179" s="805"/>
      <c r="P179" s="806"/>
      <c r="Q179" s="342"/>
      <c r="R179" s="395"/>
      <c r="S179" s="77"/>
      <c r="T179" s="805"/>
      <c r="U179" s="342"/>
      <c r="V179" s="342"/>
      <c r="W179" s="395"/>
      <c r="X179" s="77"/>
      <c r="Y179" s="805"/>
      <c r="Z179" s="342"/>
      <c r="AA179" s="342"/>
      <c r="AB179" s="395"/>
      <c r="AC179" s="77"/>
      <c r="AD179" s="805"/>
      <c r="AE179" s="342"/>
      <c r="AF179" s="342"/>
      <c r="AG179" s="395"/>
      <c r="AH179" s="77"/>
      <c r="AI179" s="805"/>
      <c r="AJ179" s="342"/>
      <c r="AK179" s="342"/>
      <c r="AL179" s="395"/>
      <c r="AM179" s="77"/>
      <c r="AN179" s="805"/>
      <c r="AO179" s="342"/>
      <c r="AP179" s="342"/>
      <c r="AQ179" s="395"/>
      <c r="AR179" s="77"/>
      <c r="AS179" s="805"/>
      <c r="AT179" s="342"/>
      <c r="AU179" s="342"/>
      <c r="AV179" s="395"/>
      <c r="AW179" s="77"/>
      <c r="AX179" s="394"/>
      <c r="AY179" s="342"/>
      <c r="AZ179" s="342"/>
      <c r="BA179" s="395"/>
      <c r="BB179" s="77"/>
      <c r="BC179" s="394"/>
      <c r="BD179" s="342"/>
      <c r="BE179" s="342"/>
      <c r="BF179" s="395"/>
      <c r="BG179" s="77"/>
      <c r="BH179" s="394"/>
      <c r="BI179" s="342"/>
      <c r="BJ179" s="342"/>
      <c r="BK179" s="395"/>
      <c r="BL179" s="77"/>
      <c r="BM179" s="394"/>
      <c r="BN179" s="342"/>
      <c r="BO179" s="342"/>
      <c r="BP179" s="395"/>
      <c r="BQ179" s="77"/>
      <c r="BR179" s="77"/>
      <c r="BS179" s="538"/>
      <c r="BT179" s="538"/>
      <c r="BU179" s="538"/>
      <c r="CB179" s="538"/>
      <c r="CC179" s="538"/>
      <c r="CD179" s="538"/>
      <c r="CE179" s="538"/>
      <c r="CF179" s="538"/>
      <c r="CG179" s="538"/>
      <c r="CH179" s="538"/>
      <c r="CI179" s="538"/>
      <c r="CJ179" s="538"/>
      <c r="CK179" s="538"/>
      <c r="CL179" s="538"/>
      <c r="CM179" s="538"/>
      <c r="CN179" s="538"/>
      <c r="CO179" s="538"/>
      <c r="CP179" s="538"/>
      <c r="CQ179" s="538"/>
      <c r="CR179" s="538"/>
      <c r="CS179" s="538"/>
      <c r="CT179" s="538"/>
      <c r="CU179" s="538"/>
      <c r="CV179" s="538"/>
      <c r="CW179" s="538"/>
      <c r="CX179" s="538"/>
      <c r="CY179" s="538"/>
      <c r="CZ179" s="538"/>
      <c r="DA179" s="538"/>
    </row>
    <row r="180" spans="1:107">
      <c r="A180" s="538"/>
      <c r="B180" s="538"/>
      <c r="C180" s="545" t="s">
        <v>384</v>
      </c>
      <c r="D180" s="538"/>
      <c r="E180" s="805"/>
      <c r="F180" s="806"/>
      <c r="G180" s="806"/>
      <c r="H180" s="807"/>
      <c r="I180" s="538"/>
      <c r="J180" s="805"/>
      <c r="K180" s="806"/>
      <c r="L180" s="806"/>
      <c r="M180" s="807"/>
      <c r="N180" s="538"/>
      <c r="O180" s="805"/>
      <c r="P180" s="806"/>
      <c r="Q180" s="342"/>
      <c r="R180" s="395"/>
      <c r="S180" s="77"/>
      <c r="T180" s="805"/>
      <c r="U180" s="342"/>
      <c r="V180" s="342"/>
      <c r="W180" s="395"/>
      <c r="X180" s="77"/>
      <c r="Y180" s="394"/>
      <c r="Z180" s="342"/>
      <c r="AA180" s="342"/>
      <c r="AB180" s="395"/>
      <c r="AC180" s="77"/>
      <c r="AD180" s="394"/>
      <c r="AE180" s="342"/>
      <c r="AF180" s="342"/>
      <c r="AG180" s="395"/>
      <c r="AH180" s="77"/>
      <c r="AI180" s="394"/>
      <c r="AJ180" s="342"/>
      <c r="AK180" s="342"/>
      <c r="AL180" s="395"/>
      <c r="AM180" s="77"/>
      <c r="AN180" s="394"/>
      <c r="AO180" s="342"/>
      <c r="AP180" s="342"/>
      <c r="AQ180" s="395"/>
      <c r="AR180" s="77"/>
      <c r="AS180" s="394"/>
      <c r="AT180" s="342"/>
      <c r="AU180" s="342"/>
      <c r="AV180" s="395"/>
      <c r="AW180" s="77"/>
      <c r="AX180" s="394"/>
      <c r="AY180" s="342"/>
      <c r="AZ180" s="342"/>
      <c r="BA180" s="395"/>
      <c r="BB180" s="77"/>
      <c r="BC180" s="394"/>
      <c r="BD180" s="342"/>
      <c r="BE180" s="342"/>
      <c r="BF180" s="395"/>
      <c r="BG180" s="77"/>
      <c r="BH180" s="394"/>
      <c r="BI180" s="342"/>
      <c r="BJ180" s="342"/>
      <c r="BK180" s="395"/>
      <c r="BL180" s="77"/>
      <c r="BM180" s="394"/>
      <c r="BN180" s="342"/>
      <c r="BO180" s="342"/>
      <c r="BP180" s="395"/>
      <c r="BQ180" s="77"/>
      <c r="BR180" s="77"/>
      <c r="BS180" s="538"/>
      <c r="BT180" s="538"/>
      <c r="BU180" s="538"/>
      <c r="CB180" s="538"/>
      <c r="CC180" s="538"/>
      <c r="CD180" s="538"/>
      <c r="CE180" s="538"/>
      <c r="CF180" s="538"/>
      <c r="CG180" s="538"/>
      <c r="CH180" s="538"/>
      <c r="CI180" s="538"/>
      <c r="CJ180" s="538"/>
      <c r="CK180" s="538"/>
      <c r="CL180" s="538"/>
      <c r="CM180" s="538"/>
      <c r="CN180" s="538"/>
      <c r="CO180" s="538"/>
      <c r="CP180" s="538"/>
      <c r="CQ180" s="538"/>
      <c r="CR180" s="538"/>
      <c r="CS180" s="538"/>
      <c r="CT180" s="538"/>
      <c r="CU180" s="538"/>
      <c r="CV180" s="538"/>
      <c r="CW180" s="538"/>
      <c r="CX180" s="538"/>
      <c r="CY180" s="538"/>
      <c r="CZ180" s="538"/>
      <c r="DA180" s="538"/>
    </row>
    <row r="181" spans="1:107">
      <c r="A181" s="77"/>
      <c r="B181" s="77"/>
      <c r="C181" s="547" t="s">
        <v>170</v>
      </c>
      <c r="D181" s="77"/>
      <c r="E181" s="394"/>
      <c r="F181" s="342"/>
      <c r="G181" s="342"/>
      <c r="H181" s="395"/>
      <c r="I181" s="77"/>
      <c r="J181" s="394"/>
      <c r="K181" s="342"/>
      <c r="L181" s="342"/>
      <c r="M181" s="395"/>
      <c r="N181" s="77"/>
      <c r="O181" s="394"/>
      <c r="P181" s="342"/>
      <c r="Q181" s="342"/>
      <c r="R181" s="395"/>
      <c r="S181" s="77">
        <f>905/3</f>
        <v>301.66666666666669</v>
      </c>
      <c r="T181" s="394"/>
      <c r="U181" s="342"/>
      <c r="V181" s="342"/>
      <c r="W181" s="395"/>
      <c r="X181" s="77"/>
      <c r="Y181" s="394"/>
      <c r="Z181" s="342"/>
      <c r="AA181" s="342"/>
      <c r="AB181" s="395"/>
      <c r="AC181" s="77"/>
      <c r="AD181" s="394"/>
      <c r="AE181" s="342"/>
      <c r="AF181" s="342"/>
      <c r="AG181" s="395"/>
      <c r="AH181" s="77"/>
      <c r="AI181" s="394"/>
      <c r="AJ181" s="342"/>
      <c r="AK181" s="342"/>
      <c r="AL181" s="395"/>
      <c r="AM181" s="77"/>
      <c r="AN181" s="394"/>
      <c r="AO181" s="342"/>
      <c r="AP181" s="342"/>
      <c r="AQ181" s="395"/>
      <c r="AR181" s="77"/>
      <c r="AS181" s="394"/>
      <c r="AT181" s="342"/>
      <c r="AU181" s="342"/>
      <c r="AV181" s="395"/>
      <c r="AW181" s="77"/>
      <c r="AX181" s="394">
        <f>(((AW217-AS217)*AX185)/4)-((AW215-AS215)*(AX185-1%)/4)</f>
        <v>-0.2225</v>
      </c>
      <c r="AY181" s="342">
        <f>(((AX217-AT217)*AY185)/4)-((AX215-AT215)*(AY185-1%)/4)</f>
        <v>0.5789493155021489</v>
      </c>
      <c r="AZ181" s="342">
        <f>(((AY217-AU217)*AZ185)/4)-((AY215-AU215)*(AZ185-1%)/4)</f>
        <v>-0.53432582755302238</v>
      </c>
      <c r="BA181" s="395">
        <f>(((AY217-AV217)*BA185)/4)-((AY215-AV215)*(BA185-1%)/4)</f>
        <v>-0.52682582755302232</v>
      </c>
      <c r="BB181" s="77">
        <f>+SUM(AX181:BA181)</f>
        <v>-0.70470233960389583</v>
      </c>
      <c r="BC181" s="394">
        <f>(((BB217-AX217)*BC185)/4)-((BB215-AX215)*(BC185-1%)/4)</f>
        <v>1.0146908145035696</v>
      </c>
      <c r="BD181" s="342">
        <f>(((BC217-AY217)*BD185)/4)-((BC215-AY215)*(BD185-1%)/4)</f>
        <v>3.2386514593715097</v>
      </c>
      <c r="BE181" s="342">
        <f>(((BD217-AY217)*BE185)/4)-((BD215-AY215)*(BE185-1%)/4)</f>
        <v>-0.14996302945580056</v>
      </c>
      <c r="BF181" s="395">
        <f>(((BE217-BA217)*BF185)/4)-((BE215-BA215)*(BF185-1%)/4)</f>
        <v>-0.85257168884234746</v>
      </c>
      <c r="BG181" s="77">
        <f>+SUM(BC181:BF181)</f>
        <v>3.2508075555769307</v>
      </c>
      <c r="BH181" s="394">
        <f>(((BG217-BC217)*BH185)/4)-((BG215-BC215)*(BH185-1%)/4)</f>
        <v>-0.39091264416439031</v>
      </c>
      <c r="BI181" s="342">
        <f>(((BH217-BD217)*BI185)/4)-((BH215-BD215)*(BI185-1%)/4)</f>
        <v>3.8987785489960096</v>
      </c>
      <c r="BJ181" s="342">
        <f>(((BI217-BE217)*BJ185)/4)-((BI215-BE215)*(BJ185-1%)/4)</f>
        <v>-1.0650656146866404</v>
      </c>
      <c r="BK181" s="395">
        <f>(((BJ217-BF217)*BK185)/4)-((BJ215-BF215)*(BK185-1%)/4)</f>
        <v>-1.7955561554806185</v>
      </c>
      <c r="BL181" s="77">
        <f>+SUM(BH181:BK181)</f>
        <v>0.64724413466436026</v>
      </c>
      <c r="BM181" s="394">
        <f>(((BL217-BH217)*BM185)/4)-((BL215-BH215)*(BM185-1%)/4)</f>
        <v>-1.3637400029351852</v>
      </c>
      <c r="BN181" s="342">
        <f>(((BM217-BI217)*BN185)/4)-((BM215-BI215)*(BN185-1%)/4)</f>
        <v>4.1547888353529654</v>
      </c>
      <c r="BO181" s="342">
        <f>(((BN217-BJ217)*BO185)/4)-((BN215-BJ215)*(BO185-1%)/4)</f>
        <v>-6.9473659964834275E-2</v>
      </c>
      <c r="BP181" s="395">
        <f>(((BO217-BK217)*BP185)/4)-((BO215-BK215)*(BP185-1%)/4)</f>
        <v>-0.41784957149267343</v>
      </c>
      <c r="BQ181" s="77">
        <f>+SUM(BM181:BP181)</f>
        <v>2.3037256009602722</v>
      </c>
      <c r="BR181" s="77"/>
      <c r="BS181" s="77"/>
      <c r="BT181" s="77"/>
      <c r="BU181" s="77"/>
      <c r="BV181" s="77"/>
      <c r="BW181" s="77"/>
      <c r="BX181" s="77"/>
      <c r="BY181" s="77"/>
      <c r="BZ181" s="77"/>
      <c r="CA181" s="77"/>
      <c r="CB181" s="77"/>
      <c r="CC181" s="77"/>
      <c r="CD181" s="77"/>
      <c r="CE181" s="77"/>
      <c r="CF181" s="77"/>
      <c r="CG181" s="77"/>
      <c r="CH181" s="77"/>
      <c r="CI181" s="77"/>
      <c r="CJ181" s="77"/>
      <c r="CK181" s="77"/>
      <c r="CL181" s="77"/>
      <c r="CM181" s="77"/>
      <c r="CN181" s="77"/>
      <c r="CO181" s="77"/>
      <c r="CP181" s="77"/>
      <c r="CQ181" s="77"/>
      <c r="CR181" s="77"/>
      <c r="CS181" s="77"/>
      <c r="CT181" s="77"/>
      <c r="CU181" s="77"/>
      <c r="CV181" s="77"/>
      <c r="CW181" s="77"/>
      <c r="CX181" s="77"/>
      <c r="CY181" s="77"/>
      <c r="CZ181" s="77"/>
      <c r="DA181" s="77"/>
    </row>
    <row r="182" spans="1:107">
      <c r="A182" s="77"/>
      <c r="B182" s="77"/>
      <c r="C182" s="547" t="s">
        <v>306</v>
      </c>
      <c r="D182" s="77"/>
      <c r="E182" s="394"/>
      <c r="F182" s="342"/>
      <c r="G182" s="342"/>
      <c r="H182" s="395"/>
      <c r="I182" s="77"/>
      <c r="J182" s="394"/>
      <c r="K182" s="342"/>
      <c r="L182" s="342"/>
      <c r="M182" s="395"/>
      <c r="N182" s="77"/>
      <c r="O182" s="394"/>
      <c r="P182" s="342"/>
      <c r="Q182" s="342"/>
      <c r="R182" s="395"/>
      <c r="S182" s="77"/>
      <c r="T182" s="394"/>
      <c r="U182" s="342"/>
      <c r="V182" s="342"/>
      <c r="W182" s="395"/>
      <c r="X182" s="77"/>
      <c r="Y182" s="394"/>
      <c r="Z182" s="342"/>
      <c r="AA182" s="342"/>
      <c r="AB182" s="395"/>
      <c r="AC182" s="77"/>
      <c r="AD182" s="394"/>
      <c r="AE182" s="342"/>
      <c r="AF182" s="342"/>
      <c r="AG182" s="395"/>
      <c r="AH182" s="77"/>
      <c r="AI182" s="394"/>
      <c r="AJ182" s="342"/>
      <c r="AK182" s="342"/>
      <c r="AL182" s="395"/>
      <c r="AM182" s="77"/>
      <c r="AN182" s="394"/>
      <c r="AO182" s="342"/>
      <c r="AP182" s="342"/>
      <c r="AQ182" s="395"/>
      <c r="AR182" s="77"/>
      <c r="AS182" s="394"/>
      <c r="AT182" s="342"/>
      <c r="AU182" s="342"/>
      <c r="AV182" s="395"/>
      <c r="AW182" s="77"/>
      <c r="AX182" s="394">
        <f>Debt!CG85</f>
        <v>6.3375000000000004</v>
      </c>
      <c r="AY182" s="342">
        <f>Debt!CH85</f>
        <v>17.545833333333334</v>
      </c>
      <c r="AZ182" s="342">
        <f>Debt!CI85</f>
        <v>23.15</v>
      </c>
      <c r="BA182" s="395">
        <f>Debt!CJ85</f>
        <v>21.05</v>
      </c>
      <c r="BB182" s="77">
        <f>Debt!CK85</f>
        <v>68.083333333333343</v>
      </c>
      <c r="BC182" s="394">
        <f>Debt!CL85</f>
        <v>20</v>
      </c>
      <c r="BD182" s="342">
        <f>Debt!CM85</f>
        <v>19.166666666666668</v>
      </c>
      <c r="BE182" s="342">
        <f>Debt!CN85</f>
        <v>18.75</v>
      </c>
      <c r="BF182" s="395">
        <f>Debt!CO85</f>
        <v>18.75</v>
      </c>
      <c r="BG182" s="77">
        <f>Debt!CP85</f>
        <v>76.666666666666657</v>
      </c>
      <c r="BH182" s="394">
        <f>Debt!CQ85</f>
        <v>18.75</v>
      </c>
      <c r="BI182" s="342">
        <f>Debt!CR85</f>
        <v>17.916666666666664</v>
      </c>
      <c r="BJ182" s="342">
        <f>Debt!CS85</f>
        <v>17.5</v>
      </c>
      <c r="BK182" s="395">
        <f>Debt!CT85</f>
        <v>17.5</v>
      </c>
      <c r="BL182" s="77">
        <f>Debt!CU85</f>
        <v>71.666666666666657</v>
      </c>
      <c r="BM182" s="394">
        <f>Debt!CV85</f>
        <v>17.5</v>
      </c>
      <c r="BN182" s="342">
        <f>Debt!CW85</f>
        <v>15</v>
      </c>
      <c r="BO182" s="342">
        <f>Debt!CX85</f>
        <v>13.75</v>
      </c>
      <c r="BP182" s="395">
        <f>Debt!CY85</f>
        <v>13.75</v>
      </c>
      <c r="BQ182" s="77">
        <f>Debt!CZ85</f>
        <v>60</v>
      </c>
      <c r="BR182" s="77"/>
      <c r="BS182" s="77"/>
      <c r="BT182" s="77"/>
      <c r="BU182" s="77"/>
      <c r="BV182" s="77"/>
      <c r="BW182" s="77"/>
      <c r="BX182" s="77"/>
      <c r="BY182" s="77"/>
      <c r="BZ182" s="77"/>
      <c r="CA182" s="77"/>
      <c r="CB182" s="77"/>
      <c r="CC182" s="77"/>
      <c r="CD182" s="77"/>
      <c r="CE182" s="77"/>
      <c r="CF182" s="77"/>
      <c r="CG182" s="77"/>
      <c r="CH182" s="77"/>
      <c r="CI182" s="77"/>
      <c r="CJ182" s="77"/>
      <c r="CK182" s="77"/>
      <c r="CL182" s="77"/>
      <c r="CM182" s="77"/>
      <c r="CN182" s="77"/>
      <c r="CO182" s="77"/>
      <c r="CP182" s="77"/>
      <c r="CQ182" s="77"/>
      <c r="CR182" s="77"/>
      <c r="CS182" s="77"/>
      <c r="CT182" s="77"/>
      <c r="CU182" s="77"/>
      <c r="CV182" s="77"/>
      <c r="CW182" s="77"/>
      <c r="CX182" s="77"/>
      <c r="CY182" s="77"/>
      <c r="CZ182" s="77"/>
      <c r="DA182" s="77"/>
    </row>
    <row r="183" spans="1:107">
      <c r="A183" s="77"/>
      <c r="B183" s="77"/>
      <c r="C183" s="547" t="s">
        <v>307</v>
      </c>
      <c r="D183" s="77"/>
      <c r="E183" s="394"/>
      <c r="F183" s="342"/>
      <c r="G183" s="342"/>
      <c r="H183" s="395"/>
      <c r="I183" s="77"/>
      <c r="J183" s="394"/>
      <c r="K183" s="342"/>
      <c r="L183" s="342"/>
      <c r="M183" s="395"/>
      <c r="N183" s="77"/>
      <c r="O183" s="394"/>
      <c r="P183" s="342"/>
      <c r="Q183" s="342"/>
      <c r="R183" s="395"/>
      <c r="S183" s="77"/>
      <c r="T183" s="394"/>
      <c r="U183" s="342"/>
      <c r="V183" s="342"/>
      <c r="W183" s="395"/>
      <c r="X183" s="538"/>
      <c r="Y183" s="805"/>
      <c r="Z183" s="806"/>
      <c r="AA183" s="806"/>
      <c r="AB183" s="807"/>
      <c r="AC183" s="538"/>
      <c r="AD183" s="805"/>
      <c r="AE183" s="806"/>
      <c r="AF183" s="806"/>
      <c r="AG183" s="807"/>
      <c r="AH183" s="77"/>
      <c r="AI183" s="805"/>
      <c r="AJ183" s="342"/>
      <c r="AK183" s="342"/>
      <c r="AL183" s="395"/>
      <c r="AM183" s="77"/>
      <c r="AN183" s="805"/>
      <c r="AO183" s="342"/>
      <c r="AP183" s="342"/>
      <c r="AQ183" s="395"/>
      <c r="AR183" s="77"/>
      <c r="AS183" s="805"/>
      <c r="AT183" s="342"/>
      <c r="AU183" s="342"/>
      <c r="AV183" s="395"/>
      <c r="AW183" s="77"/>
      <c r="AX183" s="394">
        <f>Debt!CG75</f>
        <v>0</v>
      </c>
      <c r="AY183" s="342">
        <f>Debt!CH75</f>
        <v>-4.875</v>
      </c>
      <c r="AZ183" s="342">
        <f>Debt!CI75</f>
        <v>-7.3125</v>
      </c>
      <c r="BA183" s="395">
        <f>Debt!CJ75</f>
        <v>-7.3125</v>
      </c>
      <c r="BB183" s="77">
        <f>Debt!CK75</f>
        <v>-19.5</v>
      </c>
      <c r="BC183" s="394">
        <f>Debt!CL75</f>
        <v>-7.3125</v>
      </c>
      <c r="BD183" s="342">
        <f>Debt!CM75</f>
        <v>-2.8125</v>
      </c>
      <c r="BE183" s="342">
        <f>Debt!CN75</f>
        <v>-1.9583333333333335</v>
      </c>
      <c r="BF183" s="395">
        <f>Debt!CO75</f>
        <v>-2.375</v>
      </c>
      <c r="BG183" s="77">
        <f>Debt!CP75</f>
        <v>-14.458333333333334</v>
      </c>
      <c r="BH183" s="394">
        <f>Debt!CQ75</f>
        <v>-2.375</v>
      </c>
      <c r="BI183" s="342">
        <f>Debt!CR75</f>
        <v>-3.458333333333333</v>
      </c>
      <c r="BJ183" s="342">
        <f>Debt!CS75</f>
        <v>-2.6041666666666665</v>
      </c>
      <c r="BK183" s="395">
        <f>Debt!CT75</f>
        <v>-2.2930999999999999</v>
      </c>
      <c r="BL183" s="77">
        <f>Debt!CU75</f>
        <v>-10.730599999999999</v>
      </c>
      <c r="BM183" s="394">
        <f>Debt!CV75</f>
        <v>-2.8209</v>
      </c>
      <c r="BN183" s="342">
        <f>Debt!CW75</f>
        <v>-3.3454833333333331</v>
      </c>
      <c r="BO183" s="342">
        <f>Debt!CX75</f>
        <v>-4.68215</v>
      </c>
      <c r="BP183" s="395">
        <f>Debt!CY75</f>
        <v>-4.5765500000000001</v>
      </c>
      <c r="BQ183" s="77">
        <f>Debt!CZ75</f>
        <v>-15.425083333333333</v>
      </c>
      <c r="BR183" s="77"/>
      <c r="BS183" s="77"/>
      <c r="BT183" s="77"/>
      <c r="BU183" s="77"/>
      <c r="BV183" s="77"/>
      <c r="BW183" s="77"/>
      <c r="BX183" s="77"/>
      <c r="BY183" s="77"/>
      <c r="BZ183" s="77"/>
      <c r="CA183" s="77"/>
      <c r="CB183" s="77"/>
      <c r="CC183" s="77"/>
      <c r="CD183" s="77"/>
      <c r="CE183" s="77"/>
      <c r="CF183" s="77"/>
      <c r="CG183" s="77"/>
      <c r="CH183" s="77"/>
      <c r="CI183" s="77"/>
      <c r="CJ183" s="77"/>
      <c r="CK183" s="77"/>
      <c r="CL183" s="77"/>
      <c r="CM183" s="77"/>
      <c r="CN183" s="77"/>
      <c r="CO183" s="77"/>
      <c r="CP183" s="77"/>
      <c r="CQ183" s="77"/>
      <c r="CR183" s="77"/>
      <c r="CS183" s="77"/>
      <c r="CT183" s="77"/>
      <c r="CU183" s="77"/>
      <c r="CV183" s="77"/>
      <c r="CW183" s="77"/>
      <c r="CX183" s="77"/>
      <c r="CY183" s="77"/>
      <c r="CZ183" s="77"/>
      <c r="DA183" s="77"/>
    </row>
    <row r="184" spans="1:107">
      <c r="A184" s="538"/>
      <c r="B184" s="538"/>
      <c r="C184" s="37"/>
      <c r="D184" s="538"/>
      <c r="E184" s="805"/>
      <c r="F184" s="806"/>
      <c r="G184" s="806"/>
      <c r="H184" s="807"/>
      <c r="I184" s="538"/>
      <c r="J184" s="805"/>
      <c r="K184" s="806"/>
      <c r="L184" s="806"/>
      <c r="M184" s="807"/>
      <c r="N184" s="538"/>
      <c r="O184" s="805"/>
      <c r="P184" s="806"/>
      <c r="Q184" s="806"/>
      <c r="R184" s="807"/>
      <c r="S184" s="538"/>
      <c r="T184" s="805"/>
      <c r="U184" s="806"/>
      <c r="V184" s="806"/>
      <c r="W184" s="807"/>
      <c r="X184" s="32"/>
      <c r="Y184" s="805"/>
      <c r="Z184" s="316"/>
      <c r="AA184" s="316"/>
      <c r="AB184" s="387"/>
      <c r="AC184" s="32"/>
      <c r="AD184" s="805"/>
      <c r="AE184" s="316"/>
      <c r="AF184" s="316"/>
      <c r="AG184" s="387"/>
      <c r="AH184" s="538"/>
      <c r="AI184" s="805"/>
      <c r="AJ184" s="806"/>
      <c r="AK184" s="806"/>
      <c r="AL184" s="807"/>
      <c r="AM184" s="538"/>
      <c r="AN184" s="805"/>
      <c r="AO184" s="806"/>
      <c r="AP184" s="806"/>
      <c r="AQ184" s="807"/>
      <c r="AR184" s="538"/>
      <c r="AS184" s="805"/>
      <c r="AT184" s="806"/>
      <c r="AU184" s="806"/>
      <c r="AV184" s="807"/>
      <c r="AW184" s="538"/>
      <c r="AX184" s="805"/>
      <c r="AY184" s="806"/>
      <c r="AZ184" s="806"/>
      <c r="BA184" s="807"/>
      <c r="BB184" s="538"/>
      <c r="BC184" s="805"/>
      <c r="BD184" s="806"/>
      <c r="BE184" s="806"/>
      <c r="BF184" s="807"/>
      <c r="BG184" s="538"/>
      <c r="BH184" s="805"/>
      <c r="BI184" s="806"/>
      <c r="BJ184" s="806"/>
      <c r="BK184" s="807"/>
      <c r="BL184" s="538"/>
      <c r="BM184" s="805"/>
      <c r="BN184" s="806"/>
      <c r="BO184" s="806"/>
      <c r="BP184" s="807"/>
      <c r="BQ184" s="538"/>
      <c r="BR184" s="538"/>
      <c r="BS184" s="538"/>
      <c r="BT184" s="538"/>
      <c r="BU184" s="538"/>
      <c r="BV184" s="538"/>
      <c r="BW184" s="538"/>
      <c r="BX184" s="538"/>
      <c r="BY184" s="538"/>
      <c r="BZ184" s="538"/>
      <c r="CA184" s="538"/>
      <c r="CB184" s="538"/>
      <c r="CC184" s="538"/>
      <c r="CD184" s="538"/>
      <c r="CE184" s="538"/>
      <c r="CF184" s="538"/>
      <c r="CG184" s="538"/>
      <c r="CH184" s="538"/>
      <c r="CI184" s="538"/>
      <c r="CJ184" s="538"/>
      <c r="CK184" s="538"/>
      <c r="CL184" s="538"/>
      <c r="CM184" s="538"/>
      <c r="CN184" s="538"/>
      <c r="CO184" s="538"/>
      <c r="CP184" s="538"/>
      <c r="CQ184" s="538"/>
      <c r="CR184" s="538"/>
      <c r="CS184" s="538"/>
      <c r="CT184" s="538"/>
      <c r="CU184" s="538"/>
      <c r="CV184" s="538"/>
      <c r="CW184" s="538"/>
      <c r="CX184" s="538"/>
      <c r="CY184" s="538"/>
      <c r="CZ184" s="538"/>
      <c r="DA184" s="538"/>
    </row>
    <row r="185" spans="1:107">
      <c r="A185" s="538"/>
      <c r="B185" s="538"/>
      <c r="C185" s="547" t="s">
        <v>319</v>
      </c>
      <c r="D185" s="538"/>
      <c r="E185" s="805"/>
      <c r="F185" s="806"/>
      <c r="G185" s="806"/>
      <c r="H185" s="807"/>
      <c r="I185" s="538"/>
      <c r="J185" s="805"/>
      <c r="K185" s="806"/>
      <c r="L185" s="806"/>
      <c r="M185" s="807"/>
      <c r="N185" s="538"/>
      <c r="O185" s="805"/>
      <c r="P185" s="806"/>
      <c r="Q185" s="316"/>
      <c r="R185" s="387"/>
      <c r="S185" s="32"/>
      <c r="T185" s="805"/>
      <c r="U185" s="316"/>
      <c r="V185" s="316"/>
      <c r="W185" s="387"/>
      <c r="X185" s="32"/>
      <c r="Y185" s="386"/>
      <c r="Z185" s="316"/>
      <c r="AA185" s="316"/>
      <c r="AB185" s="387"/>
      <c r="AC185" s="32"/>
      <c r="AD185" s="386"/>
      <c r="AE185" s="316"/>
      <c r="AF185" s="316"/>
      <c r="AG185" s="387"/>
      <c r="AH185" s="32"/>
      <c r="AI185" s="386"/>
      <c r="AJ185" s="316"/>
      <c r="AK185" s="316"/>
      <c r="AL185" s="387"/>
      <c r="AM185" s="32"/>
      <c r="AN185" s="386"/>
      <c r="AO185" s="316"/>
      <c r="AP185" s="316"/>
      <c r="AQ185" s="387"/>
      <c r="AR185" s="32"/>
      <c r="AS185" s="386"/>
      <c r="AT185" s="316"/>
      <c r="AU185" s="316"/>
      <c r="AV185" s="387"/>
      <c r="AW185" s="32"/>
      <c r="AX185" s="386">
        <f>+PEG!AX91</f>
        <v>0.02</v>
      </c>
      <c r="AY185" s="316">
        <f>+PEG!AY91</f>
        <v>0.02</v>
      </c>
      <c r="AZ185" s="316">
        <f>+PEG!AZ91</f>
        <v>0.02</v>
      </c>
      <c r="BA185" s="387">
        <f>+PEG!BA91</f>
        <v>0.02</v>
      </c>
      <c r="BB185" s="32">
        <f>+PEG!BB91</f>
        <v>0.02</v>
      </c>
      <c r="BC185" s="386">
        <f>+PEG!BC91</f>
        <v>0.02</v>
      </c>
      <c r="BD185" s="316">
        <f>+PEG!BD91</f>
        <v>0.02</v>
      </c>
      <c r="BE185" s="316">
        <f>+PEG!BE91</f>
        <v>0.02</v>
      </c>
      <c r="BF185" s="387">
        <f>+PEG!BF91</f>
        <v>0.02</v>
      </c>
      <c r="BG185" s="32">
        <f>+PEG!BG91</f>
        <v>0.02</v>
      </c>
      <c r="BH185" s="386">
        <f>+PEG!BH91</f>
        <v>0.02</v>
      </c>
      <c r="BI185" s="316">
        <f>+PEG!BI91</f>
        <v>0.02</v>
      </c>
      <c r="BJ185" s="316">
        <f>+PEG!BJ91</f>
        <v>0.02</v>
      </c>
      <c r="BK185" s="387">
        <f>+PEG!BK91</f>
        <v>0.02</v>
      </c>
      <c r="BL185" s="32">
        <f>+PEG!BL91</f>
        <v>0.02</v>
      </c>
      <c r="BM185" s="386">
        <f>+PEG!BM91</f>
        <v>0.02</v>
      </c>
      <c r="BN185" s="316">
        <f>+PEG!BN91</f>
        <v>0.02</v>
      </c>
      <c r="BO185" s="316">
        <f>+PEG!BO91</f>
        <v>0.02</v>
      </c>
      <c r="BP185" s="387">
        <f>+PEG!BP91</f>
        <v>0.02</v>
      </c>
      <c r="BQ185" s="32">
        <f>+PEG!BQ91</f>
        <v>0.02</v>
      </c>
      <c r="BR185" s="32"/>
      <c r="BS185" s="538"/>
      <c r="BT185" s="538"/>
      <c r="BU185" s="538"/>
      <c r="BV185" s="538"/>
      <c r="BW185" s="538"/>
      <c r="BX185" s="538"/>
      <c r="BY185" s="538"/>
      <c r="BZ185" s="538"/>
      <c r="CA185" s="538"/>
      <c r="CB185" s="538"/>
      <c r="CC185" s="538"/>
      <c r="CD185" s="538"/>
      <c r="CE185" s="538"/>
      <c r="CF185" s="538"/>
      <c r="CG185" s="538"/>
      <c r="CH185" s="538"/>
      <c r="CI185" s="538"/>
      <c r="CJ185" s="538"/>
      <c r="CK185" s="538"/>
      <c r="CL185" s="538"/>
      <c r="CM185" s="538"/>
      <c r="CN185" s="538"/>
      <c r="CO185" s="538"/>
      <c r="CP185" s="538"/>
      <c r="CQ185" s="538"/>
      <c r="CR185" s="538"/>
      <c r="CS185" s="538"/>
      <c r="CT185" s="538"/>
      <c r="CU185" s="538"/>
      <c r="CV185" s="538"/>
      <c r="CW185" s="538"/>
      <c r="CX185" s="538"/>
      <c r="CY185" s="538"/>
      <c r="CZ185" s="538"/>
      <c r="DA185" s="538"/>
    </row>
    <row r="186" spans="1:107">
      <c r="A186" s="538"/>
      <c r="B186" s="538"/>
      <c r="C186" s="547"/>
      <c r="D186" s="538"/>
      <c r="E186" s="805"/>
      <c r="F186" s="806"/>
      <c r="G186" s="806"/>
      <c r="H186" s="807"/>
      <c r="I186" s="538"/>
      <c r="J186" s="805"/>
      <c r="K186" s="806"/>
      <c r="L186" s="806"/>
      <c r="M186" s="807"/>
      <c r="N186" s="538"/>
      <c r="O186" s="805"/>
      <c r="P186" s="806"/>
      <c r="Q186" s="316"/>
      <c r="R186" s="387"/>
      <c r="S186" s="32"/>
      <c r="T186" s="386"/>
      <c r="U186" s="316"/>
      <c r="V186" s="316"/>
      <c r="W186" s="387"/>
      <c r="X186" s="538"/>
      <c r="Y186" s="805"/>
      <c r="Z186" s="806"/>
      <c r="AA186" s="806"/>
      <c r="AB186" s="807"/>
      <c r="AC186" s="538"/>
      <c r="AD186" s="805"/>
      <c r="AE186" s="806"/>
      <c r="AF186" s="806"/>
      <c r="AG186" s="807"/>
      <c r="AH186" s="32"/>
      <c r="AI186" s="805"/>
      <c r="AJ186" s="316"/>
      <c r="AK186" s="316"/>
      <c r="AL186" s="387"/>
      <c r="AM186" s="32"/>
      <c r="AN186" s="805"/>
      <c r="AO186" s="316"/>
      <c r="AP186" s="316"/>
      <c r="AQ186" s="387"/>
      <c r="AR186" s="32"/>
      <c r="AS186" s="805"/>
      <c r="AT186" s="316"/>
      <c r="AU186" s="316"/>
      <c r="AV186" s="387"/>
      <c r="AW186" s="32"/>
      <c r="AX186" s="386"/>
      <c r="AY186" s="316"/>
      <c r="AZ186" s="316"/>
      <c r="BA186" s="387"/>
      <c r="BB186" s="32"/>
      <c r="BC186" s="386"/>
      <c r="BD186" s="316"/>
      <c r="BE186" s="316"/>
      <c r="BF186" s="387"/>
      <c r="BG186" s="32"/>
      <c r="BH186" s="386"/>
      <c r="BI186" s="316"/>
      <c r="BJ186" s="316"/>
      <c r="BK186" s="387"/>
      <c r="BL186" s="32"/>
      <c r="BM186" s="386"/>
      <c r="BN186" s="316"/>
      <c r="BO186" s="316"/>
      <c r="BP186" s="387"/>
      <c r="BQ186" s="32"/>
      <c r="BR186" s="32"/>
      <c r="BS186" s="538"/>
      <c r="BT186" s="538"/>
      <c r="BU186" s="538"/>
      <c r="BV186" s="538"/>
      <c r="BW186" s="538"/>
      <c r="BX186" s="538"/>
      <c r="BY186" s="538"/>
      <c r="BZ186" s="538"/>
      <c r="CA186" s="538"/>
      <c r="CB186" s="538"/>
      <c r="CC186" s="538"/>
      <c r="CD186" s="538"/>
      <c r="CE186" s="538"/>
      <c r="CF186" s="538"/>
      <c r="CG186" s="538"/>
      <c r="CH186" s="538"/>
      <c r="CI186" s="538"/>
      <c r="CJ186" s="538"/>
      <c r="CK186" s="538"/>
      <c r="CL186" s="538"/>
      <c r="CM186" s="538"/>
      <c r="CN186" s="538"/>
      <c r="CO186" s="538"/>
      <c r="CP186" s="538"/>
      <c r="CQ186" s="538"/>
      <c r="CR186" s="538"/>
      <c r="CS186" s="538"/>
      <c r="CT186" s="538"/>
      <c r="CU186" s="538"/>
      <c r="CV186" s="538"/>
      <c r="CW186" s="538"/>
      <c r="CX186" s="538"/>
      <c r="CY186" s="538"/>
      <c r="CZ186" s="538"/>
      <c r="DA186" s="538"/>
    </row>
    <row r="187" spans="1:107">
      <c r="A187" s="538"/>
      <c r="B187" s="538"/>
      <c r="C187" s="538"/>
      <c r="D187" s="538"/>
      <c r="E187" s="805"/>
      <c r="F187" s="806"/>
      <c r="G187" s="806"/>
      <c r="H187" s="807"/>
      <c r="I187" s="538"/>
      <c r="J187" s="805"/>
      <c r="K187" s="806"/>
      <c r="L187" s="806"/>
      <c r="M187" s="807"/>
      <c r="N187" s="538"/>
      <c r="O187" s="805"/>
      <c r="P187" s="806"/>
      <c r="Q187" s="806"/>
      <c r="R187" s="807"/>
      <c r="S187" s="538"/>
      <c r="T187" s="805"/>
      <c r="U187" s="806"/>
      <c r="V187" s="806"/>
      <c r="W187" s="807"/>
      <c r="X187" s="538"/>
      <c r="Y187" s="805"/>
      <c r="Z187" s="806"/>
      <c r="AA187" s="806"/>
      <c r="AB187" s="807"/>
      <c r="AC187" s="538"/>
      <c r="AD187" s="805"/>
      <c r="AE187" s="806"/>
      <c r="AF187" s="806"/>
      <c r="AG187" s="807"/>
      <c r="AH187" s="538"/>
      <c r="AI187" s="805"/>
      <c r="AJ187" s="806"/>
      <c r="AK187" s="806"/>
      <c r="AL187" s="807"/>
      <c r="AM187" s="538"/>
      <c r="AN187" s="805"/>
      <c r="AO187" s="806"/>
      <c r="AP187" s="806"/>
      <c r="AQ187" s="807"/>
      <c r="AR187" s="538"/>
      <c r="AS187" s="805"/>
      <c r="AT187" s="806"/>
      <c r="AU187" s="806"/>
      <c r="AV187" s="807"/>
      <c r="AW187" s="538"/>
      <c r="AX187" s="805"/>
      <c r="AY187" s="806"/>
      <c r="AZ187" s="806"/>
      <c r="BA187" s="807"/>
      <c r="BB187" s="538"/>
      <c r="BC187" s="805"/>
      <c r="BD187" s="806"/>
      <c r="BE187" s="806"/>
      <c r="BF187" s="807"/>
      <c r="BG187" s="538"/>
      <c r="BH187" s="805"/>
      <c r="BI187" s="806"/>
      <c r="BJ187" s="806"/>
      <c r="BK187" s="807"/>
      <c r="BL187" s="538"/>
      <c r="BM187" s="805"/>
      <c r="BN187" s="806"/>
      <c r="BO187" s="806"/>
      <c r="BP187" s="807"/>
      <c r="BQ187" s="538"/>
      <c r="BR187" s="538"/>
      <c r="BS187" s="538"/>
      <c r="BT187" s="538"/>
      <c r="BU187" s="538"/>
      <c r="BV187" s="538"/>
      <c r="BW187" s="538"/>
      <c r="BX187" s="538"/>
      <c r="BY187" s="538"/>
      <c r="BZ187" s="538"/>
      <c r="CA187" s="538"/>
      <c r="CB187" s="538"/>
      <c r="CC187" s="538"/>
      <c r="CD187" s="538"/>
      <c r="CE187" s="538"/>
      <c r="CF187" s="538"/>
      <c r="CG187" s="538"/>
      <c r="CH187" s="538"/>
      <c r="CI187" s="538"/>
      <c r="CJ187" s="538"/>
      <c r="CK187" s="538"/>
      <c r="CL187" s="538"/>
      <c r="CM187" s="538"/>
      <c r="CN187" s="538"/>
      <c r="CO187" s="538"/>
      <c r="CP187" s="538"/>
      <c r="CQ187" s="538"/>
      <c r="CR187" s="538"/>
      <c r="CS187" s="538"/>
      <c r="CT187" s="538"/>
      <c r="CU187" s="538"/>
      <c r="CV187" s="538"/>
      <c r="CW187" s="538"/>
      <c r="CX187" s="538"/>
      <c r="CY187" s="538"/>
      <c r="CZ187" s="538"/>
      <c r="DA187" s="538"/>
      <c r="DB187" s="538"/>
      <c r="DC187" s="538"/>
    </row>
    <row r="188" spans="1:107">
      <c r="A188" s="538"/>
      <c r="B188" s="533" t="s">
        <v>344</v>
      </c>
      <c r="C188" s="855"/>
      <c r="D188" s="856"/>
      <c r="E188" s="805"/>
      <c r="F188" s="806"/>
      <c r="G188" s="806"/>
      <c r="H188" s="807"/>
      <c r="I188" s="538"/>
      <c r="J188" s="805"/>
      <c r="K188" s="806"/>
      <c r="L188" s="806"/>
      <c r="M188" s="807"/>
      <c r="N188" s="538"/>
      <c r="O188" s="805"/>
      <c r="P188" s="806"/>
      <c r="Q188" s="806"/>
      <c r="R188" s="807"/>
      <c r="S188" s="538"/>
      <c r="T188" s="805"/>
      <c r="U188" s="806"/>
      <c r="V188" s="806"/>
      <c r="W188" s="807"/>
      <c r="X188" s="462"/>
      <c r="Y188" s="459"/>
      <c r="Z188" s="460"/>
      <c r="AA188" s="460"/>
      <c r="AB188" s="395"/>
      <c r="AC188" s="462"/>
      <c r="AD188" s="459"/>
      <c r="AE188" s="460"/>
      <c r="AF188" s="806"/>
      <c r="AG188" s="807"/>
      <c r="AH188" s="538"/>
      <c r="AI188" s="805"/>
      <c r="AJ188" s="806"/>
      <c r="AK188" s="806"/>
      <c r="AL188" s="807"/>
      <c r="AM188" s="538"/>
      <c r="AN188" s="805"/>
      <c r="AO188" s="806"/>
      <c r="AP188" s="806"/>
      <c r="AQ188" s="807"/>
      <c r="AR188" s="538"/>
      <c r="AS188" s="805"/>
      <c r="AT188" s="806"/>
      <c r="AU188" s="806"/>
      <c r="AV188" s="807"/>
      <c r="AW188" s="538"/>
      <c r="AX188" s="805"/>
      <c r="AY188" s="806"/>
      <c r="AZ188" s="806"/>
      <c r="BA188" s="807"/>
      <c r="BB188" s="538"/>
      <c r="BC188" s="805"/>
      <c r="BD188" s="806"/>
      <c r="BE188" s="806"/>
      <c r="BF188" s="807"/>
      <c r="BG188" s="538"/>
      <c r="BH188" s="805"/>
      <c r="BI188" s="806"/>
      <c r="BJ188" s="806"/>
      <c r="BK188" s="807"/>
      <c r="BL188" s="538"/>
      <c r="BM188" s="805"/>
      <c r="BN188" s="806"/>
      <c r="BO188" s="806"/>
      <c r="BP188" s="807"/>
      <c r="BQ188" s="538"/>
      <c r="BR188" s="538"/>
      <c r="BS188" s="538"/>
      <c r="BT188" s="538"/>
      <c r="BU188" s="538"/>
      <c r="BV188" s="538"/>
      <c r="BW188" s="538"/>
      <c r="BX188" s="538"/>
      <c r="BY188" s="538"/>
      <c r="BZ188" s="538"/>
      <c r="CA188" s="538"/>
      <c r="CB188" s="538"/>
      <c r="CC188" s="538"/>
      <c r="CD188" s="538"/>
      <c r="CE188" s="538"/>
      <c r="CF188" s="538"/>
      <c r="CG188" s="538"/>
      <c r="CH188" s="538"/>
      <c r="CI188" s="538"/>
      <c r="CJ188" s="538"/>
      <c r="CK188" s="538"/>
      <c r="CL188" s="538"/>
      <c r="CM188" s="538"/>
      <c r="CN188" s="538"/>
      <c r="CO188" s="538"/>
      <c r="CP188" s="538"/>
      <c r="CQ188" s="538"/>
      <c r="CR188" s="538"/>
      <c r="CS188" s="538"/>
      <c r="CT188" s="538"/>
      <c r="CU188" s="538"/>
      <c r="CV188" s="538"/>
      <c r="CW188" s="538"/>
      <c r="CX188" s="538"/>
      <c r="CY188" s="538"/>
      <c r="CZ188" s="538"/>
      <c r="DA188" s="538"/>
      <c r="DB188" s="538"/>
      <c r="DC188" s="538"/>
    </row>
    <row r="189" spans="1:107">
      <c r="A189" s="77"/>
      <c r="B189" s="77"/>
      <c r="C189" s="547" t="s">
        <v>387</v>
      </c>
      <c r="D189" s="77"/>
      <c r="E189" s="459">
        <v>124</v>
      </c>
      <c r="F189" s="460">
        <v>44</v>
      </c>
      <c r="G189" s="460">
        <v>88</v>
      </c>
      <c r="H189" s="405">
        <f>I189-SUM(E189:G189)</f>
        <v>69</v>
      </c>
      <c r="I189" s="462">
        <v>325</v>
      </c>
      <c r="J189" s="459">
        <v>118</v>
      </c>
      <c r="K189" s="460">
        <v>3</v>
      </c>
      <c r="L189" s="460">
        <v>155</v>
      </c>
      <c r="M189" s="405">
        <f>N189-SUM(J189:L189)</f>
        <v>83</v>
      </c>
      <c r="N189" s="462">
        <v>359</v>
      </c>
      <c r="O189" s="459">
        <v>163</v>
      </c>
      <c r="P189" s="460">
        <v>105</v>
      </c>
      <c r="Q189" s="460">
        <v>154</v>
      </c>
      <c r="R189" s="405">
        <f>S189-SUM(O189:Q189)</f>
        <v>99</v>
      </c>
      <c r="S189" s="462">
        <v>521</v>
      </c>
      <c r="T189" s="459">
        <v>197</v>
      </c>
      <c r="U189" s="460">
        <f>298-T189</f>
        <v>101</v>
      </c>
      <c r="V189" s="460">
        <f>453-SUM(T189:U189)</f>
        <v>155</v>
      </c>
      <c r="W189" s="405">
        <f>X189-SUM(T189:V189)</f>
        <v>75</v>
      </c>
      <c r="X189" s="462">
        <v>528</v>
      </c>
      <c r="Y189" s="459">
        <v>179</v>
      </c>
      <c r="Z189" s="460">
        <f>300-Y189</f>
        <v>121</v>
      </c>
      <c r="AA189" s="460">
        <f>468-SUM(Y189:Z189)</f>
        <v>168</v>
      </c>
      <c r="AB189" s="395">
        <f>AC189-SUM(Y189:AA189)</f>
        <v>144</v>
      </c>
      <c r="AC189" s="462">
        <v>612</v>
      </c>
      <c r="AD189" s="459">
        <v>214</v>
      </c>
      <c r="AE189" s="460">
        <f>365-AD189</f>
        <v>151</v>
      </c>
      <c r="AF189" s="460">
        <f>565-SUM(AD189:AE189)</f>
        <v>200</v>
      </c>
      <c r="AG189" s="395">
        <f>AH189-SUM(AD189:AF189)</f>
        <v>160</v>
      </c>
      <c r="AH189" s="462">
        <v>725</v>
      </c>
      <c r="AI189" s="459">
        <v>242</v>
      </c>
      <c r="AJ189" s="460">
        <f>409-AI189</f>
        <v>167</v>
      </c>
      <c r="AK189" s="460">
        <f>631-SUM(AI189:AJ189)</f>
        <v>222</v>
      </c>
      <c r="AL189" s="395">
        <f>AM189-SUM(AI189:AK189)</f>
        <v>156</v>
      </c>
      <c r="AM189" s="462">
        <v>787</v>
      </c>
      <c r="AN189" s="459">
        <v>262</v>
      </c>
      <c r="AO189" s="460">
        <f>441-AN189</f>
        <v>179</v>
      </c>
      <c r="AP189" s="460">
        <f>696-AO189-AN189</f>
        <v>255</v>
      </c>
      <c r="AQ189" s="395">
        <f>AR189-SUM(AN189:AP189)</f>
        <v>193</v>
      </c>
      <c r="AR189" s="462">
        <v>889</v>
      </c>
      <c r="AS189" s="459">
        <v>299</v>
      </c>
      <c r="AT189" s="460">
        <f>507-AS189</f>
        <v>208</v>
      </c>
      <c r="AU189" s="460">
        <f>753-AT189-AS189</f>
        <v>246</v>
      </c>
      <c r="AV189" s="395">
        <f>AW189-SUM(AS189:AU189)</f>
        <v>220</v>
      </c>
      <c r="AW189" s="462">
        <v>973</v>
      </c>
      <c r="AX189" s="394">
        <f t="shared" ref="AX189:BL189" si="224">AX36</f>
        <v>331.6795361608273</v>
      </c>
      <c r="AY189" s="342">
        <f t="shared" si="224"/>
        <v>211.76268042560545</v>
      </c>
      <c r="AZ189" s="342">
        <f>AZ36</f>
        <v>266.9575111210093</v>
      </c>
      <c r="BA189" s="395">
        <f t="shared" si="224"/>
        <v>225.92200262405686</v>
      </c>
      <c r="BB189" s="77">
        <f t="shared" si="224"/>
        <v>1036.3217303314987</v>
      </c>
      <c r="BC189" s="394">
        <f t="shared" si="224"/>
        <v>366.52997732186839</v>
      </c>
      <c r="BD189" s="342">
        <f t="shared" si="224"/>
        <v>243.10292251349534</v>
      </c>
      <c r="BE189" s="342">
        <f t="shared" si="224"/>
        <v>242.41443546873342</v>
      </c>
      <c r="BF189" s="395">
        <f t="shared" si="224"/>
        <v>258.22329948624241</v>
      </c>
      <c r="BG189" s="77">
        <f t="shared" si="224"/>
        <v>1110.2706347903404</v>
      </c>
      <c r="BH189" s="394">
        <f t="shared" si="224"/>
        <v>382.79217547324936</v>
      </c>
      <c r="BI189" s="342">
        <f t="shared" si="224"/>
        <v>258.5046533015709</v>
      </c>
      <c r="BJ189" s="342">
        <f t="shared" si="224"/>
        <v>261.4592283518283</v>
      </c>
      <c r="BK189" s="395">
        <f t="shared" si="224"/>
        <v>278.41201389685398</v>
      </c>
      <c r="BL189" s="77">
        <f t="shared" si="224"/>
        <v>1181.1680710235019</v>
      </c>
      <c r="BM189" s="394">
        <f>BM36</f>
        <v>397.79788002582313</v>
      </c>
      <c r="BN189" s="342">
        <f>BN36</f>
        <v>272.18736869407422</v>
      </c>
      <c r="BO189" s="342">
        <f>BO36</f>
        <v>281.07095664716411</v>
      </c>
      <c r="BP189" s="395">
        <f>BP36</f>
        <v>299.66580125142775</v>
      </c>
      <c r="BQ189" s="77">
        <f>BQ36</f>
        <v>1250.7220066184896</v>
      </c>
      <c r="BR189" s="77"/>
      <c r="BS189" s="77"/>
      <c r="BT189" s="77"/>
      <c r="BU189" s="77"/>
      <c r="BV189" s="77"/>
      <c r="BW189" s="77"/>
      <c r="BX189" s="77"/>
      <c r="BY189" s="77"/>
      <c r="BZ189" s="77"/>
      <c r="CA189" s="77"/>
      <c r="CB189" s="77"/>
      <c r="CC189" s="77"/>
      <c r="CD189" s="77"/>
      <c r="CE189" s="77"/>
      <c r="CF189" s="77"/>
      <c r="CG189" s="77"/>
      <c r="CH189" s="77"/>
      <c r="CI189" s="77"/>
      <c r="CJ189" s="77"/>
      <c r="CK189" s="77"/>
      <c r="CL189" s="538"/>
      <c r="CM189" s="538"/>
      <c r="CN189" s="538"/>
      <c r="CO189" s="538"/>
      <c r="CP189" s="538"/>
      <c r="CQ189" s="538"/>
      <c r="CR189" s="538"/>
      <c r="CS189" s="538"/>
      <c r="CT189" s="538"/>
      <c r="CU189" s="538"/>
      <c r="CV189" s="538"/>
      <c r="CW189" s="538"/>
      <c r="CX189" s="538"/>
      <c r="CY189" s="538"/>
      <c r="CZ189" s="538"/>
      <c r="DA189" s="538"/>
      <c r="DB189" s="538"/>
      <c r="DC189" s="538"/>
    </row>
    <row r="190" spans="1:107">
      <c r="A190" s="77"/>
      <c r="B190" s="77"/>
      <c r="C190" s="37" t="s">
        <v>76</v>
      </c>
      <c r="D190" s="77"/>
      <c r="E190" s="459">
        <v>149</v>
      </c>
      <c r="F190" s="460">
        <v>144</v>
      </c>
      <c r="G190" s="460">
        <v>169</v>
      </c>
      <c r="H190" s="405">
        <f>I190-SUM(E190:G190)</f>
        <v>146</v>
      </c>
      <c r="I190" s="462">
        <v>608</v>
      </c>
      <c r="J190" s="459">
        <v>177</v>
      </c>
      <c r="K190" s="460">
        <v>177</v>
      </c>
      <c r="L190" s="460">
        <v>209</v>
      </c>
      <c r="M190" s="405">
        <f>N190-SUM(J190:L190)</f>
        <v>187</v>
      </c>
      <c r="N190" s="462">
        <v>750</v>
      </c>
      <c r="O190" s="459">
        <v>179</v>
      </c>
      <c r="P190" s="460">
        <v>172</v>
      </c>
      <c r="Q190" s="460">
        <v>197</v>
      </c>
      <c r="R190" s="405">
        <f>S190-SUM(O190:Q190)</f>
        <v>171</v>
      </c>
      <c r="S190" s="462">
        <v>719</v>
      </c>
      <c r="T190" s="459">
        <v>190</v>
      </c>
      <c r="U190" s="460">
        <f>378-T190</f>
        <v>188</v>
      </c>
      <c r="V190" s="460">
        <f>594-SUM(T190:U190)</f>
        <v>216</v>
      </c>
      <c r="W190" s="405">
        <f>X190-SUM(T190:V190)</f>
        <v>184</v>
      </c>
      <c r="X190" s="462">
        <v>778</v>
      </c>
      <c r="Y190" s="459">
        <v>215</v>
      </c>
      <c r="Z190" s="460">
        <f>422-Y190</f>
        <v>207</v>
      </c>
      <c r="AA190" s="460">
        <f>658-SUM(Y190:Z190)</f>
        <v>236</v>
      </c>
      <c r="AB190" s="395">
        <f>AC190-SUM(Y190:AA190)</f>
        <v>214</v>
      </c>
      <c r="AC190" s="462">
        <v>872</v>
      </c>
      <c r="AD190" s="459">
        <v>227</v>
      </c>
      <c r="AE190" s="460">
        <f>444-AD190</f>
        <v>217</v>
      </c>
      <c r="AF190" s="460">
        <f>682-SUM(AD190:AE190)</f>
        <v>238</v>
      </c>
      <c r="AG190" s="395">
        <f>AH190-SUM(AD190:AF190)</f>
        <v>224</v>
      </c>
      <c r="AH190" s="462">
        <v>906</v>
      </c>
      <c r="AI190" s="459">
        <v>247</v>
      </c>
      <c r="AJ190" s="460">
        <f>481-AI190</f>
        <v>234</v>
      </c>
      <c r="AK190" s="460">
        <f>712-SUM(AI190:AJ190)</f>
        <v>231</v>
      </c>
      <c r="AL190" s="395">
        <f>AM190-SUM(AI190:AK190)</f>
        <v>180</v>
      </c>
      <c r="AM190" s="462">
        <v>892</v>
      </c>
      <c r="AN190" s="459">
        <v>139</v>
      </c>
      <c r="AO190" s="460">
        <f>275-AN190</f>
        <v>136</v>
      </c>
      <c r="AP190" s="460">
        <f>412-AO190-AN190</f>
        <v>137</v>
      </c>
      <c r="AQ190" s="395">
        <f>AR190-SUM(AN190:AP190)</f>
        <v>153</v>
      </c>
      <c r="AR190" s="462">
        <v>565</v>
      </c>
      <c r="AS190" s="459">
        <v>171</v>
      </c>
      <c r="AT190" s="460">
        <f>337-AS190</f>
        <v>166</v>
      </c>
      <c r="AU190" s="460">
        <f>506-AT190-AS190</f>
        <v>169</v>
      </c>
      <c r="AV190" s="395">
        <f>AW190-SUM(AS190:AU190)</f>
        <v>179</v>
      </c>
      <c r="AW190" s="462">
        <v>685</v>
      </c>
      <c r="AX190" s="394">
        <f>AS190+(AX19-AS19)</f>
        <v>151.03060073874286</v>
      </c>
      <c r="AY190" s="342">
        <f>AT190+(AY19-AT19)</f>
        <v>155.25751369603324</v>
      </c>
      <c r="AZ190" s="342">
        <f>AU190+(AZ19-AU19)</f>
        <v>159.24773128295735</v>
      </c>
      <c r="BA190" s="395">
        <f>AV190+(BA19-AV19)</f>
        <v>159.24773128295735</v>
      </c>
      <c r="BB190" s="77">
        <f>SUM(AX190:BA190)</f>
        <v>624.7835770006908</v>
      </c>
      <c r="BC190" s="394">
        <f>AX190+(BC19-AX19)</f>
        <v>162.24958898224457</v>
      </c>
      <c r="BD190" s="342">
        <f>AY190+(BD19-AY19)</f>
        <v>166.22774665373129</v>
      </c>
      <c r="BE190" s="342">
        <f>AY190+(BE19-AY19)</f>
        <v>170.07300016172999</v>
      </c>
      <c r="BF190" s="395">
        <f>BA190+(BF19-BA19)</f>
        <v>173.8911245489451</v>
      </c>
      <c r="BG190" s="77">
        <f>SUM(BC190:BF190)</f>
        <v>672.44146034665096</v>
      </c>
      <c r="BH190" s="394">
        <f>BC190+(BH19-BC19)</f>
        <v>175.74248366013242</v>
      </c>
      <c r="BI190" s="342">
        <f>BD190+(BI19-BD19)</f>
        <v>179.57548783850783</v>
      </c>
      <c r="BJ190" s="342">
        <f>BE190+(BJ19-BE19)</f>
        <v>183.21583603613806</v>
      </c>
      <c r="BK190" s="395">
        <f>BF190+(BK19-BF19)</f>
        <v>186.83078116213829</v>
      </c>
      <c r="BL190" s="77">
        <f>SUM(BH190:BK190)</f>
        <v>725.3645886969166</v>
      </c>
      <c r="BM190" s="394">
        <f>BH190+(BM19-BH19)</f>
        <v>188.61039208530505</v>
      </c>
      <c r="BN190" s="342">
        <f>BI190+(BN19-BI19)</f>
        <v>193.20102812173963</v>
      </c>
      <c r="BO190" s="342">
        <f>BJ190+(BO19-BJ19)</f>
        <v>195.95228872442917</v>
      </c>
      <c r="BP190" s="395">
        <f>BK190+(BP19-BK19)</f>
        <v>198.68453298631974</v>
      </c>
      <c r="BQ190" s="77">
        <f>SUM(BM190:BP190)</f>
        <v>776.44824191779355</v>
      </c>
      <c r="BR190" s="77"/>
      <c r="BS190" s="77"/>
      <c r="BT190" s="77"/>
      <c r="BU190" s="77"/>
      <c r="BV190" s="77"/>
      <c r="BW190" s="77"/>
      <c r="BX190" s="77"/>
      <c r="BY190" s="77"/>
      <c r="BZ190" s="77"/>
      <c r="CA190" s="77"/>
      <c r="CB190" s="77"/>
      <c r="CC190" s="77"/>
      <c r="CD190" s="77"/>
      <c r="CE190" s="77"/>
      <c r="CF190" s="77"/>
      <c r="CG190" s="77"/>
      <c r="CH190" s="77"/>
      <c r="CI190" s="77"/>
      <c r="CJ190" s="77"/>
      <c r="CK190" s="77"/>
      <c r="CL190" s="538"/>
      <c r="CM190" s="538"/>
      <c r="CN190" s="538"/>
      <c r="CO190" s="538"/>
      <c r="CP190" s="538"/>
      <c r="CQ190" s="538"/>
      <c r="CR190" s="538"/>
      <c r="CS190" s="538"/>
      <c r="CT190" s="538"/>
      <c r="CU190" s="538"/>
      <c r="CV190" s="538"/>
      <c r="CW190" s="538"/>
      <c r="CX190" s="538"/>
      <c r="CY190" s="538"/>
      <c r="CZ190" s="538"/>
      <c r="DA190" s="538"/>
      <c r="DB190" s="538"/>
      <c r="DC190" s="538"/>
    </row>
    <row r="191" spans="1:107">
      <c r="A191" s="77"/>
      <c r="B191" s="77"/>
      <c r="C191" s="547" t="s">
        <v>84</v>
      </c>
      <c r="D191" s="77"/>
      <c r="E191" s="459">
        <v>6</v>
      </c>
      <c r="F191" s="460">
        <v>45</v>
      </c>
      <c r="G191" s="460">
        <v>48</v>
      </c>
      <c r="H191" s="405">
        <f>I191-SUM(E191:G191)</f>
        <v>95</v>
      </c>
      <c r="I191" s="462">
        <v>194</v>
      </c>
      <c r="J191" s="459">
        <v>4</v>
      </c>
      <c r="K191" s="460">
        <v>-33</v>
      </c>
      <c r="L191" s="460">
        <v>70</v>
      </c>
      <c r="M191" s="405">
        <f>N191-SUM(J191:L191)</f>
        <v>403</v>
      </c>
      <c r="N191" s="462">
        <v>444</v>
      </c>
      <c r="O191" s="459">
        <v>-8</v>
      </c>
      <c r="P191" s="460">
        <v>73</v>
      </c>
      <c r="Q191" s="460">
        <v>498</v>
      </c>
      <c r="R191" s="405">
        <f>S191-SUM(O191:Q191)</f>
        <v>8</v>
      </c>
      <c r="S191" s="462">
        <v>571</v>
      </c>
      <c r="T191" s="459">
        <v>8</v>
      </c>
      <c r="U191" s="460">
        <f>75-T191</f>
        <v>67</v>
      </c>
      <c r="V191" s="460">
        <f>131-SUM(T191:U191)</f>
        <v>56</v>
      </c>
      <c r="W191" s="405">
        <f>X191-SUM(T191:V191)</f>
        <v>311</v>
      </c>
      <c r="X191" s="462">
        <v>442</v>
      </c>
      <c r="Y191" s="459">
        <v>29</v>
      </c>
      <c r="Z191" s="460">
        <f>75-Y191</f>
        <v>46</v>
      </c>
      <c r="AA191" s="460">
        <f>153-SUM(Y191:Z191)</f>
        <v>78</v>
      </c>
      <c r="AB191" s="395">
        <f>AC191-SUM(Y191:AA191)</f>
        <v>45</v>
      </c>
      <c r="AC191" s="462">
        <v>198</v>
      </c>
      <c r="AD191" s="459">
        <v>31</v>
      </c>
      <c r="AE191" s="460">
        <f>73-AD191</f>
        <v>42</v>
      </c>
      <c r="AF191" s="460">
        <f>93-SUM(AD191:AE191)</f>
        <v>20</v>
      </c>
      <c r="AG191" s="395">
        <f>AH191-SUM(AD191:AF191)</f>
        <v>217</v>
      </c>
      <c r="AH191" s="462">
        <v>310</v>
      </c>
      <c r="AI191" s="459">
        <v>29</v>
      </c>
      <c r="AJ191" s="460">
        <f>79-AI191</f>
        <v>50</v>
      </c>
      <c r="AK191" s="460">
        <f>96-SUM(AI191:AJ191)</f>
        <v>17</v>
      </c>
      <c r="AL191" s="395">
        <f>AM191-SUM(AI191:AK191)</f>
        <v>290</v>
      </c>
      <c r="AM191" s="462">
        <v>386</v>
      </c>
      <c r="AN191" s="459">
        <v>147</v>
      </c>
      <c r="AO191" s="460">
        <f>290-AN191</f>
        <v>143</v>
      </c>
      <c r="AP191" s="460">
        <f>482-AO191-AN191</f>
        <v>192</v>
      </c>
      <c r="AQ191" s="395">
        <f>AR191-SUM(AN191:AP191)</f>
        <v>176</v>
      </c>
      <c r="AR191" s="462">
        <v>658</v>
      </c>
      <c r="AS191" s="459">
        <v>160</v>
      </c>
      <c r="AT191" s="460">
        <f>330-AS191</f>
        <v>170</v>
      </c>
      <c r="AU191" s="460">
        <f>497-AT191-AS191</f>
        <v>167</v>
      </c>
      <c r="AV191" s="395">
        <f>AW191-SUM(AS191:AU191)</f>
        <v>119</v>
      </c>
      <c r="AW191" s="462">
        <v>616</v>
      </c>
      <c r="AX191" s="394">
        <f>+BB191/4</f>
        <v>48</v>
      </c>
      <c r="AY191" s="342">
        <f t="shared" ref="AY191:AZ193" si="225">(BB191-SUM(AX191:AX191))/3</f>
        <v>48</v>
      </c>
      <c r="AZ191" s="342">
        <f t="shared" si="225"/>
        <v>-4</v>
      </c>
      <c r="BA191" s="395">
        <f>(BB191-SUM(AX191:AY191))/1</f>
        <v>96</v>
      </c>
      <c r="BB191" s="298">
        <f>1200*0.16</f>
        <v>192</v>
      </c>
      <c r="BC191" s="394">
        <f>+BG191/4</f>
        <v>36</v>
      </c>
      <c r="BD191" s="342">
        <f>(BG191-SUM(BC191:BC191))/3</f>
        <v>36</v>
      </c>
      <c r="BE191" s="342">
        <f>(BG191-SUM(BC191:BD191))/2</f>
        <v>36</v>
      </c>
      <c r="BF191" s="395">
        <f>(BG191-SUM(BC191:BE191))/1</f>
        <v>36</v>
      </c>
      <c r="BG191" s="298">
        <f>1200*0.12</f>
        <v>144</v>
      </c>
      <c r="BH191" s="394">
        <f>+BL191/4</f>
        <v>0</v>
      </c>
      <c r="BI191" s="342">
        <f>(BL191-SUM(BH191:BH191))/3</f>
        <v>0</v>
      </c>
      <c r="BJ191" s="342">
        <f>(BL191-SUM(BH191:BI191))/2</f>
        <v>0</v>
      </c>
      <c r="BK191" s="395">
        <f>(BL191-SUM(BH191:BJ191))/1</f>
        <v>0</v>
      </c>
      <c r="BL191" s="298">
        <v>0</v>
      </c>
      <c r="BM191" s="394">
        <f>+BQ191/4</f>
        <v>0</v>
      </c>
      <c r="BN191" s="342">
        <f>(BQ191-SUM(BM191:BM191))/3</f>
        <v>0</v>
      </c>
      <c r="BO191" s="342">
        <f>(BQ191-SUM(BM191:BN191))/2</f>
        <v>0</v>
      </c>
      <c r="BP191" s="395">
        <f>(BQ191-SUM(BM191:BO191))/1</f>
        <v>0</v>
      </c>
      <c r="BQ191" s="298">
        <v>0</v>
      </c>
      <c r="BR191" s="298"/>
      <c r="BS191" s="77"/>
      <c r="BT191" s="77"/>
      <c r="BU191" s="77"/>
      <c r="BV191" s="77"/>
      <c r="BW191" s="77"/>
      <c r="BX191" s="77"/>
      <c r="BY191" s="77"/>
      <c r="BZ191" s="77"/>
      <c r="CA191" s="77"/>
      <c r="CB191" s="77"/>
      <c r="CC191" s="77"/>
      <c r="CD191" s="77"/>
      <c r="CE191" s="77"/>
      <c r="CF191" s="77"/>
      <c r="CG191" s="77"/>
      <c r="CH191" s="77"/>
      <c r="CI191" s="77"/>
      <c r="CJ191" s="77"/>
      <c r="CK191" s="77"/>
      <c r="CL191" s="538"/>
      <c r="CM191" s="538"/>
      <c r="CN191" s="538"/>
      <c r="CO191" s="538"/>
      <c r="CP191" s="538"/>
      <c r="CQ191" s="538"/>
      <c r="CR191" s="538"/>
      <c r="CS191" s="538"/>
      <c r="CT191" s="538"/>
      <c r="CU191" s="538"/>
      <c r="CV191" s="538"/>
      <c r="CW191" s="538"/>
      <c r="CX191" s="538"/>
      <c r="CY191" s="538"/>
      <c r="CZ191" s="538"/>
      <c r="DA191" s="538"/>
      <c r="DB191" s="538"/>
      <c r="DC191" s="538"/>
    </row>
    <row r="192" spans="1:107">
      <c r="A192" s="77"/>
      <c r="B192" s="77"/>
      <c r="C192" s="547" t="s">
        <v>71</v>
      </c>
      <c r="D192" s="77"/>
      <c r="E192" s="459">
        <v>-30</v>
      </c>
      <c r="F192" s="460">
        <v>-81</v>
      </c>
      <c r="G192" s="460">
        <v>53</v>
      </c>
      <c r="H192" s="405">
        <f>I192-SUM(E192:G192)</f>
        <v>212</v>
      </c>
      <c r="I192" s="462">
        <f>236-54+0-32+4</f>
        <v>154</v>
      </c>
      <c r="J192" s="459">
        <v>-113</v>
      </c>
      <c r="K192" s="460">
        <v>3</v>
      </c>
      <c r="L192" s="460">
        <v>-18</v>
      </c>
      <c r="M192" s="405">
        <f>N192-SUM(J192:L192)</f>
        <v>212</v>
      </c>
      <c r="N192" s="462">
        <f>217-58+84-36-123</f>
        <v>84</v>
      </c>
      <c r="O192" s="459">
        <v>-213</v>
      </c>
      <c r="P192" s="460">
        <v>-65</v>
      </c>
      <c r="Q192" s="460">
        <v>28</v>
      </c>
      <c r="R192" s="405">
        <f>S192-SUM(O192:Q192)</f>
        <v>192</v>
      </c>
      <c r="S192" s="462">
        <f>118-62-61+43-96</f>
        <v>-58</v>
      </c>
      <c r="T192" s="459">
        <f>44-20-14+21</f>
        <v>31</v>
      </c>
      <c r="U192" s="460">
        <f>89-44-23+8-30-T192</f>
        <v>-31</v>
      </c>
      <c r="V192" s="460">
        <f>134-71-23+46-51-SUM(T192:U192)</f>
        <v>35</v>
      </c>
      <c r="W192" s="405">
        <f>X192-SUM(T192:V192)</f>
        <v>-194</v>
      </c>
      <c r="X192" s="462">
        <f>-116-90-132+179</f>
        <v>-159</v>
      </c>
      <c r="Y192" s="459">
        <f>39-24-46+80</f>
        <v>49</v>
      </c>
      <c r="Z192" s="460">
        <f>78-46-81+62-Y192</f>
        <v>-36</v>
      </c>
      <c r="AA192" s="460">
        <f>117-66-87+134-147+23-SUM(Y192:Z192)</f>
        <v>-39</v>
      </c>
      <c r="AB192" s="395">
        <f>AC192-SUM(Y192:AA192)</f>
        <v>-169</v>
      </c>
      <c r="AC192" s="462">
        <f>156-93-90+2-166-4</f>
        <v>-195</v>
      </c>
      <c r="AD192" s="459">
        <f>6-25-1+177</f>
        <v>157</v>
      </c>
      <c r="AE192" s="460">
        <f>13-50-3+192-AD192</f>
        <v>-5</v>
      </c>
      <c r="AF192" s="460">
        <f>21-68-3+276-SUM(AD192:AE192)</f>
        <v>74</v>
      </c>
      <c r="AG192" s="395">
        <f>AH192-SUM(AD192:AF192)</f>
        <v>-110</v>
      </c>
      <c r="AH192" s="462">
        <f>27-98-3+190</f>
        <v>116</v>
      </c>
      <c r="AI192" s="459">
        <f>24-26+7-29</f>
        <v>-24</v>
      </c>
      <c r="AJ192" s="460">
        <f>48-58+15-53-55-13-AI192</f>
        <v>-92</v>
      </c>
      <c r="AK192" s="460">
        <f>71-82+15+26-72-35-SUM(AI192:AJ192)</f>
        <v>39</v>
      </c>
      <c r="AL192" s="395">
        <f>AM192-SUM(AI192:AK192)</f>
        <v>4</v>
      </c>
      <c r="AM192" s="462">
        <f>95-120+12-60</f>
        <v>-73</v>
      </c>
      <c r="AN192" s="459">
        <f>18-35-1-104-44-16</f>
        <v>-182</v>
      </c>
      <c r="AO192" s="460">
        <f>36-74-1-124-62-13-AN192</f>
        <v>-56</v>
      </c>
      <c r="AP192" s="460">
        <f>55-109-6-66-64-14-AN192-AO192</f>
        <v>34</v>
      </c>
      <c r="AQ192" s="395">
        <f>AR192-SUM(AN192:AP192)</f>
        <v>-123</v>
      </c>
      <c r="AR192" s="462">
        <f>72-131-138-82-48</f>
        <v>-327</v>
      </c>
      <c r="AS192" s="459">
        <f>13-24-60-25-25</f>
        <v>-121</v>
      </c>
      <c r="AT192" s="460">
        <f>25-47-124-AS192</f>
        <v>-25</v>
      </c>
      <c r="AU192" s="460">
        <f>37-72-121-55-59-AS192-AT192</f>
        <v>-124</v>
      </c>
      <c r="AV192" s="395">
        <f>AW192-SUM(AS192:AU192)</f>
        <v>-130</v>
      </c>
      <c r="AW192" s="462">
        <f>50-107-188-68-87</f>
        <v>-400</v>
      </c>
      <c r="AX192" s="394">
        <f>+BB192/4</f>
        <v>0</v>
      </c>
      <c r="AY192" s="342">
        <f t="shared" si="225"/>
        <v>0</v>
      </c>
      <c r="AZ192" s="342">
        <f t="shared" si="225"/>
        <v>0</v>
      </c>
      <c r="BA192" s="395">
        <f>(BB192-SUM(AX192:AY192))/1</f>
        <v>0</v>
      </c>
      <c r="BB192" s="589">
        <v>0</v>
      </c>
      <c r="BC192" s="394">
        <f>+BG192/4</f>
        <v>0</v>
      </c>
      <c r="BD192" s="342">
        <f>(BG192-SUM(BC192:BC192))/3</f>
        <v>0</v>
      </c>
      <c r="BE192" s="342">
        <f>(BG192-SUM(BC192:BD192))/2</f>
        <v>0</v>
      </c>
      <c r="BF192" s="395">
        <f>(BG192-SUM(BC192:BE192))/1</f>
        <v>0</v>
      </c>
      <c r="BG192" s="589">
        <v>0</v>
      </c>
      <c r="BH192" s="394">
        <f>+BL192/4</f>
        <v>0</v>
      </c>
      <c r="BI192" s="342">
        <f>(BL192-SUM(BH192:BH192))/3</f>
        <v>0</v>
      </c>
      <c r="BJ192" s="342">
        <f>(BL192-SUM(BH192:BI192))/2</f>
        <v>0</v>
      </c>
      <c r="BK192" s="395">
        <f>(BL192-SUM(BH192:BJ192))/1</f>
        <v>0</v>
      </c>
      <c r="BL192" s="589">
        <v>0</v>
      </c>
      <c r="BM192" s="394">
        <f>+BQ192/4</f>
        <v>0</v>
      </c>
      <c r="BN192" s="342">
        <f>(BQ192-SUM(BM192:BM192))/3</f>
        <v>0</v>
      </c>
      <c r="BO192" s="342">
        <f>(BQ192-SUM(BM192:BN192))/2</f>
        <v>0</v>
      </c>
      <c r="BP192" s="395">
        <f>(BQ192-SUM(BM192:BO192))/1</f>
        <v>0</v>
      </c>
      <c r="BQ192" s="589">
        <v>0</v>
      </c>
      <c r="BR192" s="589"/>
      <c r="BS192" s="77"/>
      <c r="BT192" s="77"/>
      <c r="BU192" s="77"/>
      <c r="BV192" s="77"/>
      <c r="BW192" s="77"/>
      <c r="BX192" s="77"/>
      <c r="BY192" s="77"/>
      <c r="BZ192" s="77"/>
      <c r="CA192" s="77"/>
      <c r="CB192" s="77"/>
      <c r="CC192" s="77"/>
      <c r="CD192" s="77"/>
      <c r="CE192" s="77"/>
      <c r="CF192" s="77"/>
      <c r="CG192" s="77"/>
      <c r="CH192" s="77"/>
      <c r="CI192" s="77"/>
      <c r="CJ192" s="77"/>
      <c r="CK192" s="77"/>
      <c r="CL192" s="538"/>
      <c r="CM192" s="538"/>
      <c r="CN192" s="538"/>
      <c r="CO192" s="538"/>
      <c r="CP192" s="538"/>
      <c r="CQ192" s="538"/>
      <c r="CR192" s="538"/>
      <c r="CS192" s="538"/>
      <c r="CT192" s="538"/>
      <c r="CU192" s="538"/>
      <c r="CV192" s="538"/>
      <c r="CW192" s="538"/>
      <c r="CX192" s="538"/>
      <c r="CY192" s="538"/>
      <c r="CZ192" s="538"/>
      <c r="DA192" s="538"/>
      <c r="DB192" s="538"/>
      <c r="DC192" s="538"/>
    </row>
    <row r="193" spans="1:107">
      <c r="A193" s="77"/>
      <c r="B193" s="77"/>
      <c r="C193" s="547" t="s">
        <v>315</v>
      </c>
      <c r="D193" s="77"/>
      <c r="E193" s="459">
        <v>-33</v>
      </c>
      <c r="F193" s="460">
        <v>-463</v>
      </c>
      <c r="G193" s="460">
        <v>159</v>
      </c>
      <c r="H193" s="405">
        <f>I193-SUM(E193:G193)</f>
        <v>13</v>
      </c>
      <c r="I193" s="462">
        <f>152-9-41-62-34-288-42</f>
        <v>-324</v>
      </c>
      <c r="J193" s="459">
        <v>-26</v>
      </c>
      <c r="K193" s="460">
        <v>-331</v>
      </c>
      <c r="L193" s="460">
        <v>32</v>
      </c>
      <c r="M193" s="405">
        <f>N193-SUM(J193:L193)</f>
        <v>-301</v>
      </c>
      <c r="N193" s="462">
        <f>-21-20-31-286+68-327-9</f>
        <v>-626</v>
      </c>
      <c r="O193" s="459">
        <v>36</v>
      </c>
      <c r="P193" s="460">
        <v>-163</v>
      </c>
      <c r="Q193" s="460">
        <v>-284</v>
      </c>
      <c r="R193" s="405">
        <f>S193-SUM(O193:Q193)</f>
        <v>434</v>
      </c>
      <c r="S193" s="462">
        <f>252-4+0-16+197-40-330-36</f>
        <v>23</v>
      </c>
      <c r="T193" s="459">
        <f>-14-3+52-8+51-103-35</f>
        <v>-60</v>
      </c>
      <c r="U193" s="460">
        <f>108-8-126-94-11-121-40-T193</f>
        <v>-232</v>
      </c>
      <c r="V193" s="460">
        <f>97-11-28+16-41+2-137-70-SUM(T193:U193)</f>
        <v>120</v>
      </c>
      <c r="W193" s="405">
        <f>X193-SUM(T193:V193)</f>
        <v>-161</v>
      </c>
      <c r="X193" s="462">
        <f>-54-20+88+16-132+12-213-30</f>
        <v>-333</v>
      </c>
      <c r="Y193" s="459">
        <f>-200-7+20+64+112-120-12</f>
        <v>-143</v>
      </c>
      <c r="Z193" s="460">
        <f>6-6-192+47-137+8-134+19-Y193</f>
        <v>-246</v>
      </c>
      <c r="AA193" s="460">
        <f>48-4-109+3-171+29-SUM(Y193:Z193)</f>
        <v>185</v>
      </c>
      <c r="AB193" s="395">
        <f>AC193-SUM(Y193:AA193)</f>
        <v>362</v>
      </c>
      <c r="AC193" s="462">
        <f>-5-1+5+19+100+40</f>
        <v>158</v>
      </c>
      <c r="AD193" s="459">
        <f>+-264-11+18+14+120+112-29-10</f>
        <v>-50</v>
      </c>
      <c r="AE193" s="460">
        <f>44-11-162+16-98-31-44-11-AD193</f>
        <v>-247</v>
      </c>
      <c r="AF193" s="460">
        <f>71-15-92-3-113-6-67+2-SUM(AD193:AE193)</f>
        <v>74</v>
      </c>
      <c r="AG193" s="395">
        <f>AH193-SUM(AD193:AF193)</f>
        <v>-1</v>
      </c>
      <c r="AH193" s="462">
        <f>63-18-18-3-167+6-83-4</f>
        <v>-224</v>
      </c>
      <c r="AI193" s="459">
        <f>-142-9+37+16+253+77-37-12</f>
        <v>183</v>
      </c>
      <c r="AJ193" s="460">
        <f>53-10-162+48+154-27-AI193</f>
        <v>-127</v>
      </c>
      <c r="AK193" s="460">
        <f>30-13-67+34+190-18-SUM(AI193:AJ193)</f>
        <v>100</v>
      </c>
      <c r="AL193" s="395">
        <f>AM193-SUM(AI193:AK193)</f>
        <v>-23</v>
      </c>
      <c r="AM193" s="462">
        <f>165-15+11+45-29-91+47</f>
        <v>133</v>
      </c>
      <c r="AN193" s="459">
        <f>-26-6+26-24+197+35</f>
        <v>202</v>
      </c>
      <c r="AO193" s="460">
        <f>50-14-165-29+181+17-AN193</f>
        <v>-162</v>
      </c>
      <c r="AP193" s="460">
        <f>2-42-63-30+154-6-AN193-AO193</f>
        <v>-25</v>
      </c>
      <c r="AQ193" s="395">
        <f>AR193-SUM(AN193:AP193)</f>
        <v>94</v>
      </c>
      <c r="AR193" s="462">
        <f>-84-7+22-29+199+8</f>
        <v>109</v>
      </c>
      <c r="AS193" s="459">
        <f>-34-7+3-12+15+40</f>
        <v>5</v>
      </c>
      <c r="AT193" s="460">
        <f>108-15-184-30-72+16-42-39-AS193</f>
        <v>-263</v>
      </c>
      <c r="AU193" s="460">
        <f>136-13-106-37-61-12-AS193-AT193</f>
        <v>165</v>
      </c>
      <c r="AV193" s="395">
        <f>AW193-SUM(AS193:AU193)</f>
        <v>58</v>
      </c>
      <c r="AW193" s="462">
        <f>-106-13-35+1+101+17</f>
        <v>-35</v>
      </c>
      <c r="AX193" s="394">
        <f>+BB193/4</f>
        <v>0</v>
      </c>
      <c r="AY193" s="342">
        <f t="shared" si="225"/>
        <v>0</v>
      </c>
      <c r="AZ193" s="342">
        <f t="shared" si="225"/>
        <v>0</v>
      </c>
      <c r="BA193" s="395">
        <f>(BB193-SUM(AX193:AY193))/1</f>
        <v>0</v>
      </c>
      <c r="BB193" s="589">
        <v>0</v>
      </c>
      <c r="BC193" s="394">
        <f>+BG193/4</f>
        <v>0</v>
      </c>
      <c r="BD193" s="342">
        <f>(BG193-SUM(BC193:BC193))/3</f>
        <v>0</v>
      </c>
      <c r="BE193" s="342">
        <f>(BG193-SUM(BC193:BD193))/2</f>
        <v>0</v>
      </c>
      <c r="BF193" s="395">
        <f>(BG193-SUM(BC193:BE193))/1</f>
        <v>0</v>
      </c>
      <c r="BG193" s="589">
        <v>0</v>
      </c>
      <c r="BH193" s="394">
        <f>+BL193/4</f>
        <v>0</v>
      </c>
      <c r="BI193" s="342">
        <f>(BL193-SUM(BH193:BH193))/3</f>
        <v>0</v>
      </c>
      <c r="BJ193" s="342">
        <f>(BL193-SUM(BH193:BI193))/2</f>
        <v>0</v>
      </c>
      <c r="BK193" s="395">
        <f>(BL193-SUM(BH193:BJ193))/1</f>
        <v>0</v>
      </c>
      <c r="BL193" s="589">
        <v>0</v>
      </c>
      <c r="BM193" s="394">
        <f>+BQ193/4</f>
        <v>0</v>
      </c>
      <c r="BN193" s="342">
        <f>(BQ193-SUM(BM193:BM193))/3</f>
        <v>0</v>
      </c>
      <c r="BO193" s="342">
        <f>(BQ193-SUM(BM193:BN193))/2</f>
        <v>0</v>
      </c>
      <c r="BP193" s="395">
        <f>(BQ193-SUM(BM193:BO193))/1</f>
        <v>0</v>
      </c>
      <c r="BQ193" s="589">
        <v>0</v>
      </c>
      <c r="BR193" s="589"/>
      <c r="BS193" s="77"/>
      <c r="BT193" s="77"/>
      <c r="BU193" s="77"/>
      <c r="BV193" s="77"/>
      <c r="BW193" s="77"/>
      <c r="BX193" s="77"/>
      <c r="BY193" s="77"/>
      <c r="BZ193" s="77"/>
      <c r="CA193" s="77"/>
      <c r="CB193" s="77"/>
      <c r="CC193" s="77"/>
      <c r="CD193" s="77"/>
      <c r="CE193" s="77"/>
      <c r="CF193" s="77"/>
      <c r="CG193" s="77"/>
      <c r="CH193" s="77"/>
      <c r="CI193" s="77"/>
      <c r="CJ193" s="77"/>
      <c r="CK193" s="77"/>
      <c r="CL193" s="538"/>
      <c r="CM193" s="538"/>
      <c r="CN193" s="538"/>
      <c r="CO193" s="538"/>
      <c r="CP193" s="538"/>
      <c r="CQ193" s="538"/>
      <c r="CR193" s="538"/>
      <c r="CS193" s="538"/>
      <c r="CT193" s="538"/>
      <c r="CU193" s="538"/>
      <c r="CV193" s="538"/>
      <c r="CW193" s="538"/>
      <c r="CX193" s="538"/>
      <c r="CY193" s="538"/>
      <c r="CZ193" s="538"/>
      <c r="DA193" s="538"/>
      <c r="DB193" s="538"/>
      <c r="DC193" s="538"/>
    </row>
    <row r="194" spans="1:107">
      <c r="A194" s="77"/>
      <c r="B194" s="77"/>
      <c r="C194" s="545" t="s">
        <v>171</v>
      </c>
      <c r="D194" s="77"/>
      <c r="E194" s="396">
        <f>+SUM(E189:E193)</f>
        <v>216</v>
      </c>
      <c r="F194" s="343">
        <f>+SUM(F189:F193)</f>
        <v>-311</v>
      </c>
      <c r="G194" s="343">
        <f>+SUM(G189:G193)</f>
        <v>517</v>
      </c>
      <c r="H194" s="397">
        <f>+SUM(H189:H193)</f>
        <v>535</v>
      </c>
      <c r="I194" s="297">
        <f>SUM(I189:I193)</f>
        <v>957</v>
      </c>
      <c r="J194" s="396">
        <f>+SUM(J189:J193)</f>
        <v>160</v>
      </c>
      <c r="K194" s="343">
        <f>+SUM(K189:K193)</f>
        <v>-181</v>
      </c>
      <c r="L194" s="343">
        <f>+SUM(L189:L193)</f>
        <v>448</v>
      </c>
      <c r="M194" s="397">
        <f>+SUM(M189:M193)</f>
        <v>584</v>
      </c>
      <c r="N194" s="297">
        <f>SUM(N189:N193)</f>
        <v>1011</v>
      </c>
      <c r="O194" s="396">
        <f>+SUM(O189:O193)</f>
        <v>157</v>
      </c>
      <c r="P194" s="343">
        <f>+SUM(P189:P193)</f>
        <v>122</v>
      </c>
      <c r="Q194" s="343">
        <f>+SUM(Q189:Q193)</f>
        <v>593</v>
      </c>
      <c r="R194" s="397">
        <f>+SUM(R189:R193)</f>
        <v>904</v>
      </c>
      <c r="S194" s="297">
        <f>SUM(S189:S193)</f>
        <v>1776</v>
      </c>
      <c r="T194" s="396">
        <f>+SUM(T189:T193)</f>
        <v>366</v>
      </c>
      <c r="U194" s="343">
        <f>+SUM(U189:U193)</f>
        <v>93</v>
      </c>
      <c r="V194" s="343">
        <f>+SUM(V189:V193)</f>
        <v>582</v>
      </c>
      <c r="W194" s="397">
        <f>+SUM(W189:W193)</f>
        <v>215</v>
      </c>
      <c r="X194" s="297">
        <f>SUM(X189:X193)</f>
        <v>1256</v>
      </c>
      <c r="Y194" s="396">
        <f>+SUM(Y189:Y193)</f>
        <v>329</v>
      </c>
      <c r="Z194" s="343">
        <f>+SUM(Z189:Z193)</f>
        <v>92</v>
      </c>
      <c r="AA194" s="343">
        <f>+SUM(AA189:AA193)</f>
        <v>628</v>
      </c>
      <c r="AB194" s="397">
        <f>+SUM(AB189:AB193)</f>
        <v>596</v>
      </c>
      <c r="AC194" s="297">
        <f>SUM(AC189:AC193)</f>
        <v>1645</v>
      </c>
      <c r="AD194" s="396">
        <f>+SUM(AD189:AD193)</f>
        <v>579</v>
      </c>
      <c r="AE194" s="343">
        <f>+SUM(AE189:AE193)</f>
        <v>158</v>
      </c>
      <c r="AF194" s="343">
        <f>+SUM(AF189:AF193)</f>
        <v>606</v>
      </c>
      <c r="AG194" s="397">
        <f>+SUM(AG189:AG193)</f>
        <v>490</v>
      </c>
      <c r="AH194" s="297">
        <f>SUM(AH189:AH193)</f>
        <v>1833</v>
      </c>
      <c r="AI194" s="396">
        <f>+SUM(AI189:AI193)</f>
        <v>677</v>
      </c>
      <c r="AJ194" s="343">
        <f>+SUM(AJ189:AJ193)</f>
        <v>232</v>
      </c>
      <c r="AK194" s="343">
        <f>+SUM(AK189:AK193)</f>
        <v>609</v>
      </c>
      <c r="AL194" s="397">
        <f>+SUM(AL189:AL193)</f>
        <v>607</v>
      </c>
      <c r="AM194" s="297">
        <f>SUM(AM189:AM193)</f>
        <v>2125</v>
      </c>
      <c r="AN194" s="396">
        <f>+SUM(AN189:AN193)</f>
        <v>568</v>
      </c>
      <c r="AO194" s="343">
        <f>+SUM(AO189:AO193)</f>
        <v>240</v>
      </c>
      <c r="AP194" s="343">
        <f>+SUM(AP189:AP193)</f>
        <v>593</v>
      </c>
      <c r="AQ194" s="397">
        <f>+SUM(AQ189:AQ193)</f>
        <v>493</v>
      </c>
      <c r="AR194" s="297">
        <f>SUM(AR189:AR193)</f>
        <v>1894</v>
      </c>
      <c r="AS194" s="396">
        <f>+SUM(AS189:AS193)</f>
        <v>514</v>
      </c>
      <c r="AT194" s="343">
        <f>+SUM(AT189:AT193)</f>
        <v>256</v>
      </c>
      <c r="AU194" s="343">
        <f>+SUM(AU189:AU193)</f>
        <v>623</v>
      </c>
      <c r="AV194" s="397">
        <f>+SUM(AV189:AV193)</f>
        <v>446</v>
      </c>
      <c r="AW194" s="297">
        <f>SUM(AW189:AW193)</f>
        <v>1839</v>
      </c>
      <c r="AX194" s="396">
        <f>+SUM(AX189:AX193)</f>
        <v>530.71013689957022</v>
      </c>
      <c r="AY194" s="343">
        <f>+SUM(AY189:AY193)</f>
        <v>415.02019412163872</v>
      </c>
      <c r="AZ194" s="343">
        <f>+SUM(AZ189:AZ193)</f>
        <v>422.20524240396662</v>
      </c>
      <c r="BA194" s="397">
        <f>+SUM(BA189:BA193)</f>
        <v>481.16973390701423</v>
      </c>
      <c r="BB194" s="297">
        <f>SUM(BB189:BB193)</f>
        <v>1853.1053073321896</v>
      </c>
      <c r="BC194" s="396">
        <f>+SUM(BC189:BC193)</f>
        <v>564.7795663041129</v>
      </c>
      <c r="BD194" s="343">
        <f>+SUM(BD189:BD193)</f>
        <v>445.33066916722663</v>
      </c>
      <c r="BE194" s="343">
        <f>+SUM(BE189:BE193)</f>
        <v>448.48743563046344</v>
      </c>
      <c r="BF194" s="397">
        <f>+SUM(BF189:BF193)</f>
        <v>468.11442403518754</v>
      </c>
      <c r="BG194" s="297">
        <f>SUM(BG189:BG193)</f>
        <v>1926.7120951369914</v>
      </c>
      <c r="BH194" s="396">
        <f>+SUM(BH189:BH193)</f>
        <v>558.53465913338175</v>
      </c>
      <c r="BI194" s="343">
        <f>+SUM(BI189:BI193)</f>
        <v>438.08014114007869</v>
      </c>
      <c r="BJ194" s="343">
        <f>+SUM(BJ189:BJ193)</f>
        <v>444.67506438796636</v>
      </c>
      <c r="BK194" s="397">
        <f>+SUM(BK189:BK193)</f>
        <v>465.24279505899227</v>
      </c>
      <c r="BL194" s="297">
        <f>SUM(BL189:BL193)</f>
        <v>1906.5326597204185</v>
      </c>
      <c r="BM194" s="396">
        <f>+SUM(BM189:BM193)</f>
        <v>586.40827211112821</v>
      </c>
      <c r="BN194" s="343">
        <f>+SUM(BN189:BN193)</f>
        <v>465.38839681581385</v>
      </c>
      <c r="BO194" s="343">
        <f>+SUM(BO189:BO193)</f>
        <v>477.02324537159325</v>
      </c>
      <c r="BP194" s="397">
        <f>+SUM(BP189:BP193)</f>
        <v>498.35033423774746</v>
      </c>
      <c r="BQ194" s="297">
        <f>SUM(BQ189:BQ193)</f>
        <v>2027.170248536283</v>
      </c>
      <c r="BR194" s="297"/>
      <c r="BS194" s="77"/>
      <c r="BT194" s="77"/>
      <c r="BU194" s="77"/>
      <c r="BV194" s="77"/>
      <c r="BW194" s="77"/>
      <c r="BX194" s="77"/>
      <c r="BY194" s="77"/>
      <c r="BZ194" s="77"/>
      <c r="CA194" s="77"/>
      <c r="CB194" s="77"/>
      <c r="CC194" s="77"/>
      <c r="CD194" s="77"/>
      <c r="CE194" s="77"/>
      <c r="CF194" s="77"/>
      <c r="CG194" s="77"/>
      <c r="CH194" s="77"/>
      <c r="CI194" s="77"/>
      <c r="CJ194" s="77"/>
      <c r="CK194" s="77"/>
      <c r="CL194" s="538"/>
      <c r="CM194" s="538"/>
      <c r="CN194" s="538"/>
      <c r="CO194" s="538"/>
      <c r="CP194" s="538"/>
      <c r="CQ194" s="538"/>
      <c r="CR194" s="538"/>
      <c r="CS194" s="538"/>
      <c r="CT194" s="538"/>
      <c r="CU194" s="538"/>
      <c r="CV194" s="538"/>
      <c r="CW194" s="538"/>
      <c r="CX194" s="538"/>
      <c r="CY194" s="538"/>
      <c r="CZ194" s="538"/>
      <c r="DA194" s="538"/>
      <c r="DB194" s="538"/>
      <c r="DC194" s="538"/>
    </row>
    <row r="195" spans="1:107">
      <c r="A195" s="77"/>
      <c r="B195" s="77"/>
      <c r="C195" s="547"/>
      <c r="D195" s="77"/>
      <c r="E195" s="394"/>
      <c r="F195" s="342"/>
      <c r="G195" s="342"/>
      <c r="H195" s="395"/>
      <c r="I195" s="842"/>
      <c r="J195" s="394"/>
      <c r="K195" s="342"/>
      <c r="L195" s="342"/>
      <c r="M195" s="395"/>
      <c r="N195" s="842"/>
      <c r="O195" s="394"/>
      <c r="P195" s="342"/>
      <c r="Q195" s="342"/>
      <c r="R195" s="395"/>
      <c r="S195" s="77"/>
      <c r="T195" s="394"/>
      <c r="U195" s="342"/>
      <c r="V195" s="342"/>
      <c r="W195" s="395"/>
      <c r="X195" s="77"/>
      <c r="Y195" s="394"/>
      <c r="Z195" s="342"/>
      <c r="AA195" s="342"/>
      <c r="AB195" s="395"/>
      <c r="AC195" s="77"/>
      <c r="AD195" s="394"/>
      <c r="AE195" s="342"/>
      <c r="AF195" s="342"/>
      <c r="AG195" s="395"/>
      <c r="AH195" s="77"/>
      <c r="AI195" s="394"/>
      <c r="AJ195" s="342"/>
      <c r="AK195" s="342"/>
      <c r="AL195" s="395"/>
      <c r="AM195" s="77"/>
      <c r="AN195" s="394"/>
      <c r="AO195" s="342"/>
      <c r="AP195" s="342"/>
      <c r="AQ195" s="395"/>
      <c r="AR195" s="77"/>
      <c r="AS195" s="394"/>
      <c r="AT195" s="342"/>
      <c r="AU195" s="342"/>
      <c r="AV195" s="395"/>
      <c r="AW195" s="77"/>
      <c r="AX195" s="394"/>
      <c r="AY195" s="342"/>
      <c r="AZ195" s="342"/>
      <c r="BA195" s="395"/>
      <c r="BB195" s="77"/>
      <c r="BC195" s="394"/>
      <c r="BD195" s="342"/>
      <c r="BE195" s="342"/>
      <c r="BF195" s="395"/>
      <c r="BG195" s="77"/>
      <c r="BH195" s="394"/>
      <c r="BI195" s="342"/>
      <c r="BJ195" s="342"/>
      <c r="BK195" s="395"/>
      <c r="BL195" s="77"/>
      <c r="BM195" s="394"/>
      <c r="BN195" s="342"/>
      <c r="BO195" s="342"/>
      <c r="BP195" s="395"/>
      <c r="BQ195" s="77"/>
      <c r="BR195" s="77"/>
      <c r="BS195" s="77"/>
      <c r="BT195" s="77"/>
      <c r="BU195" s="77"/>
      <c r="BV195" s="77"/>
      <c r="BW195" s="77"/>
      <c r="BX195" s="77"/>
      <c r="BY195" s="77"/>
      <c r="BZ195" s="77"/>
      <c r="CA195" s="77"/>
      <c r="CB195" s="77"/>
      <c r="CC195" s="77"/>
      <c r="CD195" s="77"/>
      <c r="CE195" s="77"/>
      <c r="CF195" s="77"/>
      <c r="CG195" s="77"/>
      <c r="CH195" s="77"/>
      <c r="CI195" s="77"/>
      <c r="CJ195" s="77"/>
      <c r="CK195" s="77"/>
      <c r="CL195" s="538"/>
      <c r="CM195" s="538"/>
      <c r="CN195" s="538"/>
      <c r="CO195" s="538"/>
      <c r="CP195" s="538"/>
      <c r="CQ195" s="538"/>
      <c r="CR195" s="538"/>
      <c r="CS195" s="538"/>
      <c r="CT195" s="538"/>
      <c r="CU195" s="538"/>
      <c r="CV195" s="538"/>
      <c r="CW195" s="538"/>
      <c r="CX195" s="538"/>
      <c r="CY195" s="538"/>
      <c r="CZ195" s="538"/>
      <c r="DA195" s="538"/>
      <c r="DB195" s="538"/>
      <c r="DC195" s="538"/>
    </row>
    <row r="196" spans="1:107">
      <c r="A196" s="77"/>
      <c r="B196" s="77"/>
      <c r="C196" s="547" t="s">
        <v>352</v>
      </c>
      <c r="D196" s="77"/>
      <c r="E196" s="459">
        <v>-194</v>
      </c>
      <c r="F196" s="460">
        <v>-185</v>
      </c>
      <c r="G196" s="460">
        <v>-201</v>
      </c>
      <c r="H196" s="405">
        <f>I196-SUM(E196:G196)</f>
        <v>-275</v>
      </c>
      <c r="I196" s="462">
        <v>-855</v>
      </c>
      <c r="J196" s="459">
        <v>-217</v>
      </c>
      <c r="K196" s="460">
        <v>-313</v>
      </c>
      <c r="L196" s="460">
        <v>-341</v>
      </c>
      <c r="M196" s="405">
        <f>N196-SUM(J196:L196)</f>
        <v>-386</v>
      </c>
      <c r="N196" s="462">
        <v>-1257</v>
      </c>
      <c r="O196" s="459">
        <v>-339</v>
      </c>
      <c r="P196" s="460">
        <v>-335</v>
      </c>
      <c r="Q196" s="460">
        <v>-265</v>
      </c>
      <c r="R196" s="405">
        <f>S196-SUM(O196:Q196)</f>
        <v>-363</v>
      </c>
      <c r="S196" s="462">
        <v>-1302</v>
      </c>
      <c r="T196" s="459">
        <v>-435</v>
      </c>
      <c r="U196" s="460">
        <f>-870-T196</f>
        <v>-435</v>
      </c>
      <c r="V196" s="460">
        <f>-1369-SUM(T196:U196)</f>
        <v>-499</v>
      </c>
      <c r="W196" s="405">
        <f>X196-SUM(T196:V196)</f>
        <v>-401</v>
      </c>
      <c r="X196" s="462">
        <v>-1770</v>
      </c>
      <c r="Y196" s="459">
        <v>-572</v>
      </c>
      <c r="Z196" s="460">
        <f>-1148-Y196</f>
        <v>-576</v>
      </c>
      <c r="AA196" s="460">
        <f>-1628-SUM(Y196:Z196)</f>
        <v>-480</v>
      </c>
      <c r="AB196" s="395">
        <f>AC196-SUM(Y196:AA196)</f>
        <v>-547</v>
      </c>
      <c r="AC196" s="462">
        <v>-2175</v>
      </c>
      <c r="AD196" s="459">
        <v>-481</v>
      </c>
      <c r="AE196" s="460">
        <f>-996-AD196</f>
        <v>-515</v>
      </c>
      <c r="AF196" s="460">
        <f>-1493-SUM(AD196:AE196)</f>
        <v>-497</v>
      </c>
      <c r="AG196" s="395">
        <f>AH196-SUM(AD196:AF196)</f>
        <v>-671</v>
      </c>
      <c r="AH196" s="462">
        <v>-2164</v>
      </c>
      <c r="AI196" s="459">
        <v>-599</v>
      </c>
      <c r="AJ196" s="460">
        <f>-1230-AI196</f>
        <v>-631</v>
      </c>
      <c r="AK196" s="460">
        <f>-1946-SUM(AI196:AJ196)</f>
        <v>-716</v>
      </c>
      <c r="AL196" s="395">
        <f>AM196-SUM(AI196:AK196)</f>
        <v>-746</v>
      </c>
      <c r="AM196" s="462">
        <v>-2692</v>
      </c>
      <c r="AN196" s="459">
        <v>-724</v>
      </c>
      <c r="AO196" s="460">
        <f>-1355-AN196</f>
        <v>-631</v>
      </c>
      <c r="AP196" s="460">
        <f>-2035-AO196-AN196</f>
        <v>-680</v>
      </c>
      <c r="AQ196" s="395">
        <f>AR196-SUM(AN196:AP196)</f>
        <v>-781</v>
      </c>
      <c r="AR196" s="462">
        <v>-2816</v>
      </c>
      <c r="AS196" s="459">
        <v>-748</v>
      </c>
      <c r="AT196" s="460">
        <f>-1389-AS196</f>
        <v>-641</v>
      </c>
      <c r="AU196" s="460">
        <f>-2118-AT196-AS196</f>
        <v>-729</v>
      </c>
      <c r="AV196" s="395">
        <f>AW196-SUM(AS196:AU196)</f>
        <v>-801</v>
      </c>
      <c r="AW196" s="462">
        <v>-2919</v>
      </c>
      <c r="AX196" s="394">
        <f>+-AX168</f>
        <v>-717.5</v>
      </c>
      <c r="AY196" s="342">
        <f>+-AY168</f>
        <v>-717.5</v>
      </c>
      <c r="AZ196" s="342">
        <f>+-AZ168</f>
        <v>-717.5</v>
      </c>
      <c r="BA196" s="395">
        <f>+-BA168</f>
        <v>-717.5</v>
      </c>
      <c r="BB196" s="77">
        <f>+-BB168</f>
        <v>-2870</v>
      </c>
      <c r="BC196" s="394">
        <f t="shared" ref="BC196:BL196" si="226">+-BC168</f>
        <v>-711.25</v>
      </c>
      <c r="BD196" s="342">
        <f t="shared" si="226"/>
        <v>-711.25</v>
      </c>
      <c r="BE196" s="342">
        <f t="shared" si="226"/>
        <v>-711.25</v>
      </c>
      <c r="BF196" s="395">
        <f t="shared" si="226"/>
        <v>-711.25</v>
      </c>
      <c r="BG196" s="77">
        <f t="shared" si="226"/>
        <v>-2845</v>
      </c>
      <c r="BH196" s="394">
        <f t="shared" si="226"/>
        <v>-701.25</v>
      </c>
      <c r="BI196" s="342">
        <f t="shared" si="226"/>
        <v>-701.25</v>
      </c>
      <c r="BJ196" s="342">
        <f t="shared" si="226"/>
        <v>-701.25</v>
      </c>
      <c r="BK196" s="395">
        <f t="shared" si="226"/>
        <v>-701.25</v>
      </c>
      <c r="BL196" s="77">
        <f t="shared" si="226"/>
        <v>-2805</v>
      </c>
      <c r="BM196" s="394">
        <f>+-BM168</f>
        <v>-591.25</v>
      </c>
      <c r="BN196" s="342">
        <f>+-BN168</f>
        <v>-591.25</v>
      </c>
      <c r="BO196" s="342">
        <f>+-BO168</f>
        <v>-591.25</v>
      </c>
      <c r="BP196" s="395">
        <f>+-BP168</f>
        <v>-591.25</v>
      </c>
      <c r="BQ196" s="77">
        <f>+-BQ168</f>
        <v>-2365</v>
      </c>
      <c r="BR196" s="77"/>
      <c r="BS196" s="77"/>
      <c r="BT196" s="77"/>
      <c r="BU196" s="77"/>
      <c r="BV196" s="77"/>
      <c r="BW196" s="77"/>
      <c r="BX196" s="77"/>
      <c r="BY196" s="77"/>
      <c r="BZ196" s="77"/>
      <c r="CA196" s="77"/>
      <c r="CB196" s="77"/>
      <c r="CC196" s="77"/>
      <c r="CD196" s="77"/>
      <c r="CE196" s="77"/>
      <c r="CF196" s="77"/>
      <c r="CG196" s="77"/>
      <c r="CH196" s="77"/>
      <c r="CI196" s="77"/>
      <c r="CJ196" s="77"/>
      <c r="CK196" s="77"/>
      <c r="CL196" s="538"/>
      <c r="CM196" s="538"/>
      <c r="CN196" s="538"/>
      <c r="CO196" s="538"/>
      <c r="CP196" s="538"/>
      <c r="CQ196" s="538"/>
      <c r="CR196" s="538"/>
      <c r="CS196" s="538"/>
      <c r="CT196" s="538"/>
      <c r="CU196" s="538"/>
      <c r="CV196" s="538"/>
      <c r="CW196" s="538"/>
      <c r="CX196" s="538"/>
      <c r="CY196" s="538"/>
      <c r="CZ196" s="538"/>
      <c r="DA196" s="538"/>
      <c r="DB196" s="538"/>
      <c r="DC196" s="538"/>
    </row>
    <row r="197" spans="1:107">
      <c r="A197" s="77"/>
      <c r="B197" s="77"/>
      <c r="C197" s="547" t="s">
        <v>172</v>
      </c>
      <c r="D197" s="77"/>
      <c r="E197" s="459">
        <v>-6</v>
      </c>
      <c r="F197" s="460">
        <v>-3</v>
      </c>
      <c r="G197" s="460">
        <v>-5</v>
      </c>
      <c r="H197" s="405">
        <f>I197-SUM(E197:G197)</f>
        <v>-24</v>
      </c>
      <c r="I197" s="462">
        <f>1-1-43+5</f>
        <v>-38</v>
      </c>
      <c r="J197" s="459">
        <v>-8</v>
      </c>
      <c r="K197" s="460">
        <v>-7</v>
      </c>
      <c r="L197" s="460">
        <v>0</v>
      </c>
      <c r="M197" s="405">
        <f>N197-SUM(J197:L197)</f>
        <v>-8</v>
      </c>
      <c r="N197" s="462">
        <f>54-54-27+4</f>
        <v>-23</v>
      </c>
      <c r="O197" s="459">
        <v>-10</v>
      </c>
      <c r="P197" s="460">
        <v>-13</v>
      </c>
      <c r="Q197" s="460">
        <v>-12</v>
      </c>
      <c r="R197" s="405">
        <f>S197-SUM(O197:Q197)</f>
        <v>-17</v>
      </c>
      <c r="S197" s="462">
        <f>-51-1</f>
        <v>-52</v>
      </c>
      <c r="T197" s="459">
        <f>51-51-19</f>
        <v>-19</v>
      </c>
      <c r="U197" s="460">
        <f>71-71-48+3-T197</f>
        <v>-26</v>
      </c>
      <c r="V197" s="460">
        <f>73-73-56+1-SUM(T197:U197)</f>
        <v>-10</v>
      </c>
      <c r="W197" s="405">
        <f>X197-SUM(T197:V197)</f>
        <v>-20</v>
      </c>
      <c r="X197" s="462">
        <f>-74-1</f>
        <v>-75</v>
      </c>
      <c r="Y197" s="459">
        <f>6-6-7+1</f>
        <v>-6</v>
      </c>
      <c r="Z197" s="460">
        <f>32-13-15-Y197</f>
        <v>10</v>
      </c>
      <c r="AA197" s="460">
        <f>35-16-11-SUM(Y197:Z197)</f>
        <v>4</v>
      </c>
      <c r="AB197" s="395">
        <f>AC197-SUM(Y197:AA197)</f>
        <v>-5</v>
      </c>
      <c r="AC197" s="462">
        <f>38-20-15</f>
        <v>3</v>
      </c>
      <c r="AD197" s="459">
        <f>5-3-2</f>
        <v>0</v>
      </c>
      <c r="AE197" s="460">
        <f>8-6-1-AD197</f>
        <v>1</v>
      </c>
      <c r="AF197" s="460">
        <f>98-96+2-1-SUM(AD197:AE197)</f>
        <v>2</v>
      </c>
      <c r="AG197" s="395">
        <f>AH197-SUM(AD197:AF197)</f>
        <v>6</v>
      </c>
      <c r="AH197" s="462">
        <f>103-101+7</f>
        <v>9</v>
      </c>
      <c r="AI197" s="459">
        <f>4-5-2+9</f>
        <v>6</v>
      </c>
      <c r="AJ197" s="460">
        <f>12+12-14-AI197</f>
        <v>4</v>
      </c>
      <c r="AK197" s="460">
        <f>16+13-18-SUM(AI197:AJ197)</f>
        <v>1</v>
      </c>
      <c r="AL197" s="395">
        <f>AM197-SUM(AI197:AK197)</f>
        <v>10</v>
      </c>
      <c r="AM197" s="462">
        <f>21-22+11+11</f>
        <v>21</v>
      </c>
      <c r="AN197" s="459">
        <f>5-5</f>
        <v>0</v>
      </c>
      <c r="AO197" s="460">
        <f>12+2-13-AN197</f>
        <v>1</v>
      </c>
      <c r="AP197" s="460">
        <f>16-17+6-SUM(AN197:AO197)</f>
        <v>4</v>
      </c>
      <c r="AQ197" s="395">
        <f>AR197-SUM(AN197:AP197)</f>
        <v>22</v>
      </c>
      <c r="AR197" s="462">
        <f>22-24+14+15</f>
        <v>27</v>
      </c>
      <c r="AS197" s="459">
        <f>10-10-4+2</f>
        <v>-2</v>
      </c>
      <c r="AT197" s="460">
        <f>28-29-3+5-AS197</f>
        <v>3</v>
      </c>
      <c r="AU197" s="460">
        <f>33-34-2+7-SUM(AS197:AT197)</f>
        <v>3</v>
      </c>
      <c r="AV197" s="395">
        <f>AW197-SUM(AS197:AU197)</f>
        <v>12</v>
      </c>
      <c r="AW197" s="462">
        <f>36-37+7+10</f>
        <v>16</v>
      </c>
      <c r="AX197" s="394">
        <f>+BB197/4</f>
        <v>0</v>
      </c>
      <c r="AY197" s="342">
        <f>(BB197-SUM(AX197:AX197))/3</f>
        <v>0</v>
      </c>
      <c r="AZ197" s="342">
        <f>(BC197-SUM(AY197:AY197))/3</f>
        <v>0</v>
      </c>
      <c r="BA197" s="395">
        <f>(BB197-SUM(AX197:AY197))/1</f>
        <v>0</v>
      </c>
      <c r="BB197" s="589">
        <v>0</v>
      </c>
      <c r="BC197" s="394">
        <f>+BG197/4</f>
        <v>0</v>
      </c>
      <c r="BD197" s="342">
        <f>(BG197-SUM(BC197:BC197))/3</f>
        <v>0</v>
      </c>
      <c r="BE197" s="342">
        <f>(BG197-SUM(BC197:BD197))/2</f>
        <v>0</v>
      </c>
      <c r="BF197" s="395">
        <f>(BG197-SUM(BC197:BE197))/1</f>
        <v>0</v>
      </c>
      <c r="BG197" s="589">
        <v>0</v>
      </c>
      <c r="BH197" s="394">
        <f>+BL197/4</f>
        <v>0</v>
      </c>
      <c r="BI197" s="342">
        <f>(BL197-SUM(BH197:BH197))/3</f>
        <v>0</v>
      </c>
      <c r="BJ197" s="342">
        <f>(BL197-SUM(BH197:BI197))/2</f>
        <v>0</v>
      </c>
      <c r="BK197" s="395">
        <f>(BL197-SUM(BH197:BJ197))/1</f>
        <v>0</v>
      </c>
      <c r="BL197" s="589">
        <v>0</v>
      </c>
      <c r="BM197" s="394">
        <f>+BQ197/4</f>
        <v>0</v>
      </c>
      <c r="BN197" s="342">
        <f>(BQ197-SUM(BM197:BM197))/3</f>
        <v>0</v>
      </c>
      <c r="BO197" s="342">
        <f>(BQ197-SUM(BM197:BN197))/2</f>
        <v>0</v>
      </c>
      <c r="BP197" s="395">
        <f>(BQ197-SUM(BM197:BO197))/1</f>
        <v>0</v>
      </c>
      <c r="BQ197" s="589">
        <v>0</v>
      </c>
      <c r="BR197" s="589"/>
      <c r="BS197" s="77"/>
      <c r="BT197" s="77"/>
      <c r="BU197" s="77"/>
      <c r="BV197" s="77"/>
      <c r="BW197" s="77"/>
      <c r="BX197" s="77"/>
      <c r="BY197" s="77"/>
      <c r="BZ197" s="77"/>
      <c r="CA197" s="77"/>
      <c r="CB197" s="77"/>
      <c r="CC197" s="77"/>
      <c r="CD197" s="77"/>
      <c r="CE197" s="77"/>
      <c r="CF197" s="77"/>
      <c r="CG197" s="77"/>
      <c r="CH197" s="77"/>
      <c r="CI197" s="77"/>
      <c r="CJ197" s="77"/>
      <c r="CK197" s="77"/>
      <c r="CL197" s="538"/>
      <c r="CM197" s="538"/>
      <c r="CN197" s="538"/>
      <c r="CO197" s="538"/>
      <c r="CP197" s="538"/>
      <c r="CQ197" s="538"/>
      <c r="CR197" s="538"/>
      <c r="CS197" s="538"/>
      <c r="CT197" s="538"/>
      <c r="CU197" s="538"/>
      <c r="CV197" s="538"/>
      <c r="CW197" s="538"/>
      <c r="CX197" s="538"/>
      <c r="CY197" s="538"/>
      <c r="CZ197" s="538"/>
      <c r="DA197" s="538"/>
      <c r="DB197" s="538"/>
      <c r="DC197" s="538"/>
    </row>
    <row r="198" spans="1:107">
      <c r="A198" s="77"/>
      <c r="B198" s="77"/>
      <c r="C198" s="545" t="s">
        <v>173</v>
      </c>
      <c r="D198" s="77"/>
      <c r="E198" s="396">
        <f t="shared" ref="E198:AA198" si="227">+SUM(E196:E197)</f>
        <v>-200</v>
      </c>
      <c r="F198" s="343">
        <f t="shared" si="227"/>
        <v>-188</v>
      </c>
      <c r="G198" s="343">
        <f t="shared" si="227"/>
        <v>-206</v>
      </c>
      <c r="H198" s="397">
        <f t="shared" si="227"/>
        <v>-299</v>
      </c>
      <c r="I198" s="297">
        <f t="shared" si="227"/>
        <v>-893</v>
      </c>
      <c r="J198" s="396">
        <f t="shared" si="227"/>
        <v>-225</v>
      </c>
      <c r="K198" s="343">
        <f t="shared" si="227"/>
        <v>-320</v>
      </c>
      <c r="L198" s="343">
        <f t="shared" si="227"/>
        <v>-341</v>
      </c>
      <c r="M198" s="397">
        <f t="shared" si="227"/>
        <v>-394</v>
      </c>
      <c r="N198" s="297">
        <f t="shared" si="227"/>
        <v>-1280</v>
      </c>
      <c r="O198" s="396">
        <f t="shared" si="227"/>
        <v>-349</v>
      </c>
      <c r="P198" s="343">
        <f t="shared" si="227"/>
        <v>-348</v>
      </c>
      <c r="Q198" s="343">
        <f t="shared" si="227"/>
        <v>-277</v>
      </c>
      <c r="R198" s="397">
        <f t="shared" si="227"/>
        <v>-380</v>
      </c>
      <c r="S198" s="297">
        <f t="shared" si="227"/>
        <v>-1354</v>
      </c>
      <c r="T198" s="396">
        <f t="shared" si="227"/>
        <v>-454</v>
      </c>
      <c r="U198" s="343">
        <f t="shared" si="227"/>
        <v>-461</v>
      </c>
      <c r="V198" s="343">
        <f t="shared" si="227"/>
        <v>-509</v>
      </c>
      <c r="W198" s="397">
        <f t="shared" si="227"/>
        <v>-421</v>
      </c>
      <c r="X198" s="297">
        <f t="shared" si="227"/>
        <v>-1845</v>
      </c>
      <c r="Y198" s="396">
        <f t="shared" si="227"/>
        <v>-578</v>
      </c>
      <c r="Z198" s="343">
        <f t="shared" si="227"/>
        <v>-566</v>
      </c>
      <c r="AA198" s="343">
        <f t="shared" si="227"/>
        <v>-476</v>
      </c>
      <c r="AB198" s="397">
        <f t="shared" ref="AB198:AI198" si="228">+SUM(AB196:AB197)</f>
        <v>-552</v>
      </c>
      <c r="AC198" s="297">
        <f t="shared" si="228"/>
        <v>-2172</v>
      </c>
      <c r="AD198" s="396">
        <f t="shared" si="228"/>
        <v>-481</v>
      </c>
      <c r="AE198" s="343">
        <f t="shared" si="228"/>
        <v>-514</v>
      </c>
      <c r="AF198" s="343">
        <f t="shared" si="228"/>
        <v>-495</v>
      </c>
      <c r="AG198" s="397">
        <f t="shared" si="228"/>
        <v>-665</v>
      </c>
      <c r="AH198" s="297">
        <f t="shared" si="228"/>
        <v>-2155</v>
      </c>
      <c r="AI198" s="396">
        <f t="shared" si="228"/>
        <v>-593</v>
      </c>
      <c r="AJ198" s="343">
        <f t="shared" ref="AJ198:AP198" si="229">+SUM(AJ196:AJ197)</f>
        <v>-627</v>
      </c>
      <c r="AK198" s="343">
        <f t="shared" si="229"/>
        <v>-715</v>
      </c>
      <c r="AL198" s="397">
        <f t="shared" si="229"/>
        <v>-736</v>
      </c>
      <c r="AM198" s="297">
        <f t="shared" si="229"/>
        <v>-2671</v>
      </c>
      <c r="AN198" s="396">
        <f t="shared" si="229"/>
        <v>-724</v>
      </c>
      <c r="AO198" s="343">
        <f t="shared" si="229"/>
        <v>-630</v>
      </c>
      <c r="AP198" s="343">
        <f t="shared" si="229"/>
        <v>-676</v>
      </c>
      <c r="AQ198" s="397">
        <f t="shared" ref="AQ198:AW198" si="230">+SUM(AQ196:AQ197)</f>
        <v>-759</v>
      </c>
      <c r="AR198" s="297">
        <f t="shared" si="230"/>
        <v>-2789</v>
      </c>
      <c r="AS198" s="396">
        <f t="shared" si="230"/>
        <v>-750</v>
      </c>
      <c r="AT198" s="343">
        <f t="shared" si="230"/>
        <v>-638</v>
      </c>
      <c r="AU198" s="343">
        <f t="shared" si="230"/>
        <v>-726</v>
      </c>
      <c r="AV198" s="397">
        <f t="shared" si="230"/>
        <v>-789</v>
      </c>
      <c r="AW198" s="297">
        <f t="shared" si="230"/>
        <v>-2903</v>
      </c>
      <c r="AX198" s="396">
        <f>+SUM(AX196:AX197)</f>
        <v>-717.5</v>
      </c>
      <c r="AY198" s="343">
        <f>+SUM(AY196:AY197)</f>
        <v>-717.5</v>
      </c>
      <c r="AZ198" s="343">
        <f>+SUM(AZ196:AZ197)</f>
        <v>-717.5</v>
      </c>
      <c r="BA198" s="397">
        <f>+SUM(BA196:BA197)</f>
        <v>-717.5</v>
      </c>
      <c r="BB198" s="297">
        <f>+SUM(BB196:BB197)</f>
        <v>-2870</v>
      </c>
      <c r="BC198" s="396">
        <f t="shared" ref="BC198:BL198" si="231">+SUM(BC196:BC197)</f>
        <v>-711.25</v>
      </c>
      <c r="BD198" s="343">
        <f t="shared" si="231"/>
        <v>-711.25</v>
      </c>
      <c r="BE198" s="343">
        <f t="shared" si="231"/>
        <v>-711.25</v>
      </c>
      <c r="BF198" s="397">
        <f t="shared" si="231"/>
        <v>-711.25</v>
      </c>
      <c r="BG198" s="297">
        <f t="shared" si="231"/>
        <v>-2845</v>
      </c>
      <c r="BH198" s="396">
        <f t="shared" si="231"/>
        <v>-701.25</v>
      </c>
      <c r="BI198" s="343">
        <f t="shared" si="231"/>
        <v>-701.25</v>
      </c>
      <c r="BJ198" s="343">
        <f t="shared" si="231"/>
        <v>-701.25</v>
      </c>
      <c r="BK198" s="397">
        <f t="shared" si="231"/>
        <v>-701.25</v>
      </c>
      <c r="BL198" s="297">
        <f t="shared" si="231"/>
        <v>-2805</v>
      </c>
      <c r="BM198" s="396">
        <f>+SUM(BM196:BM197)</f>
        <v>-591.25</v>
      </c>
      <c r="BN198" s="343">
        <f>+SUM(BN196:BN197)</f>
        <v>-591.25</v>
      </c>
      <c r="BO198" s="343">
        <f>+SUM(BO196:BO197)</f>
        <v>-591.25</v>
      </c>
      <c r="BP198" s="397">
        <f>+SUM(BP196:BP197)</f>
        <v>-591.25</v>
      </c>
      <c r="BQ198" s="297">
        <f>+SUM(BQ196:BQ197)</f>
        <v>-2365</v>
      </c>
      <c r="BR198" s="297"/>
      <c r="BS198" s="77"/>
      <c r="BT198" s="77"/>
      <c r="BU198" s="77"/>
      <c r="BV198" s="77"/>
      <c r="BW198" s="77"/>
      <c r="BX198" s="77"/>
      <c r="BY198" s="77"/>
      <c r="BZ198" s="77"/>
      <c r="CA198" s="77"/>
      <c r="CB198" s="77"/>
      <c r="CC198" s="77"/>
      <c r="CD198" s="77"/>
      <c r="CE198" s="77"/>
      <c r="CF198" s="77"/>
      <c r="CG198" s="77"/>
      <c r="CH198" s="77"/>
      <c r="CI198" s="77"/>
      <c r="CJ198" s="77"/>
      <c r="CK198" s="77"/>
      <c r="CL198" s="538"/>
      <c r="CM198" s="538"/>
      <c r="CN198" s="538"/>
      <c r="CO198" s="538"/>
      <c r="CP198" s="538"/>
      <c r="CQ198" s="538"/>
      <c r="CR198" s="538"/>
      <c r="CS198" s="538"/>
      <c r="CT198" s="538"/>
      <c r="CU198" s="538"/>
      <c r="CV198" s="538"/>
      <c r="CW198" s="538"/>
      <c r="CX198" s="538"/>
      <c r="CY198" s="538"/>
      <c r="CZ198" s="538"/>
      <c r="DA198" s="538"/>
      <c r="DB198" s="538"/>
      <c r="DC198" s="538"/>
    </row>
    <row r="199" spans="1:107">
      <c r="A199" s="77"/>
      <c r="B199" s="77"/>
      <c r="C199" s="547"/>
      <c r="D199" s="77"/>
      <c r="E199" s="394"/>
      <c r="F199" s="342"/>
      <c r="G199" s="342"/>
      <c r="H199" s="395"/>
      <c r="I199" s="842"/>
      <c r="J199" s="394"/>
      <c r="K199" s="342"/>
      <c r="L199" s="342"/>
      <c r="M199" s="395"/>
      <c r="N199" s="842"/>
      <c r="O199" s="394"/>
      <c r="P199" s="342"/>
      <c r="Q199" s="342"/>
      <c r="R199" s="395"/>
      <c r="S199" s="77"/>
      <c r="T199" s="394"/>
      <c r="U199" s="342"/>
      <c r="V199" s="342"/>
      <c r="W199" s="395"/>
      <c r="X199" s="77"/>
      <c r="Y199" s="394"/>
      <c r="Z199" s="342"/>
      <c r="AA199" s="342"/>
      <c r="AB199" s="395"/>
      <c r="AC199" s="77"/>
      <c r="AD199" s="394"/>
      <c r="AE199" s="342"/>
      <c r="AF199" s="342"/>
      <c r="AG199" s="395"/>
      <c r="AH199" s="77"/>
      <c r="AI199" s="394"/>
      <c r="AJ199" s="342"/>
      <c r="AK199" s="342"/>
      <c r="AL199" s="395"/>
      <c r="AM199" s="77"/>
      <c r="AN199" s="394"/>
      <c r="AO199" s="342"/>
      <c r="AP199" s="342"/>
      <c r="AQ199" s="395"/>
      <c r="AR199" s="77"/>
      <c r="AS199" s="394"/>
      <c r="AT199" s="342"/>
      <c r="AU199" s="342"/>
      <c r="AV199" s="395"/>
      <c r="AW199" s="77"/>
      <c r="AX199" s="394"/>
      <c r="AY199" s="342"/>
      <c r="AZ199" s="342"/>
      <c r="BA199" s="395"/>
      <c r="BB199" s="77"/>
      <c r="BC199" s="394"/>
      <c r="BD199" s="342"/>
      <c r="BE199" s="342"/>
      <c r="BF199" s="395"/>
      <c r="BG199" s="77"/>
      <c r="BH199" s="394"/>
      <c r="BI199" s="342"/>
      <c r="BJ199" s="342"/>
      <c r="BK199" s="395"/>
      <c r="BL199" s="77"/>
      <c r="BM199" s="394"/>
      <c r="BN199" s="342"/>
      <c r="BO199" s="342"/>
      <c r="BP199" s="395"/>
      <c r="BQ199" s="77"/>
      <c r="BR199" s="77"/>
      <c r="BS199" s="77"/>
      <c r="BT199" s="77"/>
      <c r="BU199" s="77"/>
      <c r="BV199" s="77"/>
      <c r="BW199" s="77"/>
      <c r="BX199" s="77"/>
      <c r="BY199" s="77"/>
      <c r="BZ199" s="77"/>
      <c r="CA199" s="77"/>
      <c r="CB199" s="77"/>
      <c r="CC199" s="77"/>
      <c r="CD199" s="77"/>
      <c r="CE199" s="77"/>
      <c r="CF199" s="77"/>
      <c r="CG199" s="77"/>
      <c r="CH199" s="77"/>
      <c r="CI199" s="77"/>
      <c r="CJ199" s="77"/>
      <c r="CK199" s="77"/>
      <c r="CL199" s="538"/>
      <c r="CM199" s="538"/>
      <c r="CN199" s="538"/>
      <c r="CO199" s="538"/>
      <c r="CP199" s="538"/>
      <c r="CQ199" s="538"/>
      <c r="CR199" s="538"/>
      <c r="CS199" s="538"/>
      <c r="CT199" s="538"/>
      <c r="CU199" s="538"/>
      <c r="CV199" s="538"/>
      <c r="CW199" s="538"/>
      <c r="CX199" s="538"/>
      <c r="CY199" s="538"/>
      <c r="CZ199" s="538"/>
      <c r="DA199" s="538"/>
      <c r="DB199" s="538"/>
      <c r="DC199" s="538"/>
    </row>
    <row r="200" spans="1:107">
      <c r="A200" s="77"/>
      <c r="B200" s="77"/>
      <c r="C200" s="547" t="s">
        <v>320</v>
      </c>
      <c r="D200" s="77"/>
      <c r="E200" s="459">
        <v>0</v>
      </c>
      <c r="F200" s="460">
        <v>0</v>
      </c>
      <c r="G200" s="460">
        <v>0</v>
      </c>
      <c r="H200" s="405">
        <f t="shared" ref="H200:H205" si="232">I200-SUM(E200:G200)</f>
        <v>250</v>
      </c>
      <c r="I200" s="462">
        <v>250</v>
      </c>
      <c r="J200" s="459">
        <v>300</v>
      </c>
      <c r="K200" s="460">
        <v>300</v>
      </c>
      <c r="L200" s="460">
        <v>414</v>
      </c>
      <c r="M200" s="405">
        <f t="shared" ref="M200:M205" si="233">N200-SUM(J200:L200)</f>
        <v>100</v>
      </c>
      <c r="N200" s="462">
        <v>1114</v>
      </c>
      <c r="O200" s="459">
        <v>0</v>
      </c>
      <c r="P200" s="460">
        <v>0</v>
      </c>
      <c r="Q200" s="460">
        <v>250</v>
      </c>
      <c r="R200" s="405">
        <f t="shared" ref="R200:R205" si="234">S200-SUM(O200:Q200)</f>
        <v>0</v>
      </c>
      <c r="S200" s="462">
        <v>250</v>
      </c>
      <c r="T200" s="459">
        <v>0</v>
      </c>
      <c r="U200" s="460">
        <f>500-T200</f>
        <v>500</v>
      </c>
      <c r="V200" s="460">
        <f>850-SUM(T200:U200)</f>
        <v>350</v>
      </c>
      <c r="W200" s="405">
        <f t="shared" ref="W200:W205" si="235">X200-SUM(T200:V200)</f>
        <v>50</v>
      </c>
      <c r="X200" s="462">
        <v>900</v>
      </c>
      <c r="Y200" s="459">
        <v>400</v>
      </c>
      <c r="Z200" s="460">
        <f>900-Y200</f>
        <v>500</v>
      </c>
      <c r="AA200" s="460">
        <f>1500-SUM(Y200:Z200)</f>
        <v>600</v>
      </c>
      <c r="AB200" s="395">
        <f t="shared" ref="AB200:AB205" si="236">AC200-SUM(Y200:AA200)</f>
        <v>0</v>
      </c>
      <c r="AC200" s="462">
        <v>1500</v>
      </c>
      <c r="AD200" s="459">
        <v>0</v>
      </c>
      <c r="AE200" s="460">
        <f>500-AD200</f>
        <v>500</v>
      </c>
      <c r="AF200" s="460">
        <f>1000-SUM(AD200:AE200)</f>
        <v>500</v>
      </c>
      <c r="AG200" s="395">
        <f t="shared" ref="AG200:AG205" si="237">AH200-SUM(AD200:AF200)</f>
        <v>250</v>
      </c>
      <c r="AH200" s="462">
        <v>1250</v>
      </c>
      <c r="AI200" s="459">
        <v>0</v>
      </c>
      <c r="AJ200" s="460">
        <f>600-AI200</f>
        <v>600</v>
      </c>
      <c r="AK200" s="460">
        <f>600-SUM(AI200:AJ200)</f>
        <v>0</v>
      </c>
      <c r="AL200" s="395">
        <f t="shared" ref="AL200:AL205" si="238">AM200-SUM(AI200:AK200)</f>
        <v>250</v>
      </c>
      <c r="AM200" s="462">
        <v>850</v>
      </c>
      <c r="AN200" s="459">
        <v>850</v>
      </c>
      <c r="AO200" s="460">
        <f>850-AN200</f>
        <v>0</v>
      </c>
      <c r="AP200" s="460">
        <f>1275-AO200-AN200</f>
        <v>425</v>
      </c>
      <c r="AQ200" s="395">
        <f t="shared" ref="AQ200:AQ205" si="239">AR200-SUM(AN200:AP200)</f>
        <v>0</v>
      </c>
      <c r="AR200" s="462">
        <v>1275</v>
      </c>
      <c r="AS200" s="459">
        <v>0</v>
      </c>
      <c r="AT200" s="460">
        <f>425-AS200</f>
        <v>425</v>
      </c>
      <c r="AU200" s="460">
        <f>425-AT200-AS200</f>
        <v>0</v>
      </c>
      <c r="AV200" s="395">
        <f t="shared" ref="AV200:AV205" si="240">AW200-SUM(AS200:AU200)</f>
        <v>350</v>
      </c>
      <c r="AW200" s="462">
        <v>775</v>
      </c>
      <c r="AX200" s="394">
        <f t="shared" ref="AX200:BA201" si="241">+AX173</f>
        <v>0</v>
      </c>
      <c r="AY200" s="342">
        <f t="shared" si="241"/>
        <v>1600</v>
      </c>
      <c r="AZ200" s="342">
        <f>+AZ173</f>
        <v>0</v>
      </c>
      <c r="BA200" s="395">
        <f t="shared" si="241"/>
        <v>0</v>
      </c>
      <c r="BB200" s="77">
        <f>+SUM(AX200:BA200)</f>
        <v>1600</v>
      </c>
      <c r="BC200" s="394">
        <f t="shared" ref="BC200:BF201" si="242">+BC173</f>
        <v>0</v>
      </c>
      <c r="BD200" s="342">
        <f t="shared" si="242"/>
        <v>1500</v>
      </c>
      <c r="BE200" s="342">
        <f t="shared" si="242"/>
        <v>0</v>
      </c>
      <c r="BF200" s="395">
        <f t="shared" si="242"/>
        <v>0</v>
      </c>
      <c r="BG200" s="77">
        <f>+SUM(BC200:BF200)</f>
        <v>1500</v>
      </c>
      <c r="BH200" s="394">
        <f t="shared" ref="BH200:BK201" si="243">+BH173</f>
        <v>0</v>
      </c>
      <c r="BI200" s="342">
        <f t="shared" si="243"/>
        <v>1400</v>
      </c>
      <c r="BJ200" s="342">
        <f t="shared" si="243"/>
        <v>0</v>
      </c>
      <c r="BK200" s="395">
        <f t="shared" si="243"/>
        <v>0</v>
      </c>
      <c r="BL200" s="77">
        <f>+SUM(BH200:BK200)</f>
        <v>1400</v>
      </c>
      <c r="BM200" s="394">
        <f t="shared" ref="BM200:BP201" si="244">+BM173</f>
        <v>0</v>
      </c>
      <c r="BN200" s="342">
        <f t="shared" si="244"/>
        <v>1100</v>
      </c>
      <c r="BO200" s="342">
        <f t="shared" si="244"/>
        <v>0</v>
      </c>
      <c r="BP200" s="395">
        <f t="shared" si="244"/>
        <v>0</v>
      </c>
      <c r="BQ200" s="77">
        <f>+SUM(BM200:BP200)</f>
        <v>1100</v>
      </c>
      <c r="BR200" s="77"/>
      <c r="BS200" s="77"/>
      <c r="BT200" s="77"/>
      <c r="BU200" s="77"/>
      <c r="BV200" s="77"/>
      <c r="BW200" s="77"/>
      <c r="BX200" s="77"/>
      <c r="BY200" s="77"/>
      <c r="BZ200" s="77"/>
      <c r="CA200" s="77"/>
      <c r="CB200" s="77"/>
      <c r="CC200" s="77"/>
      <c r="CD200" s="77"/>
      <c r="CE200" s="77"/>
      <c r="CF200" s="77"/>
      <c r="CG200" s="77"/>
      <c r="CH200" s="77"/>
      <c r="CI200" s="77"/>
      <c r="CJ200" s="77"/>
      <c r="CK200" s="77"/>
      <c r="CL200" s="538"/>
      <c r="CM200" s="538"/>
      <c r="CN200" s="538"/>
      <c r="CO200" s="538"/>
      <c r="CP200" s="538"/>
      <c r="CQ200" s="538"/>
      <c r="CR200" s="538"/>
      <c r="CS200" s="538"/>
      <c r="CT200" s="538"/>
      <c r="CU200" s="538"/>
      <c r="CV200" s="538"/>
      <c r="CW200" s="538"/>
      <c r="CX200" s="538"/>
      <c r="CY200" s="538"/>
      <c r="CZ200" s="538"/>
      <c r="DA200" s="538"/>
      <c r="DB200" s="538"/>
      <c r="DC200" s="538"/>
    </row>
    <row r="201" spans="1:107">
      <c r="A201" s="77"/>
      <c r="B201" s="77"/>
      <c r="C201" s="547" t="s">
        <v>584</v>
      </c>
      <c r="D201" s="77"/>
      <c r="E201" s="459">
        <v>-42</v>
      </c>
      <c r="F201" s="460">
        <v>-105</v>
      </c>
      <c r="G201" s="460">
        <v>-46</v>
      </c>
      <c r="H201" s="405">
        <f t="shared" si="232"/>
        <v>-197</v>
      </c>
      <c r="I201" s="462">
        <f>-203-187</f>
        <v>-390</v>
      </c>
      <c r="J201" s="459">
        <v>-344</v>
      </c>
      <c r="K201" s="460">
        <v>-47</v>
      </c>
      <c r="L201" s="460">
        <v>-49</v>
      </c>
      <c r="M201" s="405">
        <f t="shared" si="233"/>
        <v>-157</v>
      </c>
      <c r="N201" s="462">
        <f>-400-197</f>
        <v>-597</v>
      </c>
      <c r="O201" s="459">
        <v>-46</v>
      </c>
      <c r="P201" s="460">
        <v>-50</v>
      </c>
      <c r="Q201" s="460">
        <v>-51</v>
      </c>
      <c r="R201" s="405">
        <f t="shared" si="234"/>
        <v>-323</v>
      </c>
      <c r="S201" s="462">
        <f>-264-206</f>
        <v>-470</v>
      </c>
      <c r="T201" s="459">
        <v>-49</v>
      </c>
      <c r="U201" s="460">
        <f>-73-101-T201</f>
        <v>-125</v>
      </c>
      <c r="V201" s="460">
        <f>-373-154-SUM(T201:U201)</f>
        <v>-353</v>
      </c>
      <c r="W201" s="405">
        <f t="shared" si="235"/>
        <v>-62</v>
      </c>
      <c r="X201" s="462">
        <f>-373-216</f>
        <v>-589</v>
      </c>
      <c r="Y201" s="459">
        <v>-150</v>
      </c>
      <c r="Z201" s="460">
        <f>-150-106-Y201</f>
        <v>-106</v>
      </c>
      <c r="AA201" s="460">
        <f>-450-162-SUM(Y201:Z201)</f>
        <v>-356</v>
      </c>
      <c r="AB201" s="395">
        <f t="shared" si="236"/>
        <v>-339</v>
      </c>
      <c r="AC201" s="462">
        <f>-725-226</f>
        <v>-951</v>
      </c>
      <c r="AD201" s="459">
        <v>0</v>
      </c>
      <c r="AE201" s="460">
        <v>0</v>
      </c>
      <c r="AF201" s="460">
        <f>-500-170-SUM(AD201:AE201)</f>
        <v>-670</v>
      </c>
      <c r="AG201" s="395">
        <f t="shared" si="237"/>
        <v>-67</v>
      </c>
      <c r="AH201" s="462">
        <f>-500-237</f>
        <v>-737</v>
      </c>
      <c r="AI201" s="459">
        <v>-58</v>
      </c>
      <c r="AJ201" s="460">
        <f>-300-125-AI201</f>
        <v>-367</v>
      </c>
      <c r="AK201" s="460">
        <f>-300-191-SUM(AI201:AJ201)</f>
        <v>-66</v>
      </c>
      <c r="AL201" s="395">
        <f t="shared" si="238"/>
        <v>-68</v>
      </c>
      <c r="AM201" s="462">
        <f>-300-259</f>
        <v>-559</v>
      </c>
      <c r="AN201" s="459">
        <v>-171</v>
      </c>
      <c r="AO201" s="460">
        <f>-171-AN201</f>
        <v>0</v>
      </c>
      <c r="AP201" s="460">
        <f>-271-AO201-AN201</f>
        <v>-100</v>
      </c>
      <c r="AQ201" s="395">
        <f t="shared" si="239"/>
        <v>0</v>
      </c>
      <c r="AR201" s="462">
        <v>-271</v>
      </c>
      <c r="AS201" s="459">
        <v>0</v>
      </c>
      <c r="AT201" s="460">
        <f>0-AS201</f>
        <v>0</v>
      </c>
      <c r="AU201" s="460">
        <f>0-AT201-AS201</f>
        <v>0</v>
      </c>
      <c r="AV201" s="395">
        <f t="shared" si="240"/>
        <v>0</v>
      </c>
      <c r="AW201" s="462">
        <v>0</v>
      </c>
      <c r="AX201" s="394">
        <f t="shared" si="241"/>
        <v>0</v>
      </c>
      <c r="AY201" s="342">
        <f t="shared" si="241"/>
        <v>-750</v>
      </c>
      <c r="AZ201" s="342">
        <f>+AZ174</f>
        <v>0</v>
      </c>
      <c r="BA201" s="395">
        <f t="shared" si="241"/>
        <v>0</v>
      </c>
      <c r="BB201" s="77">
        <f>+SUM(AX201:BA201)</f>
        <v>-750</v>
      </c>
      <c r="BC201" s="394">
        <f t="shared" si="242"/>
        <v>0</v>
      </c>
      <c r="BD201" s="342">
        <f t="shared" si="242"/>
        <v>-250</v>
      </c>
      <c r="BE201" s="342">
        <f t="shared" si="242"/>
        <v>-250</v>
      </c>
      <c r="BF201" s="395">
        <f t="shared" si="242"/>
        <v>0</v>
      </c>
      <c r="BG201" s="77">
        <f>+SUM(BC201:BF201)</f>
        <v>-500</v>
      </c>
      <c r="BH201" s="394">
        <f t="shared" si="243"/>
        <v>0</v>
      </c>
      <c r="BI201" s="342">
        <f t="shared" si="243"/>
        <v>-250</v>
      </c>
      <c r="BJ201" s="342">
        <f t="shared" si="243"/>
        <v>0</v>
      </c>
      <c r="BK201" s="395">
        <f t="shared" si="243"/>
        <v>-9</v>
      </c>
      <c r="BL201" s="77">
        <f>+SUM(BH201:BK201)</f>
        <v>-259</v>
      </c>
      <c r="BM201" s="394">
        <f t="shared" si="244"/>
        <v>-300</v>
      </c>
      <c r="BN201" s="342">
        <f t="shared" si="244"/>
        <v>-134</v>
      </c>
      <c r="BO201" s="342">
        <f t="shared" si="244"/>
        <v>0</v>
      </c>
      <c r="BP201" s="395">
        <f t="shared" si="244"/>
        <v>0</v>
      </c>
      <c r="BQ201" s="77">
        <f>+SUM(BM201:BP201)</f>
        <v>-434</v>
      </c>
      <c r="BR201" s="77"/>
      <c r="BS201" s="77"/>
      <c r="BT201" s="77"/>
      <c r="BU201" s="77"/>
      <c r="BV201" s="77"/>
      <c r="BW201" s="77"/>
      <c r="BX201" s="77"/>
      <c r="BY201" s="77"/>
      <c r="BZ201" s="77"/>
      <c r="CA201" s="77"/>
      <c r="CB201" s="77"/>
      <c r="CC201" s="77"/>
      <c r="CD201" s="77"/>
      <c r="CE201" s="77"/>
      <c r="CF201" s="77"/>
      <c r="CG201" s="77"/>
      <c r="CH201" s="77"/>
      <c r="CI201" s="77"/>
      <c r="CJ201" s="77"/>
      <c r="CK201" s="77"/>
      <c r="CL201" s="538"/>
      <c r="CM201" s="538"/>
      <c r="CN201" s="538"/>
      <c r="CO201" s="538"/>
      <c r="CP201" s="538"/>
      <c r="CQ201" s="538"/>
      <c r="CR201" s="538"/>
      <c r="CS201" s="538"/>
      <c r="CT201" s="538"/>
      <c r="CU201" s="538"/>
      <c r="CV201" s="538"/>
      <c r="CW201" s="538"/>
      <c r="CX201" s="538"/>
      <c r="CY201" s="538"/>
      <c r="CZ201" s="538"/>
      <c r="DA201" s="538"/>
      <c r="DB201" s="538"/>
      <c r="DC201" s="538"/>
    </row>
    <row r="202" spans="1:107">
      <c r="A202" s="77"/>
      <c r="B202" s="77"/>
      <c r="C202" s="547" t="s">
        <v>174</v>
      </c>
      <c r="D202" s="77"/>
      <c r="E202" s="459">
        <v>-19</v>
      </c>
      <c r="F202" s="460">
        <v>333</v>
      </c>
      <c r="G202" s="460">
        <v>-260</v>
      </c>
      <c r="H202" s="405">
        <f t="shared" si="232"/>
        <v>-73</v>
      </c>
      <c r="I202" s="462">
        <v>-19</v>
      </c>
      <c r="J202" s="459">
        <v>0</v>
      </c>
      <c r="K202" s="460">
        <v>223</v>
      </c>
      <c r="L202" s="460">
        <v>-223</v>
      </c>
      <c r="M202" s="405">
        <f t="shared" si="233"/>
        <v>0</v>
      </c>
      <c r="N202" s="462">
        <v>0</v>
      </c>
      <c r="O202" s="459">
        <v>21</v>
      </c>
      <c r="P202" s="460">
        <v>277</v>
      </c>
      <c r="Q202" s="460">
        <v>-298</v>
      </c>
      <c r="R202" s="405">
        <f t="shared" si="234"/>
        <v>0</v>
      </c>
      <c r="S202" s="462">
        <v>0</v>
      </c>
      <c r="T202" s="459">
        <v>29</v>
      </c>
      <c r="U202" s="460">
        <f>16-T202</f>
        <v>-13</v>
      </c>
      <c r="V202" s="460">
        <f>0-SUM(T202:U202)</f>
        <v>-16</v>
      </c>
      <c r="W202" s="405">
        <f t="shared" si="235"/>
        <v>263</v>
      </c>
      <c r="X202" s="462">
        <v>263</v>
      </c>
      <c r="Y202" s="459">
        <f>-98-51</f>
        <v>-149</v>
      </c>
      <c r="Z202" s="460">
        <f>-106-Y202</f>
        <v>43</v>
      </c>
      <c r="AA202" s="460">
        <f>-263-SUM(Y202:Z202)</f>
        <v>-157</v>
      </c>
      <c r="AB202" s="395">
        <f t="shared" si="236"/>
        <v>60</v>
      </c>
      <c r="AC202" s="462">
        <v>-203</v>
      </c>
      <c r="AD202" s="459">
        <f>-54-60</f>
        <v>-114</v>
      </c>
      <c r="AE202" s="460">
        <f>-111-60-AD202</f>
        <v>-57</v>
      </c>
      <c r="AF202" s="460">
        <f>-60-SUM(AD202:AE202)</f>
        <v>111</v>
      </c>
      <c r="AG202" s="395">
        <f t="shared" si="237"/>
        <v>0</v>
      </c>
      <c r="AH202" s="462">
        <v>-60</v>
      </c>
      <c r="AI202" s="459">
        <v>0</v>
      </c>
      <c r="AJ202" s="460">
        <f>0-AI202</f>
        <v>0</v>
      </c>
      <c r="AK202" s="460">
        <f>20-SUM(AI202:AJ202)</f>
        <v>20</v>
      </c>
      <c r="AL202" s="395">
        <f t="shared" si="238"/>
        <v>133</v>
      </c>
      <c r="AM202" s="462">
        <v>153</v>
      </c>
      <c r="AN202" s="459">
        <v>-153</v>
      </c>
      <c r="AO202" s="460">
        <f>-153-AN202</f>
        <v>0</v>
      </c>
      <c r="AP202" s="460">
        <f>-153-AO202-AN202</f>
        <v>0</v>
      </c>
      <c r="AQ202" s="395">
        <f t="shared" si="239"/>
        <v>0</v>
      </c>
      <c r="AR202" s="462">
        <v>-153</v>
      </c>
      <c r="AS202" s="459">
        <v>0</v>
      </c>
      <c r="AT202" s="460">
        <f>0-AS202</f>
        <v>0</v>
      </c>
      <c r="AU202" s="460">
        <f>0-AT202-AS202</f>
        <v>0</v>
      </c>
      <c r="AV202" s="395">
        <f t="shared" si="240"/>
        <v>0</v>
      </c>
      <c r="AW202" s="462">
        <v>0</v>
      </c>
      <c r="AX202" s="418">
        <v>0</v>
      </c>
      <c r="AY202" s="353">
        <v>0</v>
      </c>
      <c r="AZ202" s="353">
        <v>0</v>
      </c>
      <c r="BA202" s="419">
        <v>0</v>
      </c>
      <c r="BB202" s="77">
        <f>+SUM(AX202:BA202)</f>
        <v>0</v>
      </c>
      <c r="BC202" s="418">
        <v>0</v>
      </c>
      <c r="BD202" s="353">
        <v>0</v>
      </c>
      <c r="BE202" s="353">
        <v>0</v>
      </c>
      <c r="BF202" s="419">
        <v>0</v>
      </c>
      <c r="BG202" s="77">
        <f>+SUM(BC202:BF202)</f>
        <v>0</v>
      </c>
      <c r="BH202" s="418">
        <v>0</v>
      </c>
      <c r="BI202" s="353">
        <v>0</v>
      </c>
      <c r="BJ202" s="353">
        <v>0</v>
      </c>
      <c r="BK202" s="419">
        <v>0</v>
      </c>
      <c r="BL202" s="77">
        <f>+SUM(BH202:BK202)</f>
        <v>0</v>
      </c>
      <c r="BM202" s="418">
        <v>0</v>
      </c>
      <c r="BN202" s="353">
        <v>0</v>
      </c>
      <c r="BO202" s="353">
        <v>0</v>
      </c>
      <c r="BP202" s="419">
        <v>0</v>
      </c>
      <c r="BQ202" s="77">
        <f>+SUM(BM202:BP202)</f>
        <v>0</v>
      </c>
      <c r="BR202" s="77"/>
      <c r="BS202" s="77"/>
      <c r="BT202" s="77"/>
      <c r="BU202" s="77"/>
      <c r="BV202" s="77"/>
      <c r="BW202" s="77"/>
      <c r="BX202" s="77"/>
      <c r="BY202" s="77"/>
      <c r="BZ202" s="77"/>
      <c r="CA202" s="77"/>
      <c r="CB202" s="77"/>
      <c r="CC202" s="77"/>
      <c r="CD202" s="77"/>
      <c r="CE202" s="77"/>
      <c r="CF202" s="77"/>
      <c r="CG202" s="77"/>
      <c r="CH202" s="77"/>
      <c r="CI202" s="77"/>
      <c r="CJ202" s="77"/>
      <c r="CK202" s="77"/>
      <c r="CL202" s="538"/>
      <c r="CM202" s="538"/>
      <c r="CN202" s="538"/>
      <c r="CO202" s="538"/>
      <c r="CP202" s="538"/>
      <c r="CQ202" s="538"/>
      <c r="CR202" s="538"/>
      <c r="CS202" s="538"/>
      <c r="CT202" s="538"/>
      <c r="CU202" s="538"/>
      <c r="CV202" s="538"/>
      <c r="CW202" s="538"/>
      <c r="CX202" s="538"/>
      <c r="CY202" s="538"/>
      <c r="CZ202" s="538"/>
      <c r="DA202" s="538"/>
      <c r="DB202" s="538"/>
      <c r="DC202" s="538"/>
    </row>
    <row r="203" spans="1:107">
      <c r="A203" s="77"/>
      <c r="B203" s="77"/>
      <c r="C203" s="2" t="s">
        <v>198</v>
      </c>
      <c r="D203" s="77"/>
      <c r="E203" s="459">
        <v>0</v>
      </c>
      <c r="F203" s="460">
        <v>0</v>
      </c>
      <c r="G203" s="460">
        <v>0</v>
      </c>
      <c r="H203" s="405">
        <f t="shared" si="232"/>
        <v>0</v>
      </c>
      <c r="I203" s="462">
        <v>0</v>
      </c>
      <c r="J203" s="459">
        <v>-80</v>
      </c>
      <c r="K203" s="460">
        <v>0</v>
      </c>
      <c r="L203" s="460">
        <v>0</v>
      </c>
      <c r="M203" s="405">
        <f t="shared" si="233"/>
        <v>0</v>
      </c>
      <c r="N203" s="462">
        <v>-80</v>
      </c>
      <c r="O203" s="459">
        <v>0</v>
      </c>
      <c r="P203" s="460">
        <v>0</v>
      </c>
      <c r="Q203" s="460">
        <v>0</v>
      </c>
      <c r="R203" s="405">
        <f t="shared" si="234"/>
        <v>0</v>
      </c>
      <c r="S203" s="462">
        <v>0</v>
      </c>
      <c r="T203" s="459">
        <v>0</v>
      </c>
      <c r="U203" s="460">
        <f>0-T203</f>
        <v>0</v>
      </c>
      <c r="V203" s="460">
        <f>0-SUM(T203:U203)</f>
        <v>0</v>
      </c>
      <c r="W203" s="405">
        <f t="shared" si="235"/>
        <v>0</v>
      </c>
      <c r="X203" s="462">
        <v>0</v>
      </c>
      <c r="Y203" s="459">
        <v>0</v>
      </c>
      <c r="Z203" s="460">
        <f>0-Y203</f>
        <v>0</v>
      </c>
      <c r="AA203" s="460">
        <f>0-SUM(Y203:Z203)</f>
        <v>0</v>
      </c>
      <c r="AB203" s="395">
        <f t="shared" si="236"/>
        <v>0</v>
      </c>
      <c r="AC203" s="462">
        <v>0</v>
      </c>
      <c r="AD203" s="459">
        <v>0</v>
      </c>
      <c r="AE203" s="460">
        <v>0</v>
      </c>
      <c r="AF203" s="460">
        <f>0-SUM(AD203:AE203)</f>
        <v>0</v>
      </c>
      <c r="AG203" s="395">
        <f t="shared" si="237"/>
        <v>0</v>
      </c>
      <c r="AH203" s="462">
        <v>0</v>
      </c>
      <c r="AI203" s="459">
        <v>0</v>
      </c>
      <c r="AJ203" s="460">
        <v>0</v>
      </c>
      <c r="AK203" s="460">
        <f>0-SUM(AI203:AJ203)</f>
        <v>0</v>
      </c>
      <c r="AL203" s="395">
        <f t="shared" si="238"/>
        <v>0</v>
      </c>
      <c r="AM203" s="462">
        <v>0</v>
      </c>
      <c r="AN203" s="459">
        <v>0</v>
      </c>
      <c r="AO203" s="460">
        <f>0-AN203</f>
        <v>0</v>
      </c>
      <c r="AP203" s="460">
        <f>0-AO203-AN203</f>
        <v>0</v>
      </c>
      <c r="AQ203" s="395">
        <f t="shared" si="239"/>
        <v>0</v>
      </c>
      <c r="AR203" s="462">
        <v>0</v>
      </c>
      <c r="AS203" s="459">
        <v>0</v>
      </c>
      <c r="AT203" s="460">
        <f>0-AS203</f>
        <v>0</v>
      </c>
      <c r="AU203" s="460">
        <f>150-AT203-AS203</f>
        <v>150</v>
      </c>
      <c r="AV203" s="395">
        <f t="shared" si="240"/>
        <v>-150</v>
      </c>
      <c r="AW203" s="462">
        <v>0</v>
      </c>
      <c r="AX203" s="418">
        <v>0</v>
      </c>
      <c r="AY203" s="353">
        <v>0</v>
      </c>
      <c r="AZ203" s="353">
        <v>0</v>
      </c>
      <c r="BA203" s="419">
        <v>0</v>
      </c>
      <c r="BB203" s="77">
        <f>+SUM(AX203:BA203)</f>
        <v>0</v>
      </c>
      <c r="BC203" s="418">
        <v>0</v>
      </c>
      <c r="BD203" s="353">
        <v>0</v>
      </c>
      <c r="BE203" s="353">
        <v>0</v>
      </c>
      <c r="BF203" s="419">
        <v>0</v>
      </c>
      <c r="BG203" s="77">
        <f>+SUM(BC203:BF203)</f>
        <v>0</v>
      </c>
      <c r="BH203" s="418">
        <v>0</v>
      </c>
      <c r="BI203" s="353">
        <v>0</v>
      </c>
      <c r="BJ203" s="353">
        <v>0</v>
      </c>
      <c r="BK203" s="419">
        <v>0</v>
      </c>
      <c r="BL203" s="77">
        <f>+SUM(BH203:BK203)</f>
        <v>0</v>
      </c>
      <c r="BM203" s="418">
        <v>0</v>
      </c>
      <c r="BN203" s="353">
        <v>0</v>
      </c>
      <c r="BO203" s="353">
        <v>0</v>
      </c>
      <c r="BP203" s="419">
        <v>0</v>
      </c>
      <c r="BQ203" s="77">
        <f>+SUM(BM203:BP203)</f>
        <v>0</v>
      </c>
      <c r="BR203" s="77"/>
      <c r="BS203" s="77"/>
      <c r="BT203" s="77"/>
      <c r="BU203" s="77"/>
      <c r="BV203" s="77"/>
      <c r="BW203" s="77"/>
      <c r="BX203" s="77"/>
      <c r="BY203" s="77"/>
      <c r="BZ203" s="77"/>
      <c r="CA203" s="77"/>
      <c r="CB203" s="77"/>
      <c r="CC203" s="77"/>
      <c r="CD203" s="77"/>
      <c r="CE203" s="77"/>
      <c r="CF203" s="77"/>
      <c r="CG203" s="77"/>
      <c r="CH203" s="77"/>
      <c r="CI203" s="77"/>
      <c r="CJ203" s="77"/>
      <c r="CK203" s="77"/>
      <c r="CL203" s="538"/>
      <c r="CM203" s="538"/>
      <c r="CN203" s="538"/>
      <c r="CO203" s="538"/>
      <c r="CP203" s="538"/>
      <c r="CQ203" s="538"/>
      <c r="CR203" s="538"/>
      <c r="CS203" s="538"/>
      <c r="CT203" s="538"/>
      <c r="CU203" s="538"/>
      <c r="CV203" s="538"/>
      <c r="CW203" s="538"/>
      <c r="CX203" s="538"/>
      <c r="CY203" s="538"/>
      <c r="CZ203" s="538"/>
      <c r="DA203" s="538"/>
      <c r="DB203" s="538"/>
      <c r="DC203" s="538"/>
    </row>
    <row r="204" spans="1:107">
      <c r="A204" s="77"/>
      <c r="B204" s="77"/>
      <c r="C204" s="547" t="s">
        <v>175</v>
      </c>
      <c r="D204" s="77"/>
      <c r="E204" s="459">
        <v>-1</v>
      </c>
      <c r="F204" s="460">
        <v>249</v>
      </c>
      <c r="G204" s="460">
        <v>-1</v>
      </c>
      <c r="H204" s="405">
        <f t="shared" si="232"/>
        <v>3</v>
      </c>
      <c r="I204" s="462">
        <v>250</v>
      </c>
      <c r="J204" s="459">
        <v>-1</v>
      </c>
      <c r="K204" s="460">
        <v>0</v>
      </c>
      <c r="L204" s="460">
        <v>-150</v>
      </c>
      <c r="M204" s="405">
        <f t="shared" si="233"/>
        <v>1</v>
      </c>
      <c r="N204" s="462">
        <v>-150</v>
      </c>
      <c r="O204" s="459">
        <v>0</v>
      </c>
      <c r="P204" s="460">
        <v>0</v>
      </c>
      <c r="Q204" s="460">
        <v>0</v>
      </c>
      <c r="R204" s="405">
        <f t="shared" si="234"/>
        <v>-300</v>
      </c>
      <c r="S204" s="462">
        <v>-300</v>
      </c>
      <c r="T204" s="459">
        <v>0</v>
      </c>
      <c r="U204" s="460">
        <f>0-T204</f>
        <v>0</v>
      </c>
      <c r="V204" s="460">
        <f>0-SUM(T204:U204)</f>
        <v>0</v>
      </c>
      <c r="W204" s="405">
        <f t="shared" si="235"/>
        <v>0</v>
      </c>
      <c r="X204" s="462">
        <v>0</v>
      </c>
      <c r="Y204" s="459">
        <v>100</v>
      </c>
      <c r="Z204" s="460">
        <f>100-Y204</f>
        <v>0</v>
      </c>
      <c r="AA204" s="460">
        <f>100-SUM(Y204:Z204)</f>
        <v>0</v>
      </c>
      <c r="AB204" s="395">
        <f t="shared" si="236"/>
        <v>0</v>
      </c>
      <c r="AC204" s="462">
        <v>100</v>
      </c>
      <c r="AD204" s="459">
        <v>175</v>
      </c>
      <c r="AE204" s="460">
        <f>175-AD204</f>
        <v>0</v>
      </c>
      <c r="AF204" s="460">
        <f>175-SUM(AD204:AE204)</f>
        <v>0</v>
      </c>
      <c r="AG204" s="395">
        <f t="shared" si="237"/>
        <v>0</v>
      </c>
      <c r="AH204" s="462">
        <v>175</v>
      </c>
      <c r="AI204" s="459">
        <v>0</v>
      </c>
      <c r="AJ204" s="460">
        <f>0-AI204</f>
        <v>0</v>
      </c>
      <c r="AK204" s="460">
        <f>0-SUM(AI204:AJ204)</f>
        <v>0</v>
      </c>
      <c r="AL204" s="395">
        <f t="shared" si="238"/>
        <v>0</v>
      </c>
      <c r="AM204" s="462">
        <v>0</v>
      </c>
      <c r="AN204" s="459">
        <v>0</v>
      </c>
      <c r="AO204" s="460">
        <f>0-AN204</f>
        <v>0</v>
      </c>
      <c r="AP204" s="460">
        <f>0-AO204-AN204</f>
        <v>0</v>
      </c>
      <c r="AQ204" s="395">
        <f t="shared" si="239"/>
        <v>250</v>
      </c>
      <c r="AR204" s="462">
        <v>250</v>
      </c>
      <c r="AS204" s="459">
        <v>0</v>
      </c>
      <c r="AT204" s="460">
        <f>0-AS204</f>
        <v>0</v>
      </c>
      <c r="AU204" s="460">
        <f>0-AT204-AS204</f>
        <v>0</v>
      </c>
      <c r="AV204" s="395">
        <f t="shared" si="240"/>
        <v>150</v>
      </c>
      <c r="AW204" s="462">
        <v>150</v>
      </c>
      <c r="AX204" s="394">
        <f>+BB204/4</f>
        <v>-75</v>
      </c>
      <c r="AY204" s="342">
        <f>+(BB204-SUM(AX204))/3</f>
        <v>-75</v>
      </c>
      <c r="AZ204" s="342">
        <f>+(BC204-SUM(AY204))/3</f>
        <v>8.3333333333333339</v>
      </c>
      <c r="BA204" s="395">
        <f>(BB204-SUM(AX204:AY204))/1</f>
        <v>-150</v>
      </c>
      <c r="BB204" s="589">
        <v>-300</v>
      </c>
      <c r="BC204" s="394">
        <f>+BG204/4</f>
        <v>-50</v>
      </c>
      <c r="BD204" s="342">
        <f>+(BG204-SUM(BC204))/3</f>
        <v>-50</v>
      </c>
      <c r="BE204" s="342">
        <f>(BG204-SUM(BC204:BD204))/2</f>
        <v>-50</v>
      </c>
      <c r="BF204" s="395">
        <f>(BG204-SUM(BC204:BE204))/1</f>
        <v>-50</v>
      </c>
      <c r="BG204" s="589">
        <v>-200</v>
      </c>
      <c r="BH204" s="394">
        <f>+BL204/4</f>
        <v>-37.5</v>
      </c>
      <c r="BI204" s="342">
        <f>+(BL204-SUM(BH204))/3</f>
        <v>-37.5</v>
      </c>
      <c r="BJ204" s="342">
        <f>(BL204-SUM(BH204:BI204))/2</f>
        <v>-37.5</v>
      </c>
      <c r="BK204" s="395">
        <f>(BL204-SUM(BH204:BJ204))/1</f>
        <v>-37.5</v>
      </c>
      <c r="BL204" s="589">
        <v>-150</v>
      </c>
      <c r="BM204" s="394">
        <f>+BQ204/4</f>
        <v>-112.5</v>
      </c>
      <c r="BN204" s="342">
        <f>+(BQ204-SUM(BM204))/3</f>
        <v>-112.5</v>
      </c>
      <c r="BO204" s="342">
        <f>(BQ204-SUM(BM204:BN204))/2</f>
        <v>-112.5</v>
      </c>
      <c r="BP204" s="395">
        <f>(BQ204-SUM(BM204:BO204))/1</f>
        <v>-112.5</v>
      </c>
      <c r="BQ204" s="589">
        <v>-450</v>
      </c>
      <c r="BR204" s="77"/>
      <c r="BS204" s="77"/>
      <c r="BT204" s="77"/>
      <c r="BU204" s="77"/>
      <c r="BV204" s="77"/>
      <c r="BW204" s="77"/>
      <c r="BX204" s="77"/>
      <c r="BY204" s="77"/>
      <c r="BZ204" s="77"/>
      <c r="CA204" s="77"/>
      <c r="CB204" s="77"/>
      <c r="CC204" s="77"/>
      <c r="CD204" s="77"/>
      <c r="CE204" s="77"/>
      <c r="CF204" s="77"/>
      <c r="CG204" s="77"/>
      <c r="CH204" s="77"/>
      <c r="CI204" s="77"/>
      <c r="CJ204" s="77"/>
      <c r="CK204" s="77"/>
      <c r="CL204" s="538"/>
      <c r="CM204" s="538"/>
      <c r="CN204" s="538"/>
      <c r="CO204" s="538"/>
      <c r="CP204" s="538"/>
      <c r="CQ204" s="538"/>
      <c r="CR204" s="538"/>
      <c r="CS204" s="538"/>
      <c r="CT204" s="538"/>
      <c r="CU204" s="538"/>
      <c r="CV204" s="538"/>
      <c r="CW204" s="538"/>
      <c r="CX204" s="538"/>
      <c r="CY204" s="538"/>
      <c r="CZ204" s="538"/>
      <c r="DA204" s="538"/>
      <c r="DB204" s="538"/>
      <c r="DC204" s="538"/>
    </row>
    <row r="205" spans="1:107">
      <c r="A205" s="77"/>
      <c r="B205" s="77"/>
      <c r="C205" s="547" t="s">
        <v>71</v>
      </c>
      <c r="D205" s="77"/>
      <c r="E205" s="459">
        <v>0</v>
      </c>
      <c r="F205" s="460">
        <v>0</v>
      </c>
      <c r="G205" s="460">
        <v>0</v>
      </c>
      <c r="H205" s="405">
        <f t="shared" si="232"/>
        <v>-6</v>
      </c>
      <c r="I205" s="462">
        <f>-2-4</f>
        <v>-6</v>
      </c>
      <c r="J205" s="459">
        <v>-4</v>
      </c>
      <c r="K205" s="460">
        <v>-2</v>
      </c>
      <c r="L205" s="460">
        <v>-3</v>
      </c>
      <c r="M205" s="405">
        <f t="shared" si="233"/>
        <v>-4</v>
      </c>
      <c r="N205" s="462">
        <f>-10-3</f>
        <v>-13</v>
      </c>
      <c r="O205" s="459">
        <v>0</v>
      </c>
      <c r="P205" s="460">
        <v>-3</v>
      </c>
      <c r="Q205" s="460">
        <v>-1</v>
      </c>
      <c r="R205" s="405">
        <f t="shared" si="234"/>
        <v>0</v>
      </c>
      <c r="S205" s="462">
        <v>-4</v>
      </c>
      <c r="T205" s="459">
        <v>0</v>
      </c>
      <c r="U205" s="460">
        <f>-7-T205</f>
        <v>-7</v>
      </c>
      <c r="V205" s="460">
        <f>-12-SUM(T205:U205)</f>
        <v>-5</v>
      </c>
      <c r="W205" s="405">
        <f t="shared" si="235"/>
        <v>0</v>
      </c>
      <c r="X205" s="462">
        <v>-12</v>
      </c>
      <c r="Y205" s="459">
        <v>-7</v>
      </c>
      <c r="Z205" s="460">
        <f>-12-Y205</f>
        <v>-5</v>
      </c>
      <c r="AA205" s="460">
        <f>-17-SUM(Y205:Z205)</f>
        <v>-5</v>
      </c>
      <c r="AB205" s="395">
        <f t="shared" si="236"/>
        <v>0</v>
      </c>
      <c r="AC205" s="462">
        <v>-17</v>
      </c>
      <c r="AD205" s="459">
        <v>0</v>
      </c>
      <c r="AE205" s="460">
        <f>-7-AD205</f>
        <v>-7</v>
      </c>
      <c r="AF205" s="460">
        <f>-11-SUM(AD205:AE205)</f>
        <v>-4</v>
      </c>
      <c r="AG205" s="395">
        <f t="shared" si="237"/>
        <v>-3</v>
      </c>
      <c r="AH205" s="462">
        <v>-14</v>
      </c>
      <c r="AI205" s="459">
        <v>0</v>
      </c>
      <c r="AJ205" s="460">
        <f>-8-AI205</f>
        <v>-8</v>
      </c>
      <c r="AK205" s="460">
        <f>-8-SUM(AI205:AJ205)</f>
        <v>0</v>
      </c>
      <c r="AL205" s="395">
        <f t="shared" si="238"/>
        <v>-2</v>
      </c>
      <c r="AM205" s="462">
        <v>-10</v>
      </c>
      <c r="AN205" s="459">
        <v>-10</v>
      </c>
      <c r="AO205" s="460">
        <f>-10-AN205</f>
        <v>0</v>
      </c>
      <c r="AP205" s="460">
        <f>-14-AO205-AN205</f>
        <v>-4</v>
      </c>
      <c r="AQ205" s="395">
        <f t="shared" si="239"/>
        <v>0</v>
      </c>
      <c r="AR205" s="462">
        <v>-14</v>
      </c>
      <c r="AS205" s="459">
        <v>-1</v>
      </c>
      <c r="AT205" s="460">
        <f>-5-AS205</f>
        <v>-4</v>
      </c>
      <c r="AU205" s="460">
        <f>-5-AT205-AS205</f>
        <v>0</v>
      </c>
      <c r="AV205" s="395">
        <f t="shared" si="240"/>
        <v>-4</v>
      </c>
      <c r="AW205" s="462">
        <v>-9</v>
      </c>
      <c r="AX205" s="394">
        <v>0</v>
      </c>
      <c r="AY205" s="342">
        <v>0</v>
      </c>
      <c r="AZ205" s="342">
        <v>0</v>
      </c>
      <c r="BA205" s="395">
        <v>0</v>
      </c>
      <c r="BB205" s="77">
        <f>+SUM(AX205:BA205)</f>
        <v>0</v>
      </c>
      <c r="BC205" s="394">
        <v>0</v>
      </c>
      <c r="BD205" s="342">
        <v>0</v>
      </c>
      <c r="BE205" s="342">
        <v>0</v>
      </c>
      <c r="BF205" s="395">
        <v>0</v>
      </c>
      <c r="BG205" s="77">
        <f>+SUM(BC205:BF205)</f>
        <v>0</v>
      </c>
      <c r="BH205" s="394">
        <v>0</v>
      </c>
      <c r="BI205" s="342">
        <v>0</v>
      </c>
      <c r="BJ205" s="342">
        <v>0</v>
      </c>
      <c r="BK205" s="395">
        <v>0</v>
      </c>
      <c r="BL205" s="77">
        <f>+SUM(BH205:BK205)</f>
        <v>0</v>
      </c>
      <c r="BM205" s="394">
        <v>0</v>
      </c>
      <c r="BN205" s="342">
        <v>0</v>
      </c>
      <c r="BO205" s="342">
        <v>0</v>
      </c>
      <c r="BP205" s="395">
        <v>0</v>
      </c>
      <c r="BQ205" s="77">
        <f>+SUM(BM205:BP205)</f>
        <v>0</v>
      </c>
      <c r="BR205" s="77"/>
      <c r="BS205" s="77"/>
      <c r="BT205" s="77"/>
      <c r="BU205" s="77"/>
      <c r="BV205" s="77"/>
      <c r="BW205" s="77"/>
      <c r="BX205" s="77"/>
      <c r="BY205" s="77"/>
      <c r="BZ205" s="77"/>
      <c r="CA205" s="77"/>
      <c r="CB205" s="77"/>
      <c r="CC205" s="77"/>
      <c r="CD205" s="77"/>
      <c r="CE205" s="77"/>
      <c r="CF205" s="77"/>
      <c r="CG205" s="77"/>
      <c r="CH205" s="77"/>
      <c r="CI205" s="77"/>
      <c r="CJ205" s="77"/>
      <c r="CK205" s="77"/>
      <c r="CL205" s="538"/>
      <c r="CM205" s="538"/>
      <c r="CN205" s="538"/>
      <c r="CO205" s="538"/>
      <c r="CP205" s="538"/>
      <c r="CQ205" s="538"/>
      <c r="CR205" s="538"/>
      <c r="CS205" s="538"/>
      <c r="CT205" s="538"/>
      <c r="CU205" s="538"/>
      <c r="CV205" s="538"/>
      <c r="CW205" s="538"/>
      <c r="CX205" s="538"/>
      <c r="CY205" s="538"/>
      <c r="CZ205" s="538"/>
      <c r="DA205" s="538"/>
      <c r="DB205" s="538"/>
      <c r="DC205" s="538"/>
    </row>
    <row r="206" spans="1:107">
      <c r="A206" s="77"/>
      <c r="B206" s="77"/>
      <c r="C206" s="545" t="s">
        <v>176</v>
      </c>
      <c r="D206" s="77"/>
      <c r="E206" s="396">
        <f>+SUM(E200:E205)</f>
        <v>-62</v>
      </c>
      <c r="F206" s="343">
        <f>+SUM(F200:F205)</f>
        <v>477</v>
      </c>
      <c r="G206" s="343">
        <f>+SUM(G200:G205)</f>
        <v>-307</v>
      </c>
      <c r="H206" s="397">
        <f>+SUM(H200:H205)</f>
        <v>-23</v>
      </c>
      <c r="I206" s="297">
        <f>SUM(I200:I205)</f>
        <v>85</v>
      </c>
      <c r="J206" s="396">
        <f>+SUM(J200:J205)</f>
        <v>-129</v>
      </c>
      <c r="K206" s="343">
        <f>+SUM(K200:K205)</f>
        <v>474</v>
      </c>
      <c r="L206" s="343">
        <f>+SUM(L200:L205)</f>
        <v>-11</v>
      </c>
      <c r="M206" s="397">
        <f>+SUM(M200:M205)</f>
        <v>-60</v>
      </c>
      <c r="N206" s="297">
        <f>SUM(N200:N205)</f>
        <v>274</v>
      </c>
      <c r="O206" s="396">
        <f>+SUM(O200:O205)</f>
        <v>-25</v>
      </c>
      <c r="P206" s="343">
        <f>+SUM(P200:P205)</f>
        <v>224</v>
      </c>
      <c r="Q206" s="343">
        <f>SUM(Q200:Q205)</f>
        <v>-100</v>
      </c>
      <c r="R206" s="397">
        <f>SUM(R200:R205)</f>
        <v>-623</v>
      </c>
      <c r="S206" s="297">
        <f>SUM(S200:S205)</f>
        <v>-524</v>
      </c>
      <c r="T206" s="396">
        <f>+SUM(T200:T205)</f>
        <v>-20</v>
      </c>
      <c r="U206" s="343">
        <f>+SUM(U200:U205)</f>
        <v>355</v>
      </c>
      <c r="V206" s="343">
        <f>SUM(V200:V205)</f>
        <v>-24</v>
      </c>
      <c r="W206" s="397">
        <f>SUM(W200:W205)</f>
        <v>251</v>
      </c>
      <c r="X206" s="297">
        <f>SUM(X200:X205)</f>
        <v>562</v>
      </c>
      <c r="Y206" s="396">
        <f>+SUM(Y200:Y205)</f>
        <v>194</v>
      </c>
      <c r="Z206" s="343">
        <f>+SUM(Z200:Z205)</f>
        <v>432</v>
      </c>
      <c r="AA206" s="343">
        <f>SUM(AA200:AA205)</f>
        <v>82</v>
      </c>
      <c r="AB206" s="397">
        <f>SUM(AB200:AB205)</f>
        <v>-279</v>
      </c>
      <c r="AC206" s="297">
        <f>SUM(AC200:AC205)</f>
        <v>429</v>
      </c>
      <c r="AD206" s="396">
        <f>+SUM(AD200:AD205)</f>
        <v>61</v>
      </c>
      <c r="AE206" s="343">
        <f>+SUM(AE200:AE205)</f>
        <v>436</v>
      </c>
      <c r="AF206" s="343">
        <f>SUM(AF200:AF205)</f>
        <v>-63</v>
      </c>
      <c r="AG206" s="397">
        <f>SUM(AG200:AG205)</f>
        <v>180</v>
      </c>
      <c r="AH206" s="297">
        <f>SUM(AH200:AH205)</f>
        <v>614</v>
      </c>
      <c r="AI206" s="396">
        <f>+SUM(AI200:AI205)</f>
        <v>-58</v>
      </c>
      <c r="AJ206" s="343">
        <f>+SUM(AJ200:AJ205)</f>
        <v>225</v>
      </c>
      <c r="AK206" s="343">
        <f>SUM(AK200:AK205)</f>
        <v>-46</v>
      </c>
      <c r="AL206" s="397">
        <f>SUM(AL200:AL205)</f>
        <v>313</v>
      </c>
      <c r="AM206" s="297">
        <f>SUM(AM200:AM205)</f>
        <v>434</v>
      </c>
      <c r="AN206" s="396">
        <f>+SUM(AN200:AN205)</f>
        <v>516</v>
      </c>
      <c r="AO206" s="343">
        <f>+SUM(AO200:AO205)</f>
        <v>0</v>
      </c>
      <c r="AP206" s="343">
        <f>+SUM(AP200:AP205)</f>
        <v>321</v>
      </c>
      <c r="AQ206" s="397">
        <f>SUM(AQ200:AQ205)</f>
        <v>250</v>
      </c>
      <c r="AR206" s="297">
        <f>SUM(AR200:AR205)</f>
        <v>1087</v>
      </c>
      <c r="AS206" s="396">
        <f>+SUM(AS200:AS205)</f>
        <v>-1</v>
      </c>
      <c r="AT206" s="343">
        <f>+SUM(AT200:AT205)</f>
        <v>421</v>
      </c>
      <c r="AU206" s="343">
        <f>+SUM(AU200:AU205)</f>
        <v>150</v>
      </c>
      <c r="AV206" s="397">
        <f>SUM(AV200:AV205)</f>
        <v>346</v>
      </c>
      <c r="AW206" s="297">
        <f>SUM(AW200:AW205)</f>
        <v>916</v>
      </c>
      <c r="AX206" s="396">
        <f>+SUM(AX200:AX205)</f>
        <v>-75</v>
      </c>
      <c r="AY206" s="343">
        <f>+SUM(AY200:AY205)</f>
        <v>775</v>
      </c>
      <c r="AZ206" s="343">
        <f>+SUM(AZ200:AZ205)</f>
        <v>8.3333333333333339</v>
      </c>
      <c r="BA206" s="397">
        <f>SUM(BA200:BA205)</f>
        <v>-150</v>
      </c>
      <c r="BB206" s="297">
        <f>SUM(BB200:BB205)</f>
        <v>550</v>
      </c>
      <c r="BC206" s="396">
        <f>+SUM(BC200:BC205)</f>
        <v>-50</v>
      </c>
      <c r="BD206" s="343">
        <f>+SUM(BD200:BD205)</f>
        <v>1200</v>
      </c>
      <c r="BE206" s="343">
        <f>SUM(BE200:BE205)</f>
        <v>-300</v>
      </c>
      <c r="BF206" s="397">
        <f>SUM(BF200:BF205)</f>
        <v>-50</v>
      </c>
      <c r="BG206" s="297">
        <f>SUM(BG200:BG205)</f>
        <v>800</v>
      </c>
      <c r="BH206" s="396">
        <f>+SUM(BH200:BH205)</f>
        <v>-37.5</v>
      </c>
      <c r="BI206" s="343">
        <f>+SUM(BI200:BI205)</f>
        <v>1112.5</v>
      </c>
      <c r="BJ206" s="343">
        <f>SUM(BJ200:BJ205)</f>
        <v>-37.5</v>
      </c>
      <c r="BK206" s="397">
        <f>SUM(BK200:BK205)</f>
        <v>-46.5</v>
      </c>
      <c r="BL206" s="297">
        <f>SUM(BL200:BL205)</f>
        <v>991</v>
      </c>
      <c r="BM206" s="396">
        <f>+SUM(BM200:BM205)</f>
        <v>-412.5</v>
      </c>
      <c r="BN206" s="343">
        <f>+SUM(BN200:BN205)</f>
        <v>853.5</v>
      </c>
      <c r="BO206" s="343">
        <f>SUM(BO200:BO205)</f>
        <v>-112.5</v>
      </c>
      <c r="BP206" s="397">
        <f>SUM(BP200:BP205)</f>
        <v>-112.5</v>
      </c>
      <c r="BQ206" s="297">
        <f>SUM(BQ200:BQ205)</f>
        <v>216</v>
      </c>
      <c r="BR206" s="297"/>
      <c r="BS206" s="77"/>
      <c r="BT206" s="77"/>
      <c r="BU206" s="77"/>
      <c r="BV206" s="77"/>
      <c r="BW206" s="77"/>
      <c r="BX206" s="77"/>
      <c r="BY206" s="77"/>
      <c r="BZ206" s="77"/>
      <c r="CA206" s="77"/>
      <c r="CB206" s="77"/>
      <c r="CC206" s="77"/>
      <c r="CD206" s="77"/>
      <c r="CE206" s="77"/>
      <c r="CF206" s="77"/>
      <c r="CG206" s="77"/>
      <c r="CH206" s="77"/>
      <c r="CI206" s="77"/>
      <c r="CJ206" s="77"/>
      <c r="CK206" s="77"/>
      <c r="CL206" s="538"/>
      <c r="CM206" s="538"/>
      <c r="CN206" s="538"/>
      <c r="CO206" s="538"/>
      <c r="CP206" s="538"/>
      <c r="CQ206" s="538"/>
      <c r="CR206" s="538"/>
      <c r="CS206" s="538"/>
      <c r="CT206" s="538"/>
      <c r="CU206" s="538"/>
      <c r="CV206" s="538"/>
      <c r="CW206" s="538"/>
      <c r="CX206" s="538"/>
      <c r="CY206" s="538"/>
      <c r="CZ206" s="538"/>
      <c r="DA206" s="538"/>
      <c r="DB206" s="538"/>
      <c r="DC206" s="538"/>
    </row>
    <row r="207" spans="1:107">
      <c r="A207" s="77"/>
      <c r="B207" s="77"/>
      <c r="C207" s="547"/>
      <c r="D207" s="77"/>
      <c r="E207" s="394"/>
      <c r="F207" s="342"/>
      <c r="G207" s="342"/>
      <c r="H207" s="395"/>
      <c r="I207" s="842"/>
      <c r="J207" s="394"/>
      <c r="K207" s="342"/>
      <c r="L207" s="342"/>
      <c r="M207" s="395"/>
      <c r="N207" s="842"/>
      <c r="O207" s="394"/>
      <c r="P207" s="342"/>
      <c r="Q207" s="342"/>
      <c r="R207" s="395"/>
      <c r="S207" s="77"/>
      <c r="T207" s="394"/>
      <c r="U207" s="342"/>
      <c r="V207" s="342"/>
      <c r="W207" s="395"/>
      <c r="X207" s="77"/>
      <c r="Y207" s="394"/>
      <c r="Z207" s="342"/>
      <c r="AA207" s="342"/>
      <c r="AB207" s="395"/>
      <c r="AC207" s="77"/>
      <c r="AD207" s="394"/>
      <c r="AE207" s="342"/>
      <c r="AF207" s="342"/>
      <c r="AG207" s="395"/>
      <c r="AH207" s="77"/>
      <c r="AI207" s="394"/>
      <c r="AJ207" s="342"/>
      <c r="AK207" s="342"/>
      <c r="AL207" s="395"/>
      <c r="AM207" s="77"/>
      <c r="AN207" s="394"/>
      <c r="AO207" s="342"/>
      <c r="AP207" s="342"/>
      <c r="AQ207" s="395"/>
      <c r="AR207" s="77"/>
      <c r="AS207" s="394"/>
      <c r="AT207" s="342"/>
      <c r="AU207" s="342"/>
      <c r="AV207" s="395"/>
      <c r="AW207" s="77"/>
      <c r="AX207" s="394"/>
      <c r="AY207" s="342"/>
      <c r="AZ207" s="342"/>
      <c r="BA207" s="395"/>
      <c r="BB207" s="77"/>
      <c r="BC207" s="394"/>
      <c r="BD207" s="342"/>
      <c r="BE207" s="342"/>
      <c r="BF207" s="395"/>
      <c r="BG207" s="77"/>
      <c r="BH207" s="394"/>
      <c r="BI207" s="342"/>
      <c r="BJ207" s="342"/>
      <c r="BK207" s="395"/>
      <c r="BL207" s="77"/>
      <c r="BM207" s="394"/>
      <c r="BN207" s="342"/>
      <c r="BO207" s="342"/>
      <c r="BP207" s="395"/>
      <c r="BQ207" s="77"/>
      <c r="BR207" s="77"/>
      <c r="BS207" s="77"/>
      <c r="BT207" s="77"/>
      <c r="BU207" s="77"/>
      <c r="BV207" s="77"/>
      <c r="BW207" s="77"/>
      <c r="BX207" s="77"/>
      <c r="BY207" s="77"/>
      <c r="BZ207" s="77"/>
      <c r="CA207" s="77"/>
      <c r="CB207" s="77"/>
      <c r="CC207" s="77"/>
      <c r="CD207" s="77"/>
      <c r="CE207" s="77"/>
      <c r="CF207" s="77"/>
      <c r="CG207" s="77"/>
      <c r="CH207" s="77"/>
      <c r="CI207" s="77"/>
      <c r="CJ207" s="77"/>
      <c r="CK207" s="77"/>
      <c r="CL207" s="538"/>
      <c r="CM207" s="538"/>
      <c r="CN207" s="538"/>
      <c r="CO207" s="538"/>
      <c r="CP207" s="538"/>
      <c r="CQ207" s="538"/>
      <c r="CR207" s="538"/>
      <c r="CS207" s="538"/>
      <c r="CT207" s="538"/>
      <c r="CU207" s="538"/>
      <c r="CV207" s="538"/>
      <c r="CW207" s="538"/>
      <c r="CX207" s="538"/>
      <c r="CY207" s="538"/>
      <c r="CZ207" s="538"/>
      <c r="DA207" s="538"/>
      <c r="DB207" s="538"/>
      <c r="DC207" s="538"/>
    </row>
    <row r="208" spans="1:107">
      <c r="A208" s="77"/>
      <c r="B208" s="77"/>
      <c r="C208" s="545" t="s">
        <v>177</v>
      </c>
      <c r="D208" s="77"/>
      <c r="E208" s="396">
        <f t="shared" ref="E208:AT208" si="245">E194+E198+E206</f>
        <v>-46</v>
      </c>
      <c r="F208" s="343">
        <f t="shared" si="245"/>
        <v>-22</v>
      </c>
      <c r="G208" s="343">
        <f t="shared" si="245"/>
        <v>4</v>
      </c>
      <c r="H208" s="397">
        <f t="shared" si="245"/>
        <v>213</v>
      </c>
      <c r="I208" s="297">
        <f t="shared" si="245"/>
        <v>149</v>
      </c>
      <c r="J208" s="396">
        <f t="shared" si="245"/>
        <v>-194</v>
      </c>
      <c r="K208" s="343">
        <f t="shared" si="245"/>
        <v>-27</v>
      </c>
      <c r="L208" s="343">
        <f t="shared" si="245"/>
        <v>96</v>
      </c>
      <c r="M208" s="397">
        <f t="shared" si="245"/>
        <v>130</v>
      </c>
      <c r="N208" s="297">
        <f t="shared" si="245"/>
        <v>5</v>
      </c>
      <c r="O208" s="396">
        <f t="shared" si="245"/>
        <v>-217</v>
      </c>
      <c r="P208" s="343">
        <f t="shared" si="245"/>
        <v>-2</v>
      </c>
      <c r="Q208" s="343">
        <f t="shared" si="245"/>
        <v>216</v>
      </c>
      <c r="R208" s="397">
        <f t="shared" si="245"/>
        <v>-99</v>
      </c>
      <c r="S208" s="297">
        <f t="shared" si="245"/>
        <v>-102</v>
      </c>
      <c r="T208" s="396">
        <f t="shared" si="245"/>
        <v>-108</v>
      </c>
      <c r="U208" s="343">
        <f t="shared" si="245"/>
        <v>-13</v>
      </c>
      <c r="V208" s="343">
        <f t="shared" si="245"/>
        <v>49</v>
      </c>
      <c r="W208" s="397">
        <f t="shared" ref="W208:AC208" si="246">W194+W198+W206</f>
        <v>45</v>
      </c>
      <c r="X208" s="297">
        <f t="shared" si="246"/>
        <v>-27</v>
      </c>
      <c r="Y208" s="396">
        <f t="shared" si="246"/>
        <v>-55</v>
      </c>
      <c r="Z208" s="343">
        <f t="shared" si="246"/>
        <v>-42</v>
      </c>
      <c r="AA208" s="343">
        <f t="shared" si="246"/>
        <v>234</v>
      </c>
      <c r="AB208" s="397">
        <f t="shared" si="246"/>
        <v>-235</v>
      </c>
      <c r="AC208" s="297">
        <f t="shared" si="246"/>
        <v>-98</v>
      </c>
      <c r="AD208" s="396">
        <f t="shared" ref="AD208:AI208" si="247">AD194+AD198+AD206</f>
        <v>159</v>
      </c>
      <c r="AE208" s="343">
        <f t="shared" si="247"/>
        <v>80</v>
      </c>
      <c r="AF208" s="343">
        <f t="shared" si="247"/>
        <v>48</v>
      </c>
      <c r="AG208" s="397">
        <f t="shared" si="247"/>
        <v>5</v>
      </c>
      <c r="AH208" s="297">
        <f t="shared" si="247"/>
        <v>292</v>
      </c>
      <c r="AI208" s="396">
        <f t="shared" si="247"/>
        <v>26</v>
      </c>
      <c r="AJ208" s="343">
        <f t="shared" ref="AJ208:AO208" si="248">AJ194+AJ198+AJ206</f>
        <v>-170</v>
      </c>
      <c r="AK208" s="343">
        <f t="shared" si="248"/>
        <v>-152</v>
      </c>
      <c r="AL208" s="397">
        <f t="shared" si="248"/>
        <v>184</v>
      </c>
      <c r="AM208" s="297">
        <f t="shared" si="248"/>
        <v>-112</v>
      </c>
      <c r="AN208" s="396">
        <f t="shared" si="248"/>
        <v>360</v>
      </c>
      <c r="AO208" s="343">
        <f t="shared" si="248"/>
        <v>-390</v>
      </c>
      <c r="AP208" s="343">
        <f t="shared" si="245"/>
        <v>238</v>
      </c>
      <c r="AQ208" s="397">
        <f t="shared" si="245"/>
        <v>-16</v>
      </c>
      <c r="AR208" s="297">
        <f t="shared" si="245"/>
        <v>192</v>
      </c>
      <c r="AS208" s="396">
        <f t="shared" si="245"/>
        <v>-237</v>
      </c>
      <c r="AT208" s="343">
        <f t="shared" si="245"/>
        <v>39</v>
      </c>
      <c r="AU208" s="343">
        <f t="shared" ref="AU208:BB208" si="249">AU194+AU198+AU206</f>
        <v>47</v>
      </c>
      <c r="AV208" s="397">
        <f t="shared" si="249"/>
        <v>3</v>
      </c>
      <c r="AW208" s="297">
        <f t="shared" si="249"/>
        <v>-148</v>
      </c>
      <c r="AX208" s="396">
        <f t="shared" si="249"/>
        <v>-261.78986310042978</v>
      </c>
      <c r="AY208" s="343">
        <f t="shared" si="249"/>
        <v>472.52019412163872</v>
      </c>
      <c r="AZ208" s="343">
        <f t="shared" si="249"/>
        <v>-286.96142426270006</v>
      </c>
      <c r="BA208" s="397">
        <f t="shared" si="249"/>
        <v>-386.33026609298577</v>
      </c>
      <c r="BB208" s="297">
        <f t="shared" si="249"/>
        <v>-466.89469266781043</v>
      </c>
      <c r="BC208" s="396">
        <f t="shared" ref="BC208:BL208" si="250">BC194+BC198+BC206</f>
        <v>-196.4704336958871</v>
      </c>
      <c r="BD208" s="343">
        <f t="shared" si="250"/>
        <v>934.08066916722669</v>
      </c>
      <c r="BE208" s="343">
        <f t="shared" si="250"/>
        <v>-562.76256436953656</v>
      </c>
      <c r="BF208" s="397">
        <f t="shared" si="250"/>
        <v>-293.13557596481246</v>
      </c>
      <c r="BG208" s="297">
        <f t="shared" si="250"/>
        <v>-118.28790486300863</v>
      </c>
      <c r="BH208" s="396">
        <f t="shared" si="250"/>
        <v>-180.21534086661825</v>
      </c>
      <c r="BI208" s="343">
        <f t="shared" si="250"/>
        <v>849.33014114007869</v>
      </c>
      <c r="BJ208" s="343">
        <f t="shared" si="250"/>
        <v>-294.07493561203364</v>
      </c>
      <c r="BK208" s="397">
        <f t="shared" si="250"/>
        <v>-282.50720494100773</v>
      </c>
      <c r="BL208" s="297">
        <f t="shared" si="250"/>
        <v>92.532659720418451</v>
      </c>
      <c r="BM208" s="396">
        <f>BM194+BM198+BM206</f>
        <v>-417.34172788887179</v>
      </c>
      <c r="BN208" s="343">
        <f>BN194+BN198+BN206</f>
        <v>727.63839681581385</v>
      </c>
      <c r="BO208" s="343">
        <f>BO194+BO198+BO206</f>
        <v>-226.72675462840675</v>
      </c>
      <c r="BP208" s="397">
        <f>BP194+BP198+BP206</f>
        <v>-205.39966576225254</v>
      </c>
      <c r="BQ208" s="297">
        <f>BQ194+BQ198+BQ206</f>
        <v>-121.829751463717</v>
      </c>
      <c r="BR208" s="297"/>
      <c r="BS208" s="77"/>
      <c r="BT208" s="77"/>
      <c r="BU208" s="77"/>
      <c r="BV208" s="77"/>
      <c r="BW208" s="77"/>
      <c r="BX208" s="77"/>
      <c r="BY208" s="77"/>
      <c r="BZ208" s="77"/>
      <c r="CA208" s="77"/>
      <c r="CB208" s="77"/>
      <c r="CC208" s="77"/>
      <c r="CD208" s="77"/>
      <c r="CE208" s="77"/>
      <c r="CF208" s="77"/>
      <c r="CG208" s="77"/>
      <c r="CH208" s="77"/>
      <c r="CI208" s="77"/>
      <c r="CJ208" s="77"/>
      <c r="CK208" s="77"/>
      <c r="CL208" s="538"/>
      <c r="CM208" s="538"/>
      <c r="CN208" s="538"/>
      <c r="CO208" s="538"/>
      <c r="CP208" s="538"/>
      <c r="CQ208" s="538"/>
      <c r="CR208" s="538"/>
      <c r="CS208" s="538"/>
      <c r="CT208" s="538"/>
      <c r="CU208" s="538"/>
      <c r="CV208" s="538"/>
      <c r="CW208" s="538"/>
      <c r="CX208" s="538"/>
      <c r="CY208" s="538"/>
      <c r="CZ208" s="538"/>
      <c r="DA208" s="538"/>
      <c r="DB208" s="538"/>
      <c r="DC208" s="538"/>
    </row>
    <row r="209" spans="1:107">
      <c r="A209" s="77"/>
      <c r="B209" s="77"/>
      <c r="C209" s="547" t="s">
        <v>178</v>
      </c>
      <c r="D209" s="77"/>
      <c r="E209" s="459">
        <v>91</v>
      </c>
      <c r="F209" s="857">
        <f>E211</f>
        <v>45</v>
      </c>
      <c r="G209" s="857">
        <f>+F211</f>
        <v>23</v>
      </c>
      <c r="H209" s="858">
        <f>+G211</f>
        <v>27</v>
      </c>
      <c r="I209" s="591">
        <f>+E209</f>
        <v>91</v>
      </c>
      <c r="J209" s="406">
        <f>I211</f>
        <v>240</v>
      </c>
      <c r="K209" s="857">
        <f>J211</f>
        <v>46</v>
      </c>
      <c r="L209" s="857">
        <f>+K211</f>
        <v>19</v>
      </c>
      <c r="M209" s="858">
        <f>+L211</f>
        <v>115</v>
      </c>
      <c r="N209" s="591">
        <f>I211</f>
        <v>240</v>
      </c>
      <c r="O209" s="406">
        <f>N211</f>
        <v>245</v>
      </c>
      <c r="P209" s="857">
        <f>O211</f>
        <v>28</v>
      </c>
      <c r="Q209" s="857">
        <f>+P211</f>
        <v>26</v>
      </c>
      <c r="R209" s="858">
        <f>+Q211</f>
        <v>242</v>
      </c>
      <c r="S209" s="451">
        <f>N211</f>
        <v>245</v>
      </c>
      <c r="T209" s="406">
        <f>+S211</f>
        <v>143</v>
      </c>
      <c r="U209" s="857">
        <f>+T211</f>
        <v>35</v>
      </c>
      <c r="V209" s="857">
        <f>+U211</f>
        <v>22</v>
      </c>
      <c r="W209" s="858">
        <f>+V211</f>
        <v>71</v>
      </c>
      <c r="X209" s="77">
        <f>S211</f>
        <v>143</v>
      </c>
      <c r="Y209" s="394">
        <f>+X211</f>
        <v>116</v>
      </c>
      <c r="Z209" s="857">
        <f>+Y211</f>
        <v>61</v>
      </c>
      <c r="AA209" s="857">
        <f>+Z211</f>
        <v>19</v>
      </c>
      <c r="AB209" s="858">
        <f>+AA211</f>
        <v>253</v>
      </c>
      <c r="AC209" s="77">
        <f>X211</f>
        <v>116</v>
      </c>
      <c r="AD209" s="394">
        <f>+AC211</f>
        <v>18</v>
      </c>
      <c r="AE209" s="857">
        <f>+AD211</f>
        <v>177</v>
      </c>
      <c r="AF209" s="857">
        <f>+AE211</f>
        <v>257</v>
      </c>
      <c r="AG209" s="858">
        <f>+AF211</f>
        <v>305</v>
      </c>
      <c r="AH209" s="77">
        <f>AC211</f>
        <v>18</v>
      </c>
      <c r="AI209" s="394">
        <f>+AH211</f>
        <v>310</v>
      </c>
      <c r="AJ209" s="857">
        <f>+AI211</f>
        <v>336</v>
      </c>
      <c r="AK209" s="857">
        <f>+AJ211</f>
        <v>166</v>
      </c>
      <c r="AL209" s="858">
        <f>+AK211</f>
        <v>14</v>
      </c>
      <c r="AM209" s="77">
        <f>AH211</f>
        <v>310</v>
      </c>
      <c r="AN209" s="394">
        <f>+AM211</f>
        <v>198</v>
      </c>
      <c r="AO209" s="857">
        <f>+AN211</f>
        <v>558</v>
      </c>
      <c r="AP209" s="342">
        <f>+AO211</f>
        <v>168</v>
      </c>
      <c r="AQ209" s="858">
        <f>+AP211</f>
        <v>406</v>
      </c>
      <c r="AR209" s="77">
        <f>AM211</f>
        <v>198</v>
      </c>
      <c r="AS209" s="394">
        <f>+AR211</f>
        <v>390</v>
      </c>
      <c r="AT209" s="857">
        <f>+AS211</f>
        <v>153</v>
      </c>
      <c r="AU209" s="342">
        <f>+AT211</f>
        <v>192</v>
      </c>
      <c r="AV209" s="858">
        <f>+AU211</f>
        <v>239</v>
      </c>
      <c r="AW209" s="77">
        <f>AR211</f>
        <v>390</v>
      </c>
      <c r="AX209" s="394">
        <f>+AW211</f>
        <v>242</v>
      </c>
      <c r="AY209" s="342">
        <f>+AX211</f>
        <v>0</v>
      </c>
      <c r="AZ209" s="342">
        <f>+AY211</f>
        <v>452.73033102120894</v>
      </c>
      <c r="BA209" s="395">
        <f>+AZ211</f>
        <v>165.76890675850888</v>
      </c>
      <c r="BB209" s="451">
        <f>AW211</f>
        <v>242</v>
      </c>
      <c r="BC209" s="394">
        <f>+BB211</f>
        <v>-4.3333333333335418</v>
      </c>
      <c r="BD209" s="342">
        <f>+BC211</f>
        <v>0</v>
      </c>
      <c r="BE209" s="342">
        <f>+BD211</f>
        <v>512.71554280352916</v>
      </c>
      <c r="BF209" s="395">
        <f>+BE211</f>
        <v>0</v>
      </c>
      <c r="BG209" s="451">
        <f>BB211</f>
        <v>-4.3333333333335418</v>
      </c>
      <c r="BH209" s="394">
        <f>+BG211</f>
        <v>7.9580786405131221E-13</v>
      </c>
      <c r="BI209" s="342">
        <f>+BH211</f>
        <v>0</v>
      </c>
      <c r="BJ209" s="342">
        <f>+BI211</f>
        <v>325.93220274264138</v>
      </c>
      <c r="BK209" s="395">
        <f>+BJ211</f>
        <v>31.857267130607738</v>
      </c>
      <c r="BL209" s="451">
        <f>BG211</f>
        <v>7.9580786405131221E-13</v>
      </c>
      <c r="BM209" s="394">
        <f>+BL211</f>
        <v>-6.2527760746888816E-13</v>
      </c>
      <c r="BN209" s="342">
        <f>+BM211</f>
        <v>0</v>
      </c>
      <c r="BO209" s="342">
        <f>+BN211</f>
        <v>59.646731116541446</v>
      </c>
      <c r="BP209" s="395">
        <f>+BO211</f>
        <v>0</v>
      </c>
      <c r="BQ209" s="451">
        <f>BL211</f>
        <v>-6.2527760746888816E-13</v>
      </c>
      <c r="BR209" s="451"/>
      <c r="BS209" s="77"/>
      <c r="BT209" s="77"/>
      <c r="BU209" s="77"/>
      <c r="BV209" s="77"/>
      <c r="BW209" s="77"/>
      <c r="BX209" s="77"/>
      <c r="BY209" s="77"/>
      <c r="BZ209" s="77"/>
      <c r="CA209" s="77"/>
      <c r="CB209" s="77"/>
      <c r="CC209" s="77"/>
      <c r="CD209" s="77"/>
      <c r="CE209" s="77"/>
      <c r="CF209" s="77"/>
      <c r="CG209" s="77"/>
      <c r="CH209" s="77"/>
      <c r="CI209" s="77"/>
      <c r="CJ209" s="77"/>
      <c r="CK209" s="77"/>
      <c r="CL209" s="538"/>
      <c r="CM209" s="538"/>
      <c r="CN209" s="538"/>
      <c r="CO209" s="538"/>
      <c r="CP209" s="538"/>
      <c r="CQ209" s="538"/>
      <c r="CR209" s="538"/>
      <c r="CS209" s="538"/>
      <c r="CT209" s="538"/>
      <c r="CU209" s="538"/>
      <c r="CV209" s="538"/>
      <c r="CW209" s="538"/>
      <c r="CX209" s="538"/>
      <c r="CY209" s="538"/>
      <c r="CZ209" s="538"/>
      <c r="DA209" s="538"/>
      <c r="DB209" s="538"/>
      <c r="DC209" s="538"/>
    </row>
    <row r="210" spans="1:107">
      <c r="A210" s="77"/>
      <c r="B210" s="77"/>
      <c r="C210" s="547" t="s">
        <v>174</v>
      </c>
      <c r="D210" s="77"/>
      <c r="E210" s="459">
        <v>0</v>
      </c>
      <c r="F210" s="460">
        <v>0</v>
      </c>
      <c r="G210" s="460">
        <v>0</v>
      </c>
      <c r="H210" s="405">
        <f>I210-SUM(E210:G210)</f>
        <v>0</v>
      </c>
      <c r="I210" s="591">
        <v>0</v>
      </c>
      <c r="J210" s="459">
        <v>0</v>
      </c>
      <c r="K210" s="460">
        <v>0</v>
      </c>
      <c r="L210" s="460">
        <v>0</v>
      </c>
      <c r="M210" s="405">
        <f>N210-SUM(J210:L210)</f>
        <v>0</v>
      </c>
      <c r="N210" s="591">
        <v>0</v>
      </c>
      <c r="O210" s="459">
        <v>0</v>
      </c>
      <c r="P210" s="460">
        <v>0</v>
      </c>
      <c r="Q210" s="460">
        <v>0</v>
      </c>
      <c r="R210" s="405">
        <f>S210-SUM(O210:Q210)</f>
        <v>0</v>
      </c>
      <c r="S210" s="462">
        <v>0</v>
      </c>
      <c r="T210" s="459">
        <v>0</v>
      </c>
      <c r="U210" s="460">
        <v>0</v>
      </c>
      <c r="V210" s="460">
        <v>0</v>
      </c>
      <c r="W210" s="405">
        <f>X210-SUM(T210:V210)</f>
        <v>0</v>
      </c>
      <c r="X210" s="462">
        <v>0</v>
      </c>
      <c r="Y210" s="459">
        <v>0</v>
      </c>
      <c r="Z210" s="460">
        <v>0</v>
      </c>
      <c r="AA210" s="460">
        <v>0</v>
      </c>
      <c r="AB210" s="395">
        <f>AC210-SUM(Y210:AA210)</f>
        <v>0</v>
      </c>
      <c r="AC210" s="462">
        <v>0</v>
      </c>
      <c r="AD210" s="459">
        <v>0</v>
      </c>
      <c r="AE210" s="460">
        <v>0</v>
      </c>
      <c r="AF210" s="460">
        <v>0</v>
      </c>
      <c r="AG210" s="395">
        <f>AH210-SUM(AD210:AF210)</f>
        <v>0</v>
      </c>
      <c r="AH210" s="462">
        <v>0</v>
      </c>
      <c r="AI210" s="459">
        <v>0</v>
      </c>
      <c r="AJ210" s="460">
        <v>0</v>
      </c>
      <c r="AK210" s="460">
        <v>0</v>
      </c>
      <c r="AL210" s="395">
        <f>AM210-SUM(AI210:AK210)</f>
        <v>0</v>
      </c>
      <c r="AM210" s="462">
        <v>0</v>
      </c>
      <c r="AN210" s="459">
        <v>0</v>
      </c>
      <c r="AO210" s="460">
        <v>0</v>
      </c>
      <c r="AP210" s="342">
        <f>IF((AP208+AP209)&gt;=AO217,-AO217,-(AP208+AP209))</f>
        <v>0</v>
      </c>
      <c r="AQ210" s="395">
        <f>AR210-SUM(AN210:AP210)</f>
        <v>0</v>
      </c>
      <c r="AR210" s="462">
        <v>0</v>
      </c>
      <c r="AS210" s="459">
        <v>0</v>
      </c>
      <c r="AT210" s="460">
        <v>0</v>
      </c>
      <c r="AU210" s="342">
        <f>IF((AU208+AU209)&gt;=AT217,-AT217,-(AU208+AU209))</f>
        <v>0</v>
      </c>
      <c r="AV210" s="395">
        <f>AW210-SUM(AS210:AU210)</f>
        <v>0</v>
      </c>
      <c r="AW210" s="462">
        <v>0</v>
      </c>
      <c r="AX210" s="394">
        <f>IF((AX208+AX209)&gt;=AW217,-AW217,-(AX208+AX209))</f>
        <v>19.789863100429784</v>
      </c>
      <c r="AY210" s="342">
        <f>IF((AY208+AY209)&gt;=AX217,-AX217,-(AY208+AY209))</f>
        <v>-19.789863100429784</v>
      </c>
      <c r="AZ210" s="342">
        <f>IF((AZ208+AZ209)&gt;=AY217,-AY217,-(AZ208+AZ209))</f>
        <v>0</v>
      </c>
      <c r="BA210" s="395">
        <f>IF((BA208+BA209)&gt;=AZ217,-AZ217,-(BA208+BA209))</f>
        <v>220.56135933447689</v>
      </c>
      <c r="BB210" s="77">
        <f>SUM(AX210:BA210)</f>
        <v>220.56135933447689</v>
      </c>
      <c r="BC210" s="394">
        <f>IF((BC208+BC209)&gt;=BB217,-BB217,-(BC208+BC209))</f>
        <v>200.80376702922064</v>
      </c>
      <c r="BD210" s="342">
        <f>IF((BD208+BD209)&gt;=BC217,-BC217,-(BD208+BD209))</f>
        <v>-421.36512636369753</v>
      </c>
      <c r="BE210" s="342">
        <f>IF((BE208+BE209)&gt;=BD217,-BD217,-(BE208+BE209))</f>
        <v>50.047021566007402</v>
      </c>
      <c r="BF210" s="395">
        <f>IF((BF208+BF209)&gt;=BE217,-BE217,-(BF208+BF209))</f>
        <v>293.13557596481246</v>
      </c>
      <c r="BG210" s="77">
        <f>SUM(BC210:BF210)</f>
        <v>122.62123819634297</v>
      </c>
      <c r="BH210" s="394">
        <f>IF((BH208+BH209)&gt;=BG217,-BG217,-(BH208+BH209))</f>
        <v>180.21534086661745</v>
      </c>
      <c r="BI210" s="342">
        <f>IF((BI208+BI209)&gt;=BH217,-BH217,-(BI208+BI209))</f>
        <v>-523.39793839743731</v>
      </c>
      <c r="BJ210" s="342">
        <f>IF((BJ208+BJ209)&gt;=BI217,-BI217,-(BJ208+BJ209))</f>
        <v>0</v>
      </c>
      <c r="BK210" s="395">
        <f>IF((BK208+BK209)&gt;=BJ217,-BJ217,-(BK208+BK209))</f>
        <v>250.64993781039999</v>
      </c>
      <c r="BL210" s="77">
        <f>SUM(BH210:BK210)</f>
        <v>-92.532659720419872</v>
      </c>
      <c r="BM210" s="394">
        <f>IF((BM208+BM209)&gt;=BL217,-BL217,-(BM208+BM209))</f>
        <v>417.34172788887241</v>
      </c>
      <c r="BN210" s="342">
        <f>IF((BN208+BN209)&gt;=BM217,-BM217,-(BN208+BN209))</f>
        <v>-667.9916656992724</v>
      </c>
      <c r="BO210" s="342">
        <f>IF((BO208+BO209)&gt;=BN217,-BN217,-(BO208+BO209))</f>
        <v>167.08002351186531</v>
      </c>
      <c r="BP210" s="395">
        <f>IF((BP208+BP209)&gt;=BO217,-BO217,-(BP208+BP209))</f>
        <v>205.39966576225254</v>
      </c>
      <c r="BQ210" s="77">
        <f>SUM(BM210:BP210)</f>
        <v>121.82975146371786</v>
      </c>
      <c r="BR210" s="77"/>
      <c r="BS210" s="77"/>
      <c r="BT210" s="77"/>
      <c r="BU210" s="77"/>
      <c r="BV210" s="77"/>
      <c r="BW210" s="77"/>
      <c r="BX210" s="77"/>
      <c r="BY210" s="77"/>
      <c r="BZ210" s="77"/>
      <c r="CA210" s="77"/>
      <c r="CB210" s="77"/>
      <c r="CC210" s="77"/>
      <c r="CD210" s="77"/>
      <c r="CE210" s="77"/>
      <c r="CF210" s="77"/>
      <c r="CG210" s="77"/>
      <c r="CH210" s="77"/>
      <c r="CI210" s="77"/>
      <c r="CJ210" s="77"/>
      <c r="CK210" s="77"/>
      <c r="CL210" s="538"/>
      <c r="CM210" s="538"/>
      <c r="CN210" s="538"/>
      <c r="CO210" s="538"/>
      <c r="CP210" s="538"/>
      <c r="CQ210" s="538"/>
      <c r="CR210" s="538"/>
      <c r="CS210" s="538"/>
      <c r="CT210" s="538"/>
      <c r="CU210" s="538"/>
      <c r="CV210" s="538"/>
      <c r="CW210" s="538"/>
      <c r="CX210" s="538"/>
      <c r="CY210" s="538"/>
      <c r="CZ210" s="538"/>
      <c r="DA210" s="538"/>
      <c r="DB210" s="538"/>
      <c r="DC210" s="538"/>
    </row>
    <row r="211" spans="1:107">
      <c r="A211" s="77"/>
      <c r="B211" s="77"/>
      <c r="C211" s="545" t="s">
        <v>304</v>
      </c>
      <c r="D211" s="77"/>
      <c r="E211" s="396">
        <f>E210+E209+E208</f>
        <v>45</v>
      </c>
      <c r="F211" s="343">
        <f t="shared" ref="F211:AA211" si="251">F210+F209+F208</f>
        <v>23</v>
      </c>
      <c r="G211" s="343">
        <f t="shared" si="251"/>
        <v>27</v>
      </c>
      <c r="H211" s="397">
        <f t="shared" si="251"/>
        <v>240</v>
      </c>
      <c r="I211" s="782">
        <f t="shared" si="251"/>
        <v>240</v>
      </c>
      <c r="J211" s="396">
        <f t="shared" si="251"/>
        <v>46</v>
      </c>
      <c r="K211" s="343">
        <f t="shared" si="251"/>
        <v>19</v>
      </c>
      <c r="L211" s="343">
        <f t="shared" si="251"/>
        <v>115</v>
      </c>
      <c r="M211" s="397">
        <f t="shared" si="251"/>
        <v>245</v>
      </c>
      <c r="N211" s="782">
        <f t="shared" si="251"/>
        <v>245</v>
      </c>
      <c r="O211" s="396">
        <f t="shared" si="251"/>
        <v>28</v>
      </c>
      <c r="P211" s="343">
        <f t="shared" si="251"/>
        <v>26</v>
      </c>
      <c r="Q211" s="343">
        <f t="shared" si="251"/>
        <v>242</v>
      </c>
      <c r="R211" s="397">
        <f t="shared" si="251"/>
        <v>143</v>
      </c>
      <c r="S211" s="297">
        <f t="shared" si="251"/>
        <v>143</v>
      </c>
      <c r="T211" s="396">
        <f t="shared" si="251"/>
        <v>35</v>
      </c>
      <c r="U211" s="343">
        <f t="shared" si="251"/>
        <v>22</v>
      </c>
      <c r="V211" s="343">
        <f t="shared" si="251"/>
        <v>71</v>
      </c>
      <c r="W211" s="397">
        <f t="shared" si="251"/>
        <v>116</v>
      </c>
      <c r="X211" s="297">
        <f t="shared" si="251"/>
        <v>116</v>
      </c>
      <c r="Y211" s="396">
        <f t="shared" si="251"/>
        <v>61</v>
      </c>
      <c r="Z211" s="343">
        <f t="shared" si="251"/>
        <v>19</v>
      </c>
      <c r="AA211" s="343">
        <f t="shared" si="251"/>
        <v>253</v>
      </c>
      <c r="AB211" s="397">
        <f t="shared" ref="AB211:AI211" si="252">AB210+AB209+AB208</f>
        <v>18</v>
      </c>
      <c r="AC211" s="297">
        <f t="shared" si="252"/>
        <v>18</v>
      </c>
      <c r="AD211" s="396">
        <f t="shared" si="252"/>
        <v>177</v>
      </c>
      <c r="AE211" s="343">
        <f t="shared" si="252"/>
        <v>257</v>
      </c>
      <c r="AF211" s="343">
        <f t="shared" si="252"/>
        <v>305</v>
      </c>
      <c r="AG211" s="397">
        <f t="shared" si="252"/>
        <v>310</v>
      </c>
      <c r="AH211" s="297">
        <f t="shared" si="252"/>
        <v>310</v>
      </c>
      <c r="AI211" s="396">
        <f t="shared" si="252"/>
        <v>336</v>
      </c>
      <c r="AJ211" s="343">
        <f t="shared" ref="AJ211:AO211" si="253">AJ210+AJ209+AJ208</f>
        <v>166</v>
      </c>
      <c r="AK211" s="343">
        <f t="shared" si="253"/>
        <v>14</v>
      </c>
      <c r="AL211" s="397">
        <f t="shared" si="253"/>
        <v>198</v>
      </c>
      <c r="AM211" s="297">
        <f t="shared" si="253"/>
        <v>198</v>
      </c>
      <c r="AN211" s="396">
        <f t="shared" si="253"/>
        <v>558</v>
      </c>
      <c r="AO211" s="343">
        <f t="shared" si="253"/>
        <v>168</v>
      </c>
      <c r="AP211" s="343">
        <f t="shared" ref="AP211:BB211" si="254">AP210+AP209+AP208</f>
        <v>406</v>
      </c>
      <c r="AQ211" s="397">
        <f t="shared" si="254"/>
        <v>390</v>
      </c>
      <c r="AR211" s="297">
        <f t="shared" si="254"/>
        <v>390</v>
      </c>
      <c r="AS211" s="396">
        <f t="shared" si="254"/>
        <v>153</v>
      </c>
      <c r="AT211" s="343">
        <f t="shared" si="254"/>
        <v>192</v>
      </c>
      <c r="AU211" s="343">
        <f t="shared" si="254"/>
        <v>239</v>
      </c>
      <c r="AV211" s="397">
        <f t="shared" si="254"/>
        <v>242</v>
      </c>
      <c r="AW211" s="297">
        <f t="shared" si="254"/>
        <v>242</v>
      </c>
      <c r="AX211" s="396">
        <f t="shared" si="254"/>
        <v>0</v>
      </c>
      <c r="AY211" s="343">
        <f t="shared" si="254"/>
        <v>452.73033102120894</v>
      </c>
      <c r="AZ211" s="343">
        <f t="shared" si="254"/>
        <v>165.76890675850888</v>
      </c>
      <c r="BA211" s="397">
        <f t="shared" si="254"/>
        <v>0</v>
      </c>
      <c r="BB211" s="297">
        <f t="shared" si="254"/>
        <v>-4.3333333333335418</v>
      </c>
      <c r="BC211" s="396">
        <f t="shared" ref="BC211:BL211" si="255">BC210+BC209+BC208</f>
        <v>0</v>
      </c>
      <c r="BD211" s="343">
        <f t="shared" si="255"/>
        <v>512.71554280352916</v>
      </c>
      <c r="BE211" s="343">
        <f t="shared" si="255"/>
        <v>0</v>
      </c>
      <c r="BF211" s="397">
        <f t="shared" si="255"/>
        <v>0</v>
      </c>
      <c r="BG211" s="297">
        <f t="shared" si="255"/>
        <v>7.9580786405131221E-13</v>
      </c>
      <c r="BH211" s="396">
        <f t="shared" si="255"/>
        <v>0</v>
      </c>
      <c r="BI211" s="343">
        <f t="shared" si="255"/>
        <v>325.93220274264138</v>
      </c>
      <c r="BJ211" s="343">
        <f t="shared" si="255"/>
        <v>31.857267130607738</v>
      </c>
      <c r="BK211" s="397">
        <f t="shared" si="255"/>
        <v>0</v>
      </c>
      <c r="BL211" s="297">
        <f t="shared" si="255"/>
        <v>-6.2527760746888816E-13</v>
      </c>
      <c r="BM211" s="396">
        <f>BM210+BM209+BM208</f>
        <v>0</v>
      </c>
      <c r="BN211" s="343">
        <f>BN210+BN209+BN208</f>
        <v>59.646731116541446</v>
      </c>
      <c r="BO211" s="343">
        <f>BO210+BO209+BO208</f>
        <v>0</v>
      </c>
      <c r="BP211" s="397">
        <f>BP210+BP209+BP208</f>
        <v>0</v>
      </c>
      <c r="BQ211" s="297">
        <f>BQ210+BQ209+BQ208</f>
        <v>2.2737367544323206E-13</v>
      </c>
      <c r="BR211" s="297"/>
      <c r="BS211" s="77"/>
      <c r="BT211" s="77"/>
      <c r="BU211" s="77"/>
      <c r="BV211" s="77"/>
      <c r="BW211" s="77"/>
      <c r="BX211" s="77"/>
      <c r="BY211" s="77"/>
      <c r="BZ211" s="77"/>
      <c r="CA211" s="77"/>
      <c r="CB211" s="77"/>
      <c r="CC211" s="77"/>
      <c r="CD211" s="77"/>
      <c r="CE211" s="77"/>
      <c r="CF211" s="77"/>
      <c r="CG211" s="77"/>
      <c r="CH211" s="77"/>
      <c r="CI211" s="77"/>
      <c r="CJ211" s="77"/>
      <c r="CK211" s="77"/>
      <c r="CL211" s="538"/>
      <c r="CM211" s="538"/>
      <c r="CN211" s="538"/>
      <c r="CO211" s="538"/>
      <c r="CP211" s="538"/>
      <c r="CQ211" s="538"/>
      <c r="CR211" s="538"/>
      <c r="CS211" s="538"/>
      <c r="CT211" s="538"/>
      <c r="CU211" s="538"/>
      <c r="CV211" s="538"/>
      <c r="CW211" s="538"/>
      <c r="CX211" s="538"/>
      <c r="CY211" s="538"/>
      <c r="CZ211" s="538"/>
      <c r="DA211" s="538"/>
      <c r="DB211" s="538"/>
      <c r="DC211" s="538"/>
    </row>
    <row r="212" spans="1:107">
      <c r="A212" s="538"/>
      <c r="B212" s="538"/>
      <c r="C212" s="538"/>
      <c r="D212" s="538"/>
      <c r="E212" s="627"/>
      <c r="F212" s="628"/>
      <c r="G212" s="628"/>
      <c r="H212" s="629"/>
      <c r="I212" s="630"/>
      <c r="J212" s="627"/>
      <c r="K212" s="628"/>
      <c r="L212" s="628"/>
      <c r="M212" s="629"/>
      <c r="N212" s="630"/>
      <c r="O212" s="627"/>
      <c r="P212" s="628"/>
      <c r="Q212" s="806"/>
      <c r="R212" s="807"/>
      <c r="S212" s="538"/>
      <c r="T212" s="805"/>
      <c r="U212" s="806"/>
      <c r="V212" s="806"/>
      <c r="W212" s="807"/>
      <c r="X212" s="538"/>
      <c r="Y212" s="805"/>
      <c r="Z212" s="806"/>
      <c r="AA212" s="806"/>
      <c r="AB212" s="807"/>
      <c r="AC212" s="538"/>
      <c r="AD212" s="805"/>
      <c r="AE212" s="806"/>
      <c r="AF212" s="806"/>
      <c r="AG212" s="807"/>
      <c r="AH212" s="538"/>
      <c r="AI212" s="805"/>
      <c r="AJ212" s="806"/>
      <c r="AK212" s="806"/>
      <c r="AL212" s="807"/>
      <c r="AM212" s="538"/>
      <c r="AN212" s="805"/>
      <c r="AO212" s="806"/>
      <c r="AP212" s="806"/>
      <c r="AQ212" s="807"/>
      <c r="AR212" s="538"/>
      <c r="AS212" s="805"/>
      <c r="AT212" s="806"/>
      <c r="AU212" s="806"/>
      <c r="AV212" s="807"/>
      <c r="AW212" s="538"/>
      <c r="AX212" s="805"/>
      <c r="AY212" s="806"/>
      <c r="AZ212" s="806"/>
      <c r="BA212" s="807"/>
      <c r="BB212" s="538"/>
      <c r="BC212" s="805"/>
      <c r="BD212" s="806"/>
      <c r="BE212" s="806"/>
      <c r="BF212" s="807"/>
      <c r="BG212" s="538"/>
      <c r="BH212" s="805"/>
      <c r="BI212" s="806"/>
      <c r="BJ212" s="806"/>
      <c r="BK212" s="807"/>
      <c r="BL212" s="538"/>
      <c r="BM212" s="805"/>
      <c r="BN212" s="806"/>
      <c r="BO212" s="806"/>
      <c r="BP212" s="807"/>
      <c r="BQ212" s="538"/>
      <c r="BR212" s="538"/>
      <c r="BS212" s="538"/>
      <c r="BT212" s="538"/>
      <c r="BU212" s="538"/>
      <c r="BV212" s="538"/>
      <c r="BW212" s="538"/>
      <c r="BX212" s="538"/>
      <c r="BY212" s="538"/>
      <c r="BZ212" s="538"/>
      <c r="CA212" s="538"/>
      <c r="CB212" s="538"/>
      <c r="CC212" s="538"/>
      <c r="CD212" s="538"/>
      <c r="CE212" s="538"/>
      <c r="CF212" s="538"/>
      <c r="CG212" s="538"/>
      <c r="CH212" s="538"/>
      <c r="CI212" s="538"/>
      <c r="CJ212" s="538"/>
      <c r="CK212" s="538"/>
      <c r="CL212" s="538"/>
      <c r="CM212" s="538"/>
      <c r="CN212" s="538"/>
      <c r="CO212" s="538"/>
      <c r="CP212" s="538"/>
      <c r="CQ212" s="538"/>
      <c r="CR212" s="538"/>
      <c r="CS212" s="538"/>
      <c r="CT212" s="538"/>
      <c r="CU212" s="538"/>
      <c r="CV212" s="538"/>
      <c r="CW212" s="538"/>
      <c r="CX212" s="538"/>
      <c r="CY212" s="538"/>
      <c r="CZ212" s="538"/>
      <c r="DA212" s="538"/>
    </row>
    <row r="213" spans="1:107">
      <c r="A213" s="538"/>
      <c r="B213" s="538"/>
      <c r="C213" s="538"/>
      <c r="D213" s="538"/>
      <c r="E213" s="805"/>
      <c r="F213" s="806"/>
      <c r="G213" s="806"/>
      <c r="H213" s="807"/>
      <c r="I213" s="538"/>
      <c r="J213" s="805"/>
      <c r="K213" s="806"/>
      <c r="L213" s="806"/>
      <c r="M213" s="807"/>
      <c r="N213" s="538"/>
      <c r="O213" s="805"/>
      <c r="P213" s="806"/>
      <c r="Q213" s="806"/>
      <c r="R213" s="807"/>
      <c r="S213" s="538"/>
      <c r="T213" s="805"/>
      <c r="U213" s="806"/>
      <c r="V213" s="806"/>
      <c r="W213" s="807"/>
      <c r="X213" s="538"/>
      <c r="Y213" s="805"/>
      <c r="Z213" s="806"/>
      <c r="AA213" s="806"/>
      <c r="AB213" s="807"/>
      <c r="AC213" s="538"/>
      <c r="AD213" s="805"/>
      <c r="AE213" s="806"/>
      <c r="AF213" s="806"/>
      <c r="AG213" s="807"/>
      <c r="AH213" s="538"/>
      <c r="AI213" s="805"/>
      <c r="AJ213" s="806"/>
      <c r="AK213" s="806"/>
      <c r="AL213" s="807"/>
      <c r="AM213" s="538"/>
      <c r="AN213" s="805"/>
      <c r="AO213" s="806"/>
      <c r="AP213" s="806"/>
      <c r="AQ213" s="807"/>
      <c r="AR213" s="538"/>
      <c r="AS213" s="805"/>
      <c r="AT213" s="806"/>
      <c r="AU213" s="806"/>
      <c r="AV213" s="807"/>
      <c r="AW213" s="538"/>
      <c r="AX213" s="805"/>
      <c r="AY213" s="806"/>
      <c r="AZ213" s="806"/>
      <c r="BA213" s="807"/>
      <c r="BB213" s="538"/>
      <c r="BC213" s="805"/>
      <c r="BD213" s="806"/>
      <c r="BE213" s="806"/>
      <c r="BF213" s="807"/>
      <c r="BG213" s="538"/>
      <c r="BH213" s="805"/>
      <c r="BI213" s="806"/>
      <c r="BJ213" s="806"/>
      <c r="BK213" s="807"/>
      <c r="BL213" s="538"/>
      <c r="BM213" s="805"/>
      <c r="BN213" s="806"/>
      <c r="BO213" s="806"/>
      <c r="BP213" s="807"/>
      <c r="BQ213" s="538"/>
      <c r="BR213" s="538"/>
      <c r="BS213" s="538"/>
      <c r="BT213" s="538"/>
      <c r="BU213" s="538"/>
      <c r="BV213" s="538"/>
      <c r="BW213" s="538"/>
      <c r="BX213" s="538"/>
      <c r="BY213" s="538"/>
      <c r="BZ213" s="538"/>
      <c r="CA213" s="538"/>
      <c r="CB213" s="538"/>
      <c r="CC213" s="538"/>
      <c r="CD213" s="538"/>
      <c r="CE213" s="538"/>
      <c r="CF213" s="538"/>
      <c r="CG213" s="538"/>
      <c r="CH213" s="538"/>
      <c r="CI213" s="538"/>
      <c r="CJ213" s="538"/>
      <c r="CK213" s="538"/>
      <c r="CL213" s="538"/>
      <c r="CM213" s="538"/>
      <c r="CN213" s="538"/>
      <c r="CO213" s="538"/>
      <c r="CP213" s="538"/>
      <c r="CQ213" s="538"/>
      <c r="CR213" s="538"/>
      <c r="CS213" s="538"/>
      <c r="CT213" s="538"/>
      <c r="CU213" s="538"/>
      <c r="CV213" s="538"/>
      <c r="CW213" s="538"/>
      <c r="CX213" s="538"/>
      <c r="CY213" s="538"/>
      <c r="CZ213" s="538"/>
      <c r="DA213" s="538"/>
    </row>
    <row r="214" spans="1:107">
      <c r="A214" s="538"/>
      <c r="B214" s="533" t="s">
        <v>381</v>
      </c>
      <c r="C214" s="855"/>
      <c r="D214" s="856"/>
      <c r="E214" s="805"/>
      <c r="F214" s="806"/>
      <c r="G214" s="806"/>
      <c r="H214" s="807"/>
      <c r="I214" s="538"/>
      <c r="J214" s="805"/>
      <c r="K214" s="806"/>
      <c r="L214" s="806"/>
      <c r="M214" s="807"/>
      <c r="N214" s="538"/>
      <c r="O214" s="805"/>
      <c r="P214" s="806"/>
      <c r="Q214" s="806"/>
      <c r="R214" s="807"/>
      <c r="S214" s="538"/>
      <c r="T214" s="805"/>
      <c r="U214" s="806"/>
      <c r="V214" s="806"/>
      <c r="W214" s="807"/>
      <c r="X214" s="538"/>
      <c r="Y214" s="805"/>
      <c r="Z214" s="806"/>
      <c r="AA214" s="806"/>
      <c r="AB214" s="807"/>
      <c r="AC214" s="538"/>
      <c r="AD214" s="805"/>
      <c r="AE214" s="806"/>
      <c r="AF214" s="806"/>
      <c r="AG214" s="807"/>
      <c r="AH214" s="538"/>
      <c r="AI214" s="805"/>
      <c r="AJ214" s="806"/>
      <c r="AK214" s="806"/>
      <c r="AL214" s="807"/>
      <c r="AM214" s="538"/>
      <c r="AN214" s="805"/>
      <c r="AO214" s="806"/>
      <c r="AP214" s="806"/>
      <c r="AQ214" s="807"/>
      <c r="AR214" s="538"/>
      <c r="AS214" s="805"/>
      <c r="AT214" s="806"/>
      <c r="AU214" s="806"/>
      <c r="AV214" s="807"/>
      <c r="AW214" s="538"/>
      <c r="AX214" s="805"/>
      <c r="AY214" s="806"/>
      <c r="AZ214" s="806"/>
      <c r="BA214" s="807"/>
      <c r="BB214" s="538"/>
      <c r="BC214" s="805"/>
      <c r="BD214" s="806"/>
      <c r="BE214" s="806"/>
      <c r="BF214" s="807"/>
      <c r="BG214" s="538"/>
      <c r="BH214" s="805"/>
      <c r="BI214" s="806"/>
      <c r="BJ214" s="806"/>
      <c r="BK214" s="807"/>
      <c r="BL214" s="538"/>
      <c r="BM214" s="805"/>
      <c r="BN214" s="806"/>
      <c r="BO214" s="806"/>
      <c r="BP214" s="807"/>
      <c r="BQ214" s="538"/>
      <c r="BR214" s="538"/>
      <c r="BS214" s="538"/>
      <c r="BT214" s="538"/>
      <c r="BU214" s="538"/>
      <c r="BV214" s="538"/>
      <c r="BW214" s="538"/>
      <c r="BX214" s="538"/>
      <c r="BY214" s="538"/>
      <c r="BZ214" s="538"/>
      <c r="CA214" s="538"/>
      <c r="CB214" s="538"/>
      <c r="CC214" s="538"/>
      <c r="CD214" s="538"/>
      <c r="CE214" s="538"/>
      <c r="CF214" s="538"/>
      <c r="CG214" s="538"/>
      <c r="CH214" s="538"/>
      <c r="CI214" s="538"/>
      <c r="CJ214" s="538"/>
      <c r="CK214" s="538"/>
      <c r="CL214" s="538"/>
      <c r="CM214" s="538"/>
      <c r="CN214" s="538"/>
      <c r="CO214" s="538"/>
      <c r="CP214" s="538"/>
      <c r="CQ214" s="538"/>
      <c r="CR214" s="538"/>
      <c r="CS214" s="538"/>
      <c r="CT214" s="538"/>
      <c r="CU214" s="538"/>
      <c r="CV214" s="538"/>
      <c r="CW214" s="538"/>
      <c r="CX214" s="538"/>
      <c r="CY214" s="538"/>
      <c r="CZ214" s="538"/>
      <c r="DA214" s="538"/>
    </row>
    <row r="215" spans="1:107">
      <c r="A215" s="77"/>
      <c r="B215" s="77"/>
      <c r="C215" s="547" t="s">
        <v>382</v>
      </c>
      <c r="D215" s="77"/>
      <c r="E215" s="459">
        <v>45</v>
      </c>
      <c r="F215" s="460">
        <v>23</v>
      </c>
      <c r="G215" s="460">
        <v>27</v>
      </c>
      <c r="H215" s="405">
        <f>I215</f>
        <v>240</v>
      </c>
      <c r="I215" s="462">
        <v>240</v>
      </c>
      <c r="J215" s="459">
        <v>46</v>
      </c>
      <c r="K215" s="460">
        <v>19</v>
      </c>
      <c r="L215" s="460">
        <v>115</v>
      </c>
      <c r="M215" s="405">
        <f>N215</f>
        <v>245</v>
      </c>
      <c r="N215" s="462">
        <v>245</v>
      </c>
      <c r="O215" s="459">
        <v>28</v>
      </c>
      <c r="P215" s="460">
        <v>26</v>
      </c>
      <c r="Q215" s="460">
        <v>242</v>
      </c>
      <c r="R215" s="405">
        <f>S215</f>
        <v>143</v>
      </c>
      <c r="S215" s="462">
        <v>143</v>
      </c>
      <c r="T215" s="459">
        <v>35</v>
      </c>
      <c r="U215" s="460">
        <v>22</v>
      </c>
      <c r="V215" s="460">
        <v>71</v>
      </c>
      <c r="W215" s="405">
        <f>X215</f>
        <v>116</v>
      </c>
      <c r="X215" s="462">
        <v>116</v>
      </c>
      <c r="Y215" s="459">
        <v>61</v>
      </c>
      <c r="Z215" s="460">
        <v>19</v>
      </c>
      <c r="AA215" s="460">
        <v>253</v>
      </c>
      <c r="AB215" s="395">
        <f>AC215</f>
        <v>18</v>
      </c>
      <c r="AC215" s="462">
        <v>18</v>
      </c>
      <c r="AD215" s="459">
        <v>177</v>
      </c>
      <c r="AE215" s="460">
        <v>257</v>
      </c>
      <c r="AF215" s="460">
        <v>305</v>
      </c>
      <c r="AG215" s="395">
        <f>AH215</f>
        <v>310</v>
      </c>
      <c r="AH215" s="462">
        <v>310</v>
      </c>
      <c r="AI215" s="459">
        <v>336</v>
      </c>
      <c r="AJ215" s="460">
        <v>166</v>
      </c>
      <c r="AK215" s="460">
        <v>14</v>
      </c>
      <c r="AL215" s="395">
        <f>AM215</f>
        <v>198</v>
      </c>
      <c r="AM215" s="462">
        <v>198</v>
      </c>
      <c r="AN215" s="459">
        <v>558</v>
      </c>
      <c r="AO215" s="460">
        <v>168</v>
      </c>
      <c r="AP215" s="460">
        <v>406</v>
      </c>
      <c r="AQ215" s="395">
        <f>AR215</f>
        <v>390</v>
      </c>
      <c r="AR215" s="462">
        <v>390</v>
      </c>
      <c r="AS215" s="459">
        <v>153</v>
      </c>
      <c r="AT215" s="460">
        <v>192</v>
      </c>
      <c r="AU215" s="460">
        <v>239</v>
      </c>
      <c r="AV215" s="395">
        <f>AW215</f>
        <v>242</v>
      </c>
      <c r="AW215" s="462">
        <v>242</v>
      </c>
      <c r="AX215" s="394">
        <f>+AX211</f>
        <v>0</v>
      </c>
      <c r="AY215" s="342">
        <f>+AY211</f>
        <v>452.73033102120894</v>
      </c>
      <c r="AZ215" s="342">
        <f>+AZ211</f>
        <v>165.76890675850888</v>
      </c>
      <c r="BA215" s="395">
        <f>+BA211</f>
        <v>0</v>
      </c>
      <c r="BB215" s="77">
        <f>+BB211</f>
        <v>-4.3333333333335418</v>
      </c>
      <c r="BC215" s="394">
        <f t="shared" ref="BC215:BL215" si="256">+BC211</f>
        <v>0</v>
      </c>
      <c r="BD215" s="342">
        <f t="shared" si="256"/>
        <v>512.71554280352916</v>
      </c>
      <c r="BE215" s="342">
        <f t="shared" si="256"/>
        <v>0</v>
      </c>
      <c r="BF215" s="395">
        <f t="shared" si="256"/>
        <v>0</v>
      </c>
      <c r="BG215" s="77">
        <f t="shared" si="256"/>
        <v>7.9580786405131221E-13</v>
      </c>
      <c r="BH215" s="394">
        <f t="shared" si="256"/>
        <v>0</v>
      </c>
      <c r="BI215" s="342">
        <f t="shared" si="256"/>
        <v>325.93220274264138</v>
      </c>
      <c r="BJ215" s="342">
        <f t="shared" si="256"/>
        <v>31.857267130607738</v>
      </c>
      <c r="BK215" s="395">
        <f t="shared" si="256"/>
        <v>0</v>
      </c>
      <c r="BL215" s="77">
        <f t="shared" si="256"/>
        <v>-6.2527760746888816E-13</v>
      </c>
      <c r="BM215" s="394">
        <f>+BM211</f>
        <v>0</v>
      </c>
      <c r="BN215" s="342">
        <f>+BN211</f>
        <v>59.646731116541446</v>
      </c>
      <c r="BO215" s="342">
        <f>+BO211</f>
        <v>0</v>
      </c>
      <c r="BP215" s="395">
        <f>+BP211</f>
        <v>0</v>
      </c>
      <c r="BQ215" s="77">
        <f>+BQ211</f>
        <v>2.2737367544323206E-13</v>
      </c>
      <c r="BR215" s="77"/>
      <c r="BS215" s="77"/>
      <c r="BT215" s="77"/>
      <c r="BU215" s="77"/>
      <c r="BV215" s="77"/>
      <c r="BW215" s="77"/>
      <c r="BX215" s="77"/>
      <c r="BY215" s="77"/>
      <c r="BZ215" s="77"/>
      <c r="CA215" s="77"/>
      <c r="CB215" s="77"/>
      <c r="CC215" s="77"/>
      <c r="CD215" s="77"/>
      <c r="CE215" s="77"/>
      <c r="CF215" s="77"/>
      <c r="CG215" s="77"/>
      <c r="CH215" s="77"/>
      <c r="CI215" s="77"/>
      <c r="CJ215" s="77"/>
      <c r="CK215" s="77"/>
      <c r="CL215" s="77"/>
      <c r="CM215" s="77"/>
      <c r="CN215" s="77"/>
      <c r="CO215" s="77"/>
      <c r="CP215" s="77"/>
      <c r="CQ215" s="77"/>
      <c r="CR215" s="77"/>
      <c r="CS215" s="77"/>
      <c r="CT215" s="77"/>
      <c r="CU215" s="77"/>
      <c r="CV215" s="77"/>
      <c r="CW215" s="77"/>
      <c r="CX215" s="77"/>
      <c r="CY215" s="77"/>
      <c r="CZ215" s="77"/>
      <c r="DA215" s="77"/>
    </row>
    <row r="216" spans="1:107">
      <c r="A216" s="77"/>
      <c r="B216" s="77"/>
      <c r="C216" s="547"/>
      <c r="D216" s="77"/>
      <c r="E216" s="859"/>
      <c r="F216" s="860"/>
      <c r="G216" s="860"/>
      <c r="H216" s="861"/>
      <c r="I216" s="862"/>
      <c r="J216" s="859"/>
      <c r="K216" s="860"/>
      <c r="L216" s="860"/>
      <c r="M216" s="861"/>
      <c r="N216" s="862"/>
      <c r="O216" s="859"/>
      <c r="P216" s="860"/>
      <c r="Q216" s="342"/>
      <c r="R216" s="395"/>
      <c r="S216" s="77"/>
      <c r="T216" s="859"/>
      <c r="U216" s="860"/>
      <c r="V216" s="860"/>
      <c r="W216" s="395"/>
      <c r="X216" s="77"/>
      <c r="Y216" s="859"/>
      <c r="Z216" s="860"/>
      <c r="AA216" s="860"/>
      <c r="AB216" s="395"/>
      <c r="AC216" s="77"/>
      <c r="AD216" s="859"/>
      <c r="AE216" s="860"/>
      <c r="AF216" s="860"/>
      <c r="AG216" s="395"/>
      <c r="AH216" s="77"/>
      <c r="AI216" s="859"/>
      <c r="AJ216" s="860"/>
      <c r="AK216" s="860"/>
      <c r="AL216" s="395"/>
      <c r="AM216" s="77"/>
      <c r="AN216" s="859"/>
      <c r="AO216" s="860"/>
      <c r="AP216" s="342"/>
      <c r="AQ216" s="395"/>
      <c r="AR216" s="77"/>
      <c r="AS216" s="859"/>
      <c r="AT216" s="860"/>
      <c r="AU216" s="342"/>
      <c r="AV216" s="395"/>
      <c r="AW216" s="77"/>
      <c r="AX216" s="394"/>
      <c r="AY216" s="342"/>
      <c r="AZ216" s="342"/>
      <c r="BA216" s="395"/>
      <c r="BB216" s="77"/>
      <c r="BC216" s="394"/>
      <c r="BD216" s="342"/>
      <c r="BE216" s="342"/>
      <c r="BF216" s="395"/>
      <c r="BG216" s="77"/>
      <c r="BH216" s="394"/>
      <c r="BI216" s="342"/>
      <c r="BJ216" s="342"/>
      <c r="BK216" s="395"/>
      <c r="BL216" s="77"/>
      <c r="BM216" s="394"/>
      <c r="BN216" s="342"/>
      <c r="BO216" s="342"/>
      <c r="BP216" s="395"/>
      <c r="BQ216" s="77"/>
      <c r="BR216" s="77"/>
      <c r="BS216" s="77"/>
      <c r="BT216" s="77"/>
      <c r="BU216" s="77"/>
      <c r="BV216" s="77"/>
      <c r="BW216" s="77"/>
      <c r="BX216" s="77"/>
      <c r="BY216" s="77"/>
      <c r="BZ216" s="77"/>
      <c r="CA216" s="77"/>
      <c r="CB216" s="77"/>
      <c r="CC216" s="77"/>
      <c r="CD216" s="77"/>
      <c r="CE216" s="77"/>
      <c r="CF216" s="77"/>
      <c r="CG216" s="77"/>
      <c r="CH216" s="77"/>
      <c r="CI216" s="77"/>
      <c r="CJ216" s="77"/>
      <c r="CK216" s="77"/>
      <c r="CL216" s="77"/>
      <c r="CM216" s="77"/>
      <c r="CN216" s="77"/>
      <c r="CO216" s="77"/>
      <c r="CP216" s="77"/>
      <c r="CQ216" s="77"/>
      <c r="CR216" s="77"/>
      <c r="CS216" s="77"/>
      <c r="CT216" s="77"/>
      <c r="CU216" s="77"/>
      <c r="CV216" s="77"/>
      <c r="CW216" s="77"/>
      <c r="CX216" s="77"/>
      <c r="CY216" s="77"/>
      <c r="CZ216" s="77"/>
      <c r="DA216" s="77"/>
    </row>
    <row r="217" spans="1:107">
      <c r="A217" s="77"/>
      <c r="B217" s="77"/>
      <c r="C217" s="547" t="s">
        <v>383</v>
      </c>
      <c r="D217" s="77"/>
      <c r="E217" s="459">
        <v>0</v>
      </c>
      <c r="F217" s="460">
        <v>0</v>
      </c>
      <c r="G217" s="460">
        <v>0</v>
      </c>
      <c r="H217" s="405">
        <f>I217</f>
        <v>0</v>
      </c>
      <c r="I217" s="462">
        <v>0</v>
      </c>
      <c r="J217" s="459">
        <v>0</v>
      </c>
      <c r="K217" s="460">
        <v>0</v>
      </c>
      <c r="L217" s="460">
        <v>0</v>
      </c>
      <c r="M217" s="405">
        <f>N217</f>
        <v>0</v>
      </c>
      <c r="N217" s="462">
        <v>0</v>
      </c>
      <c r="O217" s="459">
        <v>0</v>
      </c>
      <c r="P217" s="460">
        <v>0</v>
      </c>
      <c r="Q217" s="460">
        <v>0</v>
      </c>
      <c r="R217" s="405">
        <f>S217</f>
        <v>0</v>
      </c>
      <c r="S217" s="462">
        <v>0</v>
      </c>
      <c r="T217" s="459">
        <v>0</v>
      </c>
      <c r="U217" s="460">
        <v>0</v>
      </c>
      <c r="V217" s="460">
        <v>0</v>
      </c>
      <c r="W217" s="405">
        <f>X217</f>
        <v>263</v>
      </c>
      <c r="X217" s="462">
        <v>263</v>
      </c>
      <c r="Y217" s="459">
        <v>165</v>
      </c>
      <c r="Z217" s="460">
        <v>157</v>
      </c>
      <c r="AA217" s="460">
        <v>0</v>
      </c>
      <c r="AB217" s="395">
        <f>AC217</f>
        <v>60</v>
      </c>
      <c r="AC217" s="462">
        <v>60</v>
      </c>
      <c r="AD217" s="459">
        <v>0</v>
      </c>
      <c r="AE217" s="460">
        <v>0</v>
      </c>
      <c r="AF217" s="460">
        <v>0</v>
      </c>
      <c r="AG217" s="395">
        <f>AH217</f>
        <v>0</v>
      </c>
      <c r="AH217" s="462">
        <v>0</v>
      </c>
      <c r="AI217" s="459">
        <v>0</v>
      </c>
      <c r="AJ217" s="460">
        <v>0</v>
      </c>
      <c r="AK217" s="460">
        <v>20</v>
      </c>
      <c r="AL217" s="395">
        <f>AM217</f>
        <v>153</v>
      </c>
      <c r="AM217" s="462">
        <v>153</v>
      </c>
      <c r="AN217" s="459">
        <v>0</v>
      </c>
      <c r="AO217" s="460">
        <v>0</v>
      </c>
      <c r="AP217" s="460">
        <v>0</v>
      </c>
      <c r="AQ217" s="395">
        <f>AR217</f>
        <v>0</v>
      </c>
      <c r="AR217" s="462">
        <v>0</v>
      </c>
      <c r="AS217" s="459">
        <v>0</v>
      </c>
      <c r="AT217" s="460">
        <v>0</v>
      </c>
      <c r="AU217" s="460">
        <v>0</v>
      </c>
      <c r="AV217" s="395">
        <f>AW217</f>
        <v>0</v>
      </c>
      <c r="AW217" s="462">
        <v>0</v>
      </c>
      <c r="AX217" s="394">
        <f>+AW217+AX210</f>
        <v>19.789863100429784</v>
      </c>
      <c r="AY217" s="342">
        <f>+AX217+AY210</f>
        <v>0</v>
      </c>
      <c r="AZ217" s="342">
        <f>+AY217+AZ210</f>
        <v>0</v>
      </c>
      <c r="BA217" s="395">
        <f>+AZ217+BA210</f>
        <v>220.56135933447689</v>
      </c>
      <c r="BB217" s="77">
        <f>+BA217</f>
        <v>220.56135933447689</v>
      </c>
      <c r="BC217" s="394">
        <f>+BB217+BC210</f>
        <v>421.36512636369753</v>
      </c>
      <c r="BD217" s="342">
        <f>+BC217+BD210</f>
        <v>0</v>
      </c>
      <c r="BE217" s="342">
        <f>+BD217+BE210</f>
        <v>50.047021566007402</v>
      </c>
      <c r="BF217" s="395">
        <f>+BE217+BF210</f>
        <v>343.18259753081986</v>
      </c>
      <c r="BG217" s="77">
        <f>+BF217</f>
        <v>343.18259753081986</v>
      </c>
      <c r="BH217" s="394">
        <f>+BG217+BH210</f>
        <v>523.39793839743731</v>
      </c>
      <c r="BI217" s="342">
        <f>+BH217+BI210</f>
        <v>0</v>
      </c>
      <c r="BJ217" s="342">
        <f>+BI217+BJ210</f>
        <v>0</v>
      </c>
      <c r="BK217" s="395">
        <f>+BJ217+BK210</f>
        <v>250.64993781039999</v>
      </c>
      <c r="BL217" s="77">
        <f>+BK217</f>
        <v>250.64993781039999</v>
      </c>
      <c r="BM217" s="394">
        <f>+BL217+BM210</f>
        <v>667.9916656992724</v>
      </c>
      <c r="BN217" s="342">
        <f>+BM217+BN210</f>
        <v>0</v>
      </c>
      <c r="BO217" s="342">
        <f>+BN217+BO210</f>
        <v>167.08002351186531</v>
      </c>
      <c r="BP217" s="395">
        <f>+BO217+BP210</f>
        <v>372.47968927411785</v>
      </c>
      <c r="BQ217" s="77">
        <f>+BP217</f>
        <v>372.47968927411785</v>
      </c>
      <c r="BR217" s="77"/>
      <c r="BS217" s="77"/>
      <c r="BT217" s="77"/>
      <c r="BU217" s="77"/>
      <c r="BV217" s="77"/>
      <c r="BW217" s="77"/>
      <c r="BX217" s="77"/>
      <c r="BY217" s="77"/>
      <c r="BZ217" s="77"/>
      <c r="CA217" s="77"/>
      <c r="CB217" s="77"/>
      <c r="CC217" s="77"/>
      <c r="CD217" s="77"/>
      <c r="CE217" s="77"/>
      <c r="CF217" s="77"/>
      <c r="CG217" s="77"/>
      <c r="CH217" s="77"/>
      <c r="CI217" s="77"/>
      <c r="CJ217" s="77"/>
      <c r="CK217" s="77"/>
      <c r="CL217" s="77"/>
      <c r="CM217" s="77"/>
      <c r="CN217" s="77"/>
      <c r="CO217" s="77"/>
      <c r="CP217" s="77"/>
      <c r="CQ217" s="77"/>
      <c r="CR217" s="77"/>
      <c r="CS217" s="77"/>
      <c r="CT217" s="77"/>
      <c r="CU217" s="77"/>
      <c r="CV217" s="77"/>
      <c r="CW217" s="77"/>
      <c r="CX217" s="77"/>
      <c r="CY217" s="77"/>
      <c r="CZ217" s="77"/>
      <c r="DA217" s="77"/>
    </row>
    <row r="218" spans="1:107">
      <c r="A218" s="77"/>
      <c r="B218" s="77"/>
      <c r="C218" s="547" t="s">
        <v>246</v>
      </c>
      <c r="D218" s="77"/>
      <c r="E218" s="459">
        <v>5011</v>
      </c>
      <c r="F218" s="460">
        <v>4906</v>
      </c>
      <c r="G218" s="460">
        <v>4860</v>
      </c>
      <c r="H218" s="405">
        <f>I218</f>
        <v>4914</v>
      </c>
      <c r="I218" s="462">
        <v>4914</v>
      </c>
      <c r="J218" s="459">
        <v>4868</v>
      </c>
      <c r="K218" s="460">
        <v>5120</v>
      </c>
      <c r="L218" s="460">
        <v>5484</v>
      </c>
      <c r="M218" s="405">
        <f>N218</f>
        <v>5428</v>
      </c>
      <c r="N218" s="462">
        <v>5428</v>
      </c>
      <c r="O218" s="459">
        <v>5383</v>
      </c>
      <c r="P218" s="460">
        <v>5333</v>
      </c>
      <c r="Q218" s="460">
        <v>5533</v>
      </c>
      <c r="R218" s="405">
        <f>S218</f>
        <v>5209</v>
      </c>
      <c r="S218" s="462">
        <v>5209</v>
      </c>
      <c r="T218" s="459">
        <v>5160</v>
      </c>
      <c r="U218" s="460">
        <v>5549</v>
      </c>
      <c r="V218" s="460">
        <v>5529</v>
      </c>
      <c r="W218" s="405">
        <f>X218</f>
        <v>5517</v>
      </c>
      <c r="X218" s="462">
        <f>4566+725+226</f>
        <v>5517</v>
      </c>
      <c r="Y218" s="459">
        <f>4909+575+229</f>
        <v>5713</v>
      </c>
      <c r="Z218" s="460">
        <f>5350+575+232</f>
        <v>6157</v>
      </c>
      <c r="AA218" s="460">
        <f>5392+775+235</f>
        <v>6402</v>
      </c>
      <c r="AB218" s="395">
        <f>AC218</f>
        <v>6062</v>
      </c>
      <c r="AC218" s="462">
        <f>5325+500+237</f>
        <v>6062</v>
      </c>
      <c r="AD218" s="459">
        <f>500+242+5267</f>
        <v>6009</v>
      </c>
      <c r="AE218" s="460">
        <f>800+251+5398</f>
        <v>6449</v>
      </c>
      <c r="AF218" s="460">
        <f>5831+300+258</f>
        <v>6389</v>
      </c>
      <c r="AG218" s="395">
        <f>AH218</f>
        <v>6571</v>
      </c>
      <c r="AH218" s="462">
        <f>6012+300+259</f>
        <v>6571</v>
      </c>
      <c r="AI218" s="459">
        <f>5841+471+201</f>
        <v>6513</v>
      </c>
      <c r="AJ218" s="460">
        <f>171+134+6440</f>
        <v>6745</v>
      </c>
      <c r="AK218" s="460">
        <f>171+68+6441</f>
        <v>6680</v>
      </c>
      <c r="AL218" s="395">
        <f>AM218</f>
        <v>6821</v>
      </c>
      <c r="AM218" s="462">
        <f>171+6650</f>
        <v>6821</v>
      </c>
      <c r="AN218" s="459">
        <v>7492</v>
      </c>
      <c r="AO218" s="460">
        <f>100+7394</f>
        <v>7494</v>
      </c>
      <c r="AP218" s="460">
        <v>7816</v>
      </c>
      <c r="AQ218" s="395">
        <f>AR218</f>
        <v>7818</v>
      </c>
      <c r="AR218" s="462">
        <v>7818</v>
      </c>
      <c r="AS218" s="459">
        <v>7819</v>
      </c>
      <c r="AT218" s="460">
        <f>7842+400</f>
        <v>8242</v>
      </c>
      <c r="AU218" s="460">
        <f>750+7493</f>
        <v>8243</v>
      </c>
      <c r="AV218" s="395">
        <f>AW218</f>
        <v>8591</v>
      </c>
      <c r="AW218" s="462">
        <f>7841+750</f>
        <v>8591</v>
      </c>
      <c r="AX218" s="394">
        <f>+AW218+AX200+AX201+AX155</f>
        <v>8591</v>
      </c>
      <c r="AY218" s="342">
        <f>+AX218+AY200+AY201+AY155</f>
        <v>9441</v>
      </c>
      <c r="AZ218" s="342">
        <f>+AY218+AZ200+AZ201+AZ155</f>
        <v>9441</v>
      </c>
      <c r="BA218" s="395">
        <f>+AZ218+BA200+BA201+BA155</f>
        <v>9441</v>
      </c>
      <c r="BB218" s="77">
        <f>BA218</f>
        <v>9441</v>
      </c>
      <c r="BC218" s="394">
        <f>+BB218+BC200+BC201+BC155</f>
        <v>9441</v>
      </c>
      <c r="BD218" s="342">
        <f>+BC218+BD200+BD201+BD155</f>
        <v>10691</v>
      </c>
      <c r="BE218" s="342">
        <f>+BD218+BE200+BE201+BE155</f>
        <v>10441</v>
      </c>
      <c r="BF218" s="395">
        <f>+BE218+BF200+BF201+BF155</f>
        <v>10441</v>
      </c>
      <c r="BG218" s="77">
        <f>BF218</f>
        <v>10441</v>
      </c>
      <c r="BH218" s="394">
        <f>+BG218+BH200+BH201+BH155</f>
        <v>10441</v>
      </c>
      <c r="BI218" s="342">
        <f>+BH218+BI200+BI201+BI155</f>
        <v>11591</v>
      </c>
      <c r="BJ218" s="342">
        <f>+BI218+BJ200+BJ201+BJ155</f>
        <v>11591</v>
      </c>
      <c r="BK218" s="395">
        <f>+BJ218+BK200+BK201+BK155</f>
        <v>11582</v>
      </c>
      <c r="BL218" s="77">
        <f>BK218</f>
        <v>11582</v>
      </c>
      <c r="BM218" s="394">
        <f>+BL218+BM200+BM201+BM155</f>
        <v>11282</v>
      </c>
      <c r="BN218" s="342">
        <f>+BM218+BN200+BN201+BN155</f>
        <v>12248</v>
      </c>
      <c r="BO218" s="342">
        <f>+BN218+BO200+BO201+BO155</f>
        <v>12248</v>
      </c>
      <c r="BP218" s="395">
        <f>+BO218+BP200+BP201+BP155</f>
        <v>12248</v>
      </c>
      <c r="BQ218" s="77">
        <f>BP218</f>
        <v>12248</v>
      </c>
      <c r="BR218" s="77"/>
      <c r="BS218" s="77"/>
      <c r="BT218" s="77"/>
      <c r="BU218" s="77"/>
      <c r="BV218" s="77"/>
      <c r="BW218" s="77"/>
      <c r="BX218" s="77"/>
      <c r="BY218" s="77"/>
      <c r="BZ218" s="77"/>
      <c r="CA218" s="77"/>
      <c r="CB218" s="77"/>
      <c r="CC218" s="77"/>
      <c r="CD218" s="77"/>
      <c r="CE218" s="77"/>
      <c r="CF218" s="77"/>
      <c r="CG218" s="77"/>
      <c r="CH218" s="77"/>
      <c r="CI218" s="77"/>
      <c r="CJ218" s="77"/>
      <c r="CK218" s="77"/>
      <c r="CL218" s="77"/>
      <c r="CM218" s="77"/>
      <c r="CN218" s="77"/>
      <c r="CO218" s="77"/>
      <c r="CP218" s="77"/>
      <c r="CQ218" s="77"/>
      <c r="CR218" s="77"/>
      <c r="CS218" s="77"/>
      <c r="CT218" s="77"/>
      <c r="CU218" s="77"/>
      <c r="CV218" s="77"/>
      <c r="CW218" s="77"/>
      <c r="CX218" s="77"/>
      <c r="CY218" s="77"/>
      <c r="CZ218" s="77"/>
      <c r="DA218" s="77"/>
    </row>
    <row r="219" spans="1:107">
      <c r="A219" s="77"/>
      <c r="B219" s="77"/>
      <c r="C219" s="545" t="s">
        <v>432</v>
      </c>
      <c r="D219" s="77"/>
      <c r="E219" s="396">
        <f>SUM(E217:E218)</f>
        <v>5011</v>
      </c>
      <c r="F219" s="343">
        <f>SUM(F217:F218)</f>
        <v>4906</v>
      </c>
      <c r="G219" s="343">
        <f>SUM(G217:G218)</f>
        <v>4860</v>
      </c>
      <c r="H219" s="397">
        <f>+I219</f>
        <v>4914</v>
      </c>
      <c r="I219" s="297">
        <f>SUM(I217:I218)</f>
        <v>4914</v>
      </c>
      <c r="J219" s="396">
        <f>SUM(J217:J218)</f>
        <v>4868</v>
      </c>
      <c r="K219" s="343">
        <f>SUM(K217:K218)</f>
        <v>5120</v>
      </c>
      <c r="L219" s="343">
        <f>SUM(L217:L218)</f>
        <v>5484</v>
      </c>
      <c r="M219" s="397">
        <f>+N219</f>
        <v>5428</v>
      </c>
      <c r="N219" s="297">
        <f t="shared" ref="N219:AA219" si="257">SUM(N217:N218)</f>
        <v>5428</v>
      </c>
      <c r="O219" s="396">
        <f t="shared" si="257"/>
        <v>5383</v>
      </c>
      <c r="P219" s="343">
        <f t="shared" si="257"/>
        <v>5333</v>
      </c>
      <c r="Q219" s="343">
        <f t="shared" si="257"/>
        <v>5533</v>
      </c>
      <c r="R219" s="397">
        <f t="shared" si="257"/>
        <v>5209</v>
      </c>
      <c r="S219" s="297">
        <f t="shared" si="257"/>
        <v>5209</v>
      </c>
      <c r="T219" s="396">
        <f t="shared" si="257"/>
        <v>5160</v>
      </c>
      <c r="U219" s="343">
        <f t="shared" si="257"/>
        <v>5549</v>
      </c>
      <c r="V219" s="343">
        <f t="shared" si="257"/>
        <v>5529</v>
      </c>
      <c r="W219" s="397">
        <f t="shared" si="257"/>
        <v>5780</v>
      </c>
      <c r="X219" s="297">
        <f t="shared" si="257"/>
        <v>5780</v>
      </c>
      <c r="Y219" s="396">
        <f t="shared" si="257"/>
        <v>5878</v>
      </c>
      <c r="Z219" s="343">
        <f t="shared" si="257"/>
        <v>6314</v>
      </c>
      <c r="AA219" s="343">
        <f t="shared" si="257"/>
        <v>6402</v>
      </c>
      <c r="AB219" s="397">
        <f t="shared" ref="AB219:AI219" si="258">SUM(AB217:AB218)</f>
        <v>6122</v>
      </c>
      <c r="AC219" s="297">
        <f t="shared" si="258"/>
        <v>6122</v>
      </c>
      <c r="AD219" s="396">
        <f t="shared" si="258"/>
        <v>6009</v>
      </c>
      <c r="AE219" s="343">
        <f t="shared" si="258"/>
        <v>6449</v>
      </c>
      <c r="AF219" s="343">
        <f t="shared" si="258"/>
        <v>6389</v>
      </c>
      <c r="AG219" s="397">
        <f t="shared" si="258"/>
        <v>6571</v>
      </c>
      <c r="AH219" s="297">
        <f t="shared" si="258"/>
        <v>6571</v>
      </c>
      <c r="AI219" s="396">
        <f t="shared" si="258"/>
        <v>6513</v>
      </c>
      <c r="AJ219" s="343">
        <f t="shared" ref="AJ219:AO219" si="259">SUM(AJ217:AJ218)</f>
        <v>6745</v>
      </c>
      <c r="AK219" s="343">
        <f t="shared" si="259"/>
        <v>6700</v>
      </c>
      <c r="AL219" s="397">
        <f t="shared" si="259"/>
        <v>6974</v>
      </c>
      <c r="AM219" s="297">
        <f t="shared" si="259"/>
        <v>6974</v>
      </c>
      <c r="AN219" s="396">
        <f t="shared" si="259"/>
        <v>7492</v>
      </c>
      <c r="AO219" s="343">
        <f t="shared" si="259"/>
        <v>7494</v>
      </c>
      <c r="AP219" s="343">
        <f t="shared" ref="AP219:BB219" si="260">SUM(AP217:AP218)</f>
        <v>7816</v>
      </c>
      <c r="AQ219" s="397">
        <f t="shared" si="260"/>
        <v>7818</v>
      </c>
      <c r="AR219" s="297">
        <f t="shared" si="260"/>
        <v>7818</v>
      </c>
      <c r="AS219" s="396">
        <f t="shared" si="260"/>
        <v>7819</v>
      </c>
      <c r="AT219" s="343">
        <f t="shared" si="260"/>
        <v>8242</v>
      </c>
      <c r="AU219" s="343">
        <f t="shared" si="260"/>
        <v>8243</v>
      </c>
      <c r="AV219" s="397">
        <f t="shared" si="260"/>
        <v>8591</v>
      </c>
      <c r="AW219" s="297">
        <f t="shared" si="260"/>
        <v>8591</v>
      </c>
      <c r="AX219" s="396">
        <f t="shared" si="260"/>
        <v>8610.78986310043</v>
      </c>
      <c r="AY219" s="343">
        <f t="shared" si="260"/>
        <v>9441</v>
      </c>
      <c r="AZ219" s="343">
        <f t="shared" si="260"/>
        <v>9441</v>
      </c>
      <c r="BA219" s="397">
        <f t="shared" si="260"/>
        <v>9661.5613593344769</v>
      </c>
      <c r="BB219" s="297">
        <f t="shared" si="260"/>
        <v>9661.5613593344769</v>
      </c>
      <c r="BC219" s="396">
        <f t="shared" ref="BC219:BL219" si="261">SUM(BC217:BC218)</f>
        <v>9862.3651263636966</v>
      </c>
      <c r="BD219" s="343">
        <f t="shared" si="261"/>
        <v>10691</v>
      </c>
      <c r="BE219" s="343">
        <f t="shared" si="261"/>
        <v>10491.047021566008</v>
      </c>
      <c r="BF219" s="397">
        <f t="shared" si="261"/>
        <v>10784.18259753082</v>
      </c>
      <c r="BG219" s="297">
        <f t="shared" si="261"/>
        <v>10784.18259753082</v>
      </c>
      <c r="BH219" s="396">
        <f t="shared" si="261"/>
        <v>10964.397938397437</v>
      </c>
      <c r="BI219" s="343">
        <f t="shared" si="261"/>
        <v>11591</v>
      </c>
      <c r="BJ219" s="343">
        <f t="shared" si="261"/>
        <v>11591</v>
      </c>
      <c r="BK219" s="397">
        <f t="shared" si="261"/>
        <v>11832.6499378104</v>
      </c>
      <c r="BL219" s="297">
        <f t="shared" si="261"/>
        <v>11832.6499378104</v>
      </c>
      <c r="BM219" s="396">
        <f>SUM(BM217:BM218)</f>
        <v>11949.991665699272</v>
      </c>
      <c r="BN219" s="343">
        <f>SUM(BN217:BN218)</f>
        <v>12248</v>
      </c>
      <c r="BO219" s="343">
        <f>SUM(BO217:BO218)</f>
        <v>12415.080023511866</v>
      </c>
      <c r="BP219" s="397">
        <f>SUM(BP217:BP218)</f>
        <v>12620.479689274118</v>
      </c>
      <c r="BQ219" s="297">
        <f>SUM(BQ217:BQ218)</f>
        <v>12620.479689274118</v>
      </c>
      <c r="BR219" s="297"/>
      <c r="BS219" s="77"/>
      <c r="BT219" s="77"/>
      <c r="BU219" s="77"/>
      <c r="BV219" s="77"/>
      <c r="BW219" s="77"/>
      <c r="BX219" s="77"/>
      <c r="BY219" s="77"/>
      <c r="BZ219" s="77"/>
      <c r="CA219" s="77"/>
      <c r="CB219" s="77"/>
      <c r="CC219" s="77"/>
      <c r="CD219" s="77"/>
      <c r="CE219" s="77"/>
      <c r="CF219" s="77"/>
      <c r="CG219" s="77"/>
      <c r="CH219" s="77"/>
      <c r="CI219" s="77"/>
      <c r="CJ219" s="77"/>
      <c r="CK219" s="77"/>
      <c r="CL219" s="77"/>
      <c r="CM219" s="77"/>
      <c r="CN219" s="77"/>
      <c r="CO219" s="77"/>
      <c r="CP219" s="77"/>
      <c r="CQ219" s="77"/>
      <c r="CR219" s="77"/>
      <c r="CS219" s="77"/>
      <c r="CT219" s="77"/>
      <c r="CU219" s="77"/>
      <c r="CV219" s="77"/>
      <c r="CW219" s="77"/>
      <c r="CX219" s="77"/>
      <c r="CY219" s="77"/>
      <c r="CZ219" s="77"/>
      <c r="DA219" s="77"/>
    </row>
    <row r="220" spans="1:107">
      <c r="A220" s="290"/>
      <c r="B220" s="290"/>
      <c r="C220" s="546" t="s">
        <v>656</v>
      </c>
      <c r="D220" s="290"/>
      <c r="E220" s="369">
        <f t="shared" ref="E220:AA220" si="262">+E219/E229</f>
        <v>0.56551179325132606</v>
      </c>
      <c r="F220" s="330">
        <f t="shared" si="262"/>
        <v>0.54209944751381212</v>
      </c>
      <c r="G220" s="330">
        <f t="shared" si="262"/>
        <v>0.53453585569731632</v>
      </c>
      <c r="H220" s="370">
        <f t="shared" si="262"/>
        <v>0.53326098752034723</v>
      </c>
      <c r="I220" s="289">
        <f t="shared" si="262"/>
        <v>0.53326098752034723</v>
      </c>
      <c r="J220" s="369">
        <f t="shared" si="262"/>
        <v>0.52878557462524445</v>
      </c>
      <c r="K220" s="330">
        <f t="shared" si="262"/>
        <v>0.54111181568378774</v>
      </c>
      <c r="L220" s="330">
        <f t="shared" si="262"/>
        <v>0.55816793893129768</v>
      </c>
      <c r="M220" s="370">
        <f t="shared" si="262"/>
        <v>0.55095412099066177</v>
      </c>
      <c r="N220" s="289">
        <f t="shared" si="262"/>
        <v>0.55095412099066177</v>
      </c>
      <c r="O220" s="369">
        <f t="shared" si="262"/>
        <v>0.53986561026978241</v>
      </c>
      <c r="P220" s="330">
        <f t="shared" si="262"/>
        <v>0.5319170157590265</v>
      </c>
      <c r="Q220" s="330">
        <f t="shared" si="262"/>
        <v>0.53299296792216544</v>
      </c>
      <c r="R220" s="370">
        <f t="shared" si="262"/>
        <v>0.52851055194805197</v>
      </c>
      <c r="S220" s="289">
        <f t="shared" si="262"/>
        <v>0.52851055194805197</v>
      </c>
      <c r="T220" s="369">
        <f t="shared" si="262"/>
        <v>0.51584524642607221</v>
      </c>
      <c r="U220" s="330">
        <f t="shared" si="262"/>
        <v>0.52882874297150484</v>
      </c>
      <c r="V220" s="330">
        <f t="shared" si="262"/>
        <v>0.5201806378775049</v>
      </c>
      <c r="W220" s="370">
        <f t="shared" si="262"/>
        <v>0.52761296211775444</v>
      </c>
      <c r="X220" s="289">
        <f t="shared" si="262"/>
        <v>0.52761296211775444</v>
      </c>
      <c r="Y220" s="369">
        <f t="shared" si="262"/>
        <v>0.51870808330391815</v>
      </c>
      <c r="Z220" s="330">
        <f t="shared" si="262"/>
        <v>0.53112382234185729</v>
      </c>
      <c r="AA220" s="330">
        <f t="shared" si="262"/>
        <v>0.52717391304347827</v>
      </c>
      <c r="AB220" s="370">
        <f t="shared" ref="AB220:AI220" si="263">+AB219/AB229</f>
        <v>0.50982678214523647</v>
      </c>
      <c r="AC220" s="289">
        <f t="shared" si="263"/>
        <v>0.50982678214523647</v>
      </c>
      <c r="AD220" s="369">
        <f t="shared" si="263"/>
        <v>0.48917290784760664</v>
      </c>
      <c r="AE220" s="330">
        <f t="shared" si="263"/>
        <v>0.50089320388349512</v>
      </c>
      <c r="AF220" s="330">
        <f t="shared" si="263"/>
        <v>0.49085740626920715</v>
      </c>
      <c r="AG220" s="370">
        <f t="shared" si="263"/>
        <v>0.49191495732894147</v>
      </c>
      <c r="AH220" s="289">
        <f t="shared" si="263"/>
        <v>0.49191495732894147</v>
      </c>
      <c r="AI220" s="369">
        <f t="shared" si="263"/>
        <v>0.48094816127603013</v>
      </c>
      <c r="AJ220" s="330">
        <f t="shared" ref="AJ220:AR220" si="264">+AJ219/AJ229</f>
        <v>0.48385939741750361</v>
      </c>
      <c r="AK220" s="330">
        <f t="shared" si="264"/>
        <v>0.47460508606644469</v>
      </c>
      <c r="AL220" s="370">
        <f t="shared" si="264"/>
        <v>0.47941156252148209</v>
      </c>
      <c r="AM220" s="289">
        <f t="shared" si="264"/>
        <v>0.47941156252148209</v>
      </c>
      <c r="AN220" s="369">
        <f t="shared" si="264"/>
        <v>0.48881059568082469</v>
      </c>
      <c r="AO220" s="330">
        <f t="shared" si="264"/>
        <v>0.48320330130891742</v>
      </c>
      <c r="AP220" s="330">
        <f t="shared" si="264"/>
        <v>0.48588835011811515</v>
      </c>
      <c r="AQ220" s="370">
        <f t="shared" si="264"/>
        <v>0.47295825771324862</v>
      </c>
      <c r="AR220" s="289">
        <f t="shared" si="264"/>
        <v>0.47295825771324862</v>
      </c>
      <c r="AS220" s="369">
        <f t="shared" ref="AS220:BB220" si="265">+AS219/AS229</f>
        <v>0.46461465327708124</v>
      </c>
      <c r="AT220" s="330">
        <f t="shared" si="265"/>
        <v>0.47205040091638029</v>
      </c>
      <c r="AU220" s="330">
        <f t="shared" si="265"/>
        <v>0.46161169289354315</v>
      </c>
      <c r="AV220" s="370">
        <f t="shared" si="265"/>
        <v>0.46626865671641793</v>
      </c>
      <c r="AW220" s="289">
        <f t="shared" si="265"/>
        <v>0.46626865671641793</v>
      </c>
      <c r="AX220" s="369">
        <f t="shared" si="265"/>
        <v>0.46043386641268796</v>
      </c>
      <c r="AY220" s="330">
        <f t="shared" si="265"/>
        <v>0.48000751132381947</v>
      </c>
      <c r="AZ220" s="330">
        <f t="shared" si="265"/>
        <v>0.47338178720625718</v>
      </c>
      <c r="BA220" s="370">
        <f t="shared" si="265"/>
        <v>0.48392674048918782</v>
      </c>
      <c r="BB220" s="289">
        <f t="shared" si="265"/>
        <v>0.48392674048918782</v>
      </c>
      <c r="BC220" s="369">
        <f t="shared" ref="BC220:BL220" si="266">+BC219/BC229</f>
        <v>0.48150767798057664</v>
      </c>
      <c r="BD220" s="330">
        <f t="shared" si="266"/>
        <v>0.49716338505882235</v>
      </c>
      <c r="BE220" s="330">
        <f t="shared" si="266"/>
        <v>0.48803606344905298</v>
      </c>
      <c r="BF220" s="370">
        <f t="shared" si="266"/>
        <v>0.49023875306229281</v>
      </c>
      <c r="BG220" s="289">
        <f t="shared" si="266"/>
        <v>0.49023875306229281</v>
      </c>
      <c r="BH220" s="369">
        <f t="shared" si="266"/>
        <v>0.48680192440670483</v>
      </c>
      <c r="BI220" s="330">
        <f t="shared" si="266"/>
        <v>0.49595797708580674</v>
      </c>
      <c r="BJ220" s="330">
        <f t="shared" si="266"/>
        <v>0.49125041703556349</v>
      </c>
      <c r="BK220" s="370">
        <f t="shared" si="266"/>
        <v>0.49144110073515873</v>
      </c>
      <c r="BL220" s="289">
        <f t="shared" si="266"/>
        <v>0.49144110073515873</v>
      </c>
      <c r="BM220" s="369">
        <f>+BM219/BM229</f>
        <v>0.48815141037469445</v>
      </c>
      <c r="BN220" s="330">
        <f>+BN219/BN229</f>
        <v>0.49114219411388366</v>
      </c>
      <c r="BO220" s="330">
        <f>+BO219/BO229</f>
        <v>0.49123033663562432</v>
      </c>
      <c r="BP220" s="370">
        <f>+BP219/BP229</f>
        <v>0.49171968429355178</v>
      </c>
      <c r="BQ220" s="289">
        <f>+BQ219/BQ229</f>
        <v>0.49171968429355178</v>
      </c>
      <c r="BR220" s="289"/>
      <c r="BS220" s="290"/>
      <c r="BT220" s="290"/>
      <c r="BU220" s="290"/>
      <c r="BV220" s="290"/>
      <c r="BW220" s="290"/>
      <c r="BX220" s="290"/>
      <c r="BY220" s="290"/>
      <c r="BZ220" s="290"/>
      <c r="CA220" s="290"/>
      <c r="CB220" s="290"/>
      <c r="CC220" s="290"/>
      <c r="CD220" s="290"/>
      <c r="CE220" s="290"/>
      <c r="CF220" s="290"/>
      <c r="CG220" s="290"/>
      <c r="CH220" s="290"/>
      <c r="CI220" s="290"/>
      <c r="CJ220" s="290"/>
      <c r="CK220" s="290"/>
      <c r="CL220" s="290"/>
      <c r="CM220" s="290"/>
      <c r="CN220" s="290"/>
      <c r="CO220" s="290"/>
      <c r="CP220" s="290"/>
      <c r="CQ220" s="290"/>
      <c r="CR220" s="290"/>
      <c r="CS220" s="290"/>
      <c r="CT220" s="290"/>
      <c r="CU220" s="290"/>
      <c r="CV220" s="290"/>
      <c r="CW220" s="290"/>
      <c r="CX220" s="290"/>
      <c r="CY220" s="290"/>
      <c r="CZ220" s="290"/>
      <c r="DA220" s="290"/>
    </row>
    <row r="221" spans="1:107">
      <c r="A221" s="538"/>
      <c r="B221" s="538"/>
      <c r="C221" s="776"/>
      <c r="D221" s="538"/>
      <c r="E221" s="805"/>
      <c r="F221" s="806"/>
      <c r="G221" s="806"/>
      <c r="H221" s="807"/>
      <c r="I221" s="538"/>
      <c r="J221" s="805"/>
      <c r="K221" s="806"/>
      <c r="L221" s="806"/>
      <c r="M221" s="807"/>
      <c r="N221" s="538"/>
      <c r="O221" s="805"/>
      <c r="P221" s="806"/>
      <c r="Q221" s="806"/>
      <c r="R221" s="807"/>
      <c r="S221" s="538"/>
      <c r="T221" s="805"/>
      <c r="U221" s="806"/>
      <c r="V221" s="806"/>
      <c r="W221" s="807"/>
      <c r="X221" s="538"/>
      <c r="Y221" s="805"/>
      <c r="Z221" s="806"/>
      <c r="AA221" s="806"/>
      <c r="AB221" s="807"/>
      <c r="AC221" s="538"/>
      <c r="AD221" s="805"/>
      <c r="AE221" s="806"/>
      <c r="AF221" s="806"/>
      <c r="AG221" s="807"/>
      <c r="AH221" s="538"/>
      <c r="AI221" s="805"/>
      <c r="AJ221" s="806"/>
      <c r="AK221" s="806"/>
      <c r="AL221" s="807"/>
      <c r="AM221" s="538"/>
      <c r="AN221" s="805"/>
      <c r="AO221" s="806"/>
      <c r="AP221" s="806"/>
      <c r="AQ221" s="807"/>
      <c r="AR221" s="538"/>
      <c r="AS221" s="805"/>
      <c r="AT221" s="806"/>
      <c r="AU221" s="806"/>
      <c r="AV221" s="807"/>
      <c r="AW221" s="538"/>
      <c r="AX221" s="805"/>
      <c r="AY221" s="806"/>
      <c r="AZ221" s="806"/>
      <c r="BA221" s="807"/>
      <c r="BB221" s="538"/>
      <c r="BC221" s="805"/>
      <c r="BD221" s="806"/>
      <c r="BE221" s="806"/>
      <c r="BF221" s="807"/>
      <c r="BG221" s="538"/>
      <c r="BH221" s="805"/>
      <c r="BI221" s="806"/>
      <c r="BJ221" s="806"/>
      <c r="BK221" s="807"/>
      <c r="BL221" s="538"/>
      <c r="BM221" s="805"/>
      <c r="BN221" s="806"/>
      <c r="BO221" s="806"/>
      <c r="BP221" s="807"/>
      <c r="BQ221" s="538"/>
      <c r="BR221" s="538"/>
      <c r="BS221" s="538"/>
      <c r="BT221" s="538"/>
      <c r="BU221" s="538"/>
      <c r="BV221" s="538"/>
      <c r="BW221" s="538"/>
      <c r="BX221" s="538"/>
      <c r="BY221" s="538"/>
      <c r="BZ221" s="538"/>
      <c r="CA221" s="538"/>
      <c r="CB221" s="538"/>
      <c r="CC221" s="538"/>
      <c r="CD221" s="538"/>
      <c r="CE221" s="538"/>
      <c r="CF221" s="538"/>
      <c r="CG221" s="538"/>
      <c r="CH221" s="538"/>
      <c r="CI221" s="538"/>
      <c r="CJ221" s="538"/>
      <c r="CK221" s="538"/>
      <c r="CL221" s="538"/>
      <c r="CM221" s="538"/>
      <c r="CN221" s="538"/>
      <c r="CO221" s="538"/>
      <c r="CP221" s="538"/>
      <c r="CQ221" s="538"/>
      <c r="CR221" s="538"/>
      <c r="CS221" s="538"/>
      <c r="CT221" s="538"/>
      <c r="CU221" s="538"/>
      <c r="CV221" s="538"/>
      <c r="CW221" s="538"/>
      <c r="CX221" s="538"/>
      <c r="CY221" s="538"/>
      <c r="CZ221" s="538"/>
      <c r="DA221" s="538"/>
    </row>
    <row r="222" spans="1:107">
      <c r="A222" s="297"/>
      <c r="B222" s="297"/>
      <c r="C222" s="545" t="s">
        <v>655</v>
      </c>
      <c r="D222" s="297"/>
      <c r="E222" s="456">
        <v>80</v>
      </c>
      <c r="F222" s="457">
        <v>80</v>
      </c>
      <c r="G222" s="457">
        <v>80</v>
      </c>
      <c r="H222" s="395">
        <f>I222</f>
        <v>80</v>
      </c>
      <c r="I222" s="590">
        <v>80</v>
      </c>
      <c r="J222" s="456">
        <v>0</v>
      </c>
      <c r="K222" s="457">
        <v>0</v>
      </c>
      <c r="L222" s="457">
        <v>0</v>
      </c>
      <c r="M222" s="395">
        <f>N222</f>
        <v>0</v>
      </c>
      <c r="N222" s="590">
        <v>0</v>
      </c>
      <c r="O222" s="456">
        <v>0</v>
      </c>
      <c r="P222" s="457">
        <v>0</v>
      </c>
      <c r="Q222" s="457">
        <v>0</v>
      </c>
      <c r="R222" s="395">
        <v>0</v>
      </c>
      <c r="S222" s="77">
        <v>0</v>
      </c>
      <c r="T222" s="456">
        <v>0</v>
      </c>
      <c r="U222" s="457">
        <v>0</v>
      </c>
      <c r="V222" s="457">
        <v>0</v>
      </c>
      <c r="W222" s="395">
        <v>0</v>
      </c>
      <c r="X222" s="77">
        <v>0</v>
      </c>
      <c r="Y222" s="459">
        <v>0</v>
      </c>
      <c r="Z222" s="460">
        <v>0</v>
      </c>
      <c r="AA222" s="460">
        <v>0</v>
      </c>
      <c r="AB222" s="395">
        <v>0</v>
      </c>
      <c r="AC222" s="77">
        <v>0</v>
      </c>
      <c r="AD222" s="459">
        <v>0</v>
      </c>
      <c r="AE222" s="460">
        <v>0</v>
      </c>
      <c r="AF222" s="460">
        <v>0</v>
      </c>
      <c r="AG222" s="395">
        <v>0</v>
      </c>
      <c r="AH222" s="77">
        <v>0</v>
      </c>
      <c r="AI222" s="459">
        <v>0</v>
      </c>
      <c r="AJ222" s="460">
        <v>0</v>
      </c>
      <c r="AK222" s="460">
        <v>0</v>
      </c>
      <c r="AL222" s="395">
        <v>0</v>
      </c>
      <c r="AM222" s="462">
        <v>0</v>
      </c>
      <c r="AN222" s="459">
        <v>0</v>
      </c>
      <c r="AO222" s="460">
        <v>0</v>
      </c>
      <c r="AP222" s="460">
        <v>0</v>
      </c>
      <c r="AQ222" s="395">
        <v>0</v>
      </c>
      <c r="AR222" s="462">
        <v>0</v>
      </c>
      <c r="AS222" s="459">
        <v>0</v>
      </c>
      <c r="AT222" s="460">
        <v>0</v>
      </c>
      <c r="AU222" s="460">
        <v>0</v>
      </c>
      <c r="AV222" s="395">
        <v>0</v>
      </c>
      <c r="AW222" s="462">
        <v>0</v>
      </c>
      <c r="AX222" s="394">
        <v>0</v>
      </c>
      <c r="AY222" s="342">
        <v>0</v>
      </c>
      <c r="AZ222" s="342">
        <v>0</v>
      </c>
      <c r="BA222" s="395">
        <v>0</v>
      </c>
      <c r="BB222" s="77">
        <v>0</v>
      </c>
      <c r="BC222" s="394">
        <v>0</v>
      </c>
      <c r="BD222" s="342">
        <v>0</v>
      </c>
      <c r="BE222" s="342">
        <v>0</v>
      </c>
      <c r="BF222" s="395">
        <v>0</v>
      </c>
      <c r="BG222" s="77">
        <v>0</v>
      </c>
      <c r="BH222" s="394">
        <v>0</v>
      </c>
      <c r="BI222" s="342">
        <v>0</v>
      </c>
      <c r="BJ222" s="342">
        <v>0</v>
      </c>
      <c r="BK222" s="395">
        <v>0</v>
      </c>
      <c r="BL222" s="77">
        <v>0</v>
      </c>
      <c r="BM222" s="394">
        <v>0</v>
      </c>
      <c r="BN222" s="342">
        <v>0</v>
      </c>
      <c r="BO222" s="342">
        <v>0</v>
      </c>
      <c r="BP222" s="395">
        <v>0</v>
      </c>
      <c r="BQ222" s="77">
        <v>0</v>
      </c>
      <c r="BR222" s="77"/>
      <c r="BS222" s="297"/>
      <c r="BT222" s="297"/>
      <c r="BU222" s="297"/>
      <c r="BV222" s="297"/>
      <c r="BW222" s="297"/>
      <c r="BX222" s="297"/>
      <c r="BY222" s="297"/>
      <c r="BZ222" s="297"/>
      <c r="CA222" s="297"/>
      <c r="CB222" s="297"/>
      <c r="CC222" s="297"/>
      <c r="CD222" s="297"/>
      <c r="CE222" s="297"/>
      <c r="CF222" s="297"/>
      <c r="CG222" s="297"/>
      <c r="CH222" s="297"/>
      <c r="CI222" s="297"/>
      <c r="CJ222" s="297"/>
      <c r="CK222" s="297"/>
      <c r="CL222" s="297"/>
      <c r="CM222" s="297"/>
      <c r="CN222" s="297"/>
      <c r="CO222" s="297"/>
      <c r="CP222" s="297"/>
      <c r="CQ222" s="297"/>
      <c r="CR222" s="297"/>
      <c r="CS222" s="297"/>
      <c r="CT222" s="297"/>
      <c r="CU222" s="297"/>
      <c r="CV222" s="297"/>
      <c r="CW222" s="297"/>
      <c r="CX222" s="297"/>
      <c r="CY222" s="297"/>
      <c r="CZ222" s="297"/>
      <c r="DA222" s="297"/>
    </row>
    <row r="223" spans="1:107">
      <c r="A223" s="290"/>
      <c r="B223" s="290"/>
      <c r="C223" s="546" t="s">
        <v>656</v>
      </c>
      <c r="D223" s="290"/>
      <c r="E223" s="369">
        <f t="shared" ref="E223:AA223" si="267">+E222/E229</f>
        <v>9.0283263739984205E-3</v>
      </c>
      <c r="F223" s="330">
        <f t="shared" si="267"/>
        <v>8.8397790055248626E-3</v>
      </c>
      <c r="G223" s="330">
        <f t="shared" si="267"/>
        <v>8.7989441267047955E-3</v>
      </c>
      <c r="H223" s="370">
        <f t="shared" si="267"/>
        <v>8.6814975583288118E-3</v>
      </c>
      <c r="I223" s="289">
        <f t="shared" si="267"/>
        <v>8.6814975583288118E-3</v>
      </c>
      <c r="J223" s="369">
        <f t="shared" si="267"/>
        <v>0</v>
      </c>
      <c r="K223" s="330">
        <f t="shared" si="267"/>
        <v>0</v>
      </c>
      <c r="L223" s="330">
        <f t="shared" si="267"/>
        <v>0</v>
      </c>
      <c r="M223" s="370">
        <f t="shared" si="267"/>
        <v>0</v>
      </c>
      <c r="N223" s="289">
        <f t="shared" si="267"/>
        <v>0</v>
      </c>
      <c r="O223" s="369">
        <f t="shared" si="267"/>
        <v>0</v>
      </c>
      <c r="P223" s="330">
        <f t="shared" si="267"/>
        <v>0</v>
      </c>
      <c r="Q223" s="330">
        <f t="shared" si="267"/>
        <v>0</v>
      </c>
      <c r="R223" s="370">
        <f t="shared" si="267"/>
        <v>0</v>
      </c>
      <c r="S223" s="289">
        <f t="shared" si="267"/>
        <v>0</v>
      </c>
      <c r="T223" s="369">
        <f t="shared" si="267"/>
        <v>0</v>
      </c>
      <c r="U223" s="330">
        <f t="shared" si="267"/>
        <v>0</v>
      </c>
      <c r="V223" s="330">
        <f t="shared" si="267"/>
        <v>0</v>
      </c>
      <c r="W223" s="370">
        <f t="shared" si="267"/>
        <v>0</v>
      </c>
      <c r="X223" s="289">
        <f t="shared" si="267"/>
        <v>0</v>
      </c>
      <c r="Y223" s="369">
        <f t="shared" si="267"/>
        <v>0</v>
      </c>
      <c r="Z223" s="330">
        <f t="shared" si="267"/>
        <v>0</v>
      </c>
      <c r="AA223" s="330">
        <f t="shared" si="267"/>
        <v>0</v>
      </c>
      <c r="AB223" s="370">
        <f t="shared" ref="AB223:AI223" si="268">+AB222/AB229</f>
        <v>0</v>
      </c>
      <c r="AC223" s="289">
        <f t="shared" si="268"/>
        <v>0</v>
      </c>
      <c r="AD223" s="369">
        <f t="shared" si="268"/>
        <v>0</v>
      </c>
      <c r="AE223" s="330">
        <f t="shared" si="268"/>
        <v>0</v>
      </c>
      <c r="AF223" s="330">
        <f t="shared" si="268"/>
        <v>0</v>
      </c>
      <c r="AG223" s="370">
        <f t="shared" si="268"/>
        <v>0</v>
      </c>
      <c r="AH223" s="289">
        <f t="shared" si="268"/>
        <v>0</v>
      </c>
      <c r="AI223" s="369">
        <f t="shared" si="268"/>
        <v>0</v>
      </c>
      <c r="AJ223" s="330">
        <f t="shared" ref="AJ223:AP223" si="269">+AJ222/AJ229</f>
        <v>0</v>
      </c>
      <c r="AK223" s="330">
        <f t="shared" si="269"/>
        <v>0</v>
      </c>
      <c r="AL223" s="370">
        <f t="shared" si="269"/>
        <v>0</v>
      </c>
      <c r="AM223" s="289">
        <f t="shared" si="269"/>
        <v>0</v>
      </c>
      <c r="AN223" s="369">
        <f t="shared" si="269"/>
        <v>0</v>
      </c>
      <c r="AO223" s="330">
        <f t="shared" si="269"/>
        <v>0</v>
      </c>
      <c r="AP223" s="330">
        <f t="shared" si="269"/>
        <v>0</v>
      </c>
      <c r="AQ223" s="370">
        <f t="shared" ref="AQ223:AW223" si="270">+AQ222/AQ229</f>
        <v>0</v>
      </c>
      <c r="AR223" s="289">
        <f t="shared" si="270"/>
        <v>0</v>
      </c>
      <c r="AS223" s="369">
        <f t="shared" si="270"/>
        <v>0</v>
      </c>
      <c r="AT223" s="330">
        <f t="shared" si="270"/>
        <v>0</v>
      </c>
      <c r="AU223" s="330">
        <f t="shared" si="270"/>
        <v>0</v>
      </c>
      <c r="AV223" s="370">
        <f t="shared" si="270"/>
        <v>0</v>
      </c>
      <c r="AW223" s="289">
        <f t="shared" si="270"/>
        <v>0</v>
      </c>
      <c r="AX223" s="369">
        <f>+AX222/AX229</f>
        <v>0</v>
      </c>
      <c r="AY223" s="330">
        <f>+AY222/AY229</f>
        <v>0</v>
      </c>
      <c r="AZ223" s="330">
        <f>+AZ222/AZ229</f>
        <v>0</v>
      </c>
      <c r="BA223" s="370">
        <f>+BA222/BA229</f>
        <v>0</v>
      </c>
      <c r="BB223" s="289">
        <f>+BB222/BB229</f>
        <v>0</v>
      </c>
      <c r="BC223" s="369">
        <f t="shared" ref="BC223:BL223" si="271">+BC222/BC229</f>
        <v>0</v>
      </c>
      <c r="BD223" s="330">
        <f t="shared" si="271"/>
        <v>0</v>
      </c>
      <c r="BE223" s="330">
        <f t="shared" si="271"/>
        <v>0</v>
      </c>
      <c r="BF223" s="370">
        <f t="shared" si="271"/>
        <v>0</v>
      </c>
      <c r="BG223" s="289">
        <f t="shared" si="271"/>
        <v>0</v>
      </c>
      <c r="BH223" s="369">
        <f t="shared" si="271"/>
        <v>0</v>
      </c>
      <c r="BI223" s="330">
        <f t="shared" si="271"/>
        <v>0</v>
      </c>
      <c r="BJ223" s="330">
        <f t="shared" si="271"/>
        <v>0</v>
      </c>
      <c r="BK223" s="370">
        <f t="shared" si="271"/>
        <v>0</v>
      </c>
      <c r="BL223" s="289">
        <f t="shared" si="271"/>
        <v>0</v>
      </c>
      <c r="BM223" s="369">
        <f>+BM222/BM229</f>
        <v>0</v>
      </c>
      <c r="BN223" s="330">
        <f>+BN222/BN229</f>
        <v>0</v>
      </c>
      <c r="BO223" s="330">
        <f>+BO222/BO229</f>
        <v>0</v>
      </c>
      <c r="BP223" s="370">
        <f>+BP222/BP229</f>
        <v>0</v>
      </c>
      <c r="BQ223" s="289">
        <f>+BQ222/BQ229</f>
        <v>0</v>
      </c>
      <c r="BR223" s="289"/>
      <c r="BS223" s="290"/>
      <c r="BT223" s="290"/>
      <c r="BU223" s="290"/>
      <c r="BV223" s="290"/>
      <c r="BW223" s="290"/>
      <c r="BX223" s="290"/>
      <c r="BY223" s="290"/>
      <c r="BZ223" s="290"/>
      <c r="CA223" s="290"/>
      <c r="CB223" s="290"/>
      <c r="CC223" s="290"/>
      <c r="CD223" s="290"/>
      <c r="CE223" s="290"/>
      <c r="CF223" s="290"/>
      <c r="CG223" s="290"/>
      <c r="CH223" s="290"/>
      <c r="CI223" s="290"/>
      <c r="CJ223" s="290"/>
      <c r="CK223" s="290"/>
      <c r="CL223" s="290"/>
      <c r="CM223" s="290"/>
      <c r="CN223" s="290"/>
      <c r="CO223" s="290"/>
      <c r="CP223" s="290"/>
      <c r="CQ223" s="290"/>
      <c r="CR223" s="290"/>
      <c r="CS223" s="290"/>
      <c r="CT223" s="290"/>
      <c r="CU223" s="290"/>
      <c r="CV223" s="290"/>
      <c r="CW223" s="290"/>
      <c r="CX223" s="290"/>
      <c r="CY223" s="290"/>
      <c r="CZ223" s="290"/>
      <c r="DA223" s="290"/>
    </row>
    <row r="224" spans="1:107">
      <c r="A224" s="37"/>
      <c r="B224" s="37"/>
      <c r="C224" s="547"/>
      <c r="D224" s="37"/>
      <c r="E224" s="571"/>
      <c r="F224" s="318"/>
      <c r="G224" s="318"/>
      <c r="H224" s="572"/>
      <c r="I224" s="30"/>
      <c r="J224" s="571"/>
      <c r="K224" s="318"/>
      <c r="L224" s="318"/>
      <c r="M224" s="572"/>
      <c r="N224" s="30"/>
      <c r="O224" s="571"/>
      <c r="P224" s="318"/>
      <c r="Q224" s="318"/>
      <c r="R224" s="572"/>
      <c r="S224" s="30"/>
      <c r="T224" s="571"/>
      <c r="U224" s="318"/>
      <c r="V224" s="318"/>
      <c r="W224" s="572"/>
      <c r="X224" s="30"/>
      <c r="Y224" s="571"/>
      <c r="Z224" s="318"/>
      <c r="AA224" s="318"/>
      <c r="AB224" s="572"/>
      <c r="AC224" s="30"/>
      <c r="AD224" s="571"/>
      <c r="AE224" s="318"/>
      <c r="AF224" s="318"/>
      <c r="AG224" s="572"/>
      <c r="AH224" s="30"/>
      <c r="AI224" s="571"/>
      <c r="AJ224" s="318"/>
      <c r="AK224" s="318"/>
      <c r="AL224" s="572"/>
      <c r="AM224" s="30"/>
      <c r="AN224" s="571"/>
      <c r="AO224" s="318"/>
      <c r="AP224" s="318"/>
      <c r="AQ224" s="572"/>
      <c r="AR224" s="30"/>
      <c r="AS224" s="571"/>
      <c r="AT224" s="318"/>
      <c r="AU224" s="318"/>
      <c r="AV224" s="572"/>
      <c r="AW224" s="30"/>
      <c r="AX224" s="571"/>
      <c r="AY224" s="318"/>
      <c r="AZ224" s="318"/>
      <c r="BA224" s="572"/>
      <c r="BB224" s="30"/>
      <c r="BC224" s="571"/>
      <c r="BD224" s="318"/>
      <c r="BE224" s="318"/>
      <c r="BF224" s="572"/>
      <c r="BG224" s="30"/>
      <c r="BH224" s="571"/>
      <c r="BI224" s="318"/>
      <c r="BJ224" s="318"/>
      <c r="BK224" s="572"/>
      <c r="BL224" s="30"/>
      <c r="BM224" s="571"/>
      <c r="BN224" s="318"/>
      <c r="BO224" s="318"/>
      <c r="BP224" s="572"/>
      <c r="BQ224" s="30"/>
      <c r="BR224" s="30"/>
      <c r="BS224" s="37"/>
      <c r="BT224" s="37"/>
      <c r="BU224" s="37"/>
      <c r="BV224" s="37"/>
      <c r="BW224" s="37"/>
      <c r="BX224" s="37"/>
      <c r="BY224" s="37"/>
      <c r="BZ224" s="37"/>
      <c r="CA224" s="37"/>
      <c r="CB224" s="37"/>
      <c r="CC224" s="37"/>
      <c r="CD224" s="37"/>
      <c r="CE224" s="37"/>
      <c r="CF224" s="37"/>
      <c r="CG224" s="37"/>
      <c r="CH224" s="37"/>
      <c r="CI224" s="37"/>
      <c r="CJ224" s="37"/>
      <c r="CK224" s="37"/>
      <c r="CL224" s="37"/>
      <c r="CM224" s="37"/>
      <c r="CN224" s="37"/>
      <c r="CO224" s="37"/>
      <c r="CP224" s="37"/>
      <c r="CQ224" s="37"/>
      <c r="CR224" s="37"/>
      <c r="CS224" s="37"/>
      <c r="CT224" s="37"/>
      <c r="CU224" s="37"/>
      <c r="CV224" s="37"/>
      <c r="CW224" s="37"/>
      <c r="CX224" s="37"/>
      <c r="CY224" s="37"/>
      <c r="CZ224" s="37"/>
      <c r="DA224" s="37"/>
    </row>
    <row r="225" spans="1:105">
      <c r="A225" s="77"/>
      <c r="B225" s="77"/>
      <c r="C225" s="545" t="s">
        <v>264</v>
      </c>
      <c r="D225" s="590"/>
      <c r="E225" s="456">
        <v>3770</v>
      </c>
      <c r="F225" s="457">
        <v>4064</v>
      </c>
      <c r="G225" s="457">
        <v>4152</v>
      </c>
      <c r="H225" s="395">
        <f>I225</f>
        <v>4221</v>
      </c>
      <c r="I225" s="590">
        <v>4221</v>
      </c>
      <c r="J225" s="456">
        <v>4338</v>
      </c>
      <c r="K225" s="457">
        <v>4342</v>
      </c>
      <c r="L225" s="457">
        <v>4341</v>
      </c>
      <c r="M225" s="395">
        <f>N225</f>
        <v>4424</v>
      </c>
      <c r="N225" s="590">
        <v>4424</v>
      </c>
      <c r="O225" s="456">
        <v>4588</v>
      </c>
      <c r="P225" s="457">
        <v>4693</v>
      </c>
      <c r="Q225" s="457">
        <v>4848</v>
      </c>
      <c r="R225" s="395">
        <f>S225</f>
        <v>4647</v>
      </c>
      <c r="S225" s="590">
        <v>4647</v>
      </c>
      <c r="T225" s="456">
        <v>4843</v>
      </c>
      <c r="U225" s="457">
        <v>4944</v>
      </c>
      <c r="V225" s="457">
        <v>5100</v>
      </c>
      <c r="W225" s="395">
        <f>X225</f>
        <v>5175</v>
      </c>
      <c r="X225" s="462">
        <v>5175</v>
      </c>
      <c r="Y225" s="459">
        <v>5454</v>
      </c>
      <c r="Z225" s="460">
        <v>5574</v>
      </c>
      <c r="AA225" s="460">
        <v>5742</v>
      </c>
      <c r="AB225" s="395">
        <f>AC225</f>
        <v>5886</v>
      </c>
      <c r="AC225" s="462">
        <v>5886</v>
      </c>
      <c r="AD225" s="459">
        <v>6275</v>
      </c>
      <c r="AE225" s="460">
        <v>6426</v>
      </c>
      <c r="AF225" s="460">
        <v>6627</v>
      </c>
      <c r="AG225" s="395">
        <f>AH225</f>
        <v>6787</v>
      </c>
      <c r="AH225" s="462">
        <v>6787</v>
      </c>
      <c r="AI225" s="459">
        <v>7029</v>
      </c>
      <c r="AJ225" s="460">
        <v>7195</v>
      </c>
      <c r="AK225" s="460">
        <v>7417</v>
      </c>
      <c r="AL225" s="395">
        <f>AM225</f>
        <v>7573</v>
      </c>
      <c r="AM225" s="462">
        <v>7573</v>
      </c>
      <c r="AN225" s="459">
        <v>7835</v>
      </c>
      <c r="AO225" s="460">
        <v>8015</v>
      </c>
      <c r="AP225" s="460">
        <v>8270</v>
      </c>
      <c r="AQ225" s="395">
        <f>AR225</f>
        <v>8712</v>
      </c>
      <c r="AR225" s="462">
        <v>8712</v>
      </c>
      <c r="AS225" s="459">
        <v>9010</v>
      </c>
      <c r="AT225" s="460">
        <v>9218</v>
      </c>
      <c r="AU225" s="460">
        <v>9614</v>
      </c>
      <c r="AV225" s="395">
        <f>AW225</f>
        <v>9834</v>
      </c>
      <c r="AW225" s="462">
        <v>9834</v>
      </c>
      <c r="AX225" s="396">
        <f>+AW225+AX189+AX204</f>
        <v>10090.679536160827</v>
      </c>
      <c r="AY225" s="343">
        <f>+AX225+AY189+AY204</f>
        <v>10227.442216586433</v>
      </c>
      <c r="AZ225" s="343">
        <f>+AY225+AZ189+AZ204</f>
        <v>10502.733061040775</v>
      </c>
      <c r="BA225" s="397">
        <f>+AY225+BA189+BA204</f>
        <v>10303.364219210489</v>
      </c>
      <c r="BB225" s="297">
        <f>+BA225</f>
        <v>10303.364219210489</v>
      </c>
      <c r="BC225" s="396">
        <f>+BB225+BC189+BC204</f>
        <v>10619.894196532357</v>
      </c>
      <c r="BD225" s="343">
        <f>+BC225+BD189+BD204</f>
        <v>10812.997119045853</v>
      </c>
      <c r="BE225" s="343">
        <f>+BD225+BE189+BE204</f>
        <v>11005.411554514587</v>
      </c>
      <c r="BF225" s="397">
        <f>+BE225+BF189+BF204</f>
        <v>11213.634854000829</v>
      </c>
      <c r="BG225" s="297">
        <f>+BF225</f>
        <v>11213.634854000829</v>
      </c>
      <c r="BH225" s="396">
        <f>+BG225+BH189+BH204</f>
        <v>11558.927029474078</v>
      </c>
      <c r="BI225" s="343">
        <f>+BH225+BI189+BI204</f>
        <v>11779.931682775648</v>
      </c>
      <c r="BJ225" s="343">
        <f>+BI225+BJ189+BJ204</f>
        <v>12003.890911127477</v>
      </c>
      <c r="BK225" s="397">
        <f>+BJ225+BK189+BK204</f>
        <v>12244.802925024331</v>
      </c>
      <c r="BL225" s="297">
        <f>+BK225</f>
        <v>12244.802925024331</v>
      </c>
      <c r="BM225" s="396">
        <f>+BL225+BM189+BM204</f>
        <v>12530.100805050153</v>
      </c>
      <c r="BN225" s="343">
        <f>+BM225+BN189+BN204</f>
        <v>12689.788173744228</v>
      </c>
      <c r="BO225" s="343">
        <f>+BN225+BO189+BO204</f>
        <v>12858.359130391391</v>
      </c>
      <c r="BP225" s="397">
        <f>+BO225+BP189+BP204</f>
        <v>13045.524931642818</v>
      </c>
      <c r="BQ225" s="297">
        <f>+BP225</f>
        <v>13045.524931642818</v>
      </c>
      <c r="BR225" s="297"/>
      <c r="BS225" s="77"/>
      <c r="BT225" s="77"/>
      <c r="BU225" s="77"/>
      <c r="BV225" s="77"/>
      <c r="BW225" s="77"/>
      <c r="BX225" s="77"/>
      <c r="BY225" s="77"/>
      <c r="BZ225" s="77"/>
      <c r="CA225" s="77"/>
      <c r="CB225" s="77"/>
      <c r="CC225" s="77"/>
      <c r="CD225" s="77"/>
      <c r="CE225" s="77"/>
      <c r="CF225" s="77"/>
      <c r="CG225" s="77"/>
      <c r="CH225" s="77"/>
      <c r="CI225" s="77"/>
      <c r="CJ225" s="77"/>
      <c r="CK225" s="77"/>
      <c r="CL225" s="77"/>
      <c r="CM225" s="77"/>
      <c r="CN225" s="77"/>
      <c r="CO225" s="77"/>
      <c r="CP225" s="77"/>
      <c r="CQ225" s="77"/>
      <c r="CR225" s="77"/>
      <c r="CS225" s="77"/>
      <c r="CT225" s="77"/>
      <c r="CU225" s="77"/>
      <c r="CV225" s="77"/>
      <c r="CW225" s="77"/>
      <c r="CX225" s="77"/>
      <c r="CY225" s="77"/>
      <c r="CZ225" s="77"/>
      <c r="DA225" s="77"/>
    </row>
    <row r="226" spans="1:105">
      <c r="A226" s="290"/>
      <c r="B226" s="290"/>
      <c r="C226" s="564" t="s">
        <v>656</v>
      </c>
      <c r="D226" s="290"/>
      <c r="E226" s="369">
        <f t="shared" ref="E226:W226" si="272">+E225/E229</f>
        <v>0.42545988037467553</v>
      </c>
      <c r="F226" s="330">
        <f t="shared" si="272"/>
        <v>0.44906077348066298</v>
      </c>
      <c r="G226" s="330">
        <f t="shared" si="272"/>
        <v>0.45666520017597889</v>
      </c>
      <c r="H226" s="370">
        <f t="shared" si="272"/>
        <v>0.45805751492132391</v>
      </c>
      <c r="I226" s="289">
        <f t="shared" si="272"/>
        <v>0.45805751492132391</v>
      </c>
      <c r="J226" s="369">
        <f t="shared" si="272"/>
        <v>0.47121442537475561</v>
      </c>
      <c r="K226" s="330">
        <f t="shared" si="272"/>
        <v>0.4588881843162122</v>
      </c>
      <c r="L226" s="330">
        <f t="shared" si="272"/>
        <v>0.44183206106870226</v>
      </c>
      <c r="M226" s="370">
        <f t="shared" si="272"/>
        <v>0.44904587900933818</v>
      </c>
      <c r="N226" s="289">
        <f t="shared" si="272"/>
        <v>0.44904587900933818</v>
      </c>
      <c r="O226" s="369">
        <f t="shared" si="272"/>
        <v>0.46013438973021764</v>
      </c>
      <c r="P226" s="330">
        <f t="shared" si="272"/>
        <v>0.46808298424097344</v>
      </c>
      <c r="Q226" s="330">
        <f t="shared" si="272"/>
        <v>0.46700703207783451</v>
      </c>
      <c r="R226" s="370">
        <f t="shared" si="272"/>
        <v>0.47148944805194803</v>
      </c>
      <c r="S226" s="289">
        <f t="shared" si="272"/>
        <v>0.47148944805194803</v>
      </c>
      <c r="T226" s="369">
        <f t="shared" si="272"/>
        <v>0.48415475357392784</v>
      </c>
      <c r="U226" s="330">
        <f t="shared" si="272"/>
        <v>0.47117125702849516</v>
      </c>
      <c r="V226" s="330">
        <f t="shared" si="272"/>
        <v>0.47981936212249504</v>
      </c>
      <c r="W226" s="370">
        <f t="shared" si="272"/>
        <v>0.47238703788224556</v>
      </c>
      <c r="X226" s="289">
        <f t="shared" ref="X226:AC226" si="273">+X225/X229</f>
        <v>0.47238703788224556</v>
      </c>
      <c r="Y226" s="369">
        <f t="shared" si="273"/>
        <v>0.4812919166960819</v>
      </c>
      <c r="Z226" s="330">
        <f t="shared" si="273"/>
        <v>0.46887617765814266</v>
      </c>
      <c r="AA226" s="330">
        <f t="shared" si="273"/>
        <v>0.47282608695652173</v>
      </c>
      <c r="AB226" s="370">
        <f t="shared" si="273"/>
        <v>0.49017321785476348</v>
      </c>
      <c r="AC226" s="289">
        <f t="shared" si="273"/>
        <v>0.49017321785476348</v>
      </c>
      <c r="AD226" s="369">
        <f t="shared" ref="AD226:AI226" si="274">+AD225/AD229</f>
        <v>0.5108270921523933</v>
      </c>
      <c r="AE226" s="330">
        <f t="shared" si="274"/>
        <v>0.49910679611650488</v>
      </c>
      <c r="AF226" s="330">
        <f t="shared" si="274"/>
        <v>0.50914259373079285</v>
      </c>
      <c r="AG226" s="370">
        <f t="shared" si="274"/>
        <v>0.50808504267105858</v>
      </c>
      <c r="AH226" s="289">
        <f t="shared" si="274"/>
        <v>0.50808504267105858</v>
      </c>
      <c r="AI226" s="369">
        <f t="shared" si="274"/>
        <v>0.51905183872396987</v>
      </c>
      <c r="AJ226" s="330">
        <f t="shared" ref="AJ226:AR226" si="275">+AJ225/AJ229</f>
        <v>0.51614060258249639</v>
      </c>
      <c r="AK226" s="330">
        <f t="shared" si="275"/>
        <v>0.52539491393355531</v>
      </c>
      <c r="AL226" s="370">
        <f t="shared" si="275"/>
        <v>0.52058843747851791</v>
      </c>
      <c r="AM226" s="289">
        <f t="shared" si="275"/>
        <v>0.52058843747851791</v>
      </c>
      <c r="AN226" s="369">
        <f t="shared" si="275"/>
        <v>0.51118940431917537</v>
      </c>
      <c r="AO226" s="330">
        <f t="shared" si="275"/>
        <v>0.51679669869108258</v>
      </c>
      <c r="AP226" s="330">
        <f t="shared" si="275"/>
        <v>0.51411164988188485</v>
      </c>
      <c r="AQ226" s="370">
        <f t="shared" si="275"/>
        <v>0.52704174228675138</v>
      </c>
      <c r="AR226" s="289">
        <f t="shared" si="275"/>
        <v>0.52704174228675138</v>
      </c>
      <c r="AS226" s="369">
        <f t="shared" ref="AS226:AY226" si="276">+AS225/AS229</f>
        <v>0.53538534672291882</v>
      </c>
      <c r="AT226" s="330">
        <f t="shared" si="276"/>
        <v>0.52794959908361971</v>
      </c>
      <c r="AU226" s="330">
        <f t="shared" si="276"/>
        <v>0.5383883071064568</v>
      </c>
      <c r="AV226" s="370">
        <f t="shared" si="276"/>
        <v>0.53373134328358207</v>
      </c>
      <c r="AW226" s="289">
        <f t="shared" si="276"/>
        <v>0.53373134328358207</v>
      </c>
      <c r="AX226" s="369">
        <f t="shared" si="276"/>
        <v>0.53956613358731198</v>
      </c>
      <c r="AY226" s="330">
        <f t="shared" si="276"/>
        <v>0.51999248867618064</v>
      </c>
      <c r="AZ226" s="330">
        <f>+AZ225/AZ229</f>
        <v>0.52661821279374288</v>
      </c>
      <c r="BA226" s="370">
        <f>+BA225/BA229</f>
        <v>0.51607325951081229</v>
      </c>
      <c r="BB226" s="289">
        <f>+BB225/BB229</f>
        <v>0.51607325951081229</v>
      </c>
      <c r="BC226" s="369">
        <f t="shared" ref="BC226:BL226" si="277">+BC225/BC229</f>
        <v>0.51849232201942341</v>
      </c>
      <c r="BD226" s="330">
        <f t="shared" si="277"/>
        <v>0.5028366149411776</v>
      </c>
      <c r="BE226" s="330">
        <f t="shared" si="277"/>
        <v>0.51196393655094707</v>
      </c>
      <c r="BF226" s="370">
        <f t="shared" si="277"/>
        <v>0.50976124693770719</v>
      </c>
      <c r="BG226" s="289">
        <f t="shared" si="277"/>
        <v>0.50976124693770719</v>
      </c>
      <c r="BH226" s="369">
        <f t="shared" si="277"/>
        <v>0.51319807559329522</v>
      </c>
      <c r="BI226" s="330">
        <f t="shared" si="277"/>
        <v>0.5040420229141932</v>
      </c>
      <c r="BJ226" s="330">
        <f t="shared" si="277"/>
        <v>0.50874958296443651</v>
      </c>
      <c r="BK226" s="370">
        <f t="shared" si="277"/>
        <v>0.50855889926484121</v>
      </c>
      <c r="BL226" s="289">
        <f t="shared" si="277"/>
        <v>0.50855889926484121</v>
      </c>
      <c r="BM226" s="369">
        <f>+BM225/BM229</f>
        <v>0.51184858962530544</v>
      </c>
      <c r="BN226" s="330">
        <f>+BN225/BN229</f>
        <v>0.50885780588611629</v>
      </c>
      <c r="BO226" s="330">
        <f>+BO225/BO229</f>
        <v>0.50876966336437557</v>
      </c>
      <c r="BP226" s="370">
        <f>+BP225/BP229</f>
        <v>0.50828031570644816</v>
      </c>
      <c r="BQ226" s="289">
        <f>+BQ225/BQ229</f>
        <v>0.50828031570644816</v>
      </c>
      <c r="BR226" s="289"/>
      <c r="BS226" s="290"/>
      <c r="BT226" s="290"/>
      <c r="BU226" s="290"/>
      <c r="BV226" s="290"/>
      <c r="BW226" s="290"/>
      <c r="BX226" s="290"/>
      <c r="BY226" s="290"/>
      <c r="BZ226" s="290"/>
      <c r="CA226" s="290"/>
      <c r="CB226" s="290"/>
      <c r="CC226" s="290"/>
      <c r="CD226" s="290"/>
      <c r="CE226" s="290"/>
      <c r="CF226" s="290"/>
      <c r="CG226" s="290"/>
      <c r="CH226" s="290"/>
      <c r="CI226" s="290"/>
      <c r="CJ226" s="290"/>
      <c r="CK226" s="290"/>
      <c r="CL226" s="290"/>
      <c r="CM226" s="290"/>
      <c r="CN226" s="290"/>
      <c r="CO226" s="290"/>
      <c r="CP226" s="290"/>
      <c r="CQ226" s="290"/>
      <c r="CR226" s="290"/>
      <c r="CS226" s="290"/>
      <c r="CT226" s="290"/>
      <c r="CU226" s="290"/>
      <c r="CV226" s="290"/>
      <c r="CW226" s="290"/>
      <c r="CX226" s="290"/>
      <c r="CY226" s="290"/>
      <c r="CZ226" s="290"/>
      <c r="DA226" s="290"/>
    </row>
    <row r="227" spans="1:105">
      <c r="A227" s="37"/>
      <c r="B227" s="37"/>
      <c r="C227" s="564" t="s">
        <v>708</v>
      </c>
      <c r="D227" s="37"/>
      <c r="E227" s="571"/>
      <c r="F227" s="318"/>
      <c r="G227" s="318"/>
      <c r="H227" s="572"/>
      <c r="I227" s="289">
        <f>(I225)/(I229-I176)</f>
        <v>0.45805751492132391</v>
      </c>
      <c r="J227" s="571"/>
      <c r="K227" s="318"/>
      <c r="L227" s="318"/>
      <c r="M227" s="572"/>
      <c r="N227" s="289">
        <f>(N225)/(N229-N176)</f>
        <v>0.44904587900933818</v>
      </c>
      <c r="O227" s="571"/>
      <c r="P227" s="318"/>
      <c r="Q227" s="318"/>
      <c r="R227" s="572"/>
      <c r="S227" s="289">
        <f>(S225)/(S229-S176)</f>
        <v>0.5087584847821327</v>
      </c>
      <c r="T227" s="571"/>
      <c r="U227" s="318"/>
      <c r="V227" s="318"/>
      <c r="W227" s="572"/>
      <c r="X227" s="289">
        <f>(X225)/(X229-X176)</f>
        <v>0.50571679859278806</v>
      </c>
      <c r="Y227" s="571"/>
      <c r="Z227" s="318"/>
      <c r="AA227" s="318"/>
      <c r="AB227" s="572"/>
      <c r="AC227" s="289">
        <f>(AC225)/(AC229-AC176)</f>
        <v>0.51129256428075054</v>
      </c>
      <c r="AD227" s="369">
        <f t="shared" ref="AD227:AL227" si="278">(AD225)/(AD229-AD176)</f>
        <v>0.5108270921523933</v>
      </c>
      <c r="AE227" s="330">
        <f t="shared" si="278"/>
        <v>0.49910679611650488</v>
      </c>
      <c r="AF227" s="330">
        <f t="shared" si="278"/>
        <v>0.50914259373079285</v>
      </c>
      <c r="AG227" s="370">
        <f t="shared" si="278"/>
        <v>0.50808504267105858</v>
      </c>
      <c r="AH227" s="289">
        <f t="shared" si="278"/>
        <v>0.50808504267105858</v>
      </c>
      <c r="AI227" s="369">
        <f t="shared" si="278"/>
        <v>0.51905183872396987</v>
      </c>
      <c r="AJ227" s="330">
        <f t="shared" si="278"/>
        <v>0.51614060258249639</v>
      </c>
      <c r="AK227" s="330">
        <f t="shared" si="278"/>
        <v>0.52539491393355531</v>
      </c>
      <c r="AL227" s="370">
        <f t="shared" si="278"/>
        <v>0.52058843747851791</v>
      </c>
      <c r="AM227" s="289">
        <f t="shared" ref="AM227:AR227" si="279">(AM225)/(AM229-AM176)</f>
        <v>0.52058843747851791</v>
      </c>
      <c r="AN227" s="369">
        <f t="shared" si="279"/>
        <v>0.51118940431917537</v>
      </c>
      <c r="AO227" s="330">
        <f t="shared" si="279"/>
        <v>0.51679669869108258</v>
      </c>
      <c r="AP227" s="330">
        <f t="shared" si="279"/>
        <v>0.51411164988188485</v>
      </c>
      <c r="AQ227" s="370">
        <f t="shared" si="279"/>
        <v>0.52704174228675138</v>
      </c>
      <c r="AR227" s="289">
        <f t="shared" si="279"/>
        <v>0.52704174228675138</v>
      </c>
      <c r="AS227" s="369">
        <f>(AS225)/(AS229-AS176)</f>
        <v>0.53538534672291882</v>
      </c>
      <c r="AT227" s="330">
        <f>(AT225)/(AT229-AT176)</f>
        <v>0.52794959908361971</v>
      </c>
      <c r="AU227" s="330">
        <f>(AU225)/(AU229-AU176)</f>
        <v>0.5383883071064568</v>
      </c>
      <c r="AV227" s="370">
        <f>(AV225)/(AV229-AV176)</f>
        <v>0.53373134328358207</v>
      </c>
      <c r="AW227" s="289">
        <f>(AW225)/(AW229-AW176)</f>
        <v>0.53373134328358207</v>
      </c>
      <c r="AX227" s="571"/>
      <c r="AY227" s="318"/>
      <c r="AZ227" s="318"/>
      <c r="BA227" s="572"/>
      <c r="BB227" s="289">
        <f>(BB225)/(BB229-BB176)</f>
        <v>0.51607325951081229</v>
      </c>
      <c r="BC227" s="571"/>
      <c r="BD227" s="318"/>
      <c r="BE227" s="318"/>
      <c r="BF227" s="572"/>
      <c r="BG227" s="289">
        <f>(BG225)/(BG229-BG176)</f>
        <v>0.50976124693770719</v>
      </c>
      <c r="BH227" s="571"/>
      <c r="BI227" s="318"/>
      <c r="BJ227" s="318"/>
      <c r="BK227" s="572"/>
      <c r="BL227" s="289">
        <f>(BL225)/(BL229-BL176)</f>
        <v>0.50855889926484121</v>
      </c>
      <c r="BM227" s="571"/>
      <c r="BN227" s="318"/>
      <c r="BO227" s="318"/>
      <c r="BP227" s="572"/>
      <c r="BQ227" s="289">
        <f>(BQ225)/(BQ229-BQ176)</f>
        <v>0.50828031570644816</v>
      </c>
      <c r="BR227" s="289"/>
      <c r="BS227" s="37"/>
      <c r="BT227" s="37"/>
      <c r="BU227" s="37"/>
      <c r="BV227" s="37"/>
      <c r="BW227" s="37"/>
      <c r="BX227" s="37"/>
      <c r="BY227" s="37"/>
      <c r="BZ227" s="37"/>
      <c r="CA227" s="37"/>
      <c r="CB227" s="37"/>
      <c r="CC227" s="37"/>
      <c r="CD227" s="37"/>
      <c r="CE227" s="37"/>
      <c r="CF227" s="37"/>
      <c r="CG227" s="37"/>
      <c r="CH227" s="37"/>
      <c r="CI227" s="37"/>
      <c r="CJ227" s="37"/>
      <c r="CK227" s="37"/>
      <c r="CL227" s="37"/>
      <c r="CM227" s="37"/>
      <c r="CN227" s="37"/>
      <c r="CO227" s="37"/>
      <c r="CP227" s="37"/>
      <c r="CQ227" s="37"/>
      <c r="CR227" s="37"/>
      <c r="CS227" s="37"/>
      <c r="CT227" s="37"/>
      <c r="CU227" s="37"/>
      <c r="CV227" s="37"/>
      <c r="CW227" s="37"/>
      <c r="CX227" s="37"/>
      <c r="CY227" s="37"/>
      <c r="CZ227" s="37"/>
      <c r="DA227" s="37"/>
    </row>
    <row r="228" spans="1:105">
      <c r="A228" s="37"/>
      <c r="B228" s="37"/>
      <c r="C228" s="565"/>
      <c r="D228" s="37"/>
      <c r="E228" s="571"/>
      <c r="F228" s="318"/>
      <c r="G228" s="318"/>
      <c r="H228" s="572"/>
      <c r="I228" s="30"/>
      <c r="J228" s="571"/>
      <c r="K228" s="318"/>
      <c r="L228" s="318"/>
      <c r="M228" s="572"/>
      <c r="N228" s="30"/>
      <c r="O228" s="571"/>
      <c r="P228" s="318"/>
      <c r="Q228" s="318"/>
      <c r="R228" s="572"/>
      <c r="S228" s="30"/>
      <c r="T228" s="571"/>
      <c r="U228" s="318"/>
      <c r="V228" s="318"/>
      <c r="W228" s="572"/>
      <c r="X228" s="30"/>
      <c r="Y228" s="571"/>
      <c r="Z228" s="318"/>
      <c r="AA228" s="318"/>
      <c r="AB228" s="572"/>
      <c r="AC228" s="30"/>
      <c r="AD228" s="571"/>
      <c r="AE228" s="318"/>
      <c r="AF228" s="318"/>
      <c r="AG228" s="572"/>
      <c r="AH228" s="30"/>
      <c r="AI228" s="571"/>
      <c r="AJ228" s="318"/>
      <c r="AK228" s="318"/>
      <c r="AL228" s="572"/>
      <c r="AM228" s="30"/>
      <c r="AN228" s="571"/>
      <c r="AO228" s="318"/>
      <c r="AP228" s="318"/>
      <c r="AQ228" s="572"/>
      <c r="AR228" s="30"/>
      <c r="AS228" s="571"/>
      <c r="AT228" s="318"/>
      <c r="AU228" s="318"/>
      <c r="AV228" s="572"/>
      <c r="AW228" s="30"/>
      <c r="AX228" s="571"/>
      <c r="AY228" s="318"/>
      <c r="AZ228" s="318"/>
      <c r="BA228" s="572"/>
      <c r="BB228" s="30"/>
      <c r="BC228" s="571"/>
      <c r="BD228" s="318"/>
      <c r="BE228" s="318"/>
      <c r="BF228" s="572"/>
      <c r="BG228" s="30"/>
      <c r="BH228" s="571"/>
      <c r="BI228" s="318"/>
      <c r="BJ228" s="318"/>
      <c r="BK228" s="572"/>
      <c r="BL228" s="30"/>
      <c r="BM228" s="571"/>
      <c r="BN228" s="318"/>
      <c r="BO228" s="318"/>
      <c r="BP228" s="572"/>
      <c r="BQ228" s="30"/>
      <c r="BR228" s="30"/>
      <c r="BS228" s="37"/>
      <c r="BT228" s="37"/>
      <c r="BU228" s="37"/>
      <c r="BV228" s="37"/>
      <c r="BW228" s="37"/>
      <c r="BX228" s="37"/>
      <c r="BY228" s="37"/>
      <c r="BZ228" s="37"/>
      <c r="CA228" s="37"/>
      <c r="CB228" s="37"/>
      <c r="CC228" s="37"/>
      <c r="CD228" s="37"/>
      <c r="CE228" s="37"/>
      <c r="CF228" s="37"/>
      <c r="CG228" s="37"/>
      <c r="CH228" s="37"/>
      <c r="CI228" s="37"/>
      <c r="CJ228" s="37"/>
      <c r="CK228" s="37"/>
      <c r="CL228" s="37"/>
      <c r="CM228" s="37"/>
      <c r="CN228" s="37"/>
      <c r="CO228" s="37"/>
      <c r="CP228" s="37"/>
      <c r="CQ228" s="37"/>
      <c r="CR228" s="37"/>
      <c r="CS228" s="37"/>
      <c r="CT228" s="37"/>
      <c r="CU228" s="37"/>
      <c r="CV228" s="37"/>
      <c r="CW228" s="37"/>
      <c r="CX228" s="37"/>
      <c r="CY228" s="37"/>
      <c r="CZ228" s="37"/>
      <c r="DA228" s="37"/>
    </row>
    <row r="229" spans="1:105">
      <c r="A229" s="77"/>
      <c r="B229" s="77"/>
      <c r="C229" s="545" t="s">
        <v>564</v>
      </c>
      <c r="D229" s="77"/>
      <c r="E229" s="396">
        <f>+E225+E222+E219</f>
        <v>8861</v>
      </c>
      <c r="F229" s="343">
        <f>+F225+F222+F219</f>
        <v>9050</v>
      </c>
      <c r="G229" s="343">
        <f>+G225+G222+G219</f>
        <v>9092</v>
      </c>
      <c r="H229" s="397">
        <f>+I229</f>
        <v>9215</v>
      </c>
      <c r="I229" s="297">
        <f>+I225+I222+I219</f>
        <v>9215</v>
      </c>
      <c r="J229" s="396">
        <f>+J225+J222+J219</f>
        <v>9206</v>
      </c>
      <c r="K229" s="343">
        <f>+K225+K222+K219</f>
        <v>9462</v>
      </c>
      <c r="L229" s="343">
        <f>+L225+L222+L219</f>
        <v>9825</v>
      </c>
      <c r="M229" s="397">
        <f>+N229</f>
        <v>9852</v>
      </c>
      <c r="N229" s="297">
        <f>+N225+N222+N219</f>
        <v>9852</v>
      </c>
      <c r="O229" s="396">
        <f>+O225+O222+O219</f>
        <v>9971</v>
      </c>
      <c r="P229" s="343">
        <f>+P225+P222+P219</f>
        <v>10026</v>
      </c>
      <c r="Q229" s="343">
        <f>+Q225+Q222+Q219</f>
        <v>10381</v>
      </c>
      <c r="R229" s="397">
        <f>+S229</f>
        <v>9856</v>
      </c>
      <c r="S229" s="297">
        <f>+S225+S222+S219</f>
        <v>9856</v>
      </c>
      <c r="T229" s="396">
        <f>+T225+T222+T219</f>
        <v>10003</v>
      </c>
      <c r="U229" s="343">
        <f>+U225+U222+U219</f>
        <v>10493</v>
      </c>
      <c r="V229" s="343">
        <f>+V225+V222+V219</f>
        <v>10629</v>
      </c>
      <c r="W229" s="397">
        <f>+X229</f>
        <v>10955</v>
      </c>
      <c r="X229" s="297">
        <f>+X225+X222+X219</f>
        <v>10955</v>
      </c>
      <c r="Y229" s="396">
        <f>+Y225+Y222+Y219</f>
        <v>11332</v>
      </c>
      <c r="Z229" s="343">
        <f>+Z225+Z222+Z219</f>
        <v>11888</v>
      </c>
      <c r="AA229" s="343">
        <f>+AA225+AA222+AA219</f>
        <v>12144</v>
      </c>
      <c r="AB229" s="397">
        <f>+AC229</f>
        <v>12008</v>
      </c>
      <c r="AC229" s="297">
        <f>+AC225+AC222+AC219</f>
        <v>12008</v>
      </c>
      <c r="AD229" s="396">
        <f>+AD225+AD222+AD219</f>
        <v>12284</v>
      </c>
      <c r="AE229" s="343">
        <f>+AE225+AE222+AE219</f>
        <v>12875</v>
      </c>
      <c r="AF229" s="343">
        <f>+AF225+AF222+AF219</f>
        <v>13016</v>
      </c>
      <c r="AG229" s="397">
        <f>+AH229</f>
        <v>13358</v>
      </c>
      <c r="AH229" s="297">
        <f>+AH225+AH222+AH219</f>
        <v>13358</v>
      </c>
      <c r="AI229" s="396">
        <f>+AI225+AI222+AI219</f>
        <v>13542</v>
      </c>
      <c r="AJ229" s="343">
        <f>+AJ225+AJ222+AJ219</f>
        <v>13940</v>
      </c>
      <c r="AK229" s="343">
        <f>+AK225+AK222+AK219</f>
        <v>14117</v>
      </c>
      <c r="AL229" s="397">
        <f>+AM229</f>
        <v>14547</v>
      </c>
      <c r="AM229" s="297">
        <f>+AM225+AM222+AM219</f>
        <v>14547</v>
      </c>
      <c r="AN229" s="396">
        <f>+AN225+AN222+AN219</f>
        <v>15327</v>
      </c>
      <c r="AO229" s="343">
        <f>+AO225+AO222+AO219</f>
        <v>15509</v>
      </c>
      <c r="AP229" s="343">
        <f>+AP225+AP222+AP219</f>
        <v>16086</v>
      </c>
      <c r="AQ229" s="397">
        <f>+AR229</f>
        <v>16530</v>
      </c>
      <c r="AR229" s="297">
        <f>+AR225+AR222+AR219</f>
        <v>16530</v>
      </c>
      <c r="AS229" s="396">
        <f>+AS225+AS222+AS219</f>
        <v>16829</v>
      </c>
      <c r="AT229" s="343">
        <f>+AT225+AT222+AT219</f>
        <v>17460</v>
      </c>
      <c r="AU229" s="343">
        <f>+AU225+AU222+AU219</f>
        <v>17857</v>
      </c>
      <c r="AV229" s="397">
        <f>+AW229</f>
        <v>18425</v>
      </c>
      <c r="AW229" s="297">
        <f>+AW225+AW222+AW219</f>
        <v>18425</v>
      </c>
      <c r="AX229" s="396">
        <f>+AX225+AX222+AX219</f>
        <v>18701.469399261259</v>
      </c>
      <c r="AY229" s="343">
        <f>+AY225+AY222+AY219</f>
        <v>19668.442216586431</v>
      </c>
      <c r="AZ229" s="343">
        <f>+AZ225+AZ222+AZ219</f>
        <v>19943.733061040773</v>
      </c>
      <c r="BA229" s="397">
        <f>+BB229</f>
        <v>19964.925578544964</v>
      </c>
      <c r="BB229" s="297">
        <f>+BB225+BB222+BB219</f>
        <v>19964.925578544964</v>
      </c>
      <c r="BC229" s="396">
        <f>+BC225+BC222+BC219</f>
        <v>20482.259322896054</v>
      </c>
      <c r="BD229" s="343">
        <f>+BD225+BD222+BD219</f>
        <v>21503.997119045853</v>
      </c>
      <c r="BE229" s="343">
        <f>+BE225+BE222+BE219</f>
        <v>21496.458576080593</v>
      </c>
      <c r="BF229" s="397">
        <f>+BG229</f>
        <v>21997.81745153165</v>
      </c>
      <c r="BG229" s="297">
        <f>+BG225+BG222+BG219</f>
        <v>21997.81745153165</v>
      </c>
      <c r="BH229" s="396">
        <f>+BH225+BH222+BH219</f>
        <v>22523.324967871515</v>
      </c>
      <c r="BI229" s="343">
        <f>+BI225+BI222+BI219</f>
        <v>23370.931682775648</v>
      </c>
      <c r="BJ229" s="343">
        <f>+BJ225+BJ222+BJ219</f>
        <v>23594.890911127477</v>
      </c>
      <c r="BK229" s="397">
        <f>+BL229</f>
        <v>24077.452862834733</v>
      </c>
      <c r="BL229" s="297">
        <f>+BL225+BL222+BL219</f>
        <v>24077.452862834733</v>
      </c>
      <c r="BM229" s="396">
        <f>+BM225+BM222+BM219</f>
        <v>24480.092470749427</v>
      </c>
      <c r="BN229" s="343">
        <f>+BN225+BN222+BN219</f>
        <v>24937.788173744229</v>
      </c>
      <c r="BO229" s="343">
        <f>+BO225+BO222+BO219</f>
        <v>25273.439153903259</v>
      </c>
      <c r="BP229" s="397">
        <f>+BQ229</f>
        <v>25666.004620916938</v>
      </c>
      <c r="BQ229" s="297">
        <f>+BQ225+BQ222+BQ219</f>
        <v>25666.004620916938</v>
      </c>
      <c r="BR229" s="297"/>
      <c r="BS229" s="77"/>
      <c r="BT229" s="77"/>
      <c r="BU229" s="77"/>
      <c r="BV229" s="77"/>
      <c r="BW229" s="77"/>
      <c r="BX229" s="77"/>
      <c r="BY229" s="77"/>
      <c r="BZ229" s="77"/>
      <c r="CA229" s="77"/>
      <c r="CB229" s="77"/>
      <c r="CC229" s="77"/>
      <c r="CD229" s="77"/>
      <c r="CE229" s="77"/>
      <c r="CF229" s="77"/>
      <c r="CG229" s="77"/>
      <c r="CH229" s="77"/>
      <c r="CI229" s="77"/>
      <c r="CJ229" s="77"/>
      <c r="CK229" s="77"/>
      <c r="CL229" s="77"/>
      <c r="CM229" s="77"/>
      <c r="CN229" s="77"/>
      <c r="CO229" s="77"/>
      <c r="CP229" s="77"/>
      <c r="CQ229" s="77"/>
      <c r="CR229" s="77"/>
      <c r="CS229" s="77"/>
      <c r="CT229" s="77"/>
      <c r="CU229" s="77"/>
      <c r="CV229" s="77"/>
      <c r="CW229" s="77"/>
      <c r="CX229" s="77"/>
      <c r="CY229" s="77"/>
      <c r="CZ229" s="77"/>
      <c r="DA229" s="77"/>
    </row>
    <row r="230" spans="1:105">
      <c r="A230" s="290"/>
      <c r="B230" s="290"/>
      <c r="C230" s="564" t="s">
        <v>656</v>
      </c>
      <c r="D230" s="290"/>
      <c r="E230" s="369">
        <f t="shared" ref="E230:AA230" si="280">(E219+E222+E225)/E229</f>
        <v>1</v>
      </c>
      <c r="F230" s="330">
        <f t="shared" si="280"/>
        <v>1</v>
      </c>
      <c r="G230" s="330">
        <f t="shared" si="280"/>
        <v>1</v>
      </c>
      <c r="H230" s="370">
        <f t="shared" si="280"/>
        <v>1</v>
      </c>
      <c r="I230" s="289">
        <f t="shared" si="280"/>
        <v>1</v>
      </c>
      <c r="J230" s="369">
        <f t="shared" si="280"/>
        <v>1</v>
      </c>
      <c r="K230" s="330">
        <f t="shared" si="280"/>
        <v>1</v>
      </c>
      <c r="L230" s="330">
        <f t="shared" si="280"/>
        <v>1</v>
      </c>
      <c r="M230" s="370">
        <f t="shared" si="280"/>
        <v>1</v>
      </c>
      <c r="N230" s="289">
        <f t="shared" si="280"/>
        <v>1</v>
      </c>
      <c r="O230" s="369">
        <f t="shared" si="280"/>
        <v>1</v>
      </c>
      <c r="P230" s="330">
        <f t="shared" si="280"/>
        <v>1</v>
      </c>
      <c r="Q230" s="330">
        <f t="shared" si="280"/>
        <v>1</v>
      </c>
      <c r="R230" s="370">
        <f t="shared" si="280"/>
        <v>1</v>
      </c>
      <c r="S230" s="289">
        <f t="shared" si="280"/>
        <v>1</v>
      </c>
      <c r="T230" s="369">
        <f t="shared" si="280"/>
        <v>1</v>
      </c>
      <c r="U230" s="330">
        <f t="shared" si="280"/>
        <v>1</v>
      </c>
      <c r="V230" s="330">
        <f t="shared" si="280"/>
        <v>1</v>
      </c>
      <c r="W230" s="370">
        <f t="shared" si="280"/>
        <v>1</v>
      </c>
      <c r="X230" s="289">
        <f t="shared" si="280"/>
        <v>1</v>
      </c>
      <c r="Y230" s="369">
        <f t="shared" si="280"/>
        <v>1</v>
      </c>
      <c r="Z230" s="330">
        <f t="shared" si="280"/>
        <v>1</v>
      </c>
      <c r="AA230" s="330">
        <f t="shared" si="280"/>
        <v>1</v>
      </c>
      <c r="AB230" s="370">
        <f t="shared" ref="AB230:AI230" si="281">(AB219+AB222+AB225)/AB229</f>
        <v>1</v>
      </c>
      <c r="AC230" s="289">
        <f t="shared" si="281"/>
        <v>1</v>
      </c>
      <c r="AD230" s="369">
        <f t="shared" si="281"/>
        <v>1</v>
      </c>
      <c r="AE230" s="330">
        <f t="shared" si="281"/>
        <v>1</v>
      </c>
      <c r="AF230" s="330">
        <f t="shared" si="281"/>
        <v>1</v>
      </c>
      <c r="AG230" s="370">
        <f t="shared" si="281"/>
        <v>1</v>
      </c>
      <c r="AH230" s="289">
        <f t="shared" si="281"/>
        <v>1</v>
      </c>
      <c r="AI230" s="369">
        <f t="shared" si="281"/>
        <v>1</v>
      </c>
      <c r="AJ230" s="330">
        <f t="shared" ref="AJ230:AO230" si="282">(AJ219+AJ222+AJ225)/AJ229</f>
        <v>1</v>
      </c>
      <c r="AK230" s="330">
        <f t="shared" si="282"/>
        <v>1</v>
      </c>
      <c r="AL230" s="370">
        <f t="shared" si="282"/>
        <v>1</v>
      </c>
      <c r="AM230" s="289">
        <f t="shared" si="282"/>
        <v>1</v>
      </c>
      <c r="AN230" s="369">
        <f t="shared" si="282"/>
        <v>1</v>
      </c>
      <c r="AO230" s="330">
        <f t="shared" si="282"/>
        <v>1</v>
      </c>
      <c r="AP230" s="330">
        <f t="shared" ref="AP230:AW230" si="283">(AP219+AP222+AP225)/AP229</f>
        <v>1</v>
      </c>
      <c r="AQ230" s="370">
        <f t="shared" si="283"/>
        <v>1</v>
      </c>
      <c r="AR230" s="289">
        <f t="shared" si="283"/>
        <v>1</v>
      </c>
      <c r="AS230" s="369">
        <f t="shared" si="283"/>
        <v>1</v>
      </c>
      <c r="AT230" s="330">
        <f t="shared" si="283"/>
        <v>1</v>
      </c>
      <c r="AU230" s="330">
        <f t="shared" si="283"/>
        <v>1</v>
      </c>
      <c r="AV230" s="370">
        <f t="shared" si="283"/>
        <v>1</v>
      </c>
      <c r="AW230" s="289">
        <f t="shared" si="283"/>
        <v>1</v>
      </c>
      <c r="AX230" s="369">
        <f t="shared" ref="AX230:BL230" si="284">(AX219+AX222+AX225)/AX229</f>
        <v>1</v>
      </c>
      <c r="AY230" s="330">
        <f t="shared" si="284"/>
        <v>1</v>
      </c>
      <c r="AZ230" s="330">
        <f>(AZ219+AZ222+AZ225)/AZ229</f>
        <v>1</v>
      </c>
      <c r="BA230" s="370">
        <f t="shared" si="284"/>
        <v>1</v>
      </c>
      <c r="BB230" s="289">
        <f t="shared" si="284"/>
        <v>1</v>
      </c>
      <c r="BC230" s="369">
        <f t="shared" si="284"/>
        <v>1</v>
      </c>
      <c r="BD230" s="330">
        <f t="shared" si="284"/>
        <v>1</v>
      </c>
      <c r="BE230" s="330">
        <f t="shared" si="284"/>
        <v>1</v>
      </c>
      <c r="BF230" s="370">
        <f t="shared" si="284"/>
        <v>1</v>
      </c>
      <c r="BG230" s="289">
        <f t="shared" si="284"/>
        <v>1</v>
      </c>
      <c r="BH230" s="369">
        <f t="shared" si="284"/>
        <v>1</v>
      </c>
      <c r="BI230" s="330">
        <f t="shared" si="284"/>
        <v>1</v>
      </c>
      <c r="BJ230" s="330">
        <f t="shared" si="284"/>
        <v>1</v>
      </c>
      <c r="BK230" s="370">
        <f t="shared" si="284"/>
        <v>1</v>
      </c>
      <c r="BL230" s="289">
        <f t="shared" si="284"/>
        <v>1</v>
      </c>
      <c r="BM230" s="369">
        <f>(BM219+BM222+BM225)/BM229</f>
        <v>1</v>
      </c>
      <c r="BN230" s="330">
        <f>(BN219+BN222+BN225)/BN229</f>
        <v>1</v>
      </c>
      <c r="BO230" s="330">
        <f>(BO219+BO222+BO225)/BO229</f>
        <v>1</v>
      </c>
      <c r="BP230" s="370">
        <f>(BP219+BP222+BP225)/BP229</f>
        <v>1</v>
      </c>
      <c r="BQ230" s="289">
        <f>(BQ219+BQ222+BQ225)/BQ229</f>
        <v>1</v>
      </c>
      <c r="BR230" s="289"/>
      <c r="BS230" s="290"/>
      <c r="BT230" s="290"/>
      <c r="BU230" s="290"/>
      <c r="BV230" s="290"/>
      <c r="BW230" s="290"/>
      <c r="BX230" s="290"/>
      <c r="BY230" s="290"/>
      <c r="BZ230" s="290"/>
      <c r="CA230" s="290"/>
      <c r="CB230" s="290"/>
      <c r="CC230" s="290"/>
      <c r="CD230" s="290"/>
      <c r="CE230" s="290"/>
      <c r="CF230" s="290"/>
      <c r="CG230" s="290"/>
      <c r="CH230" s="290"/>
      <c r="CI230" s="290"/>
      <c r="CJ230" s="290"/>
      <c r="CK230" s="290"/>
      <c r="CL230" s="290"/>
      <c r="CM230" s="290"/>
      <c r="CN230" s="290"/>
      <c r="CO230" s="290"/>
      <c r="CP230" s="290"/>
      <c r="CQ230" s="290"/>
      <c r="CR230" s="290"/>
      <c r="CS230" s="290"/>
      <c r="CT230" s="290"/>
      <c r="CU230" s="290"/>
      <c r="CV230" s="290"/>
      <c r="CW230" s="290"/>
      <c r="CX230" s="290"/>
      <c r="CY230" s="290"/>
      <c r="CZ230" s="290"/>
      <c r="DA230" s="290"/>
    </row>
    <row r="231" spans="1:105">
      <c r="A231" s="37"/>
      <c r="B231" s="37"/>
      <c r="C231" s="37"/>
      <c r="D231" s="37"/>
      <c r="E231" s="571"/>
      <c r="F231" s="318"/>
      <c r="G231" s="318"/>
      <c r="H231" s="572"/>
      <c r="I231" s="30"/>
      <c r="J231" s="571"/>
      <c r="K231" s="318"/>
      <c r="L231" s="318"/>
      <c r="M231" s="572"/>
      <c r="N231" s="30"/>
      <c r="O231" s="571"/>
      <c r="P231" s="318"/>
      <c r="Q231" s="318"/>
      <c r="R231" s="572"/>
      <c r="S231" s="30"/>
      <c r="T231" s="571"/>
      <c r="U231" s="318"/>
      <c r="V231" s="318"/>
      <c r="W231" s="572"/>
      <c r="X231" s="30"/>
      <c r="Y231" s="571"/>
      <c r="Z231" s="318"/>
      <c r="AA231" s="318"/>
      <c r="AB231" s="572"/>
      <c r="AC231" s="30"/>
      <c r="AD231" s="571"/>
      <c r="AE231" s="318"/>
      <c r="AF231" s="318"/>
      <c r="AG231" s="572"/>
      <c r="AH231" s="30"/>
      <c r="AI231" s="571"/>
      <c r="AJ231" s="318"/>
      <c r="AK231" s="318"/>
      <c r="AL231" s="572"/>
      <c r="AM231" s="30"/>
      <c r="AN231" s="571"/>
      <c r="AO231" s="318"/>
      <c r="AP231" s="318"/>
      <c r="AQ231" s="572"/>
      <c r="AR231" s="30"/>
      <c r="AS231" s="571"/>
      <c r="AT231" s="318"/>
      <c r="AU231" s="318"/>
      <c r="AV231" s="572"/>
      <c r="AW231" s="30"/>
      <c r="AX231" s="571"/>
      <c r="AY231" s="318"/>
      <c r="AZ231" s="318"/>
      <c r="BA231" s="572"/>
      <c r="BB231" s="30"/>
      <c r="BC231" s="571"/>
      <c r="BD231" s="318"/>
      <c r="BE231" s="318"/>
      <c r="BF231" s="572"/>
      <c r="BG231" s="30"/>
      <c r="BH231" s="571"/>
      <c r="BI231" s="318"/>
      <c r="BJ231" s="318"/>
      <c r="BK231" s="572"/>
      <c r="BL231" s="30"/>
      <c r="BM231" s="571"/>
      <c r="BN231" s="318"/>
      <c r="BO231" s="318"/>
      <c r="BP231" s="572"/>
      <c r="BQ231" s="30"/>
      <c r="BR231" s="30"/>
      <c r="BS231" s="37"/>
      <c r="BT231" s="37"/>
      <c r="BU231" s="37"/>
      <c r="BV231" s="37"/>
      <c r="BW231" s="37"/>
      <c r="BX231" s="37"/>
      <c r="BY231" s="37"/>
      <c r="BZ231" s="37"/>
      <c r="CA231" s="37"/>
      <c r="CB231" s="37"/>
      <c r="CC231" s="37"/>
      <c r="CD231" s="37"/>
      <c r="CE231" s="37"/>
      <c r="CF231" s="37"/>
      <c r="CG231" s="37"/>
      <c r="CH231" s="37"/>
      <c r="CI231" s="37"/>
      <c r="CJ231" s="37"/>
      <c r="CK231" s="37"/>
      <c r="CL231" s="37"/>
      <c r="CM231" s="37"/>
      <c r="CN231" s="37"/>
      <c r="CO231" s="37"/>
      <c r="CP231" s="37"/>
      <c r="CQ231" s="37"/>
      <c r="CR231" s="37"/>
      <c r="CS231" s="37"/>
      <c r="CT231" s="37"/>
      <c r="CU231" s="37"/>
      <c r="CV231" s="37"/>
      <c r="CW231" s="37"/>
      <c r="CX231" s="37"/>
      <c r="CY231" s="37"/>
      <c r="CZ231" s="37"/>
      <c r="DA231" s="37"/>
    </row>
    <row r="232" spans="1:105">
      <c r="A232" s="37"/>
      <c r="B232" s="37"/>
      <c r="C232" s="37"/>
      <c r="D232" s="37"/>
      <c r="E232" s="571"/>
      <c r="F232" s="318"/>
      <c r="G232" s="318"/>
      <c r="H232" s="572"/>
      <c r="I232" s="30"/>
      <c r="J232" s="571"/>
      <c r="K232" s="318"/>
      <c r="L232" s="318"/>
      <c r="M232" s="572"/>
      <c r="N232" s="30"/>
      <c r="O232" s="571"/>
      <c r="P232" s="318"/>
      <c r="Q232" s="318"/>
      <c r="R232" s="572"/>
      <c r="S232" s="30"/>
      <c r="T232" s="571"/>
      <c r="U232" s="318"/>
      <c r="V232" s="318"/>
      <c r="W232" s="572"/>
      <c r="X232" s="30"/>
      <c r="Y232" s="571"/>
      <c r="Z232" s="318"/>
      <c r="AA232" s="318"/>
      <c r="AB232" s="572"/>
      <c r="AC232" s="30"/>
      <c r="AD232" s="571"/>
      <c r="AE232" s="318"/>
      <c r="AF232" s="318"/>
      <c r="AG232" s="572"/>
      <c r="AH232" s="30"/>
      <c r="AI232" s="571"/>
      <c r="AJ232" s="318"/>
      <c r="AK232" s="318"/>
      <c r="AL232" s="572"/>
      <c r="AM232" s="30"/>
      <c r="AN232" s="571"/>
      <c r="AO232" s="318"/>
      <c r="AP232" s="318"/>
      <c r="AQ232" s="572"/>
      <c r="AR232" s="30"/>
      <c r="AS232" s="571"/>
      <c r="AT232" s="318"/>
      <c r="AU232" s="318"/>
      <c r="AV232" s="572"/>
      <c r="AW232" s="30"/>
      <c r="AX232" s="571"/>
      <c r="AY232" s="318"/>
      <c r="AZ232" s="318"/>
      <c r="BA232" s="572"/>
      <c r="BB232" s="30"/>
      <c r="BC232" s="571"/>
      <c r="BD232" s="318"/>
      <c r="BE232" s="318"/>
      <c r="BF232" s="572"/>
      <c r="BG232" s="30"/>
      <c r="BH232" s="571"/>
      <c r="BI232" s="318"/>
      <c r="BJ232" s="318"/>
      <c r="BK232" s="572"/>
      <c r="BL232" s="30"/>
      <c r="BM232" s="571"/>
      <c r="BN232" s="318"/>
      <c r="BO232" s="318"/>
      <c r="BP232" s="572"/>
      <c r="BQ232" s="30"/>
      <c r="BR232" s="30"/>
      <c r="BS232" s="37"/>
      <c r="BT232" s="37"/>
      <c r="BU232" s="37"/>
      <c r="BV232" s="37"/>
      <c r="BW232" s="37"/>
      <c r="BX232" s="37"/>
      <c r="BY232" s="37"/>
      <c r="BZ232" s="37"/>
      <c r="CA232" s="37"/>
      <c r="CB232" s="37"/>
      <c r="CC232" s="37"/>
      <c r="CD232" s="37"/>
      <c r="CE232" s="37"/>
      <c r="CF232" s="37"/>
      <c r="CG232" s="37"/>
      <c r="CH232" s="37"/>
      <c r="CI232" s="37"/>
      <c r="CJ232" s="37"/>
      <c r="CK232" s="37"/>
      <c r="CL232" s="37"/>
      <c r="CM232" s="37"/>
      <c r="CN232" s="37"/>
      <c r="CO232" s="37"/>
      <c r="CP232" s="37"/>
      <c r="CQ232" s="37"/>
      <c r="CR232" s="37"/>
      <c r="CS232" s="37"/>
      <c r="CT232" s="37"/>
      <c r="CU232" s="37"/>
      <c r="CV232" s="37"/>
      <c r="CW232" s="37"/>
      <c r="CX232" s="37"/>
      <c r="CY232" s="37"/>
      <c r="CZ232" s="37"/>
      <c r="DA232" s="37"/>
    </row>
    <row r="233" spans="1:105">
      <c r="A233" s="37"/>
      <c r="B233" s="105" t="s">
        <v>657</v>
      </c>
      <c r="C233" s="322"/>
      <c r="D233" s="19"/>
      <c r="E233" s="571"/>
      <c r="F233" s="318"/>
      <c r="G233" s="318"/>
      <c r="H233" s="572"/>
      <c r="I233" s="30"/>
      <c r="J233" s="571"/>
      <c r="K233" s="318"/>
      <c r="L233" s="318"/>
      <c r="M233" s="572"/>
      <c r="N233" s="30"/>
      <c r="O233" s="571"/>
      <c r="P233" s="318"/>
      <c r="Q233" s="318"/>
      <c r="R233" s="572"/>
      <c r="S233" s="732"/>
      <c r="T233" s="571"/>
      <c r="U233" s="318"/>
      <c r="V233" s="318"/>
      <c r="W233" s="572"/>
      <c r="X233" s="30"/>
      <c r="Y233" s="571"/>
      <c r="Z233" s="318"/>
      <c r="AA233" s="318"/>
      <c r="AB233" s="572"/>
      <c r="AC233" s="30"/>
      <c r="AD233" s="571"/>
      <c r="AE233" s="318"/>
      <c r="AF233" s="318"/>
      <c r="AG233" s="572"/>
      <c r="AH233" s="30"/>
      <c r="AI233" s="571"/>
      <c r="AJ233" s="318"/>
      <c r="AK233" s="318"/>
      <c r="AL233" s="572"/>
      <c r="AM233" s="30"/>
      <c r="AN233" s="571"/>
      <c r="AO233" s="318"/>
      <c r="AP233" s="318"/>
      <c r="AQ233" s="572"/>
      <c r="AR233" s="30"/>
      <c r="AS233" s="571"/>
      <c r="AT233" s="318"/>
      <c r="AU233" s="318"/>
      <c r="AV233" s="572"/>
      <c r="AW233" s="30"/>
      <c r="AX233" s="571"/>
      <c r="AY233" s="318"/>
      <c r="AZ233" s="318"/>
      <c r="BA233" s="572"/>
      <c r="BB233" s="30"/>
      <c r="BC233" s="571"/>
      <c r="BD233" s="318"/>
      <c r="BE233" s="318"/>
      <c r="BF233" s="572"/>
      <c r="BG233" s="30"/>
      <c r="BH233" s="571"/>
      <c r="BI233" s="318"/>
      <c r="BJ233" s="318"/>
      <c r="BK233" s="572"/>
      <c r="BL233" s="30"/>
      <c r="BM233" s="571"/>
      <c r="BN233" s="318"/>
      <c r="BO233" s="318"/>
      <c r="BP233" s="572"/>
      <c r="BQ233" s="30"/>
      <c r="BR233" s="30"/>
      <c r="BS233" s="37"/>
      <c r="BT233" s="37"/>
      <c r="BU233" s="37"/>
      <c r="BV233" s="37"/>
      <c r="BW233" s="37"/>
      <c r="BX233" s="37"/>
      <c r="BY233" s="37"/>
      <c r="BZ233" s="37"/>
      <c r="CA233" s="37"/>
      <c r="CB233" s="37"/>
      <c r="CC233" s="37"/>
      <c r="CD233" s="37"/>
      <c r="CE233" s="37"/>
      <c r="CF233" s="37"/>
      <c r="CG233" s="37"/>
      <c r="CH233" s="37"/>
      <c r="CI233" s="37"/>
      <c r="CJ233" s="37"/>
      <c r="CK233" s="37"/>
      <c r="CL233" s="37"/>
      <c r="CM233" s="37"/>
      <c r="CN233" s="37"/>
      <c r="CO233" s="37"/>
      <c r="CP233" s="37"/>
      <c r="CQ233" s="37"/>
      <c r="CR233" s="37"/>
      <c r="CS233" s="37"/>
      <c r="CT233" s="37"/>
      <c r="CU233" s="37"/>
      <c r="CV233" s="37"/>
      <c r="CW233" s="37"/>
      <c r="CX233" s="37"/>
      <c r="CY233" s="37"/>
      <c r="CZ233" s="37"/>
      <c r="DA233" s="37"/>
    </row>
    <row r="234" spans="1:105">
      <c r="A234" s="77"/>
      <c r="B234" s="77"/>
      <c r="C234" s="547" t="s">
        <v>305</v>
      </c>
      <c r="D234" s="77"/>
      <c r="E234" s="394"/>
      <c r="F234" s="342"/>
      <c r="G234" s="343"/>
      <c r="H234" s="395">
        <f>SUM(E36:H36)+SUM(E19:H19)</f>
        <v>932</v>
      </c>
      <c r="I234" s="77">
        <f>I36+I19</f>
        <v>932</v>
      </c>
      <c r="J234" s="394">
        <f>SUM(J36,F36:H36)+SUM(J19,F19:H19)</f>
        <v>954.25</v>
      </c>
      <c r="K234" s="342">
        <f>SUM(J19:K19,G36:H36)+SUM(J36:K36,G19:H19)</f>
        <v>946.5</v>
      </c>
      <c r="L234" s="342">
        <f>SUM(J36:L36,H36)+SUM(J19:L19,H19)</f>
        <v>1053.75</v>
      </c>
      <c r="M234" s="395">
        <f>SUM(J36:M36)+SUM(J19:M19)</f>
        <v>1108</v>
      </c>
      <c r="N234" s="77">
        <f>N36+N19</f>
        <v>1108</v>
      </c>
      <c r="O234" s="394">
        <f>SUM(O36,K36:M36)+SUM(O19,K19:M19)</f>
        <v>1155</v>
      </c>
      <c r="P234" s="342">
        <f>SUM(O19:P19,L36:M36)+SUM(O36:P36,L19:M19)</f>
        <v>1252</v>
      </c>
      <c r="Q234" s="342">
        <f>SUM(O36:Q36,M36)+SUM(O19:Q19,M19)</f>
        <v>1239</v>
      </c>
      <c r="R234" s="395">
        <f>SUM(O36:R36)+SUM(O19:R19)</f>
        <v>1240</v>
      </c>
      <c r="S234" s="77">
        <f>S36+S19</f>
        <v>1240</v>
      </c>
      <c r="T234" s="394">
        <f>SUM(T36,P36:R36)+SUM(T19,P19:R19)</f>
        <v>1285</v>
      </c>
      <c r="U234" s="342">
        <f>SUM(T19:U19,Q36:R36)+SUM(T36:U36,Q19:R19)</f>
        <v>1297</v>
      </c>
      <c r="V234" s="342">
        <f>SUM(T36:V36,R36)+SUM(T19:V19,R19)</f>
        <v>1317</v>
      </c>
      <c r="W234" s="395">
        <f>SUM(T36:W36)+SUM(T19:W19)</f>
        <v>1306</v>
      </c>
      <c r="X234" s="77">
        <f>X36+X19</f>
        <v>1306</v>
      </c>
      <c r="Y234" s="394">
        <f>SUM(Y36,U36:W36)+SUM(Y19,U19:W19)</f>
        <v>1313</v>
      </c>
      <c r="Z234" s="342">
        <f>SUM(Y19:Z19,V36:W36)+SUM(Y36:Z36,V19:W19)</f>
        <v>1352</v>
      </c>
      <c r="AA234" s="342">
        <f>SUM(Y36:AA36,W36)+SUM(Y19:AA19,W19)</f>
        <v>1385</v>
      </c>
      <c r="AB234" s="395">
        <f>SUM(Y36:AB36)+SUM(Y19:AB19)</f>
        <v>1484</v>
      </c>
      <c r="AC234" s="77">
        <f>AC36+AC19</f>
        <v>1484</v>
      </c>
      <c r="AD234" s="394">
        <f>SUM(AD36,Z36:AB36)+SUM(AD19,Z19:AB19)</f>
        <v>1531</v>
      </c>
      <c r="AE234" s="342">
        <f>SUM(AD19:AE19,AA36:AB36)+SUM(AD36:AE36,AA19:AB19)</f>
        <v>1571</v>
      </c>
      <c r="AF234" s="342">
        <f>SUM(AD36:AF36,AB36)+SUM(AD19:AF19,AB19)</f>
        <v>1605</v>
      </c>
      <c r="AG234" s="395">
        <f>SUM(AD36:AG36)+SUM(AD19:AG19)</f>
        <v>1631</v>
      </c>
      <c r="AH234" s="77">
        <f>AH36+AH19</f>
        <v>1631</v>
      </c>
      <c r="AI234" s="394">
        <f>SUM(AI36,AE36:AG36)+SUM(AI19,AE19:AG19)</f>
        <v>1679</v>
      </c>
      <c r="AJ234" s="342">
        <f>SUM(AI19:AJ19,AF36:AG36)+SUM(AI36:AJ36,AF19:AG19)</f>
        <v>1712</v>
      </c>
      <c r="AK234" s="342">
        <f>SUM(AI36:AK36,AG36)+SUM(AI19:AK19,AG19)</f>
        <v>1727</v>
      </c>
      <c r="AL234" s="395">
        <f>SUM(AI36:AL36)+SUM(AI19:AL19)</f>
        <v>1679</v>
      </c>
      <c r="AM234" s="77">
        <f>AM36+AM19</f>
        <v>1679</v>
      </c>
      <c r="AN234" s="394">
        <f>SUM(AN36,AJ36:AL36)+SUM(AN19,AJ19:AL19)</f>
        <v>1591</v>
      </c>
      <c r="AO234" s="342">
        <f>SUM(AN19:AO19,AK36:AL36)+SUM(AN36:AO36,AK19:AL19)</f>
        <v>1505</v>
      </c>
      <c r="AP234" s="342">
        <f>SUM(AN36:AP36,AL36)+SUM(AN19:AP19,AL19)</f>
        <v>1444</v>
      </c>
      <c r="AQ234" s="395">
        <f>SUM(AN36:AQ36)+SUM(AN19:AQ19)</f>
        <v>1454</v>
      </c>
      <c r="AR234" s="77">
        <f>AR36+AR19</f>
        <v>1454</v>
      </c>
      <c r="AS234" s="394">
        <f>SUM(AS36,AO36:AQ36)+SUM(AS19,AO19:AQ19)</f>
        <v>1523</v>
      </c>
      <c r="AT234" s="342">
        <f>SUM(AS19:AT19,AP36:AQ36)+SUM(AS36:AT36,AP19:AQ19)</f>
        <v>1582</v>
      </c>
      <c r="AU234" s="342">
        <f>SUM(AS36:AU36,AQ36)+SUM(AS19:AU19,AQ19)</f>
        <v>1605</v>
      </c>
      <c r="AV234" s="395">
        <f>SUM(AS36:AV36)+SUM(AS19:AV19)</f>
        <v>1658</v>
      </c>
      <c r="AW234" s="77">
        <f>AW36+AW19</f>
        <v>1658</v>
      </c>
      <c r="AX234" s="394">
        <f>SUM(AX36,AT36:AV36)+SUM(AX19,AT19:AV19)</f>
        <v>1670.71013689957</v>
      </c>
      <c r="AY234" s="342">
        <f>SUM(AX19:AY19,AU36:AV36)+SUM(AX36:AY36,AU19:AV19)</f>
        <v>1663.7303310212089</v>
      </c>
      <c r="AZ234" s="342">
        <f>SUM(AX36:AZ36,AV36)+SUM(AX19:AZ19,AV19)</f>
        <v>1674.9355734251753</v>
      </c>
      <c r="BA234" s="395">
        <f>SUM(AX36:BA36)+SUM(AX19:BA19)</f>
        <v>1661.1053073321896</v>
      </c>
      <c r="BB234" s="77">
        <f>BB36+BB19</f>
        <v>1661.1053073321896</v>
      </c>
      <c r="BC234" s="394">
        <f>SUM(BC36,AY36:BA36)+SUM(BC19,AY19:BA19)</f>
        <v>1707.1747367367325</v>
      </c>
      <c r="BD234" s="342">
        <f>SUM(BC19:BD19,AY36:BA36)+SUM(BC36:BD36,AY19:BA19)</f>
        <v>2116.5054059039594</v>
      </c>
      <c r="BE234" s="342">
        <f>SUM(BC36:BE36,BA36)+SUM(BC19:BE19,BA19)</f>
        <v>1735.7674050088174</v>
      </c>
      <c r="BF234" s="395">
        <f>SUM(BC36:BF36)+SUM(BC19:BF19)</f>
        <v>1782.7120951369907</v>
      </c>
      <c r="BG234" s="77">
        <f>BG36+BG19</f>
        <v>1782.7120951369914</v>
      </c>
      <c r="BH234" s="394">
        <f>SUM(BH36,BD36:BF36)+SUM(BH19,BD19:BF19)</f>
        <v>1812.4671879662594</v>
      </c>
      <c r="BI234" s="342">
        <f>SUM(BH19:BI19,BE36:BF36)+SUM(BH36:BI36,BE19:BF19)</f>
        <v>1841.2166599391114</v>
      </c>
      <c r="BJ234" s="342">
        <f>SUM(BH36:BJ36,BF36)+SUM(BH19:BJ19,BF19)</f>
        <v>1873.4042886966145</v>
      </c>
      <c r="BK234" s="395">
        <f>SUM(BH36:BK36)+SUM(BH19:BK19)</f>
        <v>1906.5326597204191</v>
      </c>
      <c r="BL234" s="77">
        <f>BL36+BL19</f>
        <v>1906.5326597204185</v>
      </c>
      <c r="BM234" s="394">
        <f>SUM(BM36,BI36:BK36)+SUM(BM19,BI19:BK19)</f>
        <v>1934.4062726981656</v>
      </c>
      <c r="BN234" s="342">
        <f>SUM(BM19:BN19,BJ36:BK36)+SUM(BM36:BN36,BJ19:BK19)</f>
        <v>1961.7145283739005</v>
      </c>
      <c r="BO234" s="342">
        <f>SUM(BM36:BO36,BK36)+SUM(BM19:BO19,BK19)</f>
        <v>1994.0627093575276</v>
      </c>
      <c r="BP234" s="395">
        <f>SUM(BM36:BP36)+SUM(BM19:BP19)</f>
        <v>2027.1702485362825</v>
      </c>
      <c r="BQ234" s="77">
        <f>BQ36+BQ19</f>
        <v>2027.170248536283</v>
      </c>
      <c r="BR234" s="77"/>
      <c r="BS234" s="77"/>
      <c r="BT234" s="77"/>
      <c r="BU234" s="77"/>
      <c r="BV234" s="77"/>
      <c r="BW234" s="77"/>
      <c r="BX234" s="77"/>
      <c r="BY234" s="77"/>
      <c r="BZ234" s="77"/>
      <c r="CA234" s="77"/>
      <c r="CB234" s="77"/>
      <c r="CC234" s="77"/>
      <c r="CD234" s="77"/>
      <c r="CE234" s="77"/>
      <c r="CF234" s="77"/>
      <c r="CG234" s="77"/>
      <c r="CH234" s="77"/>
      <c r="CI234" s="77"/>
      <c r="CJ234" s="77"/>
      <c r="CK234" s="77"/>
      <c r="CL234" s="77"/>
      <c r="CM234" s="77"/>
      <c r="CN234" s="77"/>
      <c r="CO234" s="77"/>
      <c r="CP234" s="77"/>
      <c r="CQ234" s="77"/>
      <c r="CR234" s="77"/>
      <c r="CS234" s="77"/>
      <c r="CT234" s="77"/>
      <c r="CU234" s="77"/>
      <c r="CV234" s="77"/>
      <c r="CW234" s="77"/>
      <c r="CX234" s="77"/>
      <c r="CY234" s="77"/>
      <c r="CZ234" s="77"/>
      <c r="DA234" s="77"/>
    </row>
    <row r="235" spans="1:105">
      <c r="A235" s="77"/>
      <c r="B235" s="77"/>
      <c r="C235" s="547" t="s">
        <v>309</v>
      </c>
      <c r="D235" s="77"/>
      <c r="E235" s="394"/>
      <c r="F235" s="342"/>
      <c r="G235" s="343"/>
      <c r="H235" s="395">
        <f>SUM(E27:H27)</f>
        <v>862</v>
      </c>
      <c r="I235" s="77">
        <f>+I27</f>
        <v>862</v>
      </c>
      <c r="J235" s="394">
        <f>SUM(J27,F27:H27)</f>
        <v>849.25</v>
      </c>
      <c r="K235" s="342">
        <f>SUM(J27:K27,G27:H27)</f>
        <v>770.5</v>
      </c>
      <c r="L235" s="342">
        <f>SUM(J27:L27,H27)</f>
        <v>880.75</v>
      </c>
      <c r="M235" s="395">
        <f>SUM(J27:M27)</f>
        <v>908</v>
      </c>
      <c r="N235" s="77">
        <f>+N27</f>
        <v>908</v>
      </c>
      <c r="O235" s="394">
        <f>SUM(O27,K27:M27)</f>
        <v>986</v>
      </c>
      <c r="P235" s="342">
        <f>SUM(O27:P27,L27:M27)</f>
        <v>1168</v>
      </c>
      <c r="Q235" s="342">
        <f>SUM(O27:Q27,M27)</f>
        <v>1164</v>
      </c>
      <c r="R235" s="395">
        <f>SUM(O27:R27)</f>
        <v>1171</v>
      </c>
      <c r="S235" s="77">
        <f>+S27</f>
        <v>1171</v>
      </c>
      <c r="T235" s="394">
        <f>SUM(T27,P27:R27)</f>
        <v>1170</v>
      </c>
      <c r="U235" s="342">
        <f>SUM(T27:U27,Q27:R27)</f>
        <v>1152</v>
      </c>
      <c r="V235" s="342">
        <f>SUM(T27:V27,R27)</f>
        <v>1149</v>
      </c>
      <c r="W235" s="395">
        <f>SUM(T27:W27)</f>
        <v>1130</v>
      </c>
      <c r="X235" s="77">
        <f>+X27</f>
        <v>1130</v>
      </c>
      <c r="Y235" s="394">
        <f>SUM(Y27,U27:W27)</f>
        <v>1155</v>
      </c>
      <c r="Z235" s="342">
        <f>SUM(Y27:Z27,V27:W27)</f>
        <v>1184</v>
      </c>
      <c r="AA235" s="342">
        <f>SUM(Y27:AA27,W27)</f>
        <v>1211</v>
      </c>
      <c r="AB235" s="395">
        <f>SUM(Y27:AB27)</f>
        <v>1286</v>
      </c>
      <c r="AC235" s="77">
        <f>+AC27</f>
        <v>1286</v>
      </c>
      <c r="AD235" s="394">
        <f>SUM(AD27,Z27:AB27)</f>
        <v>1334</v>
      </c>
      <c r="AE235" s="342">
        <f>SUM(AD27:AE27,AA27:AB27)</f>
        <v>1371</v>
      </c>
      <c r="AF235" s="342">
        <f>SUM(AD27:AF27,AB27)</f>
        <v>1410</v>
      </c>
      <c r="AG235" s="395">
        <f>SUM(AD27:AG27)</f>
        <v>1451</v>
      </c>
      <c r="AH235" s="77">
        <f>+AH27</f>
        <v>1451</v>
      </c>
      <c r="AI235" s="394">
        <f>SUM(AI27,AE27:AG27)</f>
        <v>1494</v>
      </c>
      <c r="AJ235" s="342">
        <f>SUM(AI27:AJ27,AF27:AG27)</f>
        <v>1528</v>
      </c>
      <c r="AK235" s="342">
        <f>SUM(AI27:AK27,AG27)</f>
        <v>1557</v>
      </c>
      <c r="AL235" s="395">
        <f>SUM(AI27:AL27)</f>
        <v>1537</v>
      </c>
      <c r="AM235" s="77">
        <f>+AM27</f>
        <v>1537</v>
      </c>
      <c r="AN235" s="394">
        <f>SUM(AN27,AJ27:AL27)</f>
        <v>1550</v>
      </c>
      <c r="AO235" s="342">
        <f>SUM(AN27:AO27,AK27:AL27)</f>
        <v>1563</v>
      </c>
      <c r="AP235" s="342">
        <f>SUM(AN27:AP27,AL27)</f>
        <v>1608</v>
      </c>
      <c r="AQ235" s="395">
        <f>SUM(AN27:AQ27)</f>
        <v>1693</v>
      </c>
      <c r="AR235" s="77">
        <f>+AR27</f>
        <v>1693</v>
      </c>
      <c r="AS235" s="394">
        <f>SUM(AS27,AO27:AQ27)</f>
        <v>1757</v>
      </c>
      <c r="AT235" s="342">
        <f>SUM(AS27:AT27,AP27:AQ27)</f>
        <v>1806</v>
      </c>
      <c r="AU235" s="342">
        <f>SUM(AS27:AU27,AQ27)</f>
        <v>1816</v>
      </c>
      <c r="AV235" s="395">
        <f>SUM(AS27:AV27)</f>
        <v>1839</v>
      </c>
      <c r="AW235" s="77">
        <f>+AW27</f>
        <v>1839</v>
      </c>
      <c r="AX235" s="394">
        <f>SUM(AX27,AT27:AV27)</f>
        <v>1805.8676443647109</v>
      </c>
      <c r="AY235" s="342">
        <f>SUM(AX27:AY27,AU27:AV27)</f>
        <v>1763.1338950987483</v>
      </c>
      <c r="AZ235" s="342">
        <f>SUM(AX27:AZ27,AV27)</f>
        <v>1723.1351356621162</v>
      </c>
      <c r="BA235" s="395">
        <f>SUM(AX27:BA27)</f>
        <v>1696.7510080476241</v>
      </c>
      <c r="BB235" s="77">
        <f>+BB27</f>
        <v>1696.7510080476238</v>
      </c>
      <c r="BC235" s="394">
        <f>SUM(BC27,AY27:BA27)</f>
        <v>1755.7135120582848</v>
      </c>
      <c r="BD235" s="342">
        <f>SUM(BC27:BD27,AY27:BA27)</f>
        <v>2173.2741940195165</v>
      </c>
      <c r="BE235" s="342">
        <f>SUM(BC27:BE27,BA27)</f>
        <v>1788.7221311753433</v>
      </c>
      <c r="BF235" s="395">
        <f>SUM(BC27:BF27)</f>
        <v>1846.1942956711575</v>
      </c>
      <c r="BG235" s="77">
        <f>+BG27</f>
        <v>1846.1942956711584</v>
      </c>
      <c r="BH235" s="394">
        <f>SUM(BH27,BD27:BF27)</f>
        <v>1883.2981208859294</v>
      </c>
      <c r="BI235" s="342">
        <f>SUM(BH27:BI27,BE27:BF27)</f>
        <v>1921.6574805449802</v>
      </c>
      <c r="BJ235" s="342">
        <f>SUM(BH27:BJ27,BF27)</f>
        <v>1960.2217455143996</v>
      </c>
      <c r="BK235" s="395">
        <f>SUM(BH27:BK27)</f>
        <v>1999.8521989830897</v>
      </c>
      <c r="BL235" s="77">
        <f>+BL27</f>
        <v>1999.8521989830892</v>
      </c>
      <c r="BM235" s="394">
        <f>SUM(BM27,BI27:BK27)</f>
        <v>2032.6554869705101</v>
      </c>
      <c r="BN235" s="342">
        <f>SUM(BM27:BN27,BJ27:BK27)</f>
        <v>2066.2345527225343</v>
      </c>
      <c r="BO235" s="342">
        <f>SUM(BM27:BO27,BK27)</f>
        <v>2100.7027060694991</v>
      </c>
      <c r="BP235" s="395">
        <f>SUM(BM27:BP27)</f>
        <v>2137.0606277377124</v>
      </c>
      <c r="BQ235" s="77">
        <f>+BQ27</f>
        <v>2137.0606277377128</v>
      </c>
      <c r="BR235" s="77"/>
      <c r="BS235" s="77"/>
      <c r="BT235" s="77"/>
      <c r="BU235" s="77"/>
      <c r="BV235" s="77"/>
      <c r="BW235" s="77"/>
      <c r="BX235" s="77"/>
      <c r="BY235" s="77"/>
      <c r="BZ235" s="77"/>
      <c r="CA235" s="77"/>
      <c r="CB235" s="77"/>
      <c r="CC235" s="77"/>
      <c r="CD235" s="77"/>
      <c r="CE235" s="77"/>
      <c r="CF235" s="77"/>
      <c r="CG235" s="77"/>
      <c r="CH235" s="77"/>
      <c r="CI235" s="77"/>
      <c r="CJ235" s="77"/>
      <c r="CK235" s="77"/>
      <c r="CL235" s="77"/>
      <c r="CM235" s="77"/>
      <c r="CN235" s="77"/>
      <c r="CO235" s="77"/>
      <c r="CP235" s="77"/>
      <c r="CQ235" s="77"/>
      <c r="CR235" s="77"/>
      <c r="CS235" s="77"/>
      <c r="CT235" s="77"/>
      <c r="CU235" s="77"/>
      <c r="CV235" s="77"/>
      <c r="CW235" s="77"/>
      <c r="CX235" s="77"/>
      <c r="CY235" s="77"/>
      <c r="CZ235" s="77"/>
      <c r="DA235" s="77"/>
    </row>
    <row r="236" spans="1:105">
      <c r="A236" s="77"/>
      <c r="B236" s="77"/>
      <c r="C236" s="547" t="s">
        <v>310</v>
      </c>
      <c r="D236" s="77"/>
      <c r="E236" s="394"/>
      <c r="F236" s="342"/>
      <c r="G236" s="343"/>
      <c r="H236" s="395">
        <f>SUM(E28:H28)</f>
        <v>1470</v>
      </c>
      <c r="I236" s="77">
        <f>+I28</f>
        <v>1470</v>
      </c>
      <c r="J236" s="394">
        <f>SUM(J28,F28:H28)</f>
        <v>1485.25</v>
      </c>
      <c r="K236" s="342">
        <f>SUM(J28:K28,G28:H28)</f>
        <v>1439.5</v>
      </c>
      <c r="L236" s="342">
        <f>SUM(J28:L28,H28)</f>
        <v>1589.75</v>
      </c>
      <c r="M236" s="395">
        <f>SUM(J28:M28)</f>
        <v>1658</v>
      </c>
      <c r="N236" s="77">
        <f>+N28</f>
        <v>1658</v>
      </c>
      <c r="O236" s="394">
        <f>SUM(O28,K28:M28)</f>
        <v>1738</v>
      </c>
      <c r="P236" s="342">
        <f>SUM(O28:P28,L28:M28)</f>
        <v>1915</v>
      </c>
      <c r="Q236" s="342">
        <f>SUM(O28:Q28,M28)</f>
        <v>1899</v>
      </c>
      <c r="R236" s="395">
        <f>SUM(O28:R28)</f>
        <v>1890</v>
      </c>
      <c r="S236" s="77">
        <f>+S28</f>
        <v>1890</v>
      </c>
      <c r="T236" s="394">
        <f>SUM(T28,P28:R28)</f>
        <v>1900</v>
      </c>
      <c r="U236" s="342">
        <f>SUM(T28:U28,Q28:R28)</f>
        <v>1898</v>
      </c>
      <c r="V236" s="342">
        <f>SUM(T28:V28,R28)</f>
        <v>1914</v>
      </c>
      <c r="W236" s="395">
        <f>SUM(T28:W28)</f>
        <v>1908</v>
      </c>
      <c r="X236" s="77">
        <f>+X28</f>
        <v>1908</v>
      </c>
      <c r="Y236" s="394">
        <f>SUM(Y28,U28:W28)</f>
        <v>1958</v>
      </c>
      <c r="Z236" s="342">
        <f>SUM(Y28:Z28,V28:W28)</f>
        <v>2006</v>
      </c>
      <c r="AA236" s="342">
        <f>SUM(Y28:AA28,W28)</f>
        <v>2053</v>
      </c>
      <c r="AB236" s="395">
        <f>SUM(Y28:AB28)</f>
        <v>2158</v>
      </c>
      <c r="AC236" s="77">
        <f>+AC28</f>
        <v>2158</v>
      </c>
      <c r="AD236" s="394">
        <f>SUM(AD28,Z28:AB28)</f>
        <v>2218</v>
      </c>
      <c r="AE236" s="342">
        <f>SUM(AD28:AE28,AA28:AB28)</f>
        <v>2265</v>
      </c>
      <c r="AF236" s="342">
        <f>SUM(AD28:AF28,AB28)</f>
        <v>2306</v>
      </c>
      <c r="AG236" s="395">
        <f>SUM(AD28:AG28)</f>
        <v>2357</v>
      </c>
      <c r="AH236" s="77">
        <f>+AH28</f>
        <v>2357</v>
      </c>
      <c r="AI236" s="394">
        <f>SUM(AI28,AE28:AG28)</f>
        <v>2420</v>
      </c>
      <c r="AJ236" s="342">
        <f>SUM(AI28:AJ28,AF28:AG28)</f>
        <v>2471</v>
      </c>
      <c r="AK236" s="342">
        <f>SUM(AI28:AK28,AG28)</f>
        <v>2493</v>
      </c>
      <c r="AL236" s="395">
        <f>SUM(AI28:AL28)</f>
        <v>2429</v>
      </c>
      <c r="AM236" s="77">
        <f>+AM28</f>
        <v>2429</v>
      </c>
      <c r="AN236" s="394">
        <f>SUM(AN28,AJ28:AL28)</f>
        <v>2334</v>
      </c>
      <c r="AO236" s="342">
        <f>SUM(AN28:AO28,AK28:AL28)</f>
        <v>2249</v>
      </c>
      <c r="AP236" s="342">
        <f>SUM(AN28:AP28,AL28)</f>
        <v>2200</v>
      </c>
      <c r="AQ236" s="395">
        <f>SUM(AN28:AQ28)</f>
        <v>2258</v>
      </c>
      <c r="AR236" s="77">
        <f>+AR28</f>
        <v>2258</v>
      </c>
      <c r="AS236" s="394">
        <f>SUM(AS28,AO28:AQ28)</f>
        <v>2354</v>
      </c>
      <c r="AT236" s="342">
        <f>SUM(AS28:AT28,AP28:AQ28)</f>
        <v>2433</v>
      </c>
      <c r="AU236" s="342">
        <f>SUM(AS28:AU28,AQ28)</f>
        <v>2475</v>
      </c>
      <c r="AV236" s="395">
        <f>SUM(AS28:AV28)</f>
        <v>2524</v>
      </c>
      <c r="AW236" s="77">
        <f>+AW28</f>
        <v>2524</v>
      </c>
      <c r="AX236" s="394">
        <f>SUM(AX28,AT28:AV28)</f>
        <v>2470.8982451034535</v>
      </c>
      <c r="AY236" s="342">
        <f>SUM(AX28:AY28,AU28:AV28)</f>
        <v>2417.4220095335245</v>
      </c>
      <c r="AZ236" s="342">
        <f>SUM(AX28:AZ28,AV28)</f>
        <v>2367.6709813798498</v>
      </c>
      <c r="BA236" s="395">
        <f>SUM(AX28:BA28)</f>
        <v>2321.5345850483154</v>
      </c>
      <c r="BB236" s="77">
        <f>+BB28</f>
        <v>2321.5345850483145</v>
      </c>
      <c r="BC236" s="394">
        <f>SUM(BC28,AY28:BA28)</f>
        <v>2391.7160773024771</v>
      </c>
      <c r="BD236" s="342">
        <f>SUM(BC28:BD28,AY28:BA28)</f>
        <v>2975.5045059174404</v>
      </c>
      <c r="BE236" s="342">
        <f>SUM(BC28:BE28,BA28)</f>
        <v>2446.5201982560066</v>
      </c>
      <c r="BF236" s="395">
        <f>SUM(BC28:BF28)</f>
        <v>2518.6357560178085</v>
      </c>
      <c r="BG236" s="77">
        <f>+BG28</f>
        <v>2518.6357560178094</v>
      </c>
      <c r="BH236" s="394">
        <f>SUM(BH28,BD28:BF28)</f>
        <v>2569.2324759104686</v>
      </c>
      <c r="BI236" s="342">
        <f>SUM(BH28:BI28,BE28:BF28)</f>
        <v>2620.9395767542956</v>
      </c>
      <c r="BJ236" s="342">
        <f>SUM(BH28:BJ28,BF28)</f>
        <v>2672.646677598123</v>
      </c>
      <c r="BK236" s="395">
        <f>SUM(BH28:BK28)</f>
        <v>2725.2167876800067</v>
      </c>
      <c r="BL236" s="77">
        <f>+BL28</f>
        <v>2725.2167876800058</v>
      </c>
      <c r="BM236" s="394">
        <f>SUM(BM28,BI28:BK28)</f>
        <v>2770.8879840925993</v>
      </c>
      <c r="BN236" s="342">
        <f>SUM(BM28:BN28,BJ28:BK28)</f>
        <v>2818.0925901278551</v>
      </c>
      <c r="BO236" s="342">
        <f>SUM(BM28:BO28,BK28)</f>
        <v>2865.297196163111</v>
      </c>
      <c r="BP236" s="395">
        <f>SUM(BM28:BP28)</f>
        <v>2913.5088696555063</v>
      </c>
      <c r="BQ236" s="77">
        <f>+BQ28</f>
        <v>2913.5088696555063</v>
      </c>
      <c r="BR236" s="77"/>
      <c r="BS236" s="77"/>
      <c r="BT236" s="77"/>
      <c r="BU236" s="77"/>
      <c r="BV236" s="77"/>
      <c r="BW236" s="77"/>
      <c r="BX236" s="77"/>
      <c r="BY236" s="77"/>
      <c r="BZ236" s="77"/>
      <c r="CA236" s="77"/>
      <c r="CB236" s="77"/>
      <c r="CC236" s="77"/>
      <c r="CD236" s="77"/>
      <c r="CE236" s="77"/>
      <c r="CF236" s="77"/>
      <c r="CG236" s="77"/>
      <c r="CH236" s="77"/>
      <c r="CI236" s="77"/>
      <c r="CJ236" s="77"/>
      <c r="CK236" s="77"/>
      <c r="CL236" s="77"/>
      <c r="CM236" s="77"/>
      <c r="CN236" s="77"/>
      <c r="CO236" s="77"/>
      <c r="CP236" s="77"/>
      <c r="CQ236" s="77"/>
      <c r="CR236" s="77"/>
      <c r="CS236" s="77"/>
      <c r="CT236" s="77"/>
      <c r="CU236" s="77"/>
      <c r="CV236" s="77"/>
      <c r="CW236" s="77"/>
      <c r="CX236" s="77"/>
      <c r="CY236" s="77"/>
      <c r="CZ236" s="77"/>
      <c r="DA236" s="77"/>
    </row>
    <row r="237" spans="1:105">
      <c r="A237" s="77"/>
      <c r="B237" s="77"/>
      <c r="C237" s="547" t="s">
        <v>308</v>
      </c>
      <c r="D237" s="77"/>
      <c r="E237" s="394"/>
      <c r="F237" s="342"/>
      <c r="G237" s="343"/>
      <c r="H237" s="395">
        <f>SUM(E30:H30)</f>
        <v>312</v>
      </c>
      <c r="I237" s="77">
        <f>+I30</f>
        <v>312</v>
      </c>
      <c r="J237" s="394">
        <f>SUM(J30,F30:H30)</f>
        <v>310</v>
      </c>
      <c r="K237" s="342">
        <f>SUM(J30:K30,G30:H30)</f>
        <v>310</v>
      </c>
      <c r="L237" s="342">
        <f>SUM(J30:L30,H30)</f>
        <v>315</v>
      </c>
      <c r="M237" s="395">
        <f>SUM(J30:M30)</f>
        <v>318</v>
      </c>
      <c r="N237" s="77">
        <f>+N30</f>
        <v>318</v>
      </c>
      <c r="O237" s="394">
        <f>SUM(O30,K30:M30)</f>
        <v>320</v>
      </c>
      <c r="P237" s="342">
        <f>SUM(O30:P30,L30:M30)</f>
        <v>318</v>
      </c>
      <c r="Q237" s="342">
        <f>SUM(O30:Q30,M30)</f>
        <v>313</v>
      </c>
      <c r="R237" s="395">
        <f>SUM(O30:R30)</f>
        <v>310</v>
      </c>
      <c r="S237" s="77">
        <f>+S30</f>
        <v>310</v>
      </c>
      <c r="T237" s="394">
        <f>SUM(T30,P30:R30)</f>
        <v>304</v>
      </c>
      <c r="U237" s="342">
        <f>SUM(T30:U30,Q30:R30)</f>
        <v>300</v>
      </c>
      <c r="V237" s="342">
        <f>SUM(T30:V30,R30)</f>
        <v>296</v>
      </c>
      <c r="W237" s="395">
        <f>SUM(T30:W30)</f>
        <v>295</v>
      </c>
      <c r="X237" s="77">
        <f>+X30</f>
        <v>295</v>
      </c>
      <c r="Y237" s="394">
        <f>SUM(Y30,U30:W30)</f>
        <v>295</v>
      </c>
      <c r="Z237" s="342">
        <f>SUM(Y30:Z30,V30:W30)</f>
        <v>296</v>
      </c>
      <c r="AA237" s="342">
        <f>SUM(Y30:AA30,W30)</f>
        <v>298</v>
      </c>
      <c r="AB237" s="395">
        <f>SUM(Y30:AB30)</f>
        <v>293</v>
      </c>
      <c r="AC237" s="77">
        <f>+AC30</f>
        <v>293</v>
      </c>
      <c r="AD237" s="394">
        <f>SUM(AD30,Z30:AB30)</f>
        <v>288</v>
      </c>
      <c r="AE237" s="342">
        <f>SUM(AD30:AE30,AA30:AB30)</f>
        <v>280</v>
      </c>
      <c r="AF237" s="342">
        <f>SUM(AD30:AF30,AB30)</f>
        <v>276</v>
      </c>
      <c r="AG237" s="395">
        <f>SUM(AD30:AG30)</f>
        <v>277</v>
      </c>
      <c r="AH237" s="77">
        <f>+AH30</f>
        <v>277</v>
      </c>
      <c r="AI237" s="394">
        <f>SUM(AI30,AE30:AG30)</f>
        <v>278</v>
      </c>
      <c r="AJ237" s="342">
        <f>SUM(AI30:AJ30,AF30:AG30)</f>
        <v>278</v>
      </c>
      <c r="AK237" s="342">
        <f>SUM(AI30:AK30,AG30)</f>
        <v>274</v>
      </c>
      <c r="AL237" s="395">
        <f>SUM(AI30:AL30)</f>
        <v>280</v>
      </c>
      <c r="AM237" s="77">
        <f>+AM30</f>
        <v>280</v>
      </c>
      <c r="AN237" s="394">
        <f>SUM(AN30,AJ30:AL30)</f>
        <v>279</v>
      </c>
      <c r="AO237" s="342">
        <f>SUM(AN30:AO30,AK30:AL30)</f>
        <v>286</v>
      </c>
      <c r="AP237" s="342">
        <f>SUM(AN30:AP30,AL30)</f>
        <v>291</v>
      </c>
      <c r="AQ237" s="395">
        <f>SUM(AN30:AQ30)</f>
        <v>289</v>
      </c>
      <c r="AR237" s="77">
        <f>+AR30</f>
        <v>289</v>
      </c>
      <c r="AS237" s="394">
        <f>SUM(AS30,AO30:AQ30)</f>
        <v>296</v>
      </c>
      <c r="AT237" s="342">
        <f>SUM(AS30:AT30,AP30:AQ30)</f>
        <v>291</v>
      </c>
      <c r="AU237" s="342">
        <f>SUM(AS30:AU30,AQ30)</f>
        <v>298</v>
      </c>
      <c r="AV237" s="395">
        <f>SUM(AS30:AV30)</f>
        <v>303</v>
      </c>
      <c r="AW237" s="77">
        <f>+AW30</f>
        <v>303</v>
      </c>
      <c r="AX237" s="394">
        <f>SUM(AX30,AT30:AV30)</f>
        <v>309.11500000000001</v>
      </c>
      <c r="AY237" s="342">
        <f>SUM(AX30:AY30,AU30:AV30)</f>
        <v>322.3647826488355</v>
      </c>
      <c r="AZ237" s="342">
        <f>SUM(AX30:AZ30,AV30)</f>
        <v>337.66795682128247</v>
      </c>
      <c r="BA237" s="395">
        <f>SUM(AX30:BA30)</f>
        <v>350.87863099372942</v>
      </c>
      <c r="BB237" s="77">
        <f>+BB30</f>
        <v>350.87863099372942</v>
      </c>
      <c r="BC237" s="394">
        <f>SUM(BC30,AY30:BA30)</f>
        <v>364.58082180823294</v>
      </c>
      <c r="BD237" s="342">
        <f>SUM(BC30:BD30,AY30:BA30)</f>
        <v>466.42342258310669</v>
      </c>
      <c r="BE237" s="342">
        <f>SUM(BC30:BE30,BA30)</f>
        <v>388.76195204787052</v>
      </c>
      <c r="BF237" s="395">
        <f>SUM(BC30:BF30)</f>
        <v>404.28438035902821</v>
      </c>
      <c r="BG237" s="77">
        <f>+BG30</f>
        <v>404.28438035902821</v>
      </c>
      <c r="BH237" s="394">
        <f>SUM(BH30,BD30:BF30)</f>
        <v>420.26846771486385</v>
      </c>
      <c r="BI237" s="342">
        <f>SUM(BH30:BI30,BE30:BF30)</f>
        <v>438.62557959719317</v>
      </c>
      <c r="BJ237" s="342">
        <f>SUM(BH30:BJ30,BF30)</f>
        <v>452.45634731583988</v>
      </c>
      <c r="BK237" s="395">
        <f>SUM(BH30:BK30)</f>
        <v>465.86769116035924</v>
      </c>
      <c r="BL237" s="77">
        <f>+BL30</f>
        <v>465.86769116035924</v>
      </c>
      <c r="BM237" s="394">
        <f>SUM(BM30,BI30:BK30)</f>
        <v>479.18305115742407</v>
      </c>
      <c r="BN237" s="342">
        <f>SUM(BM30:BN30,BJ30:BK30)</f>
        <v>494.99235665944371</v>
      </c>
      <c r="BO237" s="342">
        <f>SUM(BM30:BO30,BK30)</f>
        <v>503.99073299947884</v>
      </c>
      <c r="BP237" s="395">
        <f>SUM(BM30:BP30)</f>
        <v>512.7463334279862</v>
      </c>
      <c r="BQ237" s="77">
        <f>+BQ30</f>
        <v>512.7463334279862</v>
      </c>
      <c r="BR237" s="77"/>
      <c r="BS237" s="77"/>
      <c r="BT237" s="77"/>
      <c r="BU237" s="77"/>
      <c r="BV237" s="77"/>
      <c r="BW237" s="77"/>
      <c r="BX237" s="77"/>
      <c r="BY237" s="77"/>
      <c r="BZ237" s="77"/>
      <c r="CA237" s="77"/>
      <c r="CB237" s="77"/>
      <c r="CC237" s="77"/>
      <c r="CD237" s="77"/>
      <c r="CE237" s="77"/>
      <c r="CF237" s="77"/>
      <c r="CG237" s="77"/>
      <c r="CH237" s="77"/>
      <c r="CI237" s="77"/>
      <c r="CJ237" s="77"/>
      <c r="CK237" s="77"/>
      <c r="CL237" s="77"/>
      <c r="CM237" s="77"/>
      <c r="CN237" s="77"/>
      <c r="CO237" s="77"/>
      <c r="CP237" s="77"/>
      <c r="CQ237" s="77"/>
      <c r="CR237" s="77"/>
      <c r="CS237" s="77"/>
      <c r="CT237" s="77"/>
      <c r="CU237" s="77"/>
      <c r="CV237" s="77"/>
      <c r="CW237" s="77"/>
      <c r="CX237" s="77"/>
      <c r="CY237" s="77"/>
      <c r="CZ237" s="77"/>
      <c r="DA237" s="77"/>
    </row>
    <row r="238" spans="1:105">
      <c r="A238" s="77"/>
      <c r="B238" s="77"/>
      <c r="C238" s="547" t="s">
        <v>313</v>
      </c>
      <c r="D238" s="77"/>
      <c r="E238" s="394"/>
      <c r="F238" s="342"/>
      <c r="G238" s="343"/>
      <c r="H238" s="395">
        <f>SUM(E36:H36)</f>
        <v>324</v>
      </c>
      <c r="I238" s="77">
        <f>I36</f>
        <v>324</v>
      </c>
      <c r="J238" s="394">
        <f>SUM(J36,F36:H36)</f>
        <v>318.25</v>
      </c>
      <c r="K238" s="342">
        <f>SUM(J36:K36,G36:H36)</f>
        <v>277.5</v>
      </c>
      <c r="L238" s="342">
        <f>SUM(J36:L36,H36)</f>
        <v>344.75</v>
      </c>
      <c r="M238" s="395">
        <f>SUM(J36:M36)</f>
        <v>358</v>
      </c>
      <c r="N238" s="77">
        <f>N36</f>
        <v>358</v>
      </c>
      <c r="O238" s="394">
        <f>SUM(O36,K36:M36)</f>
        <v>403</v>
      </c>
      <c r="P238" s="342">
        <f>SUM(O36:P36,L36:M36)</f>
        <v>505</v>
      </c>
      <c r="Q238" s="342">
        <f>SUM(O36:Q36,M36)</f>
        <v>504</v>
      </c>
      <c r="R238" s="395">
        <f>SUM(O36:R36)</f>
        <v>521</v>
      </c>
      <c r="S238" s="77">
        <f>S36</f>
        <v>521</v>
      </c>
      <c r="T238" s="394">
        <f>SUM(T36,P36:R36)</f>
        <v>555</v>
      </c>
      <c r="U238" s="342">
        <f>SUM(T36:U36,Q36:R36)</f>
        <v>551</v>
      </c>
      <c r="V238" s="342">
        <f>SUM(T36:V36,R36)</f>
        <v>552</v>
      </c>
      <c r="W238" s="395">
        <f>SUM(T36:W36)</f>
        <v>528</v>
      </c>
      <c r="X238" s="77">
        <f>X36</f>
        <v>528</v>
      </c>
      <c r="Y238" s="394">
        <f>SUM(Y36,U36:W36)</f>
        <v>510</v>
      </c>
      <c r="Z238" s="342">
        <f>SUM(Y36:Z36,V36:W36)</f>
        <v>530</v>
      </c>
      <c r="AA238" s="342">
        <f>SUM(Y36:AA36,W36)</f>
        <v>543</v>
      </c>
      <c r="AB238" s="395">
        <f>SUM(Y36:AB36)</f>
        <v>612</v>
      </c>
      <c r="AC238" s="77">
        <f>AC36</f>
        <v>612</v>
      </c>
      <c r="AD238" s="394">
        <f>SUM(AD36,Z36:AB36)</f>
        <v>647</v>
      </c>
      <c r="AE238" s="342">
        <f>SUM(AD36:AE36,AA36:AB36)</f>
        <v>677</v>
      </c>
      <c r="AF238" s="342">
        <f>SUM(AD36:AF36,AB36)</f>
        <v>709</v>
      </c>
      <c r="AG238" s="395">
        <f>SUM(AD36:AG36)</f>
        <v>725</v>
      </c>
      <c r="AH238" s="77">
        <f>AH36</f>
        <v>725</v>
      </c>
      <c r="AI238" s="394">
        <f>SUM(AI36,AE36:AG36)</f>
        <v>753</v>
      </c>
      <c r="AJ238" s="342">
        <f>SUM(AI36:AJ36,AF36:AG36)</f>
        <v>769</v>
      </c>
      <c r="AK238" s="342">
        <f>SUM(AI36:AK36,AG36)</f>
        <v>791</v>
      </c>
      <c r="AL238" s="395">
        <f>SUM(AI36:AL36)</f>
        <v>787</v>
      </c>
      <c r="AM238" s="77">
        <f>AM36</f>
        <v>787</v>
      </c>
      <c r="AN238" s="394">
        <f>SUM(AN36,AJ36:AL36)</f>
        <v>807</v>
      </c>
      <c r="AO238" s="342">
        <f>SUM(AN36:AO36,AK36:AL36)</f>
        <v>819</v>
      </c>
      <c r="AP238" s="342">
        <f>SUM(AN36:AP36,AL36)</f>
        <v>852</v>
      </c>
      <c r="AQ238" s="395">
        <f>SUM(AN36:AQ36)</f>
        <v>889</v>
      </c>
      <c r="AR238" s="77">
        <f>AR36</f>
        <v>889</v>
      </c>
      <c r="AS238" s="394">
        <f>SUM(AS36,AO36:AQ36)</f>
        <v>926</v>
      </c>
      <c r="AT238" s="342">
        <f>SUM(AS36:AT36,AP36:AQ36)</f>
        <v>955</v>
      </c>
      <c r="AU238" s="342">
        <f>SUM(AS36:AU36,AQ36)</f>
        <v>946</v>
      </c>
      <c r="AV238" s="395">
        <f>SUM(AS36:AV36)</f>
        <v>973</v>
      </c>
      <c r="AW238" s="77">
        <f>AW36</f>
        <v>973</v>
      </c>
      <c r="AX238" s="394">
        <f>SUM(AX36,AT36:AV36)</f>
        <v>1005.6795361608273</v>
      </c>
      <c r="AY238" s="342">
        <f>SUM(AX36:AY36,AU36:AV36)</f>
        <v>1009.4422165864328</v>
      </c>
      <c r="AZ238" s="342">
        <f>SUM(AX36:AZ36,AV36)</f>
        <v>1030.399727707442</v>
      </c>
      <c r="BA238" s="395">
        <f>SUM(AX36:BA36)</f>
        <v>1036.3217303314989</v>
      </c>
      <c r="BB238" s="77">
        <f>BB36</f>
        <v>1036.3217303314987</v>
      </c>
      <c r="BC238" s="394">
        <f>SUM(BC36,AY36:BA36)</f>
        <v>1071.17217149254</v>
      </c>
      <c r="BD238" s="342">
        <f>SUM(BC36:BD36,AY36:BA36)</f>
        <v>1314.2750940060355</v>
      </c>
      <c r="BE238" s="342">
        <f>SUM(BC36:BE36,BA36)</f>
        <v>1077.9693379281541</v>
      </c>
      <c r="BF238" s="395">
        <f>SUM(BC36:BF36)</f>
        <v>1110.2706347903397</v>
      </c>
      <c r="BG238" s="77">
        <f>BG36</f>
        <v>1110.2706347903404</v>
      </c>
      <c r="BH238" s="394">
        <f>SUM(BH36,BD36:BF36)</f>
        <v>1126.5328329417207</v>
      </c>
      <c r="BI238" s="342">
        <f>SUM(BH36:BI36,BE36:BF36)</f>
        <v>1141.9345637297961</v>
      </c>
      <c r="BJ238" s="342">
        <f>SUM(BH36:BJ36,BF36)</f>
        <v>1160.979356612891</v>
      </c>
      <c r="BK238" s="395">
        <f>SUM(BH36:BK36)</f>
        <v>1181.1680710235025</v>
      </c>
      <c r="BL238" s="77">
        <f>BL36</f>
        <v>1181.1680710235019</v>
      </c>
      <c r="BM238" s="394">
        <f>SUM(BM36,BI36:BK36)</f>
        <v>1196.1737755760764</v>
      </c>
      <c r="BN238" s="342">
        <f>SUM(BM36:BN36,BJ36:BK36)</f>
        <v>1209.8564909685797</v>
      </c>
      <c r="BO238" s="342">
        <f>SUM(BM36:BO36,BK36)</f>
        <v>1229.4682192639154</v>
      </c>
      <c r="BP238" s="395">
        <f>SUM(BM36:BP36)</f>
        <v>1250.7220066184891</v>
      </c>
      <c r="BQ238" s="77">
        <f>BQ36</f>
        <v>1250.7220066184896</v>
      </c>
      <c r="BR238" s="77"/>
      <c r="BS238" s="77"/>
      <c r="BT238" s="77"/>
      <c r="BU238" s="77"/>
      <c r="BV238" s="77"/>
      <c r="BW238" s="77"/>
      <c r="BX238" s="77"/>
      <c r="BY238" s="77"/>
      <c r="BZ238" s="77"/>
      <c r="CA238" s="77"/>
      <c r="CB238" s="77"/>
      <c r="CC238" s="77"/>
      <c r="CD238" s="77"/>
      <c r="CE238" s="77"/>
      <c r="CF238" s="77"/>
      <c r="CG238" s="77"/>
      <c r="CH238" s="77"/>
      <c r="CI238" s="77"/>
      <c r="CJ238" s="77"/>
      <c r="CK238" s="77"/>
      <c r="CL238" s="77"/>
      <c r="CM238" s="77"/>
      <c r="CN238" s="77"/>
      <c r="CO238" s="77"/>
      <c r="CP238" s="77"/>
      <c r="CQ238" s="77"/>
      <c r="CR238" s="77"/>
      <c r="CS238" s="77"/>
      <c r="CT238" s="77"/>
      <c r="CU238" s="77"/>
      <c r="CV238" s="77"/>
      <c r="CW238" s="77"/>
      <c r="CX238" s="77"/>
      <c r="CY238" s="77"/>
      <c r="CZ238" s="77"/>
      <c r="DA238" s="77"/>
    </row>
    <row r="239" spans="1:105">
      <c r="A239" s="538"/>
      <c r="B239" s="538"/>
      <c r="C239" s="538"/>
      <c r="D239" s="538"/>
      <c r="E239" s="805"/>
      <c r="F239" s="806"/>
      <c r="G239" s="806"/>
      <c r="H239" s="807"/>
      <c r="I239" s="538"/>
      <c r="J239" s="805"/>
      <c r="K239" s="806"/>
      <c r="L239" s="806"/>
      <c r="M239" s="807"/>
      <c r="N239" s="538"/>
      <c r="O239" s="805"/>
      <c r="P239" s="806"/>
      <c r="Q239" s="806"/>
      <c r="R239" s="807"/>
      <c r="S239" s="538"/>
      <c r="T239" s="805"/>
      <c r="U239" s="806"/>
      <c r="V239" s="806"/>
      <c r="W239" s="807"/>
      <c r="X239" s="538"/>
      <c r="Y239" s="805"/>
      <c r="Z239" s="806"/>
      <c r="AA239" s="806"/>
      <c r="AB239" s="807"/>
      <c r="AC239" s="538"/>
      <c r="AD239" s="805"/>
      <c r="AE239" s="806"/>
      <c r="AF239" s="806"/>
      <c r="AG239" s="807"/>
      <c r="AH239" s="538"/>
      <c r="AI239" s="805"/>
      <c r="AJ239" s="806"/>
      <c r="AK239" s="806"/>
      <c r="AL239" s="807"/>
      <c r="AM239" s="538"/>
      <c r="AN239" s="805"/>
      <c r="AO239" s="806"/>
      <c r="AP239" s="806"/>
      <c r="AQ239" s="807"/>
      <c r="AR239" s="538"/>
      <c r="AS239" s="805"/>
      <c r="AT239" s="806"/>
      <c r="AU239" s="806"/>
      <c r="AV239" s="807"/>
      <c r="AW239" s="538"/>
      <c r="AX239" s="805"/>
      <c r="AY239" s="806"/>
      <c r="AZ239" s="806"/>
      <c r="BA239" s="807"/>
      <c r="BB239" s="538"/>
      <c r="BC239" s="805"/>
      <c r="BD239" s="806"/>
      <c r="BE239" s="806"/>
      <c r="BF239" s="807"/>
      <c r="BG239" s="538"/>
      <c r="BH239" s="805"/>
      <c r="BI239" s="806"/>
      <c r="BJ239" s="806"/>
      <c r="BK239" s="807"/>
      <c r="BL239" s="538"/>
      <c r="BM239" s="805"/>
      <c r="BN239" s="806"/>
      <c r="BO239" s="806"/>
      <c r="BP239" s="807"/>
      <c r="BQ239" s="538"/>
      <c r="BR239" s="538"/>
      <c r="BS239" s="538"/>
      <c r="BT239" s="538"/>
      <c r="BU239" s="538"/>
      <c r="BV239" s="538"/>
      <c r="BW239" s="538"/>
      <c r="BX239" s="538"/>
      <c r="BY239" s="538"/>
      <c r="BZ239" s="538"/>
      <c r="CA239" s="538"/>
      <c r="CB239" s="538"/>
      <c r="CC239" s="538"/>
      <c r="CD239" s="538"/>
      <c r="CE239" s="538"/>
      <c r="CF239" s="538"/>
      <c r="CG239" s="538"/>
      <c r="CH239" s="538"/>
      <c r="CI239" s="538"/>
      <c r="CJ239" s="538"/>
      <c r="CK239" s="538"/>
      <c r="CL239" s="538"/>
      <c r="CM239" s="538"/>
      <c r="CN239" s="538"/>
      <c r="CO239" s="538"/>
      <c r="CP239" s="538"/>
      <c r="CQ239" s="538"/>
      <c r="CR239" s="538"/>
      <c r="CS239" s="538"/>
      <c r="CT239" s="538"/>
      <c r="CU239" s="538"/>
      <c r="CV239" s="538"/>
      <c r="CW239" s="538"/>
      <c r="CX239" s="538"/>
      <c r="CY239" s="538"/>
      <c r="CZ239" s="538"/>
      <c r="DA239" s="538"/>
    </row>
    <row r="240" spans="1:105">
      <c r="A240" s="538"/>
      <c r="B240" s="538"/>
      <c r="C240" s="545" t="s">
        <v>436</v>
      </c>
      <c r="D240" s="538"/>
      <c r="E240" s="805"/>
      <c r="F240" s="806"/>
      <c r="G240" s="806"/>
      <c r="H240" s="807"/>
      <c r="I240" s="538"/>
      <c r="J240" s="805"/>
      <c r="K240" s="806"/>
      <c r="L240" s="806"/>
      <c r="M240" s="807"/>
      <c r="N240" s="538"/>
      <c r="O240" s="805"/>
      <c r="P240" s="806"/>
      <c r="Q240" s="806"/>
      <c r="R240" s="807"/>
      <c r="S240" s="538"/>
      <c r="T240" s="805"/>
      <c r="U240" s="806"/>
      <c r="V240" s="806"/>
      <c r="W240" s="807"/>
      <c r="X240" s="732"/>
      <c r="Y240" s="409"/>
      <c r="Z240" s="314"/>
      <c r="AA240" s="314"/>
      <c r="AB240" s="410"/>
      <c r="AC240" s="732"/>
      <c r="AD240" s="409"/>
      <c r="AE240" s="314"/>
      <c r="AF240" s="806"/>
      <c r="AG240" s="807"/>
      <c r="AH240" s="538"/>
      <c r="AI240" s="805"/>
      <c r="AJ240" s="806"/>
      <c r="AK240" s="806"/>
      <c r="AL240" s="807"/>
      <c r="AM240" s="538"/>
      <c r="AN240" s="805"/>
      <c r="AO240" s="806"/>
      <c r="AP240" s="806"/>
      <c r="AQ240" s="807"/>
      <c r="AR240" s="538"/>
      <c r="AS240" s="805"/>
      <c r="AT240" s="806"/>
      <c r="AU240" s="806"/>
      <c r="AV240" s="807"/>
      <c r="AW240" s="538"/>
      <c r="AX240" s="805"/>
      <c r="AY240" s="806"/>
      <c r="AZ240" s="806"/>
      <c r="BA240" s="807"/>
      <c r="BB240" s="538"/>
      <c r="BC240" s="805"/>
      <c r="BD240" s="806"/>
      <c r="BE240" s="806"/>
      <c r="BF240" s="807"/>
      <c r="BG240" s="538"/>
      <c r="BH240" s="805"/>
      <c r="BI240" s="806"/>
      <c r="BJ240" s="806"/>
      <c r="BK240" s="807"/>
      <c r="BL240" s="538"/>
      <c r="BM240" s="805"/>
      <c r="BN240" s="806"/>
      <c r="BO240" s="806"/>
      <c r="BP240" s="807"/>
      <c r="BQ240" s="538"/>
      <c r="BR240" s="538"/>
      <c r="BS240" s="538"/>
      <c r="BT240" s="538"/>
      <c r="BU240" s="538"/>
      <c r="BV240" s="538"/>
      <c r="BW240" s="538"/>
      <c r="BX240" s="538"/>
      <c r="BY240" s="538"/>
      <c r="BZ240" s="538"/>
      <c r="CA240" s="538"/>
      <c r="CB240" s="538"/>
      <c r="CC240" s="538"/>
      <c r="CD240" s="538"/>
      <c r="CE240" s="538"/>
      <c r="CF240" s="538"/>
      <c r="CG240" s="538"/>
      <c r="CH240" s="538"/>
      <c r="CI240" s="538"/>
      <c r="CJ240" s="538"/>
      <c r="CK240" s="538"/>
      <c r="CL240" s="538"/>
      <c r="CM240" s="538"/>
      <c r="CN240" s="538"/>
      <c r="CO240" s="538"/>
      <c r="CP240" s="538"/>
      <c r="CQ240" s="538"/>
      <c r="CR240" s="538"/>
      <c r="CS240" s="538"/>
      <c r="CT240" s="538"/>
      <c r="CU240" s="538"/>
      <c r="CV240" s="538"/>
      <c r="CW240" s="538"/>
      <c r="CX240" s="538"/>
      <c r="CY240" s="538"/>
      <c r="CZ240" s="538"/>
      <c r="DA240" s="538"/>
    </row>
    <row r="241" spans="1:105">
      <c r="A241" s="37"/>
      <c r="B241" s="37"/>
      <c r="C241" s="37" t="s">
        <v>659</v>
      </c>
      <c r="D241" s="37"/>
      <c r="E241" s="409">
        <f t="shared" ref="E241:N241" si="285">E218/E229</f>
        <v>0.56551179325132606</v>
      </c>
      <c r="F241" s="314">
        <f t="shared" si="285"/>
        <v>0.54209944751381212</v>
      </c>
      <c r="G241" s="314">
        <f t="shared" si="285"/>
        <v>0.53453585569731632</v>
      </c>
      <c r="H241" s="410">
        <f t="shared" si="285"/>
        <v>0.53326098752034723</v>
      </c>
      <c r="I241" s="732">
        <f t="shared" si="285"/>
        <v>0.53326098752034723</v>
      </c>
      <c r="J241" s="409">
        <f t="shared" si="285"/>
        <v>0.52878557462524445</v>
      </c>
      <c r="K241" s="314">
        <f t="shared" si="285"/>
        <v>0.54111181568378774</v>
      </c>
      <c r="L241" s="314">
        <f>L218/L229</f>
        <v>0.55816793893129768</v>
      </c>
      <c r="M241" s="410">
        <f t="shared" si="285"/>
        <v>0.55095412099066177</v>
      </c>
      <c r="N241" s="732">
        <f t="shared" si="285"/>
        <v>0.55095412099066177</v>
      </c>
      <c r="O241" s="409">
        <f t="shared" ref="O241:AR241" si="286">O218/O229</f>
        <v>0.53986561026978241</v>
      </c>
      <c r="P241" s="314">
        <f t="shared" si="286"/>
        <v>0.5319170157590265</v>
      </c>
      <c r="Q241" s="314">
        <f t="shared" si="286"/>
        <v>0.53299296792216544</v>
      </c>
      <c r="R241" s="410">
        <f t="shared" si="286"/>
        <v>0.52851055194805197</v>
      </c>
      <c r="S241" s="732">
        <f t="shared" ref="S241:AC241" si="287">S218/S229</f>
        <v>0.52851055194805197</v>
      </c>
      <c r="T241" s="409">
        <f t="shared" si="287"/>
        <v>0.51584524642607221</v>
      </c>
      <c r="U241" s="314">
        <f t="shared" si="287"/>
        <v>0.52882874297150484</v>
      </c>
      <c r="V241" s="314">
        <f t="shared" si="287"/>
        <v>0.5201806378775049</v>
      </c>
      <c r="W241" s="410">
        <f t="shared" si="287"/>
        <v>0.50360565951620262</v>
      </c>
      <c r="X241" s="732">
        <f t="shared" si="287"/>
        <v>0.50360565951620262</v>
      </c>
      <c r="Y241" s="409">
        <f t="shared" si="287"/>
        <v>0.50414754677020823</v>
      </c>
      <c r="Z241" s="314">
        <f t="shared" si="287"/>
        <v>0.51791722745625846</v>
      </c>
      <c r="AA241" s="314">
        <f t="shared" si="287"/>
        <v>0.52717391304347827</v>
      </c>
      <c r="AB241" s="410">
        <f t="shared" si="287"/>
        <v>0.50483011325782812</v>
      </c>
      <c r="AC241" s="732">
        <f t="shared" si="287"/>
        <v>0.50483011325782812</v>
      </c>
      <c r="AD241" s="409">
        <f>AD218/AD229</f>
        <v>0.48917290784760664</v>
      </c>
      <c r="AE241" s="314">
        <f>AE218/AE229</f>
        <v>0.50089320388349512</v>
      </c>
      <c r="AF241" s="314">
        <f t="shared" si="286"/>
        <v>0.49085740626920715</v>
      </c>
      <c r="AG241" s="410">
        <f t="shared" si="286"/>
        <v>0.49191495732894147</v>
      </c>
      <c r="AH241" s="732">
        <f t="shared" si="286"/>
        <v>0.49191495732894147</v>
      </c>
      <c r="AI241" s="409">
        <f t="shared" si="286"/>
        <v>0.48094816127603013</v>
      </c>
      <c r="AJ241" s="314">
        <f t="shared" si="286"/>
        <v>0.48385939741750361</v>
      </c>
      <c r="AK241" s="314">
        <f t="shared" si="286"/>
        <v>0.47318835446624635</v>
      </c>
      <c r="AL241" s="410">
        <f t="shared" si="286"/>
        <v>0.4688939300199354</v>
      </c>
      <c r="AM241" s="732">
        <f t="shared" si="286"/>
        <v>0.4688939300199354</v>
      </c>
      <c r="AN241" s="409">
        <f>AN218/AN229</f>
        <v>0.48881059568082469</v>
      </c>
      <c r="AO241" s="314">
        <f>AO218/AO229</f>
        <v>0.48320330130891742</v>
      </c>
      <c r="AP241" s="314">
        <f t="shared" si="286"/>
        <v>0.48588835011811515</v>
      </c>
      <c r="AQ241" s="410">
        <f t="shared" si="286"/>
        <v>0.47295825771324862</v>
      </c>
      <c r="AR241" s="732">
        <f t="shared" si="286"/>
        <v>0.47295825771324862</v>
      </c>
      <c r="AS241" s="409">
        <f t="shared" ref="AS241:BB241" si="288">AS218/AS229</f>
        <v>0.46461465327708124</v>
      </c>
      <c r="AT241" s="314">
        <f t="shared" si="288"/>
        <v>0.47205040091638029</v>
      </c>
      <c r="AU241" s="314">
        <f t="shared" si="288"/>
        <v>0.46161169289354315</v>
      </c>
      <c r="AV241" s="410">
        <f t="shared" si="288"/>
        <v>0.46626865671641793</v>
      </c>
      <c r="AW241" s="732">
        <f t="shared" si="288"/>
        <v>0.46626865671641793</v>
      </c>
      <c r="AX241" s="409">
        <f t="shared" si="288"/>
        <v>0.45937566811404451</v>
      </c>
      <c r="AY241" s="314">
        <f t="shared" si="288"/>
        <v>0.48000751132381947</v>
      </c>
      <c r="AZ241" s="314">
        <f>AZ218/AZ229</f>
        <v>0.47338178720625718</v>
      </c>
      <c r="BA241" s="410">
        <f t="shared" si="288"/>
        <v>0.47287929839045545</v>
      </c>
      <c r="BB241" s="732">
        <f t="shared" si="288"/>
        <v>0.47287929839045545</v>
      </c>
      <c r="BC241" s="409">
        <f t="shared" ref="BC241:BL241" si="289">BC218/BC229</f>
        <v>0.46093547841406324</v>
      </c>
      <c r="BD241" s="314">
        <f t="shared" si="289"/>
        <v>0.49716338505882235</v>
      </c>
      <c r="BE241" s="314">
        <f t="shared" si="289"/>
        <v>0.48570791151700893</v>
      </c>
      <c r="BF241" s="410">
        <f t="shared" si="289"/>
        <v>0.47463799638327397</v>
      </c>
      <c r="BG241" s="732">
        <f t="shared" si="289"/>
        <v>0.47463799638327397</v>
      </c>
      <c r="BH241" s="409">
        <f t="shared" si="289"/>
        <v>0.46356388388009345</v>
      </c>
      <c r="BI241" s="314">
        <f t="shared" si="289"/>
        <v>0.49595797708580674</v>
      </c>
      <c r="BJ241" s="314">
        <f t="shared" si="289"/>
        <v>0.49125041703556349</v>
      </c>
      <c r="BK241" s="410">
        <f t="shared" si="289"/>
        <v>0.48103094899534177</v>
      </c>
      <c r="BL241" s="732">
        <f t="shared" si="289"/>
        <v>0.48103094899534177</v>
      </c>
      <c r="BM241" s="409">
        <f>BM218/BM229</f>
        <v>0.46086427220324205</v>
      </c>
      <c r="BN241" s="314">
        <f>BN218/BN229</f>
        <v>0.49114219411388366</v>
      </c>
      <c r="BO241" s="314">
        <f>BO218/BO229</f>
        <v>0.48461944278400293</v>
      </c>
      <c r="BP241" s="410">
        <f>BP218/BP229</f>
        <v>0.47720711427045753</v>
      </c>
      <c r="BQ241" s="732">
        <f>BQ218/BQ229</f>
        <v>0.47720711427045753</v>
      </c>
      <c r="BR241" s="732"/>
      <c r="BS241" s="37"/>
      <c r="BT241" s="37"/>
      <c r="BU241" s="37"/>
      <c r="BV241" s="37"/>
      <c r="BW241" s="37"/>
      <c r="BX241" s="37"/>
      <c r="BY241" s="37"/>
      <c r="BZ241" s="37"/>
      <c r="CA241" s="37"/>
      <c r="CB241" s="37"/>
      <c r="CC241" s="37"/>
      <c r="CD241" s="37"/>
      <c r="CE241" s="37"/>
      <c r="CF241" s="37"/>
      <c r="CG241" s="37"/>
      <c r="CH241" s="37"/>
      <c r="CI241" s="37"/>
      <c r="CJ241" s="37"/>
      <c r="CK241" s="37"/>
      <c r="CL241" s="37"/>
      <c r="CM241" s="37"/>
      <c r="CN241" s="37"/>
      <c r="CO241" s="37"/>
      <c r="CP241" s="37"/>
      <c r="CQ241" s="37"/>
      <c r="CR241" s="37"/>
      <c r="CS241" s="37"/>
      <c r="CT241" s="37"/>
      <c r="CU241" s="37"/>
      <c r="CV241" s="37"/>
      <c r="CW241" s="37"/>
      <c r="CX241" s="37"/>
      <c r="CY241" s="37"/>
      <c r="CZ241" s="37"/>
      <c r="DA241" s="37"/>
    </row>
    <row r="242" spans="1:105">
      <c r="A242" s="37"/>
      <c r="B242" s="37"/>
      <c r="C242" s="37" t="s">
        <v>5</v>
      </c>
      <c r="D242" s="37"/>
      <c r="E242" s="409">
        <f t="shared" ref="E242:N242" si="290">+E219/E229</f>
        <v>0.56551179325132606</v>
      </c>
      <c r="F242" s="314">
        <f t="shared" si="290"/>
        <v>0.54209944751381212</v>
      </c>
      <c r="G242" s="314">
        <f t="shared" si="290"/>
        <v>0.53453585569731632</v>
      </c>
      <c r="H242" s="410">
        <f t="shared" si="290"/>
        <v>0.53326098752034723</v>
      </c>
      <c r="I242" s="732">
        <f>+I219/I229</f>
        <v>0.53326098752034723</v>
      </c>
      <c r="J242" s="409">
        <f t="shared" si="290"/>
        <v>0.52878557462524445</v>
      </c>
      <c r="K242" s="314">
        <f t="shared" si="290"/>
        <v>0.54111181568378774</v>
      </c>
      <c r="L242" s="314">
        <f>+L219/L229</f>
        <v>0.55816793893129768</v>
      </c>
      <c r="M242" s="410">
        <f t="shared" si="290"/>
        <v>0.55095412099066177</v>
      </c>
      <c r="N242" s="732">
        <f t="shared" si="290"/>
        <v>0.55095412099066177</v>
      </c>
      <c r="O242" s="409">
        <f t="shared" ref="O242:AR242" si="291">+O219/O229</f>
        <v>0.53986561026978241</v>
      </c>
      <c r="P242" s="314">
        <f t="shared" si="291"/>
        <v>0.5319170157590265</v>
      </c>
      <c r="Q242" s="314">
        <f t="shared" si="291"/>
        <v>0.53299296792216544</v>
      </c>
      <c r="R242" s="410">
        <f t="shared" si="291"/>
        <v>0.52851055194805197</v>
      </c>
      <c r="S242" s="732">
        <f t="shared" ref="S242:AC242" si="292">+S219/S229</f>
        <v>0.52851055194805197</v>
      </c>
      <c r="T242" s="409">
        <f t="shared" si="292"/>
        <v>0.51584524642607221</v>
      </c>
      <c r="U242" s="314">
        <f t="shared" si="292"/>
        <v>0.52882874297150484</v>
      </c>
      <c r="V242" s="314">
        <f t="shared" si="292"/>
        <v>0.5201806378775049</v>
      </c>
      <c r="W242" s="410">
        <f t="shared" si="292"/>
        <v>0.52761296211775444</v>
      </c>
      <c r="X242" s="732">
        <f t="shared" si="292"/>
        <v>0.52761296211775444</v>
      </c>
      <c r="Y242" s="409">
        <f t="shared" si="292"/>
        <v>0.51870808330391815</v>
      </c>
      <c r="Z242" s="314">
        <f t="shared" si="292"/>
        <v>0.53112382234185729</v>
      </c>
      <c r="AA242" s="314">
        <f t="shared" si="292"/>
        <v>0.52717391304347827</v>
      </c>
      <c r="AB242" s="410">
        <f t="shared" si="292"/>
        <v>0.50982678214523647</v>
      </c>
      <c r="AC242" s="732">
        <f t="shared" si="292"/>
        <v>0.50982678214523647</v>
      </c>
      <c r="AD242" s="409">
        <f>+AD219/AD229</f>
        <v>0.48917290784760664</v>
      </c>
      <c r="AE242" s="314">
        <f>+AE219/AE229</f>
        <v>0.50089320388349512</v>
      </c>
      <c r="AF242" s="314">
        <f t="shared" si="291"/>
        <v>0.49085740626920715</v>
      </c>
      <c r="AG242" s="410">
        <f t="shared" si="291"/>
        <v>0.49191495732894147</v>
      </c>
      <c r="AH242" s="732">
        <f t="shared" si="291"/>
        <v>0.49191495732894147</v>
      </c>
      <c r="AI242" s="409">
        <f t="shared" si="291"/>
        <v>0.48094816127603013</v>
      </c>
      <c r="AJ242" s="314">
        <f t="shared" si="291"/>
        <v>0.48385939741750361</v>
      </c>
      <c r="AK242" s="314">
        <f t="shared" si="291"/>
        <v>0.47460508606644469</v>
      </c>
      <c r="AL242" s="410">
        <f t="shared" si="291"/>
        <v>0.47941156252148209</v>
      </c>
      <c r="AM242" s="732">
        <f t="shared" si="291"/>
        <v>0.47941156252148209</v>
      </c>
      <c r="AN242" s="409">
        <f>+AN219/AN229</f>
        <v>0.48881059568082469</v>
      </c>
      <c r="AO242" s="314">
        <f>+AO219/AO229</f>
        <v>0.48320330130891742</v>
      </c>
      <c r="AP242" s="314">
        <f t="shared" si="291"/>
        <v>0.48588835011811515</v>
      </c>
      <c r="AQ242" s="410">
        <f t="shared" si="291"/>
        <v>0.47295825771324862</v>
      </c>
      <c r="AR242" s="732">
        <f t="shared" si="291"/>
        <v>0.47295825771324862</v>
      </c>
      <c r="AS242" s="409">
        <f t="shared" ref="AS242:BB242" si="293">+AS219/AS229</f>
        <v>0.46461465327708124</v>
      </c>
      <c r="AT242" s="314">
        <f t="shared" si="293"/>
        <v>0.47205040091638029</v>
      </c>
      <c r="AU242" s="314">
        <f t="shared" si="293"/>
        <v>0.46161169289354315</v>
      </c>
      <c r="AV242" s="410">
        <f t="shared" si="293"/>
        <v>0.46626865671641793</v>
      </c>
      <c r="AW242" s="732">
        <f t="shared" si="293"/>
        <v>0.46626865671641793</v>
      </c>
      <c r="AX242" s="409">
        <f t="shared" si="293"/>
        <v>0.46043386641268796</v>
      </c>
      <c r="AY242" s="314">
        <f t="shared" si="293"/>
        <v>0.48000751132381947</v>
      </c>
      <c r="AZ242" s="314">
        <f>+AZ219/AZ229</f>
        <v>0.47338178720625718</v>
      </c>
      <c r="BA242" s="410">
        <f t="shared" si="293"/>
        <v>0.48392674048918782</v>
      </c>
      <c r="BB242" s="732">
        <f t="shared" si="293"/>
        <v>0.48392674048918782</v>
      </c>
      <c r="BC242" s="409">
        <f t="shared" ref="BC242:BL242" si="294">+BC219/BC229</f>
        <v>0.48150767798057664</v>
      </c>
      <c r="BD242" s="314">
        <f t="shared" si="294"/>
        <v>0.49716338505882235</v>
      </c>
      <c r="BE242" s="314">
        <f t="shared" si="294"/>
        <v>0.48803606344905298</v>
      </c>
      <c r="BF242" s="410">
        <f t="shared" si="294"/>
        <v>0.49023875306229281</v>
      </c>
      <c r="BG242" s="732">
        <f t="shared" si="294"/>
        <v>0.49023875306229281</v>
      </c>
      <c r="BH242" s="409">
        <f t="shared" si="294"/>
        <v>0.48680192440670483</v>
      </c>
      <c r="BI242" s="314">
        <f t="shared" si="294"/>
        <v>0.49595797708580674</v>
      </c>
      <c r="BJ242" s="314">
        <f t="shared" si="294"/>
        <v>0.49125041703556349</v>
      </c>
      <c r="BK242" s="410">
        <f t="shared" si="294"/>
        <v>0.49144110073515873</v>
      </c>
      <c r="BL242" s="732">
        <f t="shared" si="294"/>
        <v>0.49144110073515873</v>
      </c>
      <c r="BM242" s="409">
        <f>+BM219/BM229</f>
        <v>0.48815141037469445</v>
      </c>
      <c r="BN242" s="314">
        <f>+BN219/BN229</f>
        <v>0.49114219411388366</v>
      </c>
      <c r="BO242" s="314">
        <f>+BO219/BO229</f>
        <v>0.49123033663562432</v>
      </c>
      <c r="BP242" s="410">
        <f>+BP219/BP229</f>
        <v>0.49171968429355178</v>
      </c>
      <c r="BQ242" s="732">
        <f>+BQ219/BQ229</f>
        <v>0.49171968429355178</v>
      </c>
      <c r="BR242" s="732"/>
      <c r="BS242" s="37"/>
      <c r="BT242" s="37"/>
      <c r="BU242" s="37"/>
      <c r="BV242" s="37"/>
      <c r="BW242" s="37"/>
      <c r="BX242" s="37"/>
      <c r="BY242" s="37"/>
      <c r="BZ242" s="37"/>
      <c r="CA242" s="37"/>
      <c r="CB242" s="37"/>
      <c r="CC242" s="37"/>
      <c r="CD242" s="37"/>
      <c r="CE242" s="37"/>
      <c r="CF242" s="37"/>
      <c r="CG242" s="37"/>
      <c r="CH242" s="37"/>
      <c r="CI242" s="37"/>
      <c r="CJ242" s="37"/>
      <c r="CK242" s="37"/>
      <c r="CL242" s="37"/>
      <c r="CM242" s="37"/>
      <c r="CN242" s="37"/>
      <c r="CO242" s="37"/>
      <c r="CP242" s="37"/>
      <c r="CQ242" s="37"/>
      <c r="CR242" s="37"/>
      <c r="CS242" s="37"/>
      <c r="CT242" s="37"/>
      <c r="CU242" s="37"/>
      <c r="CV242" s="37"/>
      <c r="CW242" s="37"/>
      <c r="CX242" s="37"/>
      <c r="CY242" s="37"/>
      <c r="CZ242" s="37"/>
      <c r="DA242" s="37"/>
    </row>
    <row r="243" spans="1:105">
      <c r="A243" s="37"/>
      <c r="B243" s="37"/>
      <c r="C243" s="37" t="s">
        <v>658</v>
      </c>
      <c r="D243" s="37"/>
      <c r="E243" s="571"/>
      <c r="F243" s="318"/>
      <c r="G243" s="318"/>
      <c r="H243" s="412"/>
      <c r="I243" s="301">
        <f>(I219-I215)/I236</f>
        <v>3.1795918367346938</v>
      </c>
      <c r="J243" s="411"/>
      <c r="K243" s="315"/>
      <c r="L243" s="315"/>
      <c r="M243" s="412"/>
      <c r="N243" s="301">
        <f>(N219-N215)/N236</f>
        <v>3.1260554885404099</v>
      </c>
      <c r="O243" s="411"/>
      <c r="P243" s="315"/>
      <c r="Q243" s="315"/>
      <c r="R243" s="412"/>
      <c r="S243" s="301">
        <f>(S219-S215)/S236</f>
        <v>2.6804232804232804</v>
      </c>
      <c r="T243" s="411"/>
      <c r="U243" s="315"/>
      <c r="V243" s="315"/>
      <c r="W243" s="412"/>
      <c r="X243" s="301">
        <f>(X219-X215)/X236</f>
        <v>2.9685534591194966</v>
      </c>
      <c r="Y243" s="411"/>
      <c r="Z243" s="315"/>
      <c r="AA243" s="315"/>
      <c r="AB243" s="412"/>
      <c r="AC243" s="301">
        <f>(AC219-AC215)/AC236</f>
        <v>2.8285449490268766</v>
      </c>
      <c r="AD243" s="411"/>
      <c r="AE243" s="315"/>
      <c r="AF243" s="315"/>
      <c r="AG243" s="412"/>
      <c r="AH243" s="301">
        <f>(AH219-AH215)/AH236</f>
        <v>2.65634280865507</v>
      </c>
      <c r="AI243" s="411"/>
      <c r="AJ243" s="315"/>
      <c r="AK243" s="315"/>
      <c r="AL243" s="412"/>
      <c r="AM243" s="301">
        <f>(AM219-AM215)/AM236</f>
        <v>2.7896253602305476</v>
      </c>
      <c r="AN243" s="411"/>
      <c r="AO243" s="315"/>
      <c r="AP243" s="315"/>
      <c r="AQ243" s="412"/>
      <c r="AR243" s="301">
        <f>(AR219-AR215)/AR236</f>
        <v>3.2896368467670505</v>
      </c>
      <c r="AS243" s="411"/>
      <c r="AT243" s="315"/>
      <c r="AU243" s="315"/>
      <c r="AV243" s="412"/>
      <c r="AW243" s="301">
        <f>(AW219-AW215)/AW236</f>
        <v>3.3078446909667196</v>
      </c>
      <c r="AX243" s="411"/>
      <c r="AY243" s="315"/>
      <c r="AZ243" s="315"/>
      <c r="BA243" s="412"/>
      <c r="BB243" s="301">
        <f>(BB219-BB215)/BB236</f>
        <v>4.1635798815664202</v>
      </c>
      <c r="BC243" s="411"/>
      <c r="BD243" s="315"/>
      <c r="BE243" s="315"/>
      <c r="BF243" s="412"/>
      <c r="BG243" s="301">
        <f>(BG219-BG215)/BG236</f>
        <v>4.2817555383957489</v>
      </c>
      <c r="BH243" s="411"/>
      <c r="BI243" s="315"/>
      <c r="BJ243" s="315"/>
      <c r="BK243" s="412"/>
      <c r="BL243" s="301">
        <f>(BL219-BL215)/BL236</f>
        <v>4.3419114366617446</v>
      </c>
      <c r="BM243" s="411"/>
      <c r="BN243" s="315"/>
      <c r="BO243" s="315"/>
      <c r="BP243" s="412"/>
      <c r="BQ243" s="301">
        <f>(BQ219-BQ215)/BQ236</f>
        <v>4.3317114358970068</v>
      </c>
      <c r="BR243" s="301"/>
      <c r="BS243" s="37"/>
      <c r="BT243" s="37"/>
      <c r="BU243" s="37"/>
      <c r="BV243" s="37"/>
      <c r="BW243" s="37"/>
      <c r="BX243" s="37"/>
      <c r="BY243" s="37"/>
      <c r="BZ243" s="37"/>
      <c r="CA243" s="37"/>
      <c r="CB243" s="37"/>
      <c r="CC243" s="37"/>
      <c r="CD243" s="37"/>
      <c r="CE243" s="37"/>
      <c r="CF243" s="37"/>
      <c r="CG243" s="37"/>
      <c r="CH243" s="37"/>
      <c r="CI243" s="37"/>
      <c r="CJ243" s="37"/>
      <c r="CK243" s="37"/>
      <c r="CL243" s="37"/>
      <c r="CM243" s="37"/>
      <c r="CN243" s="37"/>
      <c r="CO243" s="37"/>
      <c r="CP243" s="37"/>
      <c r="CQ243" s="37"/>
      <c r="CR243" s="37"/>
      <c r="CS243" s="37"/>
      <c r="CT243" s="37"/>
      <c r="CU243" s="37"/>
      <c r="CV243" s="37"/>
      <c r="CW243" s="37"/>
      <c r="CX243" s="37"/>
      <c r="CY243" s="37"/>
      <c r="CZ243" s="37"/>
      <c r="DA243" s="37"/>
    </row>
    <row r="244" spans="1:105">
      <c r="A244" s="37"/>
      <c r="B244" s="37"/>
      <c r="C244" s="37" t="s">
        <v>439</v>
      </c>
      <c r="D244" s="37"/>
      <c r="E244" s="571"/>
      <c r="F244" s="318"/>
      <c r="G244" s="318"/>
      <c r="H244" s="410"/>
      <c r="I244" s="732">
        <f>I234/I219</f>
        <v>0.18966218966218967</v>
      </c>
      <c r="J244" s="409"/>
      <c r="K244" s="314"/>
      <c r="L244" s="314"/>
      <c r="M244" s="410"/>
      <c r="N244" s="732">
        <f>N234/N219</f>
        <v>0.20412675018422993</v>
      </c>
      <c r="O244" s="409"/>
      <c r="P244" s="314"/>
      <c r="Q244" s="314"/>
      <c r="R244" s="410"/>
      <c r="S244" s="732">
        <f>S234/S219</f>
        <v>0.23804952966020348</v>
      </c>
      <c r="T244" s="409"/>
      <c r="U244" s="314"/>
      <c r="V244" s="314"/>
      <c r="W244" s="410"/>
      <c r="X244" s="732">
        <f>X234/X219</f>
        <v>0.2259515570934256</v>
      </c>
      <c r="Y244" s="409"/>
      <c r="Z244" s="314"/>
      <c r="AA244" s="314"/>
      <c r="AB244" s="410"/>
      <c r="AC244" s="732">
        <f>AC234/AC219</f>
        <v>0.24240444299248612</v>
      </c>
      <c r="AD244" s="409"/>
      <c r="AE244" s="314"/>
      <c r="AF244" s="314"/>
      <c r="AG244" s="410"/>
      <c r="AH244" s="732">
        <f>AH234/AH219</f>
        <v>0.24821183990260234</v>
      </c>
      <c r="AI244" s="409"/>
      <c r="AJ244" s="314"/>
      <c r="AK244" s="314"/>
      <c r="AL244" s="410"/>
      <c r="AM244" s="732">
        <f>AM234/AM219</f>
        <v>0.24075136220246629</v>
      </c>
      <c r="AN244" s="409"/>
      <c r="AO244" s="314"/>
      <c r="AP244" s="314"/>
      <c r="AQ244" s="410"/>
      <c r="AR244" s="732">
        <f>AR234/AR219</f>
        <v>0.18598106932719366</v>
      </c>
      <c r="AS244" s="409"/>
      <c r="AT244" s="314"/>
      <c r="AU244" s="314"/>
      <c r="AV244" s="410"/>
      <c r="AW244" s="732">
        <f>AW234/AW219</f>
        <v>0.19299266674426727</v>
      </c>
      <c r="AX244" s="409"/>
      <c r="AY244" s="314"/>
      <c r="AZ244" s="314"/>
      <c r="BA244" s="410"/>
      <c r="BB244" s="732">
        <f>BB234/BB219</f>
        <v>0.1719292819816664</v>
      </c>
      <c r="BC244" s="409"/>
      <c r="BD244" s="314"/>
      <c r="BE244" s="314"/>
      <c r="BF244" s="410"/>
      <c r="BG244" s="732">
        <f>BG234/BG219</f>
        <v>0.16530804064326271</v>
      </c>
      <c r="BH244" s="409"/>
      <c r="BI244" s="314"/>
      <c r="BJ244" s="314"/>
      <c r="BK244" s="410"/>
      <c r="BL244" s="732">
        <f>BL234/BL219</f>
        <v>0.16112474126596338</v>
      </c>
      <c r="BM244" s="409"/>
      <c r="BN244" s="314"/>
      <c r="BO244" s="314"/>
      <c r="BP244" s="410"/>
      <c r="BQ244" s="732">
        <f>BQ234/BQ219</f>
        <v>0.16062545152377469</v>
      </c>
      <c r="BR244" s="732"/>
      <c r="BS244" s="37"/>
      <c r="BT244" s="37"/>
      <c r="BU244" s="37"/>
      <c r="BV244" s="37"/>
      <c r="BW244" s="37"/>
      <c r="BX244" s="37"/>
      <c r="BY244" s="37"/>
      <c r="BZ244" s="37"/>
      <c r="CA244" s="37"/>
      <c r="CB244" s="37"/>
      <c r="CC244" s="37"/>
      <c r="CD244" s="37"/>
      <c r="CE244" s="37"/>
      <c r="CF244" s="37"/>
      <c r="CG244" s="37"/>
      <c r="CH244" s="37"/>
      <c r="CI244" s="37"/>
      <c r="CJ244" s="37"/>
      <c r="CK244" s="37"/>
      <c r="CL244" s="37"/>
      <c r="CM244" s="37"/>
      <c r="CN244" s="37"/>
      <c r="CO244" s="37"/>
      <c r="CP244" s="37"/>
      <c r="CQ244" s="37"/>
      <c r="CR244" s="37"/>
      <c r="CS244" s="37"/>
      <c r="CT244" s="37"/>
      <c r="CU244" s="37"/>
      <c r="CV244" s="37"/>
      <c r="CW244" s="37"/>
      <c r="CX244" s="37"/>
      <c r="CY244" s="37"/>
      <c r="CZ244" s="37"/>
      <c r="DA244" s="37"/>
    </row>
    <row r="245" spans="1:105">
      <c r="A245" s="538"/>
      <c r="B245" s="538"/>
      <c r="C245" s="538"/>
      <c r="D245" s="538"/>
      <c r="E245" s="805"/>
      <c r="F245" s="806"/>
      <c r="G245" s="806"/>
      <c r="H245" s="807"/>
      <c r="I245" s="538"/>
      <c r="J245" s="805"/>
      <c r="K245" s="806"/>
      <c r="L245" s="806"/>
      <c r="M245" s="807"/>
      <c r="N245" s="538"/>
      <c r="O245" s="805"/>
      <c r="P245" s="806"/>
      <c r="Q245" s="806"/>
      <c r="R245" s="807"/>
      <c r="S245" s="538"/>
      <c r="T245" s="805"/>
      <c r="U245" s="806"/>
      <c r="V245" s="806"/>
      <c r="W245" s="807"/>
      <c r="X245" s="538"/>
      <c r="Y245" s="805"/>
      <c r="Z245" s="806"/>
      <c r="AA245" s="806"/>
      <c r="AB245" s="807"/>
      <c r="AC245" s="538"/>
      <c r="AD245" s="805"/>
      <c r="AE245" s="806"/>
      <c r="AF245" s="806"/>
      <c r="AG245" s="807"/>
      <c r="AH245" s="538"/>
      <c r="AI245" s="805"/>
      <c r="AJ245" s="806"/>
      <c r="AK245" s="806"/>
      <c r="AL245" s="807"/>
      <c r="AM245" s="538"/>
      <c r="AN245" s="805"/>
      <c r="AO245" s="806"/>
      <c r="AP245" s="806"/>
      <c r="AQ245" s="807"/>
      <c r="AR245" s="538"/>
      <c r="AS245" s="805"/>
      <c r="AT245" s="806"/>
      <c r="AU245" s="806"/>
      <c r="AV245" s="807"/>
      <c r="AW245" s="538"/>
      <c r="AX245" s="805"/>
      <c r="AY245" s="806"/>
      <c r="AZ245" s="806"/>
      <c r="BA245" s="807"/>
      <c r="BB245" s="538"/>
      <c r="BC245" s="805"/>
      <c r="BD245" s="806"/>
      <c r="BE245" s="806"/>
      <c r="BF245" s="807"/>
      <c r="BG245" s="538"/>
      <c r="BH245" s="805"/>
      <c r="BI245" s="806"/>
      <c r="BJ245" s="806"/>
      <c r="BK245" s="807"/>
      <c r="BL245" s="538"/>
      <c r="BM245" s="805"/>
      <c r="BN245" s="806"/>
      <c r="BO245" s="806"/>
      <c r="BP245" s="807"/>
      <c r="BQ245" s="538"/>
      <c r="BR245" s="538"/>
      <c r="BS245" s="538"/>
      <c r="BT245" s="538"/>
      <c r="BU245" s="538"/>
      <c r="BV245" s="538"/>
      <c r="BW245" s="538"/>
      <c r="BX245" s="538"/>
      <c r="BY245" s="538"/>
      <c r="BZ245" s="538"/>
      <c r="CA245" s="538"/>
      <c r="CB245" s="538"/>
      <c r="CC245" s="538"/>
      <c r="CD245" s="538"/>
      <c r="CE245" s="538"/>
      <c r="CF245" s="538"/>
      <c r="CG245" s="538"/>
      <c r="CH245" s="538"/>
      <c r="CI245" s="538"/>
      <c r="CJ245" s="538"/>
      <c r="CK245" s="538"/>
      <c r="CL245" s="538"/>
      <c r="CM245" s="538"/>
      <c r="CN245" s="538"/>
      <c r="CO245" s="538"/>
      <c r="CP245" s="538"/>
      <c r="CQ245" s="538"/>
      <c r="CR245" s="538"/>
      <c r="CS245" s="538"/>
      <c r="CT245" s="538"/>
      <c r="CU245" s="538"/>
      <c r="CV245" s="538"/>
      <c r="CW245" s="538"/>
      <c r="CX245" s="538"/>
      <c r="CY245" s="538"/>
      <c r="CZ245" s="538"/>
      <c r="DA245" s="538"/>
    </row>
    <row r="246" spans="1:105">
      <c r="A246" s="538"/>
      <c r="B246" s="538"/>
      <c r="C246" s="545" t="s">
        <v>277</v>
      </c>
      <c r="D246" s="538"/>
      <c r="E246" s="805"/>
      <c r="F246" s="806"/>
      <c r="G246" s="806"/>
      <c r="H246" s="807"/>
      <c r="I246" s="538"/>
      <c r="J246" s="805"/>
      <c r="K246" s="806"/>
      <c r="L246" s="806"/>
      <c r="M246" s="807"/>
      <c r="N246" s="538"/>
      <c r="O246" s="805"/>
      <c r="P246" s="806"/>
      <c r="Q246" s="806"/>
      <c r="R246" s="807"/>
      <c r="S246" s="538"/>
      <c r="T246" s="805"/>
      <c r="U246" s="806"/>
      <c r="V246" s="806"/>
      <c r="W246" s="807"/>
      <c r="X246" s="538"/>
      <c r="Y246" s="805"/>
      <c r="Z246" s="806"/>
      <c r="AA246" s="806"/>
      <c r="AB246" s="807"/>
      <c r="AC246" s="538"/>
      <c r="AD246" s="805"/>
      <c r="AE246" s="806"/>
      <c r="AF246" s="806"/>
      <c r="AG246" s="807"/>
      <c r="AH246" s="538"/>
      <c r="AI246" s="805"/>
      <c r="AJ246" s="806"/>
      <c r="AK246" s="806"/>
      <c r="AL246" s="807"/>
      <c r="AM246" s="538"/>
      <c r="AN246" s="805"/>
      <c r="AO246" s="806"/>
      <c r="AP246" s="806"/>
      <c r="AQ246" s="807"/>
      <c r="AR246" s="538"/>
      <c r="AS246" s="805"/>
      <c r="AT246" s="806"/>
      <c r="AU246" s="806"/>
      <c r="AV246" s="807"/>
      <c r="AW246" s="538"/>
      <c r="AX246" s="805"/>
      <c r="AY246" s="806"/>
      <c r="AZ246" s="806"/>
      <c r="BA246" s="807"/>
      <c r="BB246" s="538"/>
      <c r="BC246" s="805"/>
      <c r="BD246" s="806"/>
      <c r="BE246" s="806"/>
      <c r="BF246" s="807"/>
      <c r="BG246" s="538"/>
      <c r="BH246" s="805"/>
      <c r="BI246" s="806"/>
      <c r="BJ246" s="806"/>
      <c r="BK246" s="807"/>
      <c r="BL246" s="538"/>
      <c r="BM246" s="805"/>
      <c r="BN246" s="806"/>
      <c r="BO246" s="806"/>
      <c r="BP246" s="807"/>
      <c r="BQ246" s="538"/>
      <c r="BR246" s="538"/>
      <c r="BS246" s="538"/>
      <c r="BT246" s="538"/>
      <c r="BU246" s="538"/>
      <c r="BV246" s="538"/>
      <c r="BW246" s="538"/>
      <c r="BX246" s="538"/>
      <c r="BY246" s="538"/>
      <c r="BZ246" s="538"/>
      <c r="CA246" s="538"/>
      <c r="CB246" s="538"/>
      <c r="CC246" s="538"/>
      <c r="CD246" s="538"/>
      <c r="CE246" s="538"/>
      <c r="CF246" s="538"/>
      <c r="CG246" s="538"/>
      <c r="CH246" s="538"/>
      <c r="CI246" s="538"/>
      <c r="CJ246" s="538"/>
      <c r="CK246" s="538"/>
      <c r="CL246" s="538"/>
      <c r="CM246" s="538"/>
      <c r="CN246" s="538"/>
      <c r="CO246" s="538"/>
      <c r="CP246" s="538"/>
      <c r="CQ246" s="538"/>
      <c r="CR246" s="538"/>
      <c r="CS246" s="538"/>
      <c r="CT246" s="538"/>
      <c r="CU246" s="538"/>
      <c r="CV246" s="538"/>
      <c r="CW246" s="538"/>
      <c r="CX246" s="538"/>
      <c r="CY246" s="538"/>
      <c r="CZ246" s="538"/>
      <c r="DA246" s="538"/>
    </row>
    <row r="247" spans="1:105">
      <c r="A247" s="538"/>
      <c r="B247" s="538"/>
      <c r="C247" s="538" t="s">
        <v>348</v>
      </c>
      <c r="D247" s="538"/>
      <c r="E247" s="805"/>
      <c r="F247" s="806"/>
      <c r="G247" s="806"/>
      <c r="H247" s="412"/>
      <c r="I247" s="301">
        <f>(I234-I237)/I237</f>
        <v>1.9871794871794872</v>
      </c>
      <c r="J247" s="805"/>
      <c r="K247" s="806"/>
      <c r="L247" s="806"/>
      <c r="M247" s="412"/>
      <c r="N247" s="301">
        <f>(N234-N237)/N237</f>
        <v>2.4842767295597485</v>
      </c>
      <c r="O247" s="805"/>
      <c r="P247" s="806"/>
      <c r="Q247" s="806"/>
      <c r="R247" s="412"/>
      <c r="S247" s="301">
        <f>(S234-S237)/S237</f>
        <v>3</v>
      </c>
      <c r="T247" s="805"/>
      <c r="U247" s="806"/>
      <c r="V247" s="806"/>
      <c r="W247" s="412"/>
      <c r="X247" s="301">
        <f>(X234-X237)/X237</f>
        <v>3.4271186440677965</v>
      </c>
      <c r="Y247" s="805"/>
      <c r="Z247" s="806"/>
      <c r="AA247" s="806"/>
      <c r="AB247" s="412"/>
      <c r="AC247" s="301">
        <f>(AC234-AC237)/AC237</f>
        <v>4.0648464163822524</v>
      </c>
      <c r="AD247" s="805"/>
      <c r="AE247" s="806"/>
      <c r="AF247" s="806"/>
      <c r="AG247" s="412"/>
      <c r="AH247" s="301">
        <f>(AH234-AH237)/AH237</f>
        <v>4.8880866425992782</v>
      </c>
      <c r="AI247" s="805"/>
      <c r="AJ247" s="806"/>
      <c r="AK247" s="806"/>
      <c r="AL247" s="412"/>
      <c r="AM247" s="301">
        <f>(AM234-AM237)/AM237</f>
        <v>4.996428571428571</v>
      </c>
      <c r="AN247" s="805"/>
      <c r="AO247" s="806"/>
      <c r="AP247" s="806"/>
      <c r="AQ247" s="412"/>
      <c r="AR247" s="301">
        <f>(AR234-AR237)/AR237</f>
        <v>4.031141868512111</v>
      </c>
      <c r="AS247" s="805"/>
      <c r="AT247" s="806"/>
      <c r="AU247" s="806"/>
      <c r="AV247" s="412"/>
      <c r="AW247" s="301">
        <f>(AW234-AW237)/AW237</f>
        <v>4.4719471947194718</v>
      </c>
      <c r="AX247" s="805"/>
      <c r="AY247" s="806"/>
      <c r="AZ247" s="806"/>
      <c r="BA247" s="412"/>
      <c r="BB247" s="301">
        <f>(BB234-BB237)/BB237</f>
        <v>3.7341307238566923</v>
      </c>
      <c r="BC247" s="805"/>
      <c r="BD247" s="806"/>
      <c r="BE247" s="806"/>
      <c r="BF247" s="412"/>
      <c r="BG247" s="301">
        <f>(BG234-BG237)/BG237</f>
        <v>3.4095497668097852</v>
      </c>
      <c r="BH247" s="805"/>
      <c r="BI247" s="806"/>
      <c r="BJ247" s="806"/>
      <c r="BK247" s="412"/>
      <c r="BL247" s="301">
        <f>(BL234-BL237)/BL237</f>
        <v>3.0924337443786349</v>
      </c>
      <c r="BM247" s="805"/>
      <c r="BN247" s="806"/>
      <c r="BO247" s="806"/>
      <c r="BP247" s="412"/>
      <c r="BQ247" s="301">
        <f>(BQ234-BQ237)/BQ237</f>
        <v>2.9535538654826743</v>
      </c>
      <c r="BR247" s="301"/>
      <c r="BS247" s="538"/>
      <c r="BT247" s="538"/>
      <c r="BU247" s="538"/>
      <c r="BV247" s="538"/>
      <c r="BW247" s="538"/>
      <c r="BX247" s="538"/>
      <c r="BY247" s="538"/>
      <c r="BZ247" s="538"/>
      <c r="CA247" s="538"/>
      <c r="CB247" s="538"/>
      <c r="CC247" s="538"/>
      <c r="CD247" s="538"/>
      <c r="CE247" s="538"/>
      <c r="CF247" s="538"/>
      <c r="CG247" s="538"/>
      <c r="CH247" s="538"/>
      <c r="CI247" s="538"/>
      <c r="CJ247" s="538"/>
      <c r="CK247" s="538"/>
      <c r="CL247" s="538"/>
      <c r="CM247" s="538"/>
      <c r="CN247" s="538"/>
      <c r="CO247" s="538"/>
      <c r="CP247" s="538"/>
      <c r="CQ247" s="538"/>
      <c r="CR247" s="538"/>
      <c r="CS247" s="538"/>
      <c r="CT247" s="538"/>
      <c r="CU247" s="538"/>
      <c r="CV247" s="538"/>
      <c r="CW247" s="538"/>
      <c r="CX247" s="538"/>
      <c r="CY247" s="538"/>
      <c r="CZ247" s="538"/>
      <c r="DA247" s="538"/>
    </row>
    <row r="248" spans="1:105">
      <c r="A248" s="538"/>
      <c r="B248" s="538"/>
      <c r="C248" s="538" t="s">
        <v>349</v>
      </c>
      <c r="D248" s="538"/>
      <c r="E248" s="805"/>
      <c r="F248" s="806"/>
      <c r="G248" s="806"/>
      <c r="H248" s="412"/>
      <c r="I248" s="301">
        <f>I235/I237</f>
        <v>2.7628205128205128</v>
      </c>
      <c r="J248" s="805"/>
      <c r="K248" s="806"/>
      <c r="L248" s="806"/>
      <c r="M248" s="412"/>
      <c r="N248" s="301">
        <f>N235/N237</f>
        <v>2.8553459119496853</v>
      </c>
      <c r="O248" s="805"/>
      <c r="P248" s="806"/>
      <c r="Q248" s="806"/>
      <c r="R248" s="412"/>
      <c r="S248" s="301">
        <f>S235/S237</f>
        <v>3.7774193548387096</v>
      </c>
      <c r="T248" s="805"/>
      <c r="U248" s="806"/>
      <c r="V248" s="806"/>
      <c r="W248" s="412"/>
      <c r="X248" s="301">
        <f>X235/X237</f>
        <v>3.8305084745762712</v>
      </c>
      <c r="Y248" s="805"/>
      <c r="Z248" s="806"/>
      <c r="AA248" s="806"/>
      <c r="AB248" s="412"/>
      <c r="AC248" s="301">
        <f>AC235/AC237</f>
        <v>4.3890784982935154</v>
      </c>
      <c r="AD248" s="805"/>
      <c r="AE248" s="806"/>
      <c r="AF248" s="806"/>
      <c r="AG248" s="412"/>
      <c r="AH248" s="301">
        <f>AH235/AH237</f>
        <v>5.2382671480144403</v>
      </c>
      <c r="AI248" s="805"/>
      <c r="AJ248" s="806"/>
      <c r="AK248" s="806"/>
      <c r="AL248" s="412"/>
      <c r="AM248" s="301">
        <f>AM235/AM237</f>
        <v>5.4892857142857139</v>
      </c>
      <c r="AN248" s="805"/>
      <c r="AO248" s="806"/>
      <c r="AP248" s="806"/>
      <c r="AQ248" s="412"/>
      <c r="AR248" s="301">
        <f>AR235/AR237</f>
        <v>5.8581314878892732</v>
      </c>
      <c r="AS248" s="805"/>
      <c r="AT248" s="806"/>
      <c r="AU248" s="806"/>
      <c r="AV248" s="412"/>
      <c r="AW248" s="301">
        <f>AW235/AW237</f>
        <v>6.0693069306930694</v>
      </c>
      <c r="AX248" s="805"/>
      <c r="AY248" s="806"/>
      <c r="AZ248" s="806"/>
      <c r="BA248" s="412"/>
      <c r="BB248" s="301">
        <f>BB235/BB237</f>
        <v>4.8357205545468132</v>
      </c>
      <c r="BC248" s="805"/>
      <c r="BD248" s="806"/>
      <c r="BE248" s="806"/>
      <c r="BF248" s="412"/>
      <c r="BG248" s="301">
        <f>BG235/BG237</f>
        <v>4.5665733957656975</v>
      </c>
      <c r="BH248" s="805"/>
      <c r="BI248" s="806"/>
      <c r="BJ248" s="806"/>
      <c r="BK248" s="412"/>
      <c r="BL248" s="301">
        <f>BL235/BL237</f>
        <v>4.2927471402920441</v>
      </c>
      <c r="BM248" s="805"/>
      <c r="BN248" s="806"/>
      <c r="BO248" s="806"/>
      <c r="BP248" s="412"/>
      <c r="BQ248" s="301">
        <f>BQ235/BQ237</f>
        <v>4.1678711058747275</v>
      </c>
      <c r="BR248" s="301"/>
      <c r="BS248" s="538"/>
      <c r="BT248" s="538"/>
      <c r="BU248" s="538"/>
      <c r="BV248" s="538"/>
      <c r="BW248" s="538"/>
      <c r="BX248" s="538"/>
      <c r="BY248" s="538"/>
      <c r="BZ248" s="538"/>
      <c r="CA248" s="538"/>
      <c r="CB248" s="538"/>
      <c r="CC248" s="538"/>
      <c r="CD248" s="538"/>
      <c r="CE248" s="538"/>
      <c r="CF248" s="538"/>
      <c r="CG248" s="538"/>
      <c r="CH248" s="538"/>
      <c r="CI248" s="538"/>
      <c r="CJ248" s="538"/>
      <c r="CK248" s="538"/>
      <c r="CL248" s="538"/>
      <c r="CM248" s="538"/>
      <c r="CN248" s="538"/>
      <c r="CO248" s="538"/>
      <c r="CP248" s="538"/>
      <c r="CQ248" s="538"/>
      <c r="CR248" s="538"/>
      <c r="CS248" s="538"/>
      <c r="CT248" s="538"/>
      <c r="CU248" s="538"/>
      <c r="CV248" s="538"/>
      <c r="CW248" s="538"/>
      <c r="CX248" s="538"/>
      <c r="CY248" s="538"/>
      <c r="CZ248" s="538"/>
      <c r="DA248" s="538"/>
    </row>
    <row r="249" spans="1:105">
      <c r="A249" s="538"/>
      <c r="B249" s="538"/>
      <c r="C249" s="538"/>
      <c r="D249" s="538"/>
      <c r="E249" s="805"/>
      <c r="F249" s="806"/>
      <c r="G249" s="806"/>
      <c r="H249" s="807"/>
      <c r="I249" s="538"/>
      <c r="J249" s="805"/>
      <c r="K249" s="806"/>
      <c r="L249" s="806"/>
      <c r="M249" s="807"/>
      <c r="N249" s="538"/>
      <c r="O249" s="805"/>
      <c r="P249" s="806"/>
      <c r="Q249" s="806"/>
      <c r="R249" s="807"/>
      <c r="S249" s="538"/>
      <c r="T249" s="805"/>
      <c r="U249" s="806"/>
      <c r="V249" s="806"/>
      <c r="W249" s="807"/>
      <c r="X249" s="538"/>
      <c r="Y249" s="805"/>
      <c r="Z249" s="806"/>
      <c r="AA249" s="806"/>
      <c r="AB249" s="807"/>
      <c r="AC249" s="538"/>
      <c r="AD249" s="805"/>
      <c r="AE249" s="806"/>
      <c r="AF249" s="806"/>
      <c r="AG249" s="807"/>
      <c r="AH249" s="538"/>
      <c r="AI249" s="805"/>
      <c r="AJ249" s="806"/>
      <c r="AK249" s="806"/>
      <c r="AL249" s="807"/>
      <c r="AM249" s="538"/>
      <c r="AN249" s="805"/>
      <c r="AO249" s="806"/>
      <c r="AP249" s="806"/>
      <c r="AQ249" s="807"/>
      <c r="AR249" s="538"/>
      <c r="AS249" s="805"/>
      <c r="AT249" s="806"/>
      <c r="AU249" s="806"/>
      <c r="AV249" s="807"/>
      <c r="AW249" s="538"/>
      <c r="AX249" s="805"/>
      <c r="AY249" s="806"/>
      <c r="AZ249" s="806"/>
      <c r="BA249" s="807"/>
      <c r="BB249" s="538"/>
      <c r="BC249" s="805"/>
      <c r="BD249" s="806"/>
      <c r="BE249" s="806"/>
      <c r="BF249" s="807"/>
      <c r="BG249" s="538"/>
      <c r="BH249" s="805"/>
      <c r="BI249" s="806"/>
      <c r="BJ249" s="806"/>
      <c r="BK249" s="807"/>
      <c r="BL249" s="538"/>
      <c r="BM249" s="805"/>
      <c r="BN249" s="806"/>
      <c r="BO249" s="806"/>
      <c r="BP249" s="807"/>
      <c r="BQ249" s="538"/>
      <c r="BR249" s="538"/>
      <c r="BS249" s="538"/>
      <c r="BT249" s="538"/>
      <c r="BU249" s="538"/>
      <c r="BV249" s="538"/>
      <c r="BW249" s="538"/>
      <c r="BX249" s="538"/>
      <c r="BY249" s="538"/>
      <c r="BZ249" s="538"/>
      <c r="CA249" s="538"/>
      <c r="CB249" s="538"/>
      <c r="CC249" s="538"/>
      <c r="CD249" s="538"/>
      <c r="CE249" s="538"/>
      <c r="CF249" s="538"/>
      <c r="CG249" s="538"/>
      <c r="CH249" s="538"/>
      <c r="CI249" s="538"/>
      <c r="CJ249" s="538"/>
      <c r="CK249" s="538"/>
      <c r="CL249" s="538"/>
      <c r="CM249" s="538"/>
      <c r="CN249" s="538"/>
      <c r="CO249" s="538"/>
      <c r="CP249" s="538"/>
      <c r="CQ249" s="538"/>
      <c r="CR249" s="538"/>
      <c r="CS249" s="538"/>
      <c r="CT249" s="538"/>
      <c r="CU249" s="538"/>
      <c r="CV249" s="538"/>
      <c r="CW249" s="538"/>
      <c r="CX249" s="538"/>
      <c r="CY249" s="538"/>
      <c r="CZ249" s="538"/>
      <c r="DA249" s="538"/>
    </row>
    <row r="250" spans="1:105">
      <c r="A250" s="538"/>
      <c r="B250" s="538"/>
      <c r="C250" s="538"/>
      <c r="D250" s="538"/>
      <c r="E250" s="805"/>
      <c r="F250" s="806"/>
      <c r="G250" s="806"/>
      <c r="H250" s="807"/>
      <c r="I250" s="538"/>
      <c r="J250" s="805"/>
      <c r="K250" s="806"/>
      <c r="L250" s="806"/>
      <c r="M250" s="807"/>
      <c r="N250" s="538"/>
      <c r="O250" s="805"/>
      <c r="P250" s="806"/>
      <c r="Q250" s="806"/>
      <c r="R250" s="807"/>
      <c r="S250" s="538"/>
      <c r="T250" s="805"/>
      <c r="U250" s="806"/>
      <c r="V250" s="806"/>
      <c r="W250" s="807"/>
      <c r="X250" s="538"/>
      <c r="Y250" s="805"/>
      <c r="Z250" s="806"/>
      <c r="AA250" s="806"/>
      <c r="AB250" s="807"/>
      <c r="AC250" s="538"/>
      <c r="AD250" s="805"/>
      <c r="AE250" s="806"/>
      <c r="AF250" s="806"/>
      <c r="AG250" s="807"/>
      <c r="AH250" s="538"/>
      <c r="AI250" s="805"/>
      <c r="AJ250" s="806"/>
      <c r="AK250" s="806"/>
      <c r="AL250" s="807"/>
      <c r="AM250" s="538"/>
      <c r="AN250" s="805"/>
      <c r="AO250" s="806"/>
      <c r="AP250" s="806"/>
      <c r="AQ250" s="807"/>
      <c r="AR250" s="538"/>
      <c r="AS250" s="805"/>
      <c r="AT250" s="806"/>
      <c r="AU250" s="806"/>
      <c r="AV250" s="807"/>
      <c r="AW250" s="538"/>
      <c r="AX250" s="805"/>
      <c r="AY250" s="806"/>
      <c r="AZ250" s="806"/>
      <c r="BA250" s="807"/>
      <c r="BB250" s="538"/>
      <c r="BC250" s="805"/>
      <c r="BD250" s="806"/>
      <c r="BE250" s="806"/>
      <c r="BF250" s="807"/>
      <c r="BG250" s="538"/>
      <c r="BH250" s="805"/>
      <c r="BI250" s="806"/>
      <c r="BJ250" s="806"/>
      <c r="BK250" s="807"/>
      <c r="BL250" s="538"/>
      <c r="BM250" s="805"/>
      <c r="BN250" s="806"/>
      <c r="BO250" s="806"/>
      <c r="BP250" s="807"/>
      <c r="BQ250" s="538"/>
      <c r="BR250" s="538"/>
      <c r="BS250" s="538"/>
      <c r="BT250" s="538"/>
      <c r="BU250" s="538"/>
      <c r="BV250" s="538"/>
      <c r="BW250" s="538"/>
      <c r="BX250" s="538"/>
      <c r="BY250" s="538"/>
      <c r="BZ250" s="538"/>
      <c r="CA250" s="538"/>
      <c r="CB250" s="538"/>
      <c r="CC250" s="538"/>
      <c r="CD250" s="538"/>
      <c r="CE250" s="538"/>
      <c r="CF250" s="538"/>
      <c r="CG250" s="538"/>
      <c r="CH250" s="538"/>
      <c r="CI250" s="538"/>
      <c r="CJ250" s="538"/>
      <c r="CK250" s="538"/>
      <c r="CL250" s="538"/>
      <c r="CM250" s="538"/>
      <c r="CN250" s="538"/>
      <c r="CO250" s="538"/>
      <c r="CP250" s="538"/>
      <c r="CQ250" s="538"/>
      <c r="CR250" s="538"/>
      <c r="CS250" s="538"/>
      <c r="CT250" s="538"/>
      <c r="CU250" s="538"/>
      <c r="CV250" s="538"/>
      <c r="CW250" s="538"/>
      <c r="CX250" s="538"/>
      <c r="CY250" s="538"/>
      <c r="CZ250" s="538"/>
      <c r="DA250" s="538"/>
    </row>
    <row r="251" spans="1:105">
      <c r="A251" s="538"/>
      <c r="B251" s="533" t="s">
        <v>179</v>
      </c>
      <c r="C251" s="855"/>
      <c r="D251" s="856"/>
      <c r="E251" s="805"/>
      <c r="F251" s="806"/>
      <c r="G251" s="806"/>
      <c r="H251" s="807"/>
      <c r="I251" s="538"/>
      <c r="J251" s="805"/>
      <c r="K251" s="806"/>
      <c r="L251" s="806"/>
      <c r="M251" s="807"/>
      <c r="N251" s="538"/>
      <c r="O251" s="805"/>
      <c r="P251" s="806"/>
      <c r="Q251" s="806"/>
      <c r="R251" s="807"/>
      <c r="S251" s="538"/>
      <c r="T251" s="805"/>
      <c r="U251" s="806"/>
      <c r="V251" s="806"/>
      <c r="W251" s="807"/>
      <c r="X251" s="693"/>
      <c r="Y251" s="396"/>
      <c r="Z251" s="863"/>
      <c r="AA251" s="863"/>
      <c r="AB251" s="397"/>
      <c r="AC251" s="693"/>
      <c r="AD251" s="396"/>
      <c r="AE251" s="863"/>
      <c r="AF251" s="806"/>
      <c r="AG251" s="807"/>
      <c r="AH251" s="538"/>
      <c r="AI251" s="805"/>
      <c r="AJ251" s="806"/>
      <c r="AK251" s="806"/>
      <c r="AL251" s="807"/>
      <c r="AM251" s="538"/>
      <c r="AN251" s="805"/>
      <c r="AO251" s="806"/>
      <c r="AP251" s="806"/>
      <c r="AQ251" s="807"/>
      <c r="AR251" s="538"/>
      <c r="AS251" s="805"/>
      <c r="AT251" s="806"/>
      <c r="AU251" s="806"/>
      <c r="AV251" s="807"/>
      <c r="AW251" s="538"/>
      <c r="AX251" s="805"/>
      <c r="AY251" s="806"/>
      <c r="AZ251" s="806"/>
      <c r="BA251" s="807"/>
      <c r="BB251" s="538"/>
      <c r="BC251" s="805"/>
      <c r="BD251" s="806"/>
      <c r="BE251" s="806"/>
      <c r="BF251" s="807"/>
      <c r="BG251" s="538"/>
      <c r="BH251" s="805"/>
      <c r="BI251" s="806"/>
      <c r="BJ251" s="806"/>
      <c r="BK251" s="807"/>
      <c r="BL251" s="538"/>
      <c r="BM251" s="805"/>
      <c r="BN251" s="806"/>
      <c r="BO251" s="806"/>
      <c r="BP251" s="807"/>
      <c r="BQ251" s="538"/>
      <c r="BR251" s="538"/>
      <c r="BS251" s="538"/>
      <c r="BT251" s="538"/>
      <c r="BU251" s="538"/>
      <c r="BV251" s="538"/>
      <c r="BW251" s="538"/>
      <c r="BX251" s="538"/>
      <c r="BY251" s="538"/>
      <c r="BZ251" s="538"/>
      <c r="CA251" s="538"/>
      <c r="CB251" s="538"/>
      <c r="CC251" s="538"/>
      <c r="CD251" s="538"/>
      <c r="CE251" s="538"/>
      <c r="CF251" s="538"/>
      <c r="CG251" s="538"/>
      <c r="CH251" s="538"/>
      <c r="CI251" s="538"/>
      <c r="CJ251" s="538"/>
      <c r="CK251" s="538"/>
      <c r="CL251" s="538"/>
      <c r="CM251" s="538"/>
      <c r="CN251" s="538"/>
      <c r="CO251" s="538"/>
      <c r="CP251" s="538"/>
      <c r="CQ251" s="538"/>
      <c r="CR251" s="538"/>
      <c r="CS251" s="538"/>
      <c r="CT251" s="538"/>
      <c r="CU251" s="538"/>
      <c r="CV251" s="538"/>
      <c r="CW251" s="538"/>
      <c r="CX251" s="538"/>
      <c r="CY251" s="538"/>
      <c r="CZ251" s="538"/>
      <c r="DA251" s="538"/>
    </row>
    <row r="252" spans="1:105">
      <c r="A252" s="77"/>
      <c r="B252" s="77"/>
      <c r="C252" s="545" t="s">
        <v>454</v>
      </c>
      <c r="D252" s="77"/>
      <c r="E252" s="400"/>
      <c r="F252" s="343"/>
      <c r="G252" s="343"/>
      <c r="H252" s="397"/>
      <c r="I252" s="693"/>
      <c r="J252" s="396"/>
      <c r="K252" s="863"/>
      <c r="L252" s="863"/>
      <c r="M252" s="397"/>
      <c r="N252" s="693">
        <f>+I257</f>
        <v>7300</v>
      </c>
      <c r="O252" s="396"/>
      <c r="P252" s="863"/>
      <c r="Q252" s="863"/>
      <c r="R252" s="397"/>
      <c r="S252" s="693">
        <f>+N257</f>
        <v>7500</v>
      </c>
      <c r="T252" s="396"/>
      <c r="U252" s="863"/>
      <c r="V252" s="863"/>
      <c r="W252" s="397"/>
      <c r="X252" s="693">
        <f>+S257</f>
        <v>7500</v>
      </c>
      <c r="Y252" s="396"/>
      <c r="Z252" s="863"/>
      <c r="AA252" s="863"/>
      <c r="AB252" s="397"/>
      <c r="AC252" s="693">
        <f>+X257</f>
        <v>9000</v>
      </c>
      <c r="AD252" s="396">
        <f>+AC257</f>
        <v>10400</v>
      </c>
      <c r="AE252" s="863">
        <f>+AD257</f>
        <v>10633.571321875001</v>
      </c>
      <c r="AF252" s="863">
        <f>+AE257</f>
        <v>10900.142643750001</v>
      </c>
      <c r="AG252" s="397">
        <f>+AF257</f>
        <v>11149.713965625002</v>
      </c>
      <c r="AH252" s="693">
        <f>+AC257</f>
        <v>10400</v>
      </c>
      <c r="AI252" s="396">
        <f>+AH257</f>
        <v>11390.285287500001</v>
      </c>
      <c r="AJ252" s="863">
        <f>+AI257</f>
        <v>11860.670818750001</v>
      </c>
      <c r="AK252" s="863">
        <f>+AJ257</f>
        <v>12355.056350000001</v>
      </c>
      <c r="AL252" s="397">
        <f>+AK257</f>
        <v>12970.441881250001</v>
      </c>
      <c r="AM252" s="693">
        <f>+AH257</f>
        <v>11390.285287500001</v>
      </c>
      <c r="AN252" s="396">
        <f>+AM257</f>
        <v>13393.827412500001</v>
      </c>
      <c r="AO252" s="863">
        <f>+AN257</f>
        <v>13887.17531875</v>
      </c>
      <c r="AP252" s="863">
        <f>+AO257</f>
        <v>14294.523224999999</v>
      </c>
      <c r="AQ252" s="397">
        <f>+AP257</f>
        <v>14700.871131249998</v>
      </c>
      <c r="AR252" s="693">
        <f>+AM257</f>
        <v>13393.827412500001</v>
      </c>
      <c r="AS252" s="396">
        <f>+AR257</f>
        <v>15208.219037500001</v>
      </c>
      <c r="AT252" s="863">
        <f>+AS257</f>
        <v>15668.227360416668</v>
      </c>
      <c r="AU252" s="863">
        <f>+AT257</f>
        <v>16016.235683333334</v>
      </c>
      <c r="AV252" s="397">
        <f>+AU257</f>
        <v>16452.244006249999</v>
      </c>
      <c r="AW252" s="693">
        <f>+AR257</f>
        <v>15208.219037500001</v>
      </c>
      <c r="AX252" s="396">
        <f>+AW257</f>
        <v>16998.252329166666</v>
      </c>
      <c r="AY252" s="863">
        <f>+AX257</f>
        <v>17379.221728427921</v>
      </c>
      <c r="AZ252" s="863">
        <f>+AY257</f>
        <v>17755.964214731888</v>
      </c>
      <c r="BA252" s="397">
        <f>+AY257</f>
        <v>17755.964214731888</v>
      </c>
      <c r="BB252" s="693">
        <f>+AW257</f>
        <v>16998.252329166666</v>
      </c>
      <c r="BC252" s="396">
        <f>+BB257</f>
        <v>18501.468752165976</v>
      </c>
      <c r="BD252" s="863">
        <f>+BC257</f>
        <v>18926.96916318373</v>
      </c>
      <c r="BE252" s="863">
        <f>+BD257</f>
        <v>19348.49141653</v>
      </c>
      <c r="BF252" s="397">
        <f>+BE257</f>
        <v>19766.168416368269</v>
      </c>
      <c r="BG252" s="693">
        <f>+BB257</f>
        <v>18501.468752165976</v>
      </c>
      <c r="BH252" s="396">
        <f>+BG257</f>
        <v>20180.027291819326</v>
      </c>
      <c r="BI252" s="863">
        <f>+BH257</f>
        <v>20649.284808159195</v>
      </c>
      <c r="BJ252" s="863">
        <f>+BI257</f>
        <v>21114.709320320686</v>
      </c>
      <c r="BK252" s="397">
        <f>+BJ257</f>
        <v>21576.493484284547</v>
      </c>
      <c r="BL252" s="693">
        <f>+BG257</f>
        <v>20180.027291819326</v>
      </c>
      <c r="BM252" s="396">
        <f>+BL257</f>
        <v>22034.662703122409</v>
      </c>
      <c r="BN252" s="863">
        <f>+BM257</f>
        <v>22537.302311037103</v>
      </c>
      <c r="BO252" s="863">
        <f>+BN257</f>
        <v>23035.351282915362</v>
      </c>
      <c r="BP252" s="397">
        <f>+BO257</f>
        <v>23530.648994190935</v>
      </c>
      <c r="BQ252" s="693">
        <f>+BL257</f>
        <v>22034.662703122409</v>
      </c>
      <c r="BR252" s="693"/>
      <c r="BS252" s="77"/>
      <c r="BT252" s="77"/>
      <c r="BU252" s="77"/>
      <c r="BV252" s="77"/>
      <c r="BW252" s="77"/>
      <c r="BX252" s="77"/>
      <c r="BY252" s="77"/>
      <c r="BZ252" s="77"/>
      <c r="CA252" s="77"/>
      <c r="CB252" s="77"/>
      <c r="CC252" s="77"/>
      <c r="CD252" s="77"/>
      <c r="CE252" s="77"/>
      <c r="CF252" s="77"/>
      <c r="CG252" s="77"/>
      <c r="CH252" s="77"/>
      <c r="CI252" s="77"/>
      <c r="CJ252" s="77"/>
      <c r="CK252" s="77"/>
      <c r="CL252" s="77"/>
      <c r="CM252" s="77"/>
      <c r="CN252" s="77"/>
      <c r="CO252" s="77"/>
      <c r="CP252" s="77"/>
      <c r="CQ252" s="77"/>
      <c r="CR252" s="77"/>
      <c r="CS252" s="77"/>
      <c r="CT252" s="77"/>
      <c r="CU252" s="77"/>
      <c r="CV252" s="77"/>
      <c r="CW252" s="77"/>
      <c r="CX252" s="77"/>
      <c r="CY252" s="77"/>
      <c r="CZ252" s="77"/>
      <c r="DA252" s="77"/>
    </row>
    <row r="253" spans="1:105">
      <c r="A253" s="77"/>
      <c r="B253" s="77"/>
      <c r="C253" s="547" t="s">
        <v>455</v>
      </c>
      <c r="D253" s="77"/>
      <c r="E253" s="342"/>
      <c r="F253" s="342"/>
      <c r="G253" s="342"/>
      <c r="H253" s="395"/>
      <c r="I253" s="77"/>
      <c r="J253" s="394"/>
      <c r="K253" s="342"/>
      <c r="L253" s="342"/>
      <c r="M253" s="395"/>
      <c r="N253" s="77"/>
      <c r="O253" s="394"/>
      <c r="P253" s="342"/>
      <c r="Q253" s="342"/>
      <c r="R253" s="395"/>
      <c r="S253" s="77"/>
      <c r="T253" s="394"/>
      <c r="U253" s="342"/>
      <c r="V253" s="342"/>
      <c r="W253" s="395"/>
      <c r="X253" s="77"/>
      <c r="Y253" s="394"/>
      <c r="Z253" s="342"/>
      <c r="AA253" s="342"/>
      <c r="AB253" s="395"/>
      <c r="AC253" s="77"/>
      <c r="AD253" s="394">
        <f>AD168</f>
        <v>481</v>
      </c>
      <c r="AE253" s="342">
        <f>AE168</f>
        <v>515</v>
      </c>
      <c r="AF253" s="342">
        <f t="shared" ref="AF253:AR253" si="295">AF168</f>
        <v>497</v>
      </c>
      <c r="AG253" s="395">
        <f t="shared" si="295"/>
        <v>671</v>
      </c>
      <c r="AH253" s="77">
        <f t="shared" si="295"/>
        <v>2164</v>
      </c>
      <c r="AI253" s="394">
        <f t="shared" si="295"/>
        <v>599</v>
      </c>
      <c r="AJ253" s="342">
        <f t="shared" si="295"/>
        <v>631</v>
      </c>
      <c r="AK253" s="342">
        <f t="shared" si="295"/>
        <v>716</v>
      </c>
      <c r="AL253" s="395">
        <f t="shared" si="295"/>
        <v>746</v>
      </c>
      <c r="AM253" s="77">
        <f t="shared" si="295"/>
        <v>2692</v>
      </c>
      <c r="AN253" s="394">
        <f t="shared" si="295"/>
        <v>724</v>
      </c>
      <c r="AO253" s="342">
        <f t="shared" si="295"/>
        <v>631</v>
      </c>
      <c r="AP253" s="342">
        <f t="shared" si="295"/>
        <v>680</v>
      </c>
      <c r="AQ253" s="395">
        <f t="shared" si="295"/>
        <v>781</v>
      </c>
      <c r="AR253" s="77">
        <f t="shared" si="295"/>
        <v>2816</v>
      </c>
      <c r="AS253" s="394">
        <f t="shared" ref="AS253:BA253" si="296">AS168</f>
        <v>748</v>
      </c>
      <c r="AT253" s="342">
        <f t="shared" si="296"/>
        <v>641</v>
      </c>
      <c r="AU253" s="342">
        <f t="shared" si="296"/>
        <v>729</v>
      </c>
      <c r="AV253" s="395">
        <f t="shared" si="296"/>
        <v>801</v>
      </c>
      <c r="AW253" s="77">
        <f t="shared" si="296"/>
        <v>2919</v>
      </c>
      <c r="AX253" s="394">
        <f t="shared" si="296"/>
        <v>717.5</v>
      </c>
      <c r="AY253" s="342">
        <f t="shared" si="296"/>
        <v>717.5</v>
      </c>
      <c r="AZ253" s="342">
        <f>AZ168</f>
        <v>717.5</v>
      </c>
      <c r="BA253" s="395">
        <f t="shared" si="296"/>
        <v>717.5</v>
      </c>
      <c r="BB253" s="77">
        <f>BB168</f>
        <v>2870</v>
      </c>
      <c r="BC253" s="394">
        <f t="shared" ref="BC253:BK253" si="297">BC168</f>
        <v>711.25</v>
      </c>
      <c r="BD253" s="342">
        <f t="shared" si="297"/>
        <v>711.25</v>
      </c>
      <c r="BE253" s="342">
        <f t="shared" si="297"/>
        <v>711.25</v>
      </c>
      <c r="BF253" s="395">
        <f t="shared" si="297"/>
        <v>711.25</v>
      </c>
      <c r="BG253" s="77">
        <f>BG168</f>
        <v>2845</v>
      </c>
      <c r="BH253" s="394">
        <f t="shared" si="297"/>
        <v>701.25</v>
      </c>
      <c r="BI253" s="342">
        <f t="shared" si="297"/>
        <v>701.25</v>
      </c>
      <c r="BJ253" s="342">
        <f t="shared" si="297"/>
        <v>701.25</v>
      </c>
      <c r="BK253" s="395">
        <f t="shared" si="297"/>
        <v>701.25</v>
      </c>
      <c r="BL253" s="77">
        <f t="shared" ref="BL253:BQ253" si="298">BL168</f>
        <v>2805</v>
      </c>
      <c r="BM253" s="394">
        <f t="shared" si="298"/>
        <v>591.25</v>
      </c>
      <c r="BN253" s="342">
        <f t="shared" si="298"/>
        <v>591.25</v>
      </c>
      <c r="BO253" s="342">
        <f t="shared" si="298"/>
        <v>591.25</v>
      </c>
      <c r="BP253" s="395">
        <f t="shared" si="298"/>
        <v>591.25</v>
      </c>
      <c r="BQ253" s="77">
        <f t="shared" si="298"/>
        <v>2365</v>
      </c>
      <c r="BR253" s="77"/>
      <c r="BS253" s="77"/>
      <c r="BT253" s="77"/>
      <c r="BU253" s="77"/>
      <c r="BV253" s="77"/>
      <c r="BW253" s="77"/>
      <c r="BX253" s="77"/>
      <c r="BY253" s="77"/>
      <c r="BZ253" s="77"/>
      <c r="CA253" s="77"/>
      <c r="CB253" s="77"/>
      <c r="CC253" s="77"/>
      <c r="CD253" s="77"/>
      <c r="CE253" s="77"/>
      <c r="CF253" s="77"/>
      <c r="CG253" s="77"/>
      <c r="CH253" s="77"/>
      <c r="CI253" s="77"/>
      <c r="CJ253" s="77"/>
      <c r="CK253" s="77"/>
      <c r="CL253" s="77"/>
      <c r="CM253" s="77"/>
      <c r="CN253" s="77"/>
      <c r="CO253" s="77"/>
      <c r="CP253" s="77"/>
      <c r="CQ253" s="77"/>
      <c r="CR253" s="77"/>
      <c r="CS253" s="77"/>
      <c r="CT253" s="77"/>
      <c r="CU253" s="77"/>
      <c r="CV253" s="77"/>
      <c r="CW253" s="77"/>
      <c r="CX253" s="77"/>
      <c r="CY253" s="77"/>
      <c r="CZ253" s="77"/>
      <c r="DA253" s="77"/>
    </row>
    <row r="254" spans="1:105">
      <c r="A254" s="77"/>
      <c r="B254" s="77"/>
      <c r="C254" s="547" t="s">
        <v>632</v>
      </c>
      <c r="D254" s="77"/>
      <c r="E254" s="342"/>
      <c r="F254" s="342"/>
      <c r="G254" s="342"/>
      <c r="H254" s="395"/>
      <c r="I254" s="77"/>
      <c r="J254" s="394"/>
      <c r="K254" s="342"/>
      <c r="L254" s="342"/>
      <c r="M254" s="395"/>
      <c r="N254" s="77"/>
      <c r="O254" s="394"/>
      <c r="P254" s="342"/>
      <c r="Q254" s="342"/>
      <c r="R254" s="395"/>
      <c r="S254" s="77"/>
      <c r="T254" s="394"/>
      <c r="U254" s="342"/>
      <c r="V254" s="342"/>
      <c r="W254" s="395"/>
      <c r="X254" s="77"/>
      <c r="Y254" s="394"/>
      <c r="Z254" s="342"/>
      <c r="AA254" s="342"/>
      <c r="AB254" s="395"/>
      <c r="AC254" s="77"/>
      <c r="AD254" s="394">
        <f>-AD190+AD155</f>
        <v>-116.42867812500002</v>
      </c>
      <c r="AE254" s="342">
        <f>-AE190+AE155</f>
        <v>-106.42867812500002</v>
      </c>
      <c r="AF254" s="342">
        <f t="shared" ref="AF254:AR254" si="299">-AF190+AF155</f>
        <v>-127.42867812500002</v>
      </c>
      <c r="AG254" s="395">
        <f t="shared" si="299"/>
        <v>-113.42867812500002</v>
      </c>
      <c r="AH254" s="77">
        <f t="shared" si="299"/>
        <v>-463.71471250000008</v>
      </c>
      <c r="AI254" s="394">
        <f t="shared" si="299"/>
        <v>-154.61446875000001</v>
      </c>
      <c r="AJ254" s="342">
        <f t="shared" si="299"/>
        <v>-141.61446875000001</v>
      </c>
      <c r="AK254" s="342">
        <f t="shared" si="299"/>
        <v>-138.61446875000001</v>
      </c>
      <c r="AL254" s="395">
        <f t="shared" si="299"/>
        <v>-87.614468750000015</v>
      </c>
      <c r="AM254" s="77">
        <f t="shared" si="299"/>
        <v>-522.45787500000006</v>
      </c>
      <c r="AN254" s="394">
        <f t="shared" si="299"/>
        <v>-143.65209375000001</v>
      </c>
      <c r="AO254" s="342">
        <f t="shared" si="299"/>
        <v>-140.65209375000001</v>
      </c>
      <c r="AP254" s="342">
        <f t="shared" si="299"/>
        <v>-141.65209375000001</v>
      </c>
      <c r="AQ254" s="395">
        <f t="shared" si="299"/>
        <v>-157.65209375000001</v>
      </c>
      <c r="AR254" s="77">
        <f t="shared" si="299"/>
        <v>-583.60837500000002</v>
      </c>
      <c r="AS254" s="394">
        <f t="shared" ref="AS254:BB254" si="300">-AS190+AS155</f>
        <v>-142.99167708333331</v>
      </c>
      <c r="AT254" s="342">
        <f t="shared" si="300"/>
        <v>-137.99167708333331</v>
      </c>
      <c r="AU254" s="342">
        <f t="shared" si="300"/>
        <v>-140.99167708333331</v>
      </c>
      <c r="AV254" s="395">
        <f t="shared" si="300"/>
        <v>-150.99167708333331</v>
      </c>
      <c r="AW254" s="77">
        <f t="shared" si="300"/>
        <v>-572.96670833333326</v>
      </c>
      <c r="AX254" s="394">
        <f t="shared" si="300"/>
        <v>-151.03060073874286</v>
      </c>
      <c r="AY254" s="342">
        <f t="shared" si="300"/>
        <v>-155.25751369603324</v>
      </c>
      <c r="AZ254" s="342">
        <f>-AZ190+AZ155</f>
        <v>-159.24773128295735</v>
      </c>
      <c r="BA254" s="395">
        <f t="shared" si="300"/>
        <v>-159.24773128295735</v>
      </c>
      <c r="BB254" s="77">
        <f t="shared" si="300"/>
        <v>-624.7835770006908</v>
      </c>
      <c r="BC254" s="394">
        <f t="shared" ref="BC254:BL254" si="301">-BC190+BC155</f>
        <v>-162.24958898224457</v>
      </c>
      <c r="BD254" s="342">
        <f t="shared" si="301"/>
        <v>-166.22774665373129</v>
      </c>
      <c r="BE254" s="342">
        <f t="shared" si="301"/>
        <v>-170.07300016172999</v>
      </c>
      <c r="BF254" s="395">
        <f t="shared" si="301"/>
        <v>-173.8911245489451</v>
      </c>
      <c r="BG254" s="77">
        <f t="shared" si="301"/>
        <v>-672.44146034665096</v>
      </c>
      <c r="BH254" s="394">
        <f t="shared" si="301"/>
        <v>-175.74248366013242</v>
      </c>
      <c r="BI254" s="342">
        <f t="shared" si="301"/>
        <v>-179.57548783850783</v>
      </c>
      <c r="BJ254" s="342">
        <f t="shared" si="301"/>
        <v>-183.21583603613806</v>
      </c>
      <c r="BK254" s="395">
        <f t="shared" si="301"/>
        <v>-186.83078116213829</v>
      </c>
      <c r="BL254" s="77">
        <f t="shared" si="301"/>
        <v>-725.3645886969166</v>
      </c>
      <c r="BM254" s="394">
        <f>-BM190+BM155</f>
        <v>-188.61039208530505</v>
      </c>
      <c r="BN254" s="342">
        <f>-BN190+BN155</f>
        <v>-193.20102812173963</v>
      </c>
      <c r="BO254" s="342">
        <f>-BO190+BO155</f>
        <v>-195.95228872442917</v>
      </c>
      <c r="BP254" s="395">
        <f>-BP190+BP155</f>
        <v>-198.68453298631974</v>
      </c>
      <c r="BQ254" s="77">
        <f>-BQ190+BQ155</f>
        <v>-776.44824191779355</v>
      </c>
      <c r="BR254" s="77"/>
      <c r="BS254" s="77"/>
      <c r="BT254" s="77"/>
      <c r="BU254" s="77"/>
      <c r="BV254" s="77"/>
      <c r="BW254" s="972"/>
      <c r="BX254" s="77"/>
      <c r="BY254" s="77"/>
      <c r="BZ254" s="77"/>
      <c r="CA254" s="77"/>
      <c r="CB254" s="77"/>
      <c r="CC254" s="77"/>
      <c r="CD254" s="77"/>
      <c r="CE254" s="77"/>
      <c r="CF254" s="77"/>
      <c r="CG254" s="77"/>
      <c r="CH254" s="77"/>
      <c r="CI254" s="77"/>
      <c r="CJ254" s="77"/>
      <c r="CK254" s="77"/>
      <c r="CL254" s="77"/>
      <c r="CM254" s="77"/>
      <c r="CN254" s="77"/>
      <c r="CO254" s="77"/>
      <c r="CP254" s="77"/>
      <c r="CQ254" s="77"/>
      <c r="CR254" s="77"/>
      <c r="CS254" s="77"/>
      <c r="CT254" s="77"/>
      <c r="CU254" s="77"/>
      <c r="CV254" s="77"/>
      <c r="CW254" s="77"/>
      <c r="CX254" s="77"/>
      <c r="CY254" s="77"/>
      <c r="CZ254" s="77"/>
      <c r="DA254" s="77"/>
    </row>
    <row r="255" spans="1:105" s="305" customFormat="1">
      <c r="A255" s="77"/>
      <c r="B255" s="77"/>
      <c r="C255" s="547" t="s">
        <v>181</v>
      </c>
      <c r="D255" s="77"/>
      <c r="E255" s="342"/>
      <c r="F255" s="342"/>
      <c r="G255" s="342"/>
      <c r="H255" s="395"/>
      <c r="I255" s="77"/>
      <c r="J255" s="394"/>
      <c r="K255" s="342"/>
      <c r="L255" s="342"/>
      <c r="M255" s="395"/>
      <c r="N255" s="77"/>
      <c r="O255" s="394"/>
      <c r="P255" s="342"/>
      <c r="Q255" s="342"/>
      <c r="R255" s="395"/>
      <c r="S255" s="77"/>
      <c r="T255" s="394"/>
      <c r="U255" s="342"/>
      <c r="V255" s="342"/>
      <c r="W255" s="395"/>
      <c r="X255" s="77"/>
      <c r="Y255" s="394"/>
      <c r="Z255" s="342"/>
      <c r="AA255" s="342"/>
      <c r="AB255" s="395"/>
      <c r="AC255" s="77"/>
      <c r="AD255" s="394">
        <f>-AD191</f>
        <v>-31</v>
      </c>
      <c r="AE255" s="342">
        <f>-AE191</f>
        <v>-42</v>
      </c>
      <c r="AF255" s="342">
        <f t="shared" ref="AF255:AR255" si="302">-AF191</f>
        <v>-20</v>
      </c>
      <c r="AG255" s="395">
        <f t="shared" si="302"/>
        <v>-217</v>
      </c>
      <c r="AH255" s="77">
        <f t="shared" si="302"/>
        <v>-310</v>
      </c>
      <c r="AI255" s="394">
        <f t="shared" si="302"/>
        <v>-29</v>
      </c>
      <c r="AJ255" s="342">
        <f t="shared" si="302"/>
        <v>-50</v>
      </c>
      <c r="AK255" s="342">
        <f t="shared" si="302"/>
        <v>-17</v>
      </c>
      <c r="AL255" s="395">
        <f t="shared" si="302"/>
        <v>-290</v>
      </c>
      <c r="AM255" s="77">
        <f t="shared" si="302"/>
        <v>-386</v>
      </c>
      <c r="AN255" s="394">
        <f t="shared" si="302"/>
        <v>-147</v>
      </c>
      <c r="AO255" s="342">
        <f t="shared" si="302"/>
        <v>-143</v>
      </c>
      <c r="AP255" s="342">
        <f t="shared" si="302"/>
        <v>-192</v>
      </c>
      <c r="AQ255" s="395">
        <f t="shared" si="302"/>
        <v>-176</v>
      </c>
      <c r="AR255" s="77">
        <f t="shared" si="302"/>
        <v>-658</v>
      </c>
      <c r="AS255" s="394">
        <f t="shared" ref="AS255:BB255" si="303">-AS191</f>
        <v>-160</v>
      </c>
      <c r="AT255" s="342">
        <f t="shared" si="303"/>
        <v>-170</v>
      </c>
      <c r="AU255" s="342">
        <f t="shared" si="303"/>
        <v>-167</v>
      </c>
      <c r="AV255" s="395">
        <f t="shared" si="303"/>
        <v>-119</v>
      </c>
      <c r="AW255" s="77">
        <f t="shared" si="303"/>
        <v>-616</v>
      </c>
      <c r="AX255" s="394">
        <f t="shared" si="303"/>
        <v>-48</v>
      </c>
      <c r="AY255" s="342">
        <f t="shared" si="303"/>
        <v>-48</v>
      </c>
      <c r="AZ255" s="342">
        <f>-AZ191</f>
        <v>4</v>
      </c>
      <c r="BA255" s="395">
        <f t="shared" si="303"/>
        <v>-96</v>
      </c>
      <c r="BB255" s="77">
        <f t="shared" si="303"/>
        <v>-192</v>
      </c>
      <c r="BC255" s="394">
        <f t="shared" ref="BC255:BL255" si="304">-BC191</f>
        <v>-36</v>
      </c>
      <c r="BD255" s="342">
        <f t="shared" si="304"/>
        <v>-36</v>
      </c>
      <c r="BE255" s="342">
        <f t="shared" si="304"/>
        <v>-36</v>
      </c>
      <c r="BF255" s="395">
        <f t="shared" si="304"/>
        <v>-36</v>
      </c>
      <c r="BG255" s="77">
        <f t="shared" si="304"/>
        <v>-144</v>
      </c>
      <c r="BH255" s="394">
        <f t="shared" si="304"/>
        <v>0</v>
      </c>
      <c r="BI255" s="342">
        <f t="shared" si="304"/>
        <v>0</v>
      </c>
      <c r="BJ255" s="342">
        <f t="shared" si="304"/>
        <v>0</v>
      </c>
      <c r="BK255" s="395">
        <f t="shared" si="304"/>
        <v>0</v>
      </c>
      <c r="BL255" s="77">
        <f t="shared" si="304"/>
        <v>0</v>
      </c>
      <c r="BM255" s="394">
        <f>-BM191</f>
        <v>0</v>
      </c>
      <c r="BN255" s="342">
        <f>-BN191</f>
        <v>0</v>
      </c>
      <c r="BO255" s="342">
        <f>-BO191</f>
        <v>0</v>
      </c>
      <c r="BP255" s="395">
        <f>-BP191</f>
        <v>0</v>
      </c>
      <c r="BQ255" s="77">
        <f>-BQ191</f>
        <v>0</v>
      </c>
      <c r="BR255" s="77"/>
      <c r="BS255" s="77"/>
      <c r="BT255" s="77"/>
      <c r="BU255" s="77"/>
      <c r="BV255" s="77"/>
      <c r="BW255" s="77"/>
      <c r="BX255" s="77"/>
      <c r="BY255" s="77"/>
      <c r="BZ255" s="77"/>
      <c r="CA255" s="77"/>
      <c r="CB255" s="77"/>
      <c r="CC255" s="77"/>
      <c r="CD255" s="77"/>
      <c r="CE255" s="77"/>
      <c r="CF255" s="77"/>
      <c r="CG255" s="77"/>
      <c r="CH255" s="77"/>
      <c r="CI255" s="77"/>
      <c r="CJ255" s="77"/>
      <c r="CK255" s="77"/>
      <c r="CL255" s="77"/>
      <c r="CM255" s="77"/>
      <c r="CN255" s="77"/>
      <c r="CO255" s="77"/>
      <c r="CP255" s="77"/>
      <c r="CQ255" s="77"/>
      <c r="CR255" s="77"/>
      <c r="CS255" s="77"/>
      <c r="CT255" s="77"/>
      <c r="CU255" s="77"/>
      <c r="CV255" s="77"/>
      <c r="CW255" s="77"/>
      <c r="CX255" s="77"/>
      <c r="CY255" s="77"/>
      <c r="CZ255" s="77"/>
      <c r="DA255" s="77"/>
    </row>
    <row r="256" spans="1:105">
      <c r="A256" s="77"/>
      <c r="B256" s="77"/>
      <c r="C256" s="547" t="s">
        <v>182</v>
      </c>
      <c r="D256" s="77"/>
      <c r="E256" s="353"/>
      <c r="F256" s="353"/>
      <c r="G256" s="353"/>
      <c r="H256" s="419"/>
      <c r="I256" s="77"/>
      <c r="J256" s="418"/>
      <c r="K256" s="353"/>
      <c r="L256" s="353"/>
      <c r="M256" s="419"/>
      <c r="N256" s="77"/>
      <c r="O256" s="418"/>
      <c r="P256" s="353"/>
      <c r="Q256" s="353"/>
      <c r="R256" s="419"/>
      <c r="S256" s="77"/>
      <c r="T256" s="418"/>
      <c r="U256" s="353"/>
      <c r="V256" s="353"/>
      <c r="W256" s="419"/>
      <c r="X256" s="77"/>
      <c r="Y256" s="418"/>
      <c r="Z256" s="353"/>
      <c r="AA256" s="353"/>
      <c r="AB256" s="419"/>
      <c r="AC256" s="77"/>
      <c r="AD256" s="398">
        <v>-100</v>
      </c>
      <c r="AE256" s="344">
        <v>-100</v>
      </c>
      <c r="AF256" s="353">
        <v>-100</v>
      </c>
      <c r="AG256" s="419">
        <v>-100</v>
      </c>
      <c r="AH256" s="77">
        <f>SUM(AD256:AG256)</f>
        <v>-400</v>
      </c>
      <c r="AI256" s="418">
        <v>55</v>
      </c>
      <c r="AJ256" s="353">
        <v>55</v>
      </c>
      <c r="AK256" s="353">
        <v>55</v>
      </c>
      <c r="AL256" s="419">
        <v>55</v>
      </c>
      <c r="AM256" s="77">
        <f>SUM(AI256:AL256)</f>
        <v>220</v>
      </c>
      <c r="AN256" s="418">
        <v>60</v>
      </c>
      <c r="AO256" s="353">
        <v>60</v>
      </c>
      <c r="AP256" s="353">
        <v>60</v>
      </c>
      <c r="AQ256" s="419">
        <v>60</v>
      </c>
      <c r="AR256" s="77">
        <f>SUM(AN256:AQ256)</f>
        <v>240</v>
      </c>
      <c r="AS256" s="394">
        <f>AW256/4</f>
        <v>15</v>
      </c>
      <c r="AT256" s="342">
        <f>AW256/4</f>
        <v>15</v>
      </c>
      <c r="AU256" s="342">
        <f>AW256/4</f>
        <v>15</v>
      </c>
      <c r="AV256" s="395">
        <f>AW256/4</f>
        <v>15</v>
      </c>
      <c r="AW256" s="1617">
        <v>60</v>
      </c>
      <c r="AX256" s="394">
        <f>BB256/4</f>
        <v>-137.5</v>
      </c>
      <c r="AY256" s="342">
        <f>BB256/4</f>
        <v>-137.5</v>
      </c>
      <c r="AZ256" s="342">
        <f>BB256/4</f>
        <v>-137.5</v>
      </c>
      <c r="BA256" s="395">
        <f>BB256/4</f>
        <v>-137.5</v>
      </c>
      <c r="BB256" s="1617">
        <v>-550</v>
      </c>
      <c r="BC256" s="394">
        <f>BG256/4</f>
        <v>-87.5</v>
      </c>
      <c r="BD256" s="342">
        <f>BG256/4</f>
        <v>-87.5</v>
      </c>
      <c r="BE256" s="342">
        <f>BG256/4</f>
        <v>-87.5</v>
      </c>
      <c r="BF256" s="395">
        <f>BG256/4</f>
        <v>-87.5</v>
      </c>
      <c r="BG256" s="1617">
        <v>-350</v>
      </c>
      <c r="BH256" s="394">
        <f>BL256/4</f>
        <v>-56.25</v>
      </c>
      <c r="BI256" s="342">
        <f>BL256/4</f>
        <v>-56.25</v>
      </c>
      <c r="BJ256" s="342">
        <f>BL256/4</f>
        <v>-56.25</v>
      </c>
      <c r="BK256" s="395">
        <f>BL256/4</f>
        <v>-56.25</v>
      </c>
      <c r="BL256" s="1617">
        <v>-225</v>
      </c>
      <c r="BM256" s="394">
        <f>BQ256/4</f>
        <v>100</v>
      </c>
      <c r="BN256" s="342">
        <f>BQ256/4</f>
        <v>100</v>
      </c>
      <c r="BO256" s="342">
        <f>BQ256/4</f>
        <v>100</v>
      </c>
      <c r="BP256" s="395">
        <f>BQ256/4</f>
        <v>100</v>
      </c>
      <c r="BQ256" s="1617">
        <v>400</v>
      </c>
      <c r="BR256" s="77"/>
      <c r="BS256" s="589"/>
      <c r="BT256" s="77"/>
      <c r="BU256" s="77"/>
      <c r="BV256" s="77"/>
      <c r="BW256" s="77"/>
      <c r="BX256" s="77"/>
      <c r="BY256" s="77"/>
      <c r="BZ256" s="77"/>
      <c r="CA256" s="77"/>
      <c r="CB256" s="77"/>
      <c r="CC256" s="77"/>
      <c r="CD256" s="77"/>
      <c r="CE256" s="77"/>
      <c r="CF256" s="77"/>
      <c r="CG256" s="77"/>
      <c r="CH256" s="77"/>
      <c r="CI256" s="77"/>
      <c r="CJ256" s="77"/>
      <c r="CK256" s="77"/>
      <c r="CL256" s="77"/>
      <c r="CM256" s="77"/>
      <c r="CN256" s="77"/>
      <c r="CO256" s="77"/>
      <c r="CP256" s="77"/>
      <c r="CQ256" s="77"/>
      <c r="CR256" s="77"/>
      <c r="CS256" s="77"/>
      <c r="CT256" s="77"/>
      <c r="CU256" s="77"/>
      <c r="CV256" s="77"/>
      <c r="CW256" s="77"/>
      <c r="CX256" s="77"/>
      <c r="CY256" s="77"/>
      <c r="CZ256" s="77"/>
      <c r="DA256" s="77"/>
    </row>
    <row r="257" spans="1:105">
      <c r="A257" s="77"/>
      <c r="B257" s="77"/>
      <c r="C257" s="545" t="s">
        <v>456</v>
      </c>
      <c r="D257" s="77"/>
      <c r="E257" s="343"/>
      <c r="F257" s="343"/>
      <c r="G257" s="343"/>
      <c r="H257" s="397"/>
      <c r="I257" s="864">
        <v>7300</v>
      </c>
      <c r="J257" s="396"/>
      <c r="K257" s="343"/>
      <c r="L257" s="343"/>
      <c r="M257" s="397"/>
      <c r="N257" s="864">
        <v>7500</v>
      </c>
      <c r="O257" s="396"/>
      <c r="P257" s="343"/>
      <c r="Q257" s="343"/>
      <c r="R257" s="397"/>
      <c r="S257" s="864">
        <v>7500</v>
      </c>
      <c r="T257" s="396"/>
      <c r="U257" s="343"/>
      <c r="V257" s="343"/>
      <c r="W257" s="397"/>
      <c r="X257" s="864">
        <v>9000</v>
      </c>
      <c r="Y257" s="396"/>
      <c r="Z257" s="343"/>
      <c r="AA257" s="343"/>
      <c r="AB257" s="397"/>
      <c r="AC257" s="864">
        <v>10400</v>
      </c>
      <c r="AD257" s="396">
        <f>SUM(AD252:AD256)</f>
        <v>10633.571321875001</v>
      </c>
      <c r="AE257" s="343">
        <f>SUM(AE252:AE256)</f>
        <v>10900.142643750001</v>
      </c>
      <c r="AF257" s="343">
        <f t="shared" ref="AF257:AW257" si="305">SUM(AF252:AF256)</f>
        <v>11149.713965625002</v>
      </c>
      <c r="AG257" s="397">
        <f t="shared" si="305"/>
        <v>11390.285287500003</v>
      </c>
      <c r="AH257" s="297">
        <f>SUM(AH252:AH256)</f>
        <v>11390.285287500001</v>
      </c>
      <c r="AI257" s="396">
        <f t="shared" si="305"/>
        <v>11860.670818750001</v>
      </c>
      <c r="AJ257" s="343">
        <f t="shared" si="305"/>
        <v>12355.056350000001</v>
      </c>
      <c r="AK257" s="343">
        <f t="shared" si="305"/>
        <v>12970.441881250001</v>
      </c>
      <c r="AL257" s="397">
        <f t="shared" si="305"/>
        <v>13393.827412500001</v>
      </c>
      <c r="AM257" s="297">
        <f t="shared" si="305"/>
        <v>13393.827412500001</v>
      </c>
      <c r="AN257" s="396">
        <f t="shared" si="305"/>
        <v>13887.17531875</v>
      </c>
      <c r="AO257" s="343">
        <f t="shared" si="305"/>
        <v>14294.523224999999</v>
      </c>
      <c r="AP257" s="343">
        <f t="shared" si="305"/>
        <v>14700.871131249998</v>
      </c>
      <c r="AQ257" s="397">
        <f t="shared" si="305"/>
        <v>15208.219037499997</v>
      </c>
      <c r="AR257" s="297">
        <f t="shared" si="305"/>
        <v>15208.219037500001</v>
      </c>
      <c r="AS257" s="396">
        <f t="shared" si="305"/>
        <v>15668.227360416668</v>
      </c>
      <c r="AT257" s="343">
        <f t="shared" si="305"/>
        <v>16016.235683333334</v>
      </c>
      <c r="AU257" s="343">
        <f t="shared" si="305"/>
        <v>16452.244006249999</v>
      </c>
      <c r="AV257" s="397">
        <f t="shared" si="305"/>
        <v>16998.252329166666</v>
      </c>
      <c r="AW257" s="297">
        <f t="shared" si="305"/>
        <v>16998.252329166666</v>
      </c>
      <c r="AX257" s="396">
        <f t="shared" ref="AX257:BL257" si="306">SUM(AX252:AX256)</f>
        <v>17379.221728427921</v>
      </c>
      <c r="AY257" s="343">
        <f t="shared" si="306"/>
        <v>17755.964214731888</v>
      </c>
      <c r="AZ257" s="343">
        <f>SUM(AZ252:AZ256)</f>
        <v>18180.71648344893</v>
      </c>
      <c r="BA257" s="397">
        <f t="shared" si="306"/>
        <v>18080.71648344893</v>
      </c>
      <c r="BB257" s="297">
        <f t="shared" si="306"/>
        <v>18501.468752165976</v>
      </c>
      <c r="BC257" s="396">
        <f t="shared" si="306"/>
        <v>18926.96916318373</v>
      </c>
      <c r="BD257" s="343">
        <f t="shared" si="306"/>
        <v>19348.49141653</v>
      </c>
      <c r="BE257" s="343">
        <f t="shared" si="306"/>
        <v>19766.168416368269</v>
      </c>
      <c r="BF257" s="397">
        <f t="shared" si="306"/>
        <v>20180.027291819326</v>
      </c>
      <c r="BG257" s="297">
        <f t="shared" si="306"/>
        <v>20180.027291819326</v>
      </c>
      <c r="BH257" s="396">
        <f t="shared" si="306"/>
        <v>20649.284808159195</v>
      </c>
      <c r="BI257" s="343">
        <f t="shared" si="306"/>
        <v>21114.709320320686</v>
      </c>
      <c r="BJ257" s="343">
        <f t="shared" si="306"/>
        <v>21576.493484284547</v>
      </c>
      <c r="BK257" s="397">
        <f t="shared" si="306"/>
        <v>22034.662703122409</v>
      </c>
      <c r="BL257" s="297">
        <f t="shared" si="306"/>
        <v>22034.662703122409</v>
      </c>
      <c r="BM257" s="396">
        <f>SUM(BM252:BM256)</f>
        <v>22537.302311037103</v>
      </c>
      <c r="BN257" s="343">
        <f>SUM(BN252:BN256)</f>
        <v>23035.351282915362</v>
      </c>
      <c r="BO257" s="343">
        <f>SUM(BO252:BO256)</f>
        <v>23530.648994190935</v>
      </c>
      <c r="BP257" s="397">
        <f>SUM(BP252:BP256)</f>
        <v>24023.214461204614</v>
      </c>
      <c r="BQ257" s="297">
        <f>SUM(BQ252:BQ256)</f>
        <v>24023.214461204614</v>
      </c>
      <c r="BR257" s="297"/>
      <c r="BS257" s="77"/>
      <c r="BT257" s="77"/>
      <c r="BU257" s="77"/>
      <c r="BV257" s="77"/>
      <c r="BW257" s="77"/>
      <c r="BX257" s="77"/>
      <c r="BY257" s="77"/>
      <c r="BZ257" s="77"/>
      <c r="CA257" s="77"/>
      <c r="CB257" s="77"/>
      <c r="CC257" s="77"/>
      <c r="CD257" s="77"/>
      <c r="CE257" s="77"/>
      <c r="CF257" s="77"/>
      <c r="CG257" s="77"/>
      <c r="CH257" s="77"/>
      <c r="CI257" s="77"/>
      <c r="CJ257" s="77"/>
      <c r="CK257" s="77"/>
      <c r="CL257" s="77"/>
      <c r="CM257" s="77"/>
      <c r="CN257" s="77"/>
      <c r="CO257" s="77"/>
      <c r="CP257" s="77"/>
      <c r="CQ257" s="77"/>
      <c r="CR257" s="77"/>
      <c r="CS257" s="77"/>
      <c r="CT257" s="77"/>
      <c r="CU257" s="77"/>
      <c r="CV257" s="77"/>
      <c r="CW257" s="77"/>
      <c r="CX257" s="77"/>
      <c r="CY257" s="77"/>
      <c r="CZ257" s="77"/>
      <c r="DA257" s="77"/>
    </row>
    <row r="258" spans="1:105">
      <c r="A258" s="77"/>
      <c r="B258" s="77"/>
      <c r="C258" s="545"/>
      <c r="D258" s="77"/>
      <c r="E258" s="343"/>
      <c r="F258" s="343"/>
      <c r="G258" s="343"/>
      <c r="H258" s="397"/>
      <c r="I258" s="864"/>
      <c r="J258" s="396"/>
      <c r="K258" s="343"/>
      <c r="L258" s="343"/>
      <c r="M258" s="397"/>
      <c r="N258" s="864"/>
      <c r="O258" s="396"/>
      <c r="P258" s="343"/>
      <c r="Q258" s="343"/>
      <c r="R258" s="397"/>
      <c r="S258" s="864"/>
      <c r="T258" s="396"/>
      <c r="U258" s="343"/>
      <c r="V258" s="343"/>
      <c r="W258" s="397"/>
      <c r="X258" s="471"/>
      <c r="Y258" s="467"/>
      <c r="Z258" s="470"/>
      <c r="AA258" s="470"/>
      <c r="AB258" s="1338"/>
      <c r="AC258" s="471"/>
      <c r="AD258" s="467"/>
      <c r="AE258" s="470"/>
      <c r="AF258" s="343"/>
      <c r="AG258" s="397"/>
      <c r="AH258" s="297"/>
      <c r="AI258" s="396"/>
      <c r="AJ258" s="343"/>
      <c r="AK258" s="343"/>
      <c r="AL258" s="397"/>
      <c r="AM258" s="297"/>
      <c r="AN258" s="396"/>
      <c r="AO258" s="343"/>
      <c r="AP258" s="343"/>
      <c r="AQ258" s="397"/>
      <c r="AR258" s="297"/>
      <c r="AS258" s="396"/>
      <c r="AT258" s="343"/>
      <c r="AU258" s="343"/>
      <c r="AV258" s="397"/>
      <c r="AW258" s="297"/>
      <c r="AX258" s="396"/>
      <c r="AY258" s="343"/>
      <c r="AZ258" s="343"/>
      <c r="BA258" s="397"/>
      <c r="BB258" s="297"/>
      <c r="BC258" s="396"/>
      <c r="BD258" s="343"/>
      <c r="BE258" s="343"/>
      <c r="BF258" s="397"/>
      <c r="BG258" s="297"/>
      <c r="BH258" s="396"/>
      <c r="BI258" s="343"/>
      <c r="BJ258" s="343"/>
      <c r="BK258" s="397"/>
      <c r="BL258" s="297"/>
      <c r="BM258" s="396"/>
      <c r="BN258" s="343"/>
      <c r="BO258" s="343"/>
      <c r="BP258" s="397"/>
      <c r="BQ258" s="297"/>
      <c r="BR258" s="297"/>
      <c r="BS258" s="77"/>
      <c r="BT258" s="77"/>
      <c r="BU258" s="77"/>
      <c r="BV258" s="77"/>
      <c r="BW258" s="77"/>
      <c r="BX258" s="77"/>
      <c r="BY258" s="77"/>
      <c r="BZ258" s="77"/>
      <c r="CA258" s="77"/>
      <c r="CB258" s="77"/>
      <c r="CC258" s="77"/>
      <c r="CD258" s="77"/>
      <c r="CE258" s="77"/>
      <c r="CF258" s="77"/>
      <c r="CG258" s="77"/>
      <c r="CH258" s="77"/>
      <c r="CI258" s="77"/>
      <c r="CJ258" s="77"/>
      <c r="CK258" s="77"/>
      <c r="CL258" s="77"/>
      <c r="CM258" s="77"/>
      <c r="CN258" s="77"/>
      <c r="CO258" s="77"/>
      <c r="CP258" s="77"/>
      <c r="CQ258" s="77"/>
      <c r="CR258" s="77"/>
      <c r="CS258" s="77"/>
      <c r="CT258" s="77"/>
      <c r="CU258" s="77"/>
      <c r="CV258" s="77"/>
      <c r="CW258" s="77"/>
      <c r="CX258" s="77"/>
      <c r="CY258" s="77"/>
      <c r="CZ258" s="77"/>
      <c r="DA258" s="77"/>
    </row>
    <row r="259" spans="1:105">
      <c r="A259" s="297"/>
      <c r="B259" s="297"/>
      <c r="C259" s="545" t="s">
        <v>180</v>
      </c>
      <c r="D259" s="297"/>
      <c r="E259" s="396"/>
      <c r="F259" s="343"/>
      <c r="G259" s="343"/>
      <c r="H259" s="397"/>
      <c r="I259" s="297">
        <f>AVERAGE(I257,I252)</f>
        <v>7300</v>
      </c>
      <c r="J259" s="396"/>
      <c r="K259" s="343"/>
      <c r="L259" s="343"/>
      <c r="M259" s="397"/>
      <c r="N259" s="297">
        <f>AVERAGE(N257,N252)</f>
        <v>7400</v>
      </c>
      <c r="O259" s="396"/>
      <c r="P259" s="343"/>
      <c r="Q259" s="343"/>
      <c r="R259" s="397"/>
      <c r="S259" s="297">
        <f>AVERAGE(S257,S252)</f>
        <v>7500</v>
      </c>
      <c r="T259" s="396"/>
      <c r="U259" s="343"/>
      <c r="V259" s="343"/>
      <c r="W259" s="397"/>
      <c r="X259" s="297">
        <f>AVERAGE(X257,X252)</f>
        <v>8250</v>
      </c>
      <c r="Y259" s="396"/>
      <c r="Z259" s="343"/>
      <c r="AA259" s="343"/>
      <c r="AB259" s="397"/>
      <c r="AC259" s="297">
        <f>AVERAGE(AC257,AC252)</f>
        <v>9700</v>
      </c>
      <c r="AD259" s="396"/>
      <c r="AE259" s="343"/>
      <c r="AF259" s="343"/>
      <c r="AG259" s="397"/>
      <c r="AH259" s="297">
        <f>AVERAGE(AH257,AH252)</f>
        <v>10895.142643750001</v>
      </c>
      <c r="AI259" s="396"/>
      <c r="AJ259" s="343"/>
      <c r="AK259" s="343"/>
      <c r="AL259" s="397"/>
      <c r="AM259" s="297">
        <f>AVERAGE(AM257,AM252)</f>
        <v>12392.056350000001</v>
      </c>
      <c r="AN259" s="396"/>
      <c r="AO259" s="343"/>
      <c r="AP259" s="343"/>
      <c r="AQ259" s="397"/>
      <c r="AR259" s="297">
        <f>AVERAGE(AR257,AR252)</f>
        <v>14301.023225000001</v>
      </c>
      <c r="AS259" s="396"/>
      <c r="AT259" s="343"/>
      <c r="AU259" s="343"/>
      <c r="AV259" s="397"/>
      <c r="AW259" s="297">
        <f>AVERAGE(AW257,AW252)</f>
        <v>16103.235683333332</v>
      </c>
      <c r="AX259" s="396"/>
      <c r="AY259" s="343"/>
      <c r="AZ259" s="343"/>
      <c r="BA259" s="397"/>
      <c r="BB259" s="297">
        <f>AVERAGE(BB257,BB252)</f>
        <v>17749.860540666319</v>
      </c>
      <c r="BC259" s="396"/>
      <c r="BD259" s="343"/>
      <c r="BE259" s="343"/>
      <c r="BF259" s="397"/>
      <c r="BG259" s="297">
        <f>AVERAGE(BG257,BG252)</f>
        <v>19340.748021992651</v>
      </c>
      <c r="BH259" s="396"/>
      <c r="BI259" s="343"/>
      <c r="BJ259" s="343"/>
      <c r="BK259" s="397"/>
      <c r="BL259" s="297">
        <f>AVERAGE(BL257,BL252)</f>
        <v>21107.344997470867</v>
      </c>
      <c r="BM259" s="396"/>
      <c r="BN259" s="343"/>
      <c r="BO259" s="343"/>
      <c r="BP259" s="397"/>
      <c r="BQ259" s="297">
        <f>AVERAGE(BQ257,BQ252)</f>
        <v>23028.938582163511</v>
      </c>
      <c r="BR259" s="297"/>
      <c r="BS259" s="297"/>
      <c r="BT259" s="297"/>
      <c r="BU259" s="297"/>
      <c r="BV259" s="297"/>
      <c r="BW259" s="297"/>
      <c r="BX259" s="297"/>
      <c r="BY259" s="297"/>
      <c r="BZ259" s="297"/>
      <c r="CA259" s="297"/>
      <c r="CB259" s="297"/>
      <c r="CC259" s="297"/>
      <c r="CD259" s="297"/>
      <c r="CE259" s="297"/>
      <c r="CF259" s="297"/>
      <c r="CG259" s="297"/>
      <c r="CH259" s="297"/>
      <c r="CI259" s="297"/>
      <c r="CJ259" s="297"/>
      <c r="CK259" s="297"/>
      <c r="CL259" s="297"/>
      <c r="CM259" s="297"/>
      <c r="CN259" s="297"/>
      <c r="CO259" s="297"/>
      <c r="CP259" s="297"/>
      <c r="CQ259" s="297"/>
      <c r="CR259" s="297"/>
      <c r="CS259" s="297"/>
      <c r="CT259" s="297"/>
      <c r="CU259" s="297"/>
      <c r="CV259" s="297"/>
      <c r="CW259" s="297"/>
      <c r="CX259" s="297"/>
      <c r="CY259" s="297"/>
      <c r="CZ259" s="297"/>
      <c r="DA259" s="297"/>
    </row>
    <row r="260" spans="1:105" s="278" customFormat="1">
      <c r="A260" s="1046"/>
      <c r="B260" s="1046"/>
      <c r="C260" s="1047" t="s">
        <v>740</v>
      </c>
      <c r="D260" s="1046"/>
      <c r="E260" s="711"/>
      <c r="F260" s="712"/>
      <c r="G260" s="712"/>
      <c r="H260" s="713"/>
      <c r="I260" s="1048"/>
      <c r="J260" s="711"/>
      <c r="K260" s="712"/>
      <c r="L260" s="712"/>
      <c r="M260" s="713"/>
      <c r="O260" s="711"/>
      <c r="P260" s="712"/>
      <c r="Q260" s="712"/>
      <c r="R260" s="713"/>
      <c r="S260" s="1049"/>
      <c r="T260" s="711"/>
      <c r="U260" s="712"/>
      <c r="V260" s="712"/>
      <c r="W260" s="713"/>
      <c r="X260" s="1050"/>
      <c r="Y260" s="711"/>
      <c r="Z260" s="712"/>
      <c r="AA260" s="712"/>
      <c r="AB260" s="713"/>
      <c r="AC260" s="1050">
        <f>+AC259/X259-1</f>
        <v>0.17575757575757578</v>
      </c>
      <c r="AD260" s="711"/>
      <c r="AE260" s="712"/>
      <c r="AF260" s="712"/>
      <c r="AG260" s="713"/>
      <c r="AH260" s="1050">
        <f>+AH259/AC259-1</f>
        <v>0.12321058182989697</v>
      </c>
      <c r="AI260" s="711"/>
      <c r="AJ260" s="712"/>
      <c r="AK260" s="712"/>
      <c r="AL260" s="713"/>
      <c r="AM260" s="1050">
        <f>+AM259/AH259-1</f>
        <v>0.13739275888312519</v>
      </c>
      <c r="AN260" s="711"/>
      <c r="AO260" s="712"/>
      <c r="AP260" s="712"/>
      <c r="AQ260" s="713"/>
      <c r="AR260" s="1050">
        <f>+AR259/AM259-1</f>
        <v>0.15404762705101804</v>
      </c>
      <c r="AS260" s="711"/>
      <c r="AT260" s="712"/>
      <c r="AU260" s="712"/>
      <c r="AV260" s="713"/>
      <c r="AW260" s="1050">
        <f>+AW259/AR259-1</f>
        <v>0.12601982599278871</v>
      </c>
      <c r="AX260" s="711"/>
      <c r="AY260" s="712"/>
      <c r="AZ260" s="712"/>
      <c r="BA260" s="713"/>
      <c r="BB260" s="1050">
        <f>+BB259/AW259-1</f>
        <v>0.10225428539415993</v>
      </c>
      <c r="BC260" s="711"/>
      <c r="BD260" s="712"/>
      <c r="BE260" s="712"/>
      <c r="BF260" s="713"/>
      <c r="BG260" s="1050">
        <f>+BG259/BB259-1</f>
        <v>8.9628167933009095E-2</v>
      </c>
      <c r="BH260" s="711"/>
      <c r="BI260" s="712"/>
      <c r="BJ260" s="712"/>
      <c r="BK260" s="713"/>
      <c r="BL260" s="1050">
        <f>+BL259/BG259-1</f>
        <v>9.1340674800653554E-2</v>
      </c>
      <c r="BM260" s="711"/>
      <c r="BN260" s="712"/>
      <c r="BO260" s="712"/>
      <c r="BP260" s="713"/>
      <c r="BQ260" s="1050">
        <f>+BQ259/BL259-1</f>
        <v>9.1039094918043739E-2</v>
      </c>
      <c r="BR260" s="1050"/>
      <c r="BS260" s="1046"/>
      <c r="BT260" s="1050">
        <f>AVERAGE(AR260:BL260)</f>
        <v>0.11265811623432587</v>
      </c>
      <c r="BU260" s="1049" t="s">
        <v>720</v>
      </c>
      <c r="BV260" s="1046"/>
      <c r="BW260" s="1046"/>
      <c r="BX260" s="1046"/>
      <c r="BY260" s="1046"/>
      <c r="BZ260" s="1046"/>
      <c r="CA260" s="1046"/>
      <c r="CB260" s="1046"/>
      <c r="CC260" s="1046"/>
      <c r="CD260" s="1046"/>
      <c r="CE260" s="1046"/>
      <c r="CF260" s="1046"/>
      <c r="CG260" s="1046"/>
      <c r="CH260" s="1046"/>
      <c r="CI260" s="1046"/>
      <c r="CJ260" s="1046"/>
      <c r="CK260" s="1046"/>
      <c r="CL260" s="1046"/>
      <c r="CM260" s="1046"/>
      <c r="CN260" s="1046"/>
      <c r="CO260" s="1046"/>
      <c r="CP260" s="1046"/>
      <c r="CQ260" s="1046"/>
      <c r="CR260" s="1046"/>
      <c r="CS260" s="1046"/>
      <c r="CT260" s="1046"/>
      <c r="CU260" s="1046"/>
      <c r="CV260" s="1046"/>
      <c r="CW260" s="1046"/>
      <c r="CX260" s="1046"/>
      <c r="CY260" s="1046"/>
      <c r="CZ260" s="1046"/>
      <c r="DA260" s="1046"/>
    </row>
    <row r="261" spans="1:105">
      <c r="A261" s="77"/>
      <c r="B261" s="77"/>
      <c r="C261" s="545"/>
      <c r="D261" s="77"/>
      <c r="E261" s="396"/>
      <c r="F261" s="343"/>
      <c r="G261" s="343"/>
      <c r="H261" s="397"/>
      <c r="I261" s="471"/>
      <c r="J261" s="396"/>
      <c r="K261" s="343"/>
      <c r="L261" s="343"/>
      <c r="M261" s="397"/>
      <c r="O261" s="396"/>
      <c r="P261" s="343"/>
      <c r="Q261" s="343"/>
      <c r="R261" s="397"/>
      <c r="S261" s="297"/>
      <c r="T261" s="396"/>
      <c r="U261" s="343"/>
      <c r="V261" s="343"/>
      <c r="W261" s="397"/>
      <c r="X261" s="297"/>
      <c r="Y261" s="396"/>
      <c r="Z261" s="343"/>
      <c r="AA261" s="343"/>
      <c r="AB261" s="397"/>
      <c r="AC261" s="297"/>
      <c r="AD261" s="396"/>
      <c r="AE261" s="343"/>
      <c r="AF261" s="343"/>
      <c r="AG261" s="397"/>
      <c r="AH261" s="297"/>
      <c r="AI261" s="396"/>
      <c r="AJ261" s="343"/>
      <c r="AK261" s="343"/>
      <c r="AL261" s="397"/>
      <c r="AM261" s="297"/>
      <c r="AN261" s="396"/>
      <c r="AO261" s="343"/>
      <c r="AP261" s="343"/>
      <c r="AQ261" s="397"/>
      <c r="AR261" s="297"/>
      <c r="AS261" s="396"/>
      <c r="AT261" s="343"/>
      <c r="AU261" s="343"/>
      <c r="AV261" s="397"/>
      <c r="AW261" s="297"/>
      <c r="AX261" s="396"/>
      <c r="AY261" s="343"/>
      <c r="AZ261" s="343"/>
      <c r="BA261" s="397"/>
      <c r="BB261" s="297"/>
      <c r="BC261" s="396"/>
      <c r="BD261" s="343"/>
      <c r="BE261" s="343"/>
      <c r="BF261" s="397"/>
      <c r="BG261" s="297"/>
      <c r="BH261" s="396"/>
      <c r="BI261" s="343"/>
      <c r="BJ261" s="343"/>
      <c r="BK261" s="397"/>
      <c r="BL261" s="297"/>
      <c r="BM261" s="396"/>
      <c r="BN261" s="343"/>
      <c r="BO261" s="343"/>
      <c r="BP261" s="397"/>
      <c r="BQ261" s="297"/>
      <c r="BR261" s="297"/>
      <c r="BS261" s="77"/>
      <c r="BT261" s="489">
        <f>(BQ257/AR257)^(1/5)-1</f>
        <v>9.574766005327584E-2</v>
      </c>
      <c r="BU261" s="77" t="s">
        <v>1076</v>
      </c>
      <c r="BV261" s="77"/>
      <c r="BW261" s="77"/>
      <c r="BX261" s="77"/>
      <c r="BY261" s="77"/>
      <c r="BZ261" s="77"/>
      <c r="CA261" s="77"/>
      <c r="CB261" s="77"/>
      <c r="CC261" s="77"/>
      <c r="CD261" s="77"/>
      <c r="CE261" s="77"/>
      <c r="CF261" s="77"/>
      <c r="CG261" s="77"/>
      <c r="CH261" s="77"/>
      <c r="CI261" s="77"/>
      <c r="CJ261" s="77"/>
      <c r="CK261" s="77"/>
      <c r="CL261" s="77"/>
      <c r="CM261" s="77"/>
      <c r="CN261" s="77"/>
      <c r="CO261" s="77"/>
      <c r="CP261" s="77"/>
      <c r="CQ261" s="77"/>
      <c r="CR261" s="77"/>
      <c r="CS261" s="77"/>
      <c r="CT261" s="77"/>
      <c r="CU261" s="77"/>
      <c r="CV261" s="77"/>
      <c r="CW261" s="77"/>
      <c r="CX261" s="77"/>
      <c r="CY261" s="77"/>
      <c r="CZ261" s="77"/>
      <c r="DA261" s="77"/>
    </row>
    <row r="262" spans="1:105">
      <c r="A262" s="77"/>
      <c r="B262" s="77"/>
      <c r="C262" s="547" t="s">
        <v>798</v>
      </c>
      <c r="D262" s="77"/>
      <c r="E262" s="394"/>
      <c r="F262" s="342"/>
      <c r="G262" s="342"/>
      <c r="H262" s="395"/>
      <c r="I262" s="77"/>
      <c r="J262" s="394"/>
      <c r="K262" s="342"/>
      <c r="L262" s="342"/>
      <c r="M262" s="395"/>
      <c r="O262" s="394"/>
      <c r="P262" s="342"/>
      <c r="Q262" s="342"/>
      <c r="R262" s="395"/>
      <c r="S262" s="589"/>
      <c r="T262" s="394"/>
      <c r="U262" s="342"/>
      <c r="V262" s="342"/>
      <c r="W262" s="395"/>
      <c r="X262" s="864">
        <v>9000</v>
      </c>
      <c r="Y262" s="394"/>
      <c r="Z262" s="342"/>
      <c r="AA262" s="342"/>
      <c r="AB262" s="395"/>
      <c r="AC262" s="864"/>
      <c r="AD262" s="394"/>
      <c r="AE262" s="342"/>
      <c r="AF262" s="342"/>
      <c r="AG262" s="395"/>
      <c r="AH262" s="864"/>
      <c r="AI262" s="394"/>
      <c r="AJ262" s="342"/>
      <c r="AK262" s="342"/>
      <c r="AL262" s="395"/>
      <c r="AM262" s="864">
        <v>13400</v>
      </c>
      <c r="AN262" s="394"/>
      <c r="AO262" s="342"/>
      <c r="AP262" s="342"/>
      <c r="AQ262" s="395"/>
      <c r="AR262" s="864">
        <v>15200</v>
      </c>
      <c r="AS262" s="394"/>
      <c r="AT262" s="342"/>
      <c r="AU262" s="342"/>
      <c r="AV262" s="395"/>
      <c r="AW262" s="864">
        <v>17000</v>
      </c>
      <c r="AX262" s="394"/>
      <c r="AY262" s="342"/>
      <c r="AZ262" s="342"/>
      <c r="BA262" s="395"/>
      <c r="BB262" s="864">
        <f>AW262*1.07</f>
        <v>18190</v>
      </c>
      <c r="BC262" s="394"/>
      <c r="BD262" s="342"/>
      <c r="BE262" s="342"/>
      <c r="BF262" s="395"/>
      <c r="BG262" s="864">
        <f>BB262*1.07</f>
        <v>19463.300000000003</v>
      </c>
      <c r="BH262" s="394"/>
      <c r="BI262" s="342"/>
      <c r="BJ262" s="342"/>
      <c r="BK262" s="395"/>
      <c r="BL262" s="864">
        <f>BG262*1.07</f>
        <v>20825.731000000003</v>
      </c>
      <c r="BM262" s="394"/>
      <c r="BN262" s="342"/>
      <c r="BO262" s="342"/>
      <c r="BP262" s="395"/>
      <c r="BQ262" s="864">
        <f>BL262*1.07</f>
        <v>22283.532170000006</v>
      </c>
      <c r="BR262" s="864"/>
      <c r="BT262" s="489">
        <f>(BQ257/AW257)^(1/4)-1</f>
        <v>9.0326861652869406E-2</v>
      </c>
      <c r="BU262" s="77" t="s">
        <v>1082</v>
      </c>
      <c r="BV262" s="77"/>
      <c r="BW262" s="77"/>
      <c r="BX262" s="77"/>
      <c r="BY262" s="77"/>
      <c r="BZ262" s="77"/>
      <c r="CA262" s="77"/>
      <c r="CB262" s="77"/>
      <c r="CC262" s="77"/>
      <c r="CD262" s="77"/>
      <c r="CE262" s="77"/>
      <c r="CF262" s="77"/>
      <c r="CG262" s="77"/>
      <c r="CH262" s="77"/>
      <c r="CI262" s="77"/>
      <c r="CJ262" s="77"/>
      <c r="CK262" s="77"/>
      <c r="CL262" s="77"/>
      <c r="CM262" s="77"/>
      <c r="CN262" s="77"/>
      <c r="CO262" s="77"/>
      <c r="CP262" s="77"/>
      <c r="CQ262" s="77"/>
      <c r="CR262" s="77"/>
      <c r="CS262" s="77"/>
      <c r="CT262" s="77"/>
      <c r="CU262" s="77"/>
      <c r="CV262" s="77"/>
      <c r="CW262" s="77"/>
      <c r="CX262" s="77"/>
      <c r="CY262" s="77"/>
      <c r="CZ262" s="77"/>
      <c r="DA262" s="77"/>
    </row>
    <row r="263" spans="1:105">
      <c r="A263" s="77"/>
      <c r="B263" s="77"/>
      <c r="C263" s="77"/>
      <c r="D263" s="77"/>
      <c r="E263" s="394"/>
      <c r="F263" s="342"/>
      <c r="G263" s="342"/>
      <c r="H263" s="395"/>
      <c r="I263" s="77"/>
      <c r="J263" s="394"/>
      <c r="K263" s="342"/>
      <c r="L263" s="342"/>
      <c r="M263" s="395"/>
      <c r="N263" s="77"/>
      <c r="O263" s="394"/>
      <c r="P263" s="342"/>
      <c r="Q263" s="342"/>
      <c r="R263" s="395"/>
      <c r="S263" s="77"/>
      <c r="T263" s="394"/>
      <c r="U263" s="342"/>
      <c r="V263" s="342"/>
      <c r="W263" s="395"/>
      <c r="X263" s="1339"/>
      <c r="Y263" s="378"/>
      <c r="Z263" s="1340"/>
      <c r="AA263" s="1340"/>
      <c r="AB263" s="1341"/>
      <c r="AC263" s="1339"/>
      <c r="AD263" s="378"/>
      <c r="AE263" s="1340"/>
      <c r="AF263" s="342"/>
      <c r="AG263" s="395"/>
      <c r="AH263" s="77"/>
      <c r="AI263" s="394"/>
      <c r="AJ263" s="342"/>
      <c r="AK263" s="342"/>
      <c r="AL263" s="395"/>
      <c r="AM263" s="77"/>
      <c r="AN263" s="394"/>
      <c r="AO263" s="342"/>
      <c r="AP263" s="342"/>
      <c r="AQ263" s="395"/>
      <c r="AR263" s="77"/>
      <c r="AS263" s="394"/>
      <c r="AT263" s="342"/>
      <c r="AU263" s="342"/>
      <c r="AV263" s="395"/>
      <c r="AW263" s="77"/>
      <c r="AX263" s="394"/>
      <c r="AY263" s="342"/>
      <c r="AZ263" s="342"/>
      <c r="BA263" s="395"/>
      <c r="BB263" s="864">
        <f>AW262*1.09</f>
        <v>18530</v>
      </c>
      <c r="BC263" s="394"/>
      <c r="BD263" s="342"/>
      <c r="BE263" s="342"/>
      <c r="BF263" s="395"/>
      <c r="BG263" s="864">
        <f>BB263*1.09</f>
        <v>20197.7</v>
      </c>
      <c r="BH263" s="394"/>
      <c r="BI263" s="342"/>
      <c r="BJ263" s="342"/>
      <c r="BK263" s="395"/>
      <c r="BL263" s="864">
        <f>BG263*1.09</f>
        <v>22015.493000000002</v>
      </c>
      <c r="BM263" s="394"/>
      <c r="BN263" s="342"/>
      <c r="BO263" s="342"/>
      <c r="BP263" s="395"/>
      <c r="BQ263" s="864">
        <f>BL263*1.09</f>
        <v>23996.887370000004</v>
      </c>
      <c r="BR263" s="77"/>
      <c r="BS263" s="77"/>
      <c r="BT263" s="77"/>
      <c r="BU263" s="77"/>
      <c r="BV263" s="77"/>
      <c r="BW263" s="77"/>
      <c r="BX263" s="77"/>
      <c r="BY263" s="77"/>
      <c r="BZ263" s="77"/>
      <c r="CA263" s="77"/>
      <c r="CB263" s="77"/>
      <c r="CC263" s="77"/>
      <c r="CD263" s="77"/>
      <c r="CE263" s="77"/>
      <c r="CF263" s="77"/>
      <c r="CG263" s="77"/>
      <c r="CH263" s="77"/>
      <c r="CI263" s="77"/>
      <c r="CJ263" s="77"/>
      <c r="CK263" s="77"/>
      <c r="CL263" s="77"/>
      <c r="CM263" s="77"/>
      <c r="CN263" s="77"/>
      <c r="CO263" s="77"/>
      <c r="CP263" s="77"/>
      <c r="CQ263" s="77"/>
      <c r="CR263" s="77"/>
      <c r="CS263" s="77"/>
      <c r="CT263" s="77"/>
      <c r="CU263" s="77"/>
      <c r="CV263" s="77"/>
      <c r="CW263" s="77"/>
      <c r="CX263" s="77"/>
      <c r="CY263" s="77"/>
      <c r="CZ263" s="77"/>
      <c r="DA263" s="77"/>
    </row>
    <row r="264" spans="1:105">
      <c r="A264" s="77"/>
      <c r="B264" s="77"/>
      <c r="C264" s="545" t="s">
        <v>350</v>
      </c>
      <c r="D264" s="77"/>
      <c r="E264" s="394"/>
      <c r="F264" s="342"/>
      <c r="G264" s="342"/>
      <c r="H264" s="395"/>
      <c r="I264" s="77"/>
      <c r="J264" s="394"/>
      <c r="K264" s="342"/>
      <c r="L264" s="342"/>
      <c r="M264" s="395"/>
      <c r="N264" s="77"/>
      <c r="O264" s="394"/>
      <c r="P264" s="342"/>
      <c r="Q264" s="342"/>
      <c r="R264" s="395"/>
      <c r="S264" s="77"/>
      <c r="T264" s="394"/>
      <c r="U264" s="342"/>
      <c r="V264" s="342"/>
      <c r="W264" s="395"/>
      <c r="X264" s="77"/>
      <c r="Y264" s="394"/>
      <c r="Z264" s="342"/>
      <c r="AA264" s="342"/>
      <c r="AB264" s="395"/>
      <c r="AC264" s="77"/>
      <c r="AD264" s="394"/>
      <c r="AE264" s="342"/>
      <c r="AF264" s="342"/>
      <c r="AG264" s="395"/>
      <c r="AH264" s="77"/>
      <c r="AI264" s="394"/>
      <c r="AJ264" s="342"/>
      <c r="AK264" s="342"/>
      <c r="AL264" s="395"/>
      <c r="AM264" s="77"/>
      <c r="AN264" s="394"/>
      <c r="AO264" s="342"/>
      <c r="AP264" s="342"/>
      <c r="AQ264" s="395"/>
      <c r="AR264" s="77"/>
      <c r="AS264" s="394"/>
      <c r="AT264" s="342"/>
      <c r="AU264" s="342"/>
      <c r="AV264" s="395"/>
      <c r="AW264" s="77"/>
      <c r="AX264" s="394"/>
      <c r="AY264" s="342"/>
      <c r="AZ264" s="342"/>
      <c r="BA264" s="395"/>
      <c r="BB264" s="77"/>
      <c r="BC264" s="394"/>
      <c r="BD264" s="342"/>
      <c r="BE264" s="342"/>
      <c r="BF264" s="395"/>
      <c r="BG264" s="77"/>
      <c r="BH264" s="394"/>
      <c r="BI264" s="342"/>
      <c r="BJ264" s="342"/>
      <c r="BK264" s="395"/>
      <c r="BL264" s="77"/>
      <c r="BM264" s="394"/>
      <c r="BN264" s="342"/>
      <c r="BO264" s="342"/>
      <c r="BP264" s="395"/>
      <c r="BQ264" s="77"/>
      <c r="BR264" s="77"/>
      <c r="BS264" s="77"/>
      <c r="BT264" s="77"/>
      <c r="BU264" s="77"/>
      <c r="BV264" s="77"/>
      <c r="BW264" s="77"/>
      <c r="BX264" s="77"/>
      <c r="BY264" s="77"/>
      <c r="BZ264" s="77"/>
      <c r="CA264" s="77"/>
      <c r="CB264" s="77"/>
      <c r="CC264" s="77"/>
      <c r="CD264" s="77"/>
      <c r="CE264" s="77"/>
      <c r="CF264" s="77"/>
      <c r="CG264" s="77"/>
      <c r="CH264" s="77"/>
      <c r="CI264" s="77"/>
      <c r="CJ264" s="77"/>
      <c r="CK264" s="77"/>
      <c r="CL264" s="77"/>
      <c r="CM264" s="77"/>
      <c r="CN264" s="77"/>
      <c r="CO264" s="77"/>
      <c r="CP264" s="77"/>
      <c r="CQ264" s="77"/>
      <c r="CR264" s="77"/>
      <c r="CS264" s="77"/>
      <c r="CT264" s="77"/>
      <c r="CU264" s="77"/>
      <c r="CV264" s="77"/>
      <c r="CW264" s="77"/>
      <c r="CX264" s="77"/>
      <c r="CY264" s="77"/>
      <c r="CZ264" s="77"/>
      <c r="DA264" s="77"/>
    </row>
    <row r="265" spans="1:105">
      <c r="A265" s="538"/>
      <c r="B265" s="538"/>
      <c r="C265" s="547" t="s">
        <v>507</v>
      </c>
      <c r="D265" s="538"/>
      <c r="E265" s="384">
        <v>0.51200000000000001</v>
      </c>
      <c r="F265" s="338">
        <v>0.51200000000000001</v>
      </c>
      <c r="G265" s="338">
        <v>0.51200000000000001</v>
      </c>
      <c r="H265" s="385">
        <v>0.51200000000000001</v>
      </c>
      <c r="I265" s="801">
        <v>0.51200000000000001</v>
      </c>
      <c r="J265" s="384">
        <v>0.51200000000000001</v>
      </c>
      <c r="K265" s="338">
        <v>0.51200000000000001</v>
      </c>
      <c r="L265" s="338">
        <v>0.51200000000000001</v>
      </c>
      <c r="M265" s="385">
        <v>0.51200000000000001</v>
      </c>
      <c r="N265" s="801">
        <v>0.51200000000000001</v>
      </c>
      <c r="O265" s="384">
        <v>0.51200000000000001</v>
      </c>
      <c r="P265" s="338">
        <v>0.51200000000000001</v>
      </c>
      <c r="Q265" s="338">
        <v>0.51200000000000001</v>
      </c>
      <c r="R265" s="385">
        <v>0.51200000000000001</v>
      </c>
      <c r="S265" s="801">
        <v>0.51200000000000001</v>
      </c>
      <c r="T265" s="384">
        <v>0.51200000000000001</v>
      </c>
      <c r="U265" s="338">
        <v>0.51200000000000001</v>
      </c>
      <c r="V265" s="338">
        <v>0.51200000000000001</v>
      </c>
      <c r="W265" s="385">
        <v>0.51200000000000001</v>
      </c>
      <c r="X265" s="1339">
        <v>0.51200000000000001</v>
      </c>
      <c r="Y265" s="378">
        <v>0.51200000000000001</v>
      </c>
      <c r="Z265" s="1340">
        <v>0.51200000000000001</v>
      </c>
      <c r="AA265" s="1340">
        <v>0.51200000000000001</v>
      </c>
      <c r="AB265" s="1341">
        <v>0.51200000000000001</v>
      </c>
      <c r="AC265" s="1339">
        <v>0.51200000000000001</v>
      </c>
      <c r="AD265" s="378">
        <v>0.51200000000000001</v>
      </c>
      <c r="AE265" s="1340">
        <v>0.51200000000000001</v>
      </c>
      <c r="AF265" s="338">
        <v>0.51200000000000001</v>
      </c>
      <c r="AG265" s="385">
        <v>0.51200000000000001</v>
      </c>
      <c r="AH265" s="801">
        <v>0.51200000000000001</v>
      </c>
      <c r="AI265" s="384">
        <v>0.51200000000000001</v>
      </c>
      <c r="AJ265" s="338">
        <v>0.51200000000000001</v>
      </c>
      <c r="AK265" s="338">
        <v>0.51200000000000001</v>
      </c>
      <c r="AL265" s="385">
        <v>0.51200000000000001</v>
      </c>
      <c r="AM265" s="801">
        <v>0.51200000000000001</v>
      </c>
      <c r="AN265" s="384">
        <v>0.51200000000000001</v>
      </c>
      <c r="AO265" s="338">
        <v>0.51200000000000001</v>
      </c>
      <c r="AP265" s="338">
        <v>0.51200000000000001</v>
      </c>
      <c r="AQ265" s="385">
        <v>0.51200000000000001</v>
      </c>
      <c r="AR265" s="801">
        <v>0.51200000000000001</v>
      </c>
      <c r="AS265" s="384">
        <v>0.51200000000000001</v>
      </c>
      <c r="AT265" s="338">
        <v>0.51200000000000001</v>
      </c>
      <c r="AU265" s="338">
        <v>0.51200000000000001</v>
      </c>
      <c r="AV265" s="385">
        <v>0.51200000000000001</v>
      </c>
      <c r="AW265" s="801">
        <v>0.51200000000000001</v>
      </c>
      <c r="AX265" s="384">
        <v>0.51200000000000001</v>
      </c>
      <c r="AY265" s="338">
        <v>0.51200000000000001</v>
      </c>
      <c r="AZ265" s="338">
        <v>0.51200000000000001</v>
      </c>
      <c r="BA265" s="385">
        <v>0.51200000000000001</v>
      </c>
      <c r="BB265" s="801">
        <v>0.51200000000000001</v>
      </c>
      <c r="BC265" s="384">
        <v>0.51200000000000001</v>
      </c>
      <c r="BD265" s="338">
        <v>0.51200000000000001</v>
      </c>
      <c r="BE265" s="338">
        <v>0.51200000000000001</v>
      </c>
      <c r="BF265" s="385">
        <v>0.51200000000000001</v>
      </c>
      <c r="BG265" s="801">
        <v>0.51200000000000001</v>
      </c>
      <c r="BH265" s="384">
        <v>0.51200000000000001</v>
      </c>
      <c r="BI265" s="338">
        <v>0.51200000000000001</v>
      </c>
      <c r="BJ265" s="338">
        <v>0.51200000000000001</v>
      </c>
      <c r="BK265" s="385">
        <v>0.51200000000000001</v>
      </c>
      <c r="BL265" s="801">
        <v>0.51200000000000001</v>
      </c>
      <c r="BM265" s="384">
        <v>0.51200000000000001</v>
      </c>
      <c r="BN265" s="338">
        <v>0.51200000000000001</v>
      </c>
      <c r="BO265" s="338">
        <v>0.51200000000000001</v>
      </c>
      <c r="BP265" s="385">
        <v>0.51200000000000001</v>
      </c>
      <c r="BQ265" s="801">
        <v>0.51200000000000001</v>
      </c>
      <c r="BR265" s="32"/>
      <c r="BS265" s="538"/>
      <c r="BT265" s="538"/>
      <c r="BU265" s="538"/>
      <c r="BV265" s="538"/>
      <c r="BW265" s="538"/>
      <c r="BX265" s="538"/>
      <c r="BY265" s="538"/>
      <c r="BZ265" s="538"/>
      <c r="CA265" s="538"/>
      <c r="CB265" s="538"/>
      <c r="CC265" s="538"/>
      <c r="CD265" s="538"/>
      <c r="CE265" s="538"/>
      <c r="CF265" s="538"/>
      <c r="CG265" s="538"/>
      <c r="CH265" s="538"/>
      <c r="CI265" s="538"/>
      <c r="CJ265" s="538"/>
      <c r="CK265" s="538"/>
      <c r="CL265" s="538"/>
      <c r="CM265" s="538"/>
      <c r="CN265" s="538"/>
      <c r="CO265" s="538"/>
      <c r="CP265" s="538"/>
      <c r="CQ265" s="538"/>
      <c r="CR265" s="538"/>
      <c r="CS265" s="538"/>
      <c r="CT265" s="538"/>
      <c r="CU265" s="538"/>
      <c r="CV265" s="538"/>
      <c r="CW265" s="538"/>
      <c r="CX265" s="538"/>
      <c r="CY265" s="538"/>
      <c r="CZ265" s="538"/>
      <c r="DA265" s="538"/>
    </row>
    <row r="266" spans="1:105">
      <c r="A266" s="538"/>
      <c r="B266" s="538"/>
      <c r="C266" s="547" t="s">
        <v>480</v>
      </c>
      <c r="D266" s="538"/>
      <c r="E266" s="852">
        <f t="shared" ref="E266:W266" si="307">(E225/(E219+E222+E225))</f>
        <v>0.42545988037467553</v>
      </c>
      <c r="F266" s="850">
        <f t="shared" si="307"/>
        <v>0.44906077348066298</v>
      </c>
      <c r="G266" s="850">
        <f t="shared" si="307"/>
        <v>0.45666520017597889</v>
      </c>
      <c r="H266" s="851">
        <f t="shared" si="307"/>
        <v>0.45805751492132391</v>
      </c>
      <c r="I266" s="865">
        <f t="shared" si="307"/>
        <v>0.45805751492132391</v>
      </c>
      <c r="J266" s="852">
        <f t="shared" si="307"/>
        <v>0.47121442537475561</v>
      </c>
      <c r="K266" s="850">
        <f t="shared" si="307"/>
        <v>0.4588881843162122</v>
      </c>
      <c r="L266" s="850">
        <f t="shared" si="307"/>
        <v>0.44183206106870226</v>
      </c>
      <c r="M266" s="851">
        <f t="shared" si="307"/>
        <v>0.44904587900933818</v>
      </c>
      <c r="N266" s="865">
        <f t="shared" si="307"/>
        <v>0.44904587900933818</v>
      </c>
      <c r="O266" s="852">
        <f t="shared" si="307"/>
        <v>0.46013438973021764</v>
      </c>
      <c r="P266" s="850">
        <f t="shared" si="307"/>
        <v>0.46808298424097344</v>
      </c>
      <c r="Q266" s="850">
        <f t="shared" si="307"/>
        <v>0.46700703207783451</v>
      </c>
      <c r="R266" s="851">
        <f t="shared" si="307"/>
        <v>0.47148944805194803</v>
      </c>
      <c r="S266" s="865">
        <f t="shared" si="307"/>
        <v>0.47148944805194803</v>
      </c>
      <c r="T266" s="852">
        <f t="shared" si="307"/>
        <v>0.48415475357392784</v>
      </c>
      <c r="U266" s="850">
        <f t="shared" si="307"/>
        <v>0.47117125702849516</v>
      </c>
      <c r="V266" s="850">
        <f t="shared" si="307"/>
        <v>0.47981936212249504</v>
      </c>
      <c r="W266" s="851">
        <f t="shared" si="307"/>
        <v>0.47238703788224556</v>
      </c>
      <c r="X266" s="865">
        <f>(X225/(X219+X222+X225))</f>
        <v>0.47238703788224556</v>
      </c>
      <c r="Y266" s="852">
        <f>(Y225/(Y219+Y222+Y225))</f>
        <v>0.4812919166960819</v>
      </c>
      <c r="Z266" s="850">
        <f>(Z225/(Z219+Z222+Z225))</f>
        <v>0.46887617765814266</v>
      </c>
      <c r="AA266" s="850">
        <f>(AA225/(AA219+AA222+AA225))</f>
        <v>0.47282608695652173</v>
      </c>
      <c r="AB266" s="851">
        <f>(AB225/(AB219+AB222+AB225))</f>
        <v>0.49017321785476348</v>
      </c>
      <c r="AC266" s="865">
        <f t="shared" ref="AC266:AU266" si="308">(AC225/(AC219+AC222+AC225))</f>
        <v>0.49017321785476348</v>
      </c>
      <c r="AD266" s="852">
        <f>(AD225/(AD219+AD222+AD225))</f>
        <v>0.5108270921523933</v>
      </c>
      <c r="AE266" s="850">
        <f>(AE225/(AE219+AE222+AE225))</f>
        <v>0.49910679611650488</v>
      </c>
      <c r="AF266" s="850">
        <f t="shared" si="308"/>
        <v>0.50914259373079285</v>
      </c>
      <c r="AG266" s="851">
        <f t="shared" si="308"/>
        <v>0.50808504267105858</v>
      </c>
      <c r="AH266" s="865">
        <f t="shared" si="308"/>
        <v>0.50808504267105858</v>
      </c>
      <c r="AI266" s="852">
        <f t="shared" si="308"/>
        <v>0.51905183872396987</v>
      </c>
      <c r="AJ266" s="850">
        <f t="shared" si="308"/>
        <v>0.51614060258249639</v>
      </c>
      <c r="AK266" s="850">
        <f t="shared" si="308"/>
        <v>0.52539491393355531</v>
      </c>
      <c r="AL266" s="851">
        <f t="shared" si="308"/>
        <v>0.52058843747851791</v>
      </c>
      <c r="AM266" s="865">
        <f t="shared" si="308"/>
        <v>0.52058843747851791</v>
      </c>
      <c r="AN266" s="852">
        <f t="shared" si="308"/>
        <v>0.51118940431917537</v>
      </c>
      <c r="AO266" s="850">
        <f>(AO225/(AO219+AO222+AO225))</f>
        <v>0.51679669869108258</v>
      </c>
      <c r="AP266" s="850">
        <f t="shared" si="308"/>
        <v>0.51411164988188485</v>
      </c>
      <c r="AQ266" s="851">
        <f t="shared" si="308"/>
        <v>0.52704174228675138</v>
      </c>
      <c r="AR266" s="865">
        <f t="shared" si="308"/>
        <v>0.52704174228675138</v>
      </c>
      <c r="AS266" s="852">
        <f t="shared" si="308"/>
        <v>0.53538534672291882</v>
      </c>
      <c r="AT266" s="850">
        <f t="shared" si="308"/>
        <v>0.52794959908361971</v>
      </c>
      <c r="AU266" s="850">
        <f t="shared" si="308"/>
        <v>0.5383883071064568</v>
      </c>
      <c r="AV266" s="851">
        <f>(AV225/(AV219+AV222+AV225))</f>
        <v>0.53373134328358207</v>
      </c>
      <c r="AW266" s="865">
        <f>(AW225/(AW219+AW222+AW225))</f>
        <v>0.53373134328358207</v>
      </c>
      <c r="AX266" s="852">
        <f t="shared" ref="AX266:BL266" si="309">(AX225/(AX219+AX222+AX225))</f>
        <v>0.53956613358731198</v>
      </c>
      <c r="AY266" s="850">
        <f t="shared" si="309"/>
        <v>0.51999248867618064</v>
      </c>
      <c r="AZ266" s="850">
        <f>(AZ225/(AZ219+AZ222+AZ225))</f>
        <v>0.52661821279374288</v>
      </c>
      <c r="BA266" s="851">
        <f t="shared" si="309"/>
        <v>0.51607325951081229</v>
      </c>
      <c r="BB266" s="865">
        <f t="shared" si="309"/>
        <v>0.51607325951081229</v>
      </c>
      <c r="BC266" s="852">
        <f t="shared" si="309"/>
        <v>0.51849232201942341</v>
      </c>
      <c r="BD266" s="850">
        <f t="shared" si="309"/>
        <v>0.5028366149411776</v>
      </c>
      <c r="BE266" s="850">
        <f t="shared" si="309"/>
        <v>0.51196393655094707</v>
      </c>
      <c r="BF266" s="851">
        <f t="shared" si="309"/>
        <v>0.50976124693770719</v>
      </c>
      <c r="BG266" s="865">
        <f t="shared" si="309"/>
        <v>0.50976124693770719</v>
      </c>
      <c r="BH266" s="852">
        <f t="shared" si="309"/>
        <v>0.51319807559329522</v>
      </c>
      <c r="BI266" s="850">
        <f t="shared" si="309"/>
        <v>0.5040420229141932</v>
      </c>
      <c r="BJ266" s="850">
        <f t="shared" si="309"/>
        <v>0.50874958296443651</v>
      </c>
      <c r="BK266" s="851">
        <f t="shared" si="309"/>
        <v>0.50855889926484121</v>
      </c>
      <c r="BL266" s="865">
        <f t="shared" si="309"/>
        <v>0.50855889926484121</v>
      </c>
      <c r="BM266" s="852">
        <f>(BM225/(BM219+BM222+BM225))</f>
        <v>0.51184858962530544</v>
      </c>
      <c r="BN266" s="850">
        <f>(BN225/(BN219+BN222+BN225))</f>
        <v>0.50885780588611629</v>
      </c>
      <c r="BO266" s="850">
        <f>(BO225/(BO219+BO222+BO225))</f>
        <v>0.50876966336437557</v>
      </c>
      <c r="BP266" s="851">
        <f>(BP225/(BP219+BP222+BP225))</f>
        <v>0.50828031570644816</v>
      </c>
      <c r="BQ266" s="865">
        <f>(BQ225/(BQ219+BQ222+BQ225))</f>
        <v>0.50828031570644816</v>
      </c>
      <c r="BR266" s="32"/>
      <c r="BS266" s="538"/>
      <c r="BT266" s="538"/>
      <c r="BU266" s="538"/>
      <c r="BV266" s="538"/>
      <c r="BW266" s="538"/>
      <c r="BX266" s="538"/>
      <c r="BY266" s="538"/>
      <c r="BZ266" s="538"/>
      <c r="CA266" s="538"/>
      <c r="CB266" s="538"/>
      <c r="CC266" s="538"/>
      <c r="CD266" s="538"/>
      <c r="CE266" s="538"/>
      <c r="CF266" s="538"/>
      <c r="CG266" s="538"/>
      <c r="CH266" s="538"/>
      <c r="CI266" s="538"/>
      <c r="CJ266" s="538"/>
      <c r="CK266" s="538"/>
      <c r="CL266" s="538"/>
      <c r="CM266" s="538"/>
      <c r="CN266" s="538"/>
      <c r="CO266" s="538"/>
      <c r="CP266" s="538"/>
      <c r="CQ266" s="538"/>
      <c r="CR266" s="538"/>
      <c r="CS266" s="538"/>
      <c r="CT266" s="538"/>
      <c r="CU266" s="538"/>
      <c r="CV266" s="538"/>
      <c r="CW266" s="538"/>
      <c r="CX266" s="538"/>
      <c r="CY266" s="538"/>
      <c r="CZ266" s="538"/>
      <c r="DA266" s="538"/>
    </row>
    <row r="267" spans="1:105">
      <c r="A267" s="538"/>
      <c r="B267" s="538"/>
      <c r="C267" s="538"/>
      <c r="D267" s="538"/>
      <c r="E267" s="805"/>
      <c r="F267" s="806"/>
      <c r="G267" s="806"/>
      <c r="H267" s="807"/>
      <c r="I267" s="32"/>
      <c r="J267" s="386"/>
      <c r="K267" s="316"/>
      <c r="L267" s="316"/>
      <c r="M267" s="387"/>
      <c r="N267" s="32"/>
      <c r="O267" s="386"/>
      <c r="P267" s="316"/>
      <c r="Q267" s="316"/>
      <c r="R267" s="387"/>
      <c r="S267" s="32"/>
      <c r="T267" s="386"/>
      <c r="U267" s="316"/>
      <c r="V267" s="316"/>
      <c r="W267" s="387"/>
      <c r="X267" s="32"/>
      <c r="Y267" s="386"/>
      <c r="Z267" s="316"/>
      <c r="AA267" s="316"/>
      <c r="AB267" s="387"/>
      <c r="AC267" s="32"/>
      <c r="AD267" s="386"/>
      <c r="AE267" s="316"/>
      <c r="AF267" s="316"/>
      <c r="AG267" s="387"/>
      <c r="AH267" s="32"/>
      <c r="AI267" s="386"/>
      <c r="AJ267" s="316"/>
      <c r="AK267" s="316"/>
      <c r="AL267" s="387"/>
      <c r="AM267" s="32"/>
      <c r="AN267" s="386"/>
      <c r="AO267" s="316"/>
      <c r="AP267" s="316"/>
      <c r="AQ267" s="387"/>
      <c r="AR267" s="32"/>
      <c r="AS267" s="386"/>
      <c r="AT267" s="316"/>
      <c r="AU267" s="316"/>
      <c r="AV267" s="387"/>
      <c r="AW267" s="32"/>
      <c r="AX267" s="386"/>
      <c r="AY267" s="316"/>
      <c r="AZ267" s="316"/>
      <c r="BA267" s="387"/>
      <c r="BB267" s="32"/>
      <c r="BC267" s="386"/>
      <c r="BD267" s="316"/>
      <c r="BE267" s="316"/>
      <c r="BF267" s="387"/>
      <c r="BG267" s="32"/>
      <c r="BH267" s="386"/>
      <c r="BI267" s="316"/>
      <c r="BJ267" s="316"/>
      <c r="BK267" s="387"/>
      <c r="BL267" s="32"/>
      <c r="BM267" s="386"/>
      <c r="BN267" s="316"/>
      <c r="BO267" s="316"/>
      <c r="BP267" s="387"/>
      <c r="BQ267" s="32"/>
      <c r="BR267" s="32"/>
      <c r="BS267" s="538"/>
      <c r="BT267" s="538"/>
      <c r="BU267" s="538"/>
      <c r="BV267" s="538"/>
      <c r="BW267" s="538"/>
      <c r="BX267" s="538"/>
      <c r="BY267" s="538"/>
      <c r="BZ267" s="538"/>
      <c r="CA267" s="538"/>
      <c r="CB267" s="538"/>
      <c r="CC267" s="538"/>
      <c r="CD267" s="538"/>
      <c r="CE267" s="538"/>
      <c r="CF267" s="538"/>
      <c r="CG267" s="538"/>
      <c r="CH267" s="538"/>
      <c r="CI267" s="538"/>
      <c r="CJ267" s="538"/>
      <c r="CK267" s="538"/>
      <c r="CL267" s="538"/>
      <c r="CM267" s="538"/>
      <c r="CN267" s="538"/>
      <c r="CO267" s="538"/>
      <c r="CP267" s="538"/>
      <c r="CQ267" s="538"/>
      <c r="CR267" s="538"/>
      <c r="CS267" s="538"/>
      <c r="CT267" s="538"/>
      <c r="CU267" s="538"/>
      <c r="CV267" s="538"/>
      <c r="CW267" s="538"/>
      <c r="CX267" s="538"/>
      <c r="CY267" s="538"/>
      <c r="CZ267" s="538"/>
      <c r="DA267" s="538"/>
    </row>
    <row r="268" spans="1:105">
      <c r="A268" s="538"/>
      <c r="B268" s="538"/>
      <c r="C268" s="545" t="s">
        <v>6</v>
      </c>
      <c r="D268" s="538"/>
      <c r="E268" s="805"/>
      <c r="F268" s="806"/>
      <c r="G268" s="806"/>
      <c r="H268" s="807"/>
      <c r="I268" s="801"/>
      <c r="J268" s="384"/>
      <c r="K268" s="338"/>
      <c r="L268" s="338"/>
      <c r="M268" s="385"/>
      <c r="N268" s="801"/>
      <c r="O268" s="384"/>
      <c r="P268" s="338"/>
      <c r="Q268" s="338"/>
      <c r="R268" s="385"/>
      <c r="S268" s="801"/>
      <c r="T268" s="384"/>
      <c r="U268" s="338"/>
      <c r="V268" s="338"/>
      <c r="W268" s="385"/>
      <c r="X268" s="1339"/>
      <c r="Y268" s="378"/>
      <c r="Z268" s="1340"/>
      <c r="AA268" s="1340"/>
      <c r="AB268" s="1341"/>
      <c r="AC268" s="1339"/>
      <c r="AD268" s="378"/>
      <c r="AE268" s="1340"/>
      <c r="AF268" s="338"/>
      <c r="AG268" s="385"/>
      <c r="AH268" s="801"/>
      <c r="AI268" s="384"/>
      <c r="AJ268" s="338"/>
      <c r="AK268" s="338"/>
      <c r="AL268" s="385"/>
      <c r="AM268" s="801"/>
      <c r="AN268" s="384"/>
      <c r="AO268" s="338"/>
      <c r="AP268" s="338"/>
      <c r="AQ268" s="385"/>
      <c r="AR268" s="801"/>
      <c r="AS268" s="384"/>
      <c r="AT268" s="338"/>
      <c r="AU268" s="338"/>
      <c r="AV268" s="385"/>
      <c r="AW268" s="801"/>
      <c r="AX268" s="384"/>
      <c r="AY268" s="338"/>
      <c r="AZ268" s="338"/>
      <c r="BA268" s="385"/>
      <c r="BB268" s="801"/>
      <c r="BC268" s="384"/>
      <c r="BD268" s="338"/>
      <c r="BE268" s="338"/>
      <c r="BF268" s="385"/>
      <c r="BG268" s="801"/>
      <c r="BH268" s="384"/>
      <c r="BI268" s="338"/>
      <c r="BJ268" s="338"/>
      <c r="BK268" s="385"/>
      <c r="BL268" s="801"/>
      <c r="BM268" s="384"/>
      <c r="BN268" s="338"/>
      <c r="BO268" s="338"/>
      <c r="BP268" s="385"/>
      <c r="BQ268" s="801"/>
      <c r="BR268" s="32"/>
      <c r="BS268" s="538"/>
      <c r="BT268" s="538"/>
      <c r="BU268" s="538"/>
      <c r="BV268" s="538"/>
      <c r="BW268" s="538"/>
      <c r="BX268" s="538"/>
      <c r="BY268" s="538"/>
      <c r="BZ268" s="538"/>
      <c r="CA268" s="538"/>
      <c r="CB268" s="538"/>
      <c r="CC268" s="538"/>
      <c r="CD268" s="538"/>
      <c r="CE268" s="538"/>
      <c r="CF268" s="538"/>
      <c r="CG268" s="538"/>
      <c r="CH268" s="538"/>
      <c r="CI268" s="538"/>
      <c r="CJ268" s="538"/>
      <c r="CK268" s="538"/>
      <c r="CL268" s="538"/>
      <c r="CM268" s="538"/>
      <c r="CN268" s="538"/>
      <c r="CO268" s="538"/>
      <c r="CP268" s="538"/>
      <c r="CQ268" s="538"/>
      <c r="CR268" s="538"/>
      <c r="CS268" s="538"/>
      <c r="CT268" s="538"/>
      <c r="CU268" s="538"/>
      <c r="CV268" s="538"/>
      <c r="CW268" s="538"/>
      <c r="CX268" s="538"/>
      <c r="CY268" s="538"/>
      <c r="CZ268" s="538"/>
      <c r="DA268" s="538"/>
    </row>
    <row r="269" spans="1:105">
      <c r="A269" s="538"/>
      <c r="B269" s="538"/>
      <c r="C269" s="538" t="s">
        <v>741</v>
      </c>
      <c r="D269" s="538"/>
      <c r="E269" s="384">
        <f>60%*10.3%+40%*11.75%</f>
        <v>0.10880000000000001</v>
      </c>
      <c r="F269" s="338">
        <f t="shared" ref="F269:BP269" si="310">60%*10.3%+40%*11.75%</f>
        <v>0.10880000000000001</v>
      </c>
      <c r="G269" s="338">
        <f t="shared" si="310"/>
        <v>0.10880000000000001</v>
      </c>
      <c r="H269" s="385">
        <f t="shared" si="310"/>
        <v>0.10880000000000001</v>
      </c>
      <c r="I269" s="544">
        <f>60%*10.3%+40%*11.75%</f>
        <v>0.10880000000000001</v>
      </c>
      <c r="J269" s="384">
        <f t="shared" si="310"/>
        <v>0.10880000000000001</v>
      </c>
      <c r="K269" s="338">
        <f t="shared" si="310"/>
        <v>0.10880000000000001</v>
      </c>
      <c r="L269" s="338">
        <f t="shared" si="310"/>
        <v>0.10880000000000001</v>
      </c>
      <c r="M269" s="385">
        <f t="shared" si="310"/>
        <v>0.10880000000000001</v>
      </c>
      <c r="N269" s="544">
        <f t="shared" si="310"/>
        <v>0.10880000000000001</v>
      </c>
      <c r="O269" s="384">
        <f t="shared" si="310"/>
        <v>0.10880000000000001</v>
      </c>
      <c r="P269" s="338">
        <f t="shared" si="310"/>
        <v>0.10880000000000001</v>
      </c>
      <c r="Q269" s="338">
        <f t="shared" si="310"/>
        <v>0.10880000000000001</v>
      </c>
      <c r="R269" s="385">
        <f t="shared" si="310"/>
        <v>0.10880000000000001</v>
      </c>
      <c r="S269" s="544">
        <f t="shared" si="310"/>
        <v>0.10880000000000001</v>
      </c>
      <c r="T269" s="384">
        <f t="shared" si="310"/>
        <v>0.10880000000000001</v>
      </c>
      <c r="U269" s="338">
        <f t="shared" si="310"/>
        <v>0.10880000000000001</v>
      </c>
      <c r="V269" s="338">
        <f t="shared" si="310"/>
        <v>0.10880000000000001</v>
      </c>
      <c r="W269" s="385">
        <f t="shared" si="310"/>
        <v>0.10880000000000001</v>
      </c>
      <c r="X269" s="1342">
        <f t="shared" si="310"/>
        <v>0.10880000000000001</v>
      </c>
      <c r="Y269" s="378">
        <f t="shared" si="310"/>
        <v>0.10880000000000001</v>
      </c>
      <c r="Z269" s="1340">
        <f t="shared" si="310"/>
        <v>0.10880000000000001</v>
      </c>
      <c r="AA269" s="1340">
        <f t="shared" si="310"/>
        <v>0.10880000000000001</v>
      </c>
      <c r="AB269" s="1341">
        <f t="shared" si="310"/>
        <v>0.10880000000000001</v>
      </c>
      <c r="AC269" s="1342">
        <f t="shared" si="310"/>
        <v>0.10880000000000001</v>
      </c>
      <c r="AD269" s="378">
        <f t="shared" si="310"/>
        <v>0.10880000000000001</v>
      </c>
      <c r="AE269" s="1340">
        <f t="shared" si="310"/>
        <v>0.10880000000000001</v>
      </c>
      <c r="AF269" s="338">
        <f t="shared" si="310"/>
        <v>0.10880000000000001</v>
      </c>
      <c r="AG269" s="385">
        <f t="shared" si="310"/>
        <v>0.10880000000000001</v>
      </c>
      <c r="AH269" s="544">
        <f t="shared" si="310"/>
        <v>0.10880000000000001</v>
      </c>
      <c r="AI269" s="384">
        <f t="shared" si="310"/>
        <v>0.10880000000000001</v>
      </c>
      <c r="AJ269" s="338">
        <f t="shared" si="310"/>
        <v>0.10880000000000001</v>
      </c>
      <c r="AK269" s="338">
        <f t="shared" si="310"/>
        <v>0.10880000000000001</v>
      </c>
      <c r="AL269" s="385">
        <f t="shared" si="310"/>
        <v>0.10880000000000001</v>
      </c>
      <c r="AM269" s="544">
        <f t="shared" si="310"/>
        <v>0.10880000000000001</v>
      </c>
      <c r="AN269" s="384">
        <f t="shared" si="310"/>
        <v>0.10880000000000001</v>
      </c>
      <c r="AO269" s="338">
        <f t="shared" si="310"/>
        <v>0.10880000000000001</v>
      </c>
      <c r="AP269" s="338">
        <f t="shared" si="310"/>
        <v>0.10880000000000001</v>
      </c>
      <c r="AQ269" s="385">
        <f t="shared" si="310"/>
        <v>0.10880000000000001</v>
      </c>
      <c r="AR269" s="544">
        <f t="shared" si="310"/>
        <v>0.10880000000000001</v>
      </c>
      <c r="AS269" s="384">
        <f t="shared" si="310"/>
        <v>0.10880000000000001</v>
      </c>
      <c r="AT269" s="338">
        <f t="shared" si="310"/>
        <v>0.10880000000000001</v>
      </c>
      <c r="AU269" s="338">
        <f t="shared" si="310"/>
        <v>0.10880000000000001</v>
      </c>
      <c r="AV269" s="385">
        <f t="shared" si="310"/>
        <v>0.10880000000000001</v>
      </c>
      <c r="AW269" s="544">
        <f>52.5%*10.3%+47.5%*11.75%</f>
        <v>0.1098875</v>
      </c>
      <c r="AX269" s="384">
        <f t="shared" si="310"/>
        <v>0.10880000000000001</v>
      </c>
      <c r="AY269" s="338">
        <f t="shared" si="310"/>
        <v>0.10880000000000001</v>
      </c>
      <c r="AZ269" s="338">
        <f t="shared" si="310"/>
        <v>0.10880000000000001</v>
      </c>
      <c r="BA269" s="385">
        <f t="shared" si="310"/>
        <v>0.10880000000000001</v>
      </c>
      <c r="BB269" s="544">
        <f>52.5%*9.75%+47.5%*11.75%</f>
        <v>0.107</v>
      </c>
      <c r="BC269" s="384">
        <f t="shared" si="310"/>
        <v>0.10880000000000001</v>
      </c>
      <c r="BD269" s="338">
        <f t="shared" si="310"/>
        <v>0.10880000000000001</v>
      </c>
      <c r="BE269" s="338">
        <f t="shared" si="310"/>
        <v>0.10880000000000001</v>
      </c>
      <c r="BF269" s="385">
        <f t="shared" si="310"/>
        <v>0.10880000000000001</v>
      </c>
      <c r="BG269" s="544">
        <f>49%*9.75%+51%*11.75%</f>
        <v>0.10769999999999999</v>
      </c>
      <c r="BH269" s="384">
        <f t="shared" si="310"/>
        <v>0.10880000000000001</v>
      </c>
      <c r="BI269" s="338">
        <f t="shared" si="310"/>
        <v>0.10880000000000001</v>
      </c>
      <c r="BJ269" s="338">
        <f t="shared" si="310"/>
        <v>0.10880000000000001</v>
      </c>
      <c r="BK269" s="385">
        <f t="shared" si="310"/>
        <v>0.10880000000000001</v>
      </c>
      <c r="BL269" s="544">
        <f>49%*9.75%+51%*11.75%</f>
        <v>0.10769999999999999</v>
      </c>
      <c r="BM269" s="384">
        <f t="shared" si="310"/>
        <v>0.10880000000000001</v>
      </c>
      <c r="BN269" s="338">
        <f t="shared" si="310"/>
        <v>0.10880000000000001</v>
      </c>
      <c r="BO269" s="338">
        <f t="shared" si="310"/>
        <v>0.10880000000000001</v>
      </c>
      <c r="BP269" s="385">
        <f t="shared" si="310"/>
        <v>0.10880000000000001</v>
      </c>
      <c r="BQ269" s="544">
        <f>49%*9.75%+51%*11.75%</f>
        <v>0.10769999999999999</v>
      </c>
      <c r="BR269" s="489"/>
      <c r="BS269" s="538"/>
      <c r="BT269" s="538"/>
      <c r="BU269" s="538"/>
      <c r="BV269" s="538"/>
      <c r="BW269" s="538"/>
      <c r="BX269" s="538"/>
      <c r="BY269" s="538"/>
      <c r="BZ269" s="538"/>
      <c r="CA269" s="538"/>
      <c r="CB269" s="538"/>
      <c r="CC269" s="538"/>
      <c r="CD269" s="538"/>
      <c r="CE269" s="538"/>
      <c r="CF269" s="538"/>
      <c r="CG269" s="538"/>
      <c r="CH269" s="538"/>
      <c r="CI269" s="538"/>
      <c r="CJ269" s="538"/>
      <c r="CK269" s="538"/>
      <c r="CL269" s="538"/>
      <c r="CM269" s="538"/>
      <c r="CN269" s="538"/>
      <c r="CO269" s="538"/>
      <c r="CP269" s="538"/>
      <c r="CQ269" s="538"/>
      <c r="CR269" s="538"/>
      <c r="CS269" s="538"/>
      <c r="CT269" s="538"/>
      <c r="CU269" s="538"/>
      <c r="CV269" s="538"/>
      <c r="CW269" s="538"/>
      <c r="CX269" s="538"/>
      <c r="CY269" s="538"/>
      <c r="CZ269" s="538"/>
      <c r="DA269" s="538"/>
    </row>
    <row r="270" spans="1:105">
      <c r="A270" s="538"/>
      <c r="B270" s="538"/>
      <c r="C270" s="538" t="s">
        <v>481</v>
      </c>
      <c r="D270" s="538"/>
      <c r="E270" s="805"/>
      <c r="F270" s="806"/>
      <c r="G270" s="806"/>
      <c r="H270" s="807"/>
      <c r="I270" s="865">
        <f>I238/((I265)*(AVERAGE(I257,I252)))</f>
        <v>8.6686643835616445E-2</v>
      </c>
      <c r="J270" s="852"/>
      <c r="K270" s="850"/>
      <c r="L270" s="850"/>
      <c r="M270" s="851"/>
      <c r="N270" s="865">
        <f>N238/((N265)*(AVERAGE(N257,N252)))</f>
        <v>9.4489020270270271E-2</v>
      </c>
      <c r="O270" s="852"/>
      <c r="P270" s="850"/>
      <c r="Q270" s="850"/>
      <c r="R270" s="851"/>
      <c r="S270" s="865">
        <f>S238/((S265)*(AVERAGE(S257,S252)))</f>
        <v>0.13567708333333334</v>
      </c>
      <c r="T270" s="852"/>
      <c r="U270" s="850"/>
      <c r="V270" s="850"/>
      <c r="W270" s="851"/>
      <c r="X270" s="865">
        <f>X238/((X265)*(AVERAGE(X257,X252)))</f>
        <v>0.125</v>
      </c>
      <c r="Y270" s="852"/>
      <c r="Z270" s="850"/>
      <c r="AA270" s="850"/>
      <c r="AB270" s="851"/>
      <c r="AC270" s="865">
        <f>AC238/((AC265)*(AVERAGE(AC257,AC252)))</f>
        <v>0.12322809278350515</v>
      </c>
      <c r="AD270" s="852"/>
      <c r="AE270" s="850"/>
      <c r="AF270" s="850"/>
      <c r="AG270" s="851"/>
      <c r="AH270" s="865">
        <f>AH238/((AH265)*(AVERAGE(AH257,AH252)))</f>
        <v>0.12996760770381446</v>
      </c>
      <c r="AI270" s="852"/>
      <c r="AJ270" s="850"/>
      <c r="AK270" s="850"/>
      <c r="AL270" s="851"/>
      <c r="AM270" s="865">
        <f>AM238/((AM265)*(AVERAGE(AM257,AM252)))</f>
        <v>0.1240398955254912</v>
      </c>
      <c r="AN270" s="852"/>
      <c r="AO270" s="850"/>
      <c r="AP270" s="850"/>
      <c r="AQ270" s="851"/>
      <c r="AR270" s="865">
        <f>AR238/((AR265)*(AVERAGE(AR257,AR252)))</f>
        <v>0.12141285960326799</v>
      </c>
      <c r="AS270" s="852"/>
      <c r="AT270" s="850"/>
      <c r="AU270" s="850"/>
      <c r="AV270" s="851"/>
      <c r="AW270" s="865">
        <f>AW238/((AW265)*(AVERAGE(AW257,AW252)))</f>
        <v>0.11801296723036123</v>
      </c>
      <c r="AX270" s="852"/>
      <c r="AY270" s="850"/>
      <c r="AZ270" s="850"/>
      <c r="BA270" s="851"/>
      <c r="BB270" s="865">
        <f>BB238/((BB265)*(AVERAGE(BB257,BB252)))</f>
        <v>0.11403277647823852</v>
      </c>
      <c r="BC270" s="852"/>
      <c r="BD270" s="850"/>
      <c r="BE270" s="850"/>
      <c r="BF270" s="851"/>
      <c r="BG270" s="865">
        <f>BG238/((BG265)*(AVERAGE(BG257,BG252)))</f>
        <v>0.1121206548531139</v>
      </c>
      <c r="BH270" s="852"/>
      <c r="BI270" s="850"/>
      <c r="BJ270" s="850"/>
      <c r="BK270" s="851"/>
      <c r="BL270" s="865">
        <f>BL238/((BL265)*(AVERAGE(BL257,BL252)))</f>
        <v>0.10929697169370205</v>
      </c>
      <c r="BM270" s="852"/>
      <c r="BN270" s="850"/>
      <c r="BO270" s="850"/>
      <c r="BP270" s="851"/>
      <c r="BQ270" s="865">
        <f>BQ238/((BQ265)*(AVERAGE(BQ257,BQ252)))</f>
        <v>0.10607594485786503</v>
      </c>
      <c r="BR270" s="32"/>
      <c r="BS270" s="538"/>
      <c r="BT270" s="538"/>
      <c r="BU270" s="538"/>
      <c r="BV270" s="538"/>
      <c r="BW270" s="538"/>
      <c r="BX270" s="538"/>
      <c r="BY270" s="538"/>
      <c r="BZ270" s="538"/>
      <c r="CA270" s="538"/>
      <c r="CB270" s="538"/>
      <c r="CC270" s="538"/>
      <c r="CD270" s="538"/>
      <c r="CE270" s="538"/>
      <c r="CF270" s="538"/>
      <c r="CG270" s="538"/>
      <c r="CH270" s="538"/>
      <c r="CI270" s="538"/>
      <c r="CJ270" s="538"/>
      <c r="CK270" s="538"/>
      <c r="CL270" s="538"/>
      <c r="CM270" s="538"/>
      <c r="CN270" s="538"/>
      <c r="CO270" s="538"/>
      <c r="CP270" s="538"/>
      <c r="CQ270" s="538"/>
      <c r="CR270" s="538"/>
      <c r="CS270" s="538"/>
      <c r="CT270" s="538"/>
      <c r="CU270" s="538"/>
      <c r="CV270" s="538"/>
      <c r="CW270" s="538"/>
      <c r="CX270" s="538"/>
      <c r="CY270" s="538"/>
      <c r="CZ270" s="538"/>
      <c r="DA270" s="538"/>
    </row>
    <row r="271" spans="1:105">
      <c r="A271" s="538"/>
      <c r="B271" s="538"/>
      <c r="C271" s="538"/>
      <c r="D271" s="538"/>
      <c r="E271" s="805"/>
      <c r="F271" s="806"/>
      <c r="G271" s="806"/>
      <c r="H271" s="807"/>
      <c r="I271" s="782"/>
      <c r="J271" s="852"/>
      <c r="K271" s="850"/>
      <c r="L271" s="850"/>
      <c r="M271" s="851"/>
      <c r="N271" s="782"/>
      <c r="O271" s="852"/>
      <c r="P271" s="850"/>
      <c r="Q271" s="850"/>
      <c r="R271" s="851"/>
      <c r="S271" s="782"/>
      <c r="T271" s="852"/>
      <c r="U271" s="850"/>
      <c r="V271" s="850"/>
      <c r="W271" s="851"/>
      <c r="X271" s="782"/>
      <c r="Y271" s="852"/>
      <c r="Z271" s="850"/>
      <c r="AA271" s="850"/>
      <c r="AB271" s="851"/>
      <c r="AC271" s="865"/>
      <c r="AD271" s="852"/>
      <c r="AE271" s="850"/>
      <c r="AF271" s="850"/>
      <c r="AG271" s="851"/>
      <c r="AH271" s="865"/>
      <c r="AI271" s="852"/>
      <c r="AJ271" s="850"/>
      <c r="AK271" s="850"/>
      <c r="AL271" s="851"/>
      <c r="AM271" s="865"/>
      <c r="AN271" s="852"/>
      <c r="AO271" s="850"/>
      <c r="AP271" s="850"/>
      <c r="AQ271" s="851"/>
      <c r="AR271" s="865"/>
      <c r="AS271" s="852"/>
      <c r="AT271" s="850"/>
      <c r="AU271" s="850"/>
      <c r="AV271" s="851"/>
      <c r="AW271" s="865"/>
      <c r="AX271" s="852"/>
      <c r="AY271" s="850"/>
      <c r="AZ271" s="850"/>
      <c r="BA271" s="851"/>
      <c r="BB271" s="865"/>
      <c r="BC271" s="852"/>
      <c r="BD271" s="850"/>
      <c r="BE271" s="850"/>
      <c r="BF271" s="851"/>
      <c r="BG271" s="865"/>
      <c r="BH271" s="852"/>
      <c r="BI271" s="850"/>
      <c r="BJ271" s="850"/>
      <c r="BK271" s="851"/>
      <c r="BL271" s="865"/>
      <c r="BM271" s="852"/>
      <c r="BN271" s="850"/>
      <c r="BO271" s="850"/>
      <c r="BP271" s="851"/>
      <c r="BQ271" s="865"/>
      <c r="BR271" s="865"/>
      <c r="BS271" s="538"/>
      <c r="BT271" s="538"/>
      <c r="BU271" s="538"/>
      <c r="BV271" s="538"/>
      <c r="BW271" s="538"/>
      <c r="BX271" s="538"/>
      <c r="BY271" s="538"/>
      <c r="BZ271" s="538"/>
      <c r="CA271" s="538"/>
      <c r="CB271" s="538"/>
      <c r="CC271" s="538"/>
      <c r="CD271" s="538"/>
      <c r="CE271" s="538"/>
      <c r="CF271" s="538"/>
      <c r="CG271" s="538"/>
      <c r="CH271" s="538"/>
      <c r="CI271" s="538"/>
      <c r="CJ271" s="538"/>
      <c r="CK271" s="538"/>
      <c r="CL271" s="538"/>
      <c r="CM271" s="538"/>
      <c r="CN271" s="538"/>
      <c r="CO271" s="538"/>
      <c r="CP271" s="538"/>
      <c r="CQ271" s="538"/>
      <c r="CR271" s="538"/>
      <c r="CS271" s="538"/>
      <c r="CT271" s="538"/>
      <c r="CU271" s="538"/>
      <c r="CV271" s="538"/>
      <c r="CW271" s="538"/>
      <c r="CX271" s="538"/>
      <c r="CY271" s="538"/>
      <c r="CZ271" s="538"/>
      <c r="DA271" s="538"/>
    </row>
    <row r="272" spans="1:105">
      <c r="B272" s="533" t="s">
        <v>1016</v>
      </c>
      <c r="C272" s="855"/>
      <c r="D272" s="856"/>
      <c r="E272" s="805"/>
      <c r="F272" s="806"/>
      <c r="G272" s="806"/>
      <c r="H272" s="807"/>
      <c r="I272" s="538"/>
      <c r="J272" s="805"/>
      <c r="K272" s="806"/>
      <c r="L272" s="866"/>
      <c r="M272" s="866"/>
      <c r="O272" s="866"/>
      <c r="P272" s="866"/>
      <c r="Q272" s="866"/>
      <c r="R272" s="866"/>
      <c r="T272" s="866"/>
      <c r="U272" s="866"/>
      <c r="V272" s="866"/>
      <c r="W272" s="866"/>
      <c r="Y272" s="866"/>
      <c r="Z272" s="866"/>
      <c r="AA272" s="866"/>
      <c r="AB272" s="866"/>
      <c r="AD272" s="866"/>
      <c r="AE272" s="866"/>
      <c r="AF272" s="866"/>
      <c r="AG272" s="866"/>
      <c r="AI272" s="866"/>
      <c r="AJ272" s="866"/>
      <c r="AK272" s="866"/>
      <c r="AL272" s="866"/>
      <c r="AN272" s="866"/>
      <c r="AO272" s="866"/>
      <c r="AP272" s="866"/>
      <c r="AQ272" s="866"/>
      <c r="AS272" s="866"/>
      <c r="AT272" s="866"/>
      <c r="AU272" s="866"/>
      <c r="AV272" s="866"/>
      <c r="AX272" s="866"/>
      <c r="AY272" s="866"/>
      <c r="AZ272" s="866"/>
      <c r="BA272" s="866"/>
      <c r="BC272" s="866"/>
      <c r="BD272" s="866"/>
      <c r="BE272" s="866"/>
      <c r="BF272" s="866"/>
      <c r="BH272" s="866"/>
      <c r="BI272" s="866"/>
      <c r="BJ272" s="866"/>
      <c r="BK272" s="866"/>
      <c r="BM272" s="866"/>
      <c r="BN272" s="866"/>
      <c r="BO272" s="866"/>
      <c r="BP272" s="866"/>
    </row>
    <row r="273" spans="3:72">
      <c r="C273" s="538" t="s">
        <v>1019</v>
      </c>
      <c r="AM273" s="1039">
        <v>0.5</v>
      </c>
      <c r="AR273" s="1039">
        <v>0.5</v>
      </c>
      <c r="AW273" s="1039">
        <v>0.5</v>
      </c>
      <c r="BA273" s="1039"/>
      <c r="BB273" s="1039">
        <v>0.4</v>
      </c>
      <c r="BG273" s="1039">
        <v>0.3</v>
      </c>
    </row>
    <row r="274" spans="3:72">
      <c r="C274" s="538" t="s">
        <v>1017</v>
      </c>
      <c r="AM274" s="1584">
        <f>AM168*AM273</f>
        <v>1346</v>
      </c>
      <c r="AN274" s="1584"/>
      <c r="AO274" s="1584"/>
      <c r="AP274" s="1584"/>
      <c r="AQ274" s="1584"/>
      <c r="AR274" s="1584">
        <f>AR168*AR273</f>
        <v>1408</v>
      </c>
      <c r="AS274" s="1584"/>
      <c r="AT274" s="1584"/>
      <c r="AU274" s="1584"/>
      <c r="AV274" s="1584"/>
      <c r="AW274" s="1584">
        <f>AW168*AW273</f>
        <v>1459.5</v>
      </c>
      <c r="AX274" s="1584"/>
      <c r="AY274" s="1584"/>
      <c r="AZ274" s="1584"/>
      <c r="BA274" s="1584"/>
      <c r="BB274" s="1584">
        <f>BB168*BB273</f>
        <v>1148</v>
      </c>
      <c r="BC274" s="1584"/>
      <c r="BD274" s="1584"/>
      <c r="BE274" s="1584"/>
      <c r="BF274" s="1584"/>
      <c r="BG274" s="1584">
        <f>BG168*BG273</f>
        <v>853.5</v>
      </c>
      <c r="BS274" s="1741"/>
      <c r="BT274" s="1584">
        <f>SUM(AM274:BG274)</f>
        <v>6215</v>
      </c>
    </row>
    <row r="275" spans="3:72">
      <c r="C275" s="538" t="s">
        <v>1018</v>
      </c>
      <c r="AM275" s="1614">
        <f>AM274/$BT$274</f>
        <v>0.21657280772325019</v>
      </c>
      <c r="AN275" s="1615"/>
      <c r="AO275" s="1615"/>
      <c r="AP275" s="1615"/>
      <c r="AQ275" s="1615"/>
      <c r="AR275" s="1614">
        <f>AR274/$BT$274</f>
        <v>0.22654867256637168</v>
      </c>
      <c r="AS275" s="1615"/>
      <c r="AT275" s="1615"/>
      <c r="AU275" s="1615"/>
      <c r="AV275" s="1615"/>
      <c r="AW275" s="1614">
        <f>AW274/$BT$274</f>
        <v>0.23483507642799678</v>
      </c>
      <c r="AX275" s="1615"/>
      <c r="AY275" s="1615"/>
      <c r="AZ275" s="1615"/>
      <c r="BA275" s="1615"/>
      <c r="BB275" s="1614">
        <f>BB274/$BT$274</f>
        <v>0.18471440064360417</v>
      </c>
      <c r="BC275" s="1615"/>
      <c r="BD275" s="1615"/>
      <c r="BE275" s="1615"/>
      <c r="BF275" s="1615"/>
      <c r="BG275" s="1614">
        <f>BG274/$BT$274</f>
        <v>0.13732904263877715</v>
      </c>
      <c r="BT275" s="1584"/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DL567"/>
  <sheetViews>
    <sheetView zoomScale="80" zoomScaleNormal="80" zoomScaleSheetLayoutView="40" workbookViewId="0">
      <pane xSplit="4" ySplit="5" topLeftCell="E6" activePane="bottomRight" state="frozen"/>
      <selection activeCell="AH248" sqref="AH248"/>
      <selection pane="topRight" activeCell="AH248" sqref="AH248"/>
      <selection pane="bottomLeft" activeCell="AH248" sqref="AH248"/>
      <selection pane="bottomRight" activeCell="I6" sqref="I6"/>
    </sheetView>
  </sheetViews>
  <sheetFormatPr defaultRowHeight="12.75" outlineLevelCol="1"/>
  <cols>
    <col min="1" max="2" width="2.7109375" customWidth="1"/>
    <col min="3" max="3" width="47.5703125" customWidth="1"/>
    <col min="4" max="4" width="2.7109375" customWidth="1"/>
    <col min="5" max="8" width="9" hidden="1" customWidth="1" outlineLevel="1"/>
    <col min="9" max="9" width="9" customWidth="1" collapsed="1"/>
    <col min="10" max="13" width="9" hidden="1" customWidth="1" outlineLevel="1"/>
    <col min="14" max="14" width="9" customWidth="1" collapsed="1"/>
    <col min="15" max="18" width="9" hidden="1" customWidth="1" outlineLevel="1"/>
    <col min="19" max="19" width="9" customWidth="1" collapsed="1"/>
    <col min="20" max="23" width="9" hidden="1" customWidth="1" outlineLevel="1"/>
    <col min="24" max="24" width="9" customWidth="1" collapsed="1"/>
    <col min="25" max="28" width="9" hidden="1" customWidth="1" outlineLevel="1"/>
    <col min="29" max="29" width="9" customWidth="1" collapsed="1"/>
    <col min="30" max="33" width="9" hidden="1" customWidth="1" outlineLevel="1"/>
    <col min="34" max="34" width="9" customWidth="1" collapsed="1"/>
    <col min="35" max="38" width="9" hidden="1" customWidth="1" outlineLevel="1"/>
    <col min="39" max="39" width="9" customWidth="1" collapsed="1"/>
    <col min="40" max="43" width="9" hidden="1" customWidth="1" outlineLevel="1"/>
    <col min="44" max="44" width="9" customWidth="1" collapsed="1"/>
    <col min="45" max="48" width="9" hidden="1" customWidth="1" outlineLevel="1"/>
    <col min="49" max="49" width="9" customWidth="1" collapsed="1"/>
    <col min="50" max="53" width="9" hidden="1" customWidth="1" outlineLevel="1"/>
    <col min="54" max="54" width="9" customWidth="1" collapsed="1"/>
    <col min="55" max="58" width="9" hidden="1" customWidth="1" outlineLevel="1"/>
    <col min="59" max="59" width="9" customWidth="1" collapsed="1"/>
    <col min="60" max="63" width="9" hidden="1" customWidth="1" outlineLevel="1"/>
    <col min="64" max="64" width="9" customWidth="1" collapsed="1"/>
    <col min="65" max="68" width="9" hidden="1" customWidth="1" outlineLevel="1"/>
    <col min="69" max="69" width="9" customWidth="1" collapsed="1"/>
    <col min="71" max="71" width="20.28515625" bestFit="1" customWidth="1"/>
    <col min="72" max="72" width="8.85546875" customWidth="1"/>
    <col min="73" max="73" width="28.7109375" bestFit="1" customWidth="1"/>
    <col min="74" max="74" width="2.7109375" customWidth="1"/>
    <col min="91" max="91" width="37.85546875" bestFit="1" customWidth="1"/>
    <col min="92" max="92" width="2.7109375" customWidth="1"/>
    <col min="94" max="94" width="3.140625" customWidth="1"/>
    <col min="104" max="104" width="11.28515625" customWidth="1"/>
  </cols>
  <sheetData>
    <row r="1" spans="1:96" ht="15" customHeight="1">
      <c r="A1" s="9"/>
      <c r="B1" s="9"/>
      <c r="C1" s="9"/>
      <c r="D1" s="11"/>
      <c r="E1" s="12"/>
      <c r="F1" s="12"/>
      <c r="G1" s="12"/>
      <c r="H1" s="12"/>
      <c r="I1" s="12"/>
      <c r="J1" s="12"/>
      <c r="K1" s="12"/>
      <c r="L1" s="12"/>
      <c r="M1" s="12"/>
      <c r="N1" s="717"/>
      <c r="O1" s="717"/>
      <c r="P1" s="717"/>
      <c r="Q1" s="717"/>
      <c r="R1" s="717"/>
      <c r="S1" s="717"/>
      <c r="T1" s="717"/>
      <c r="U1" s="717"/>
      <c r="V1" s="717"/>
      <c r="W1" s="717"/>
      <c r="X1" s="717"/>
      <c r="Y1" s="717"/>
      <c r="Z1" s="717"/>
      <c r="AA1" s="717"/>
      <c r="AB1" s="717"/>
      <c r="AC1" s="717"/>
      <c r="AD1" s="717"/>
      <c r="AE1" s="717"/>
      <c r="AF1" s="717"/>
      <c r="AG1" s="717"/>
      <c r="AH1" s="717"/>
      <c r="AI1" s="717"/>
      <c r="AJ1" s="717"/>
      <c r="AK1" s="717"/>
      <c r="AL1" s="717"/>
      <c r="AM1" s="717"/>
      <c r="AN1" s="717"/>
      <c r="AO1" s="717"/>
      <c r="AP1" s="717"/>
      <c r="AQ1" s="717"/>
      <c r="AR1" s="717"/>
      <c r="AS1" s="717"/>
      <c r="AT1" s="717"/>
      <c r="AU1" s="717"/>
      <c r="AV1" s="717"/>
      <c r="AW1" s="717"/>
      <c r="AX1" s="717"/>
      <c r="AY1" s="717"/>
      <c r="AZ1" s="717"/>
      <c r="BA1" s="717"/>
      <c r="BB1" s="717"/>
      <c r="BC1" s="717"/>
      <c r="BD1" s="717"/>
      <c r="BE1" s="717"/>
      <c r="BF1" s="717"/>
      <c r="BG1" s="717"/>
      <c r="BH1" s="717"/>
      <c r="BI1" s="717"/>
      <c r="BJ1" s="717"/>
      <c r="BK1" s="717"/>
      <c r="BL1" s="717"/>
      <c r="BM1" s="717"/>
      <c r="BN1" s="717"/>
      <c r="BO1" s="717"/>
      <c r="BP1" s="717"/>
      <c r="BQ1" s="717"/>
    </row>
    <row r="2" spans="1:96" ht="15" customHeight="1">
      <c r="A2" s="9"/>
      <c r="B2" s="644" t="str">
        <f>Cover!$B$2</f>
        <v>Public Service Enterprise Group</v>
      </c>
      <c r="C2" s="9"/>
      <c r="D2" s="11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</row>
    <row r="3" spans="1:96" ht="15" customHeight="1">
      <c r="A3" s="79"/>
      <c r="B3" s="79" t="s">
        <v>235</v>
      </c>
      <c r="C3" s="10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</row>
    <row r="4" spans="1:96" ht="15" customHeight="1">
      <c r="A4" s="735"/>
      <c r="B4" s="16" t="s">
        <v>78</v>
      </c>
      <c r="C4" s="16"/>
      <c r="D4" s="736"/>
      <c r="E4" s="648"/>
      <c r="F4" s="648"/>
      <c r="G4" s="648"/>
      <c r="H4" s="648"/>
      <c r="I4" s="648"/>
      <c r="J4" s="648"/>
      <c r="K4" s="648"/>
      <c r="L4" s="648"/>
      <c r="M4" s="648"/>
      <c r="N4" s="648"/>
      <c r="O4" s="648"/>
      <c r="P4" s="648"/>
      <c r="Q4" s="648"/>
      <c r="R4" s="648"/>
      <c r="S4" s="648"/>
      <c r="T4" s="648"/>
      <c r="U4" s="648"/>
      <c r="V4" s="648"/>
      <c r="W4" s="648"/>
      <c r="X4" s="648"/>
      <c r="Y4" s="648"/>
      <c r="Z4" s="648"/>
      <c r="AA4" s="648"/>
      <c r="AB4" s="648"/>
      <c r="AC4" s="648"/>
      <c r="AD4" s="648"/>
      <c r="AE4" s="648"/>
      <c r="AF4" s="648"/>
      <c r="AG4" s="648"/>
      <c r="AH4" s="648"/>
      <c r="AI4" s="648"/>
      <c r="AJ4" s="648"/>
      <c r="AK4" s="648"/>
      <c r="AL4" s="648"/>
      <c r="AM4" s="648"/>
      <c r="AN4" s="648"/>
      <c r="AO4" s="648"/>
      <c r="AP4" s="648"/>
      <c r="AQ4" s="648"/>
      <c r="AR4" s="648"/>
      <c r="AS4" s="648"/>
      <c r="AT4" s="648"/>
      <c r="AU4" s="648"/>
      <c r="AV4" s="648"/>
      <c r="AW4" s="648"/>
      <c r="AX4" s="648"/>
      <c r="AY4" s="648"/>
      <c r="AZ4" s="648"/>
      <c r="BA4" s="648"/>
      <c r="BB4" s="648"/>
      <c r="BC4" s="648"/>
      <c r="BD4" s="648"/>
      <c r="BE4" s="648"/>
      <c r="BF4" s="648"/>
      <c r="BG4" s="648"/>
      <c r="BH4" s="648"/>
      <c r="BI4" s="648"/>
      <c r="BJ4" s="648"/>
      <c r="BK4" s="648"/>
      <c r="BL4" s="648"/>
      <c r="BM4" s="648"/>
      <c r="BN4" s="648"/>
      <c r="BO4" s="648"/>
      <c r="BP4" s="648"/>
      <c r="BQ4" s="648"/>
      <c r="BR4" s="737"/>
      <c r="BS4" s="737"/>
      <c r="BT4" s="737"/>
      <c r="BU4" s="737"/>
      <c r="BV4" s="737"/>
      <c r="BW4" s="737"/>
      <c r="BX4" s="737"/>
      <c r="BY4" s="737"/>
      <c r="BZ4" s="737"/>
      <c r="CA4" s="737"/>
      <c r="CB4" s="737"/>
      <c r="CC4" s="737"/>
      <c r="CD4" s="737"/>
      <c r="CE4" s="737"/>
      <c r="CF4" s="737"/>
      <c r="CG4" s="737"/>
      <c r="CH4" s="737"/>
      <c r="CI4" s="737"/>
      <c r="CJ4" s="737"/>
      <c r="CK4" s="737"/>
      <c r="CL4" s="737"/>
      <c r="CM4" s="737"/>
      <c r="CN4" s="737"/>
      <c r="CO4" s="737"/>
      <c r="CP4" s="737"/>
      <c r="CQ4" s="737"/>
      <c r="CR4" s="737"/>
    </row>
    <row r="5" spans="1:96" ht="12.75" customHeight="1">
      <c r="B5" s="738" t="s">
        <v>574</v>
      </c>
      <c r="C5" s="738"/>
      <c r="D5" s="739"/>
      <c r="E5" s="1206" t="s">
        <v>419</v>
      </c>
      <c r="F5" s="1207" t="s">
        <v>420</v>
      </c>
      <c r="G5" s="1207" t="s">
        <v>389</v>
      </c>
      <c r="H5" s="1208" t="s">
        <v>390</v>
      </c>
      <c r="I5" s="1209">
        <v>2009</v>
      </c>
      <c r="J5" s="1206" t="s">
        <v>391</v>
      </c>
      <c r="K5" s="1207" t="s">
        <v>392</v>
      </c>
      <c r="L5" s="1207" t="s">
        <v>393</v>
      </c>
      <c r="M5" s="1208" t="s">
        <v>394</v>
      </c>
      <c r="N5" s="1209" t="s">
        <v>111</v>
      </c>
      <c r="O5" s="1206" t="s">
        <v>336</v>
      </c>
      <c r="P5" s="1207" t="s">
        <v>337</v>
      </c>
      <c r="Q5" s="1207" t="s">
        <v>338</v>
      </c>
      <c r="R5" s="1208" t="s">
        <v>339</v>
      </c>
      <c r="S5" s="1209">
        <v>2011</v>
      </c>
      <c r="T5" s="740" t="s">
        <v>660</v>
      </c>
      <c r="U5" s="741" t="s">
        <v>723</v>
      </c>
      <c r="V5" s="741" t="s">
        <v>791</v>
      </c>
      <c r="W5" s="742" t="s">
        <v>796</v>
      </c>
      <c r="X5" s="1210" t="s">
        <v>797</v>
      </c>
      <c r="Y5" s="1206" t="s">
        <v>805</v>
      </c>
      <c r="Z5" s="1207" t="s">
        <v>806</v>
      </c>
      <c r="AA5" s="1207" t="s">
        <v>868</v>
      </c>
      <c r="AB5" s="1208" t="s">
        <v>869</v>
      </c>
      <c r="AC5" s="1210" t="s">
        <v>870</v>
      </c>
      <c r="AD5" s="1206" t="s">
        <v>891</v>
      </c>
      <c r="AE5" s="1207" t="s">
        <v>892</v>
      </c>
      <c r="AF5" s="1207" t="s">
        <v>930</v>
      </c>
      <c r="AG5" s="1208" t="s">
        <v>931</v>
      </c>
      <c r="AH5" s="1210" t="s">
        <v>929</v>
      </c>
      <c r="AI5" s="1206" t="s">
        <v>932</v>
      </c>
      <c r="AJ5" s="1207" t="s">
        <v>1000</v>
      </c>
      <c r="AK5" s="1207" t="s">
        <v>1001</v>
      </c>
      <c r="AL5" s="1208" t="s">
        <v>1013</v>
      </c>
      <c r="AM5" s="743" t="s">
        <v>1014</v>
      </c>
      <c r="AN5" s="740" t="s">
        <v>1028</v>
      </c>
      <c r="AO5" s="741" t="s">
        <v>1031</v>
      </c>
      <c r="AP5" s="741" t="s">
        <v>1040</v>
      </c>
      <c r="AQ5" s="742" t="s">
        <v>1073</v>
      </c>
      <c r="AR5" s="743" t="s">
        <v>1072</v>
      </c>
      <c r="AS5" s="740" t="s">
        <v>1078</v>
      </c>
      <c r="AT5" s="741" t="s">
        <v>1079</v>
      </c>
      <c r="AU5" s="741" t="s">
        <v>1096</v>
      </c>
      <c r="AV5" s="742" t="s">
        <v>1111</v>
      </c>
      <c r="AW5" s="743" t="s">
        <v>1110</v>
      </c>
      <c r="AX5" s="740" t="s">
        <v>875</v>
      </c>
      <c r="AY5" s="741" t="s">
        <v>876</v>
      </c>
      <c r="AZ5" s="741" t="s">
        <v>877</v>
      </c>
      <c r="BA5" s="742" t="s">
        <v>878</v>
      </c>
      <c r="BB5" s="743" t="s">
        <v>879</v>
      </c>
      <c r="BC5" s="740" t="s">
        <v>937</v>
      </c>
      <c r="BD5" s="741" t="s">
        <v>938</v>
      </c>
      <c r="BE5" s="741" t="s">
        <v>939</v>
      </c>
      <c r="BF5" s="742" t="s">
        <v>940</v>
      </c>
      <c r="BG5" s="743" t="s">
        <v>941</v>
      </c>
      <c r="BH5" s="740" t="s">
        <v>942</v>
      </c>
      <c r="BI5" s="741" t="s">
        <v>943</v>
      </c>
      <c r="BJ5" s="741" t="s">
        <v>944</v>
      </c>
      <c r="BK5" s="742" t="s">
        <v>945</v>
      </c>
      <c r="BL5" s="743" t="s">
        <v>946</v>
      </c>
      <c r="BM5" s="740" t="s">
        <v>1042</v>
      </c>
      <c r="BN5" s="741" t="s">
        <v>1043</v>
      </c>
      <c r="BO5" s="741" t="s">
        <v>1044</v>
      </c>
      <c r="BP5" s="742" t="s">
        <v>1045</v>
      </c>
      <c r="BQ5" s="743" t="s">
        <v>1046</v>
      </c>
      <c r="BR5" s="744"/>
      <c r="BS5" s="744"/>
      <c r="BT5" s="744"/>
      <c r="BU5" s="744"/>
      <c r="BV5" s="744"/>
      <c r="BW5" s="744"/>
      <c r="BX5" s="744"/>
      <c r="BY5" s="744"/>
      <c r="BZ5" s="744"/>
      <c r="CA5" s="744"/>
      <c r="CB5" s="744"/>
      <c r="CC5" s="744"/>
      <c r="CD5" s="744"/>
      <c r="CE5" s="744"/>
      <c r="CF5" s="744"/>
      <c r="CG5" s="744"/>
      <c r="CH5" s="744"/>
      <c r="CI5" s="744"/>
      <c r="CJ5" s="744"/>
      <c r="CK5" s="744"/>
      <c r="CL5" s="744"/>
      <c r="CM5" s="744"/>
      <c r="CN5" s="744"/>
      <c r="CO5" s="744"/>
      <c r="CP5" s="744"/>
      <c r="CQ5" s="744"/>
      <c r="CR5" s="744"/>
    </row>
    <row r="6" spans="1:96" s="2" customFormat="1">
      <c r="A6" s="1523"/>
      <c r="E6" s="365"/>
      <c r="F6" s="6"/>
      <c r="G6" s="6"/>
      <c r="H6" s="366"/>
      <c r="J6" s="365"/>
      <c r="K6" s="6"/>
      <c r="L6" s="6"/>
      <c r="M6" s="366"/>
      <c r="O6" s="365"/>
      <c r="P6" s="6"/>
      <c r="Q6" s="6"/>
      <c r="R6" s="366"/>
      <c r="T6" s="365"/>
      <c r="U6" s="6"/>
      <c r="V6" s="6"/>
      <c r="W6" s="366"/>
      <c r="Y6" s="365"/>
      <c r="Z6" s="6"/>
      <c r="AA6" s="6"/>
      <c r="AB6" s="366"/>
      <c r="AD6" s="365"/>
      <c r="AE6" s="6"/>
      <c r="AF6" s="6"/>
      <c r="AG6" s="366"/>
      <c r="AI6" s="365"/>
      <c r="AJ6" s="6"/>
      <c r="AK6" s="6"/>
      <c r="AL6" s="366"/>
      <c r="AN6" s="365"/>
      <c r="AO6" s="6"/>
      <c r="AP6" s="6"/>
      <c r="AQ6" s="366"/>
      <c r="AS6" s="365"/>
      <c r="AT6" s="6"/>
      <c r="AU6" s="6"/>
      <c r="AV6" s="366"/>
      <c r="AX6" s="1757"/>
      <c r="AY6" s="1758"/>
      <c r="AZ6" s="1758"/>
      <c r="BA6" s="1759"/>
      <c r="BC6" s="365"/>
      <c r="BD6" s="6"/>
      <c r="BE6" s="6"/>
      <c r="BF6" s="366"/>
      <c r="BH6" s="365"/>
      <c r="BI6" s="6"/>
      <c r="BJ6" s="6"/>
      <c r="BK6" s="366"/>
      <c r="BM6" s="365"/>
      <c r="BN6" s="6"/>
      <c r="BO6" s="6"/>
      <c r="BP6" s="366"/>
    </row>
    <row r="7" spans="1:96" s="2" customFormat="1" ht="12.75" customHeight="1">
      <c r="A7" s="1523"/>
      <c r="B7" s="105" t="s">
        <v>345</v>
      </c>
      <c r="C7" s="277"/>
      <c r="D7" s="277"/>
      <c r="E7" s="356"/>
      <c r="F7" s="326"/>
      <c r="G7" s="326"/>
      <c r="H7" s="357"/>
      <c r="J7" s="356"/>
      <c r="K7" s="326"/>
      <c r="L7" s="326"/>
      <c r="M7" s="357"/>
      <c r="O7" s="356"/>
      <c r="P7" s="326"/>
      <c r="Q7" s="326"/>
      <c r="R7" s="357"/>
      <c r="T7" s="356"/>
      <c r="U7" s="326"/>
      <c r="V7" s="326"/>
      <c r="W7" s="357"/>
      <c r="Y7" s="356"/>
      <c r="Z7" s="326"/>
      <c r="AA7" s="1326"/>
      <c r="AB7" s="1327"/>
      <c r="AD7" s="356"/>
      <c r="AE7" s="326"/>
      <c r="AF7" s="326"/>
      <c r="AG7" s="357"/>
      <c r="AI7" s="356"/>
      <c r="AJ7" s="326"/>
      <c r="AK7" s="326"/>
      <c r="AL7" s="357"/>
      <c r="AN7" s="356"/>
      <c r="AO7" s="326"/>
      <c r="AP7" s="326"/>
      <c r="AQ7" s="357"/>
      <c r="AS7" s="356"/>
      <c r="AT7" s="326"/>
      <c r="AU7" s="326"/>
      <c r="AV7" s="357"/>
      <c r="AX7" s="1760"/>
      <c r="AY7" s="1761"/>
      <c r="AZ7" s="1761"/>
      <c r="BA7" s="1762"/>
      <c r="BC7" s="356"/>
      <c r="BD7" s="326"/>
      <c r="BE7" s="326"/>
      <c r="BF7" s="357"/>
      <c r="BH7" s="356"/>
      <c r="BI7" s="326"/>
      <c r="BJ7" s="326"/>
      <c r="BK7" s="357"/>
      <c r="BM7" s="356"/>
      <c r="BN7" s="326"/>
      <c r="BO7" s="326"/>
      <c r="BP7" s="357"/>
    </row>
    <row r="8" spans="1:96" s="2" customFormat="1" ht="12.75" customHeight="1">
      <c r="A8" s="1523"/>
      <c r="C8" s="2" t="s">
        <v>69</v>
      </c>
      <c r="E8" s="459">
        <v>2464</v>
      </c>
      <c r="F8" s="460">
        <v>1363</v>
      </c>
      <c r="G8" s="460">
        <v>1564</v>
      </c>
      <c r="H8" s="405">
        <f>I8-SUM(E8:G8)</f>
        <v>1381</v>
      </c>
      <c r="I8" s="462">
        <v>6772</v>
      </c>
      <c r="J8" s="459">
        <v>2196</v>
      </c>
      <c r="K8" s="460">
        <v>1264</v>
      </c>
      <c r="L8" s="460">
        <v>1663</v>
      </c>
      <c r="M8" s="405">
        <f>N8-SUM(J8:L8)</f>
        <v>1435</v>
      </c>
      <c r="N8" s="462">
        <v>6558</v>
      </c>
      <c r="O8" s="459">
        <v>1967</v>
      </c>
      <c r="P8" s="460">
        <v>1285</v>
      </c>
      <c r="Q8" s="460">
        <v>1398</v>
      </c>
      <c r="R8" s="405">
        <f>S8-SUM(O8:Q8)</f>
        <v>1493</v>
      </c>
      <c r="S8" s="462">
        <v>6143</v>
      </c>
      <c r="T8" s="459">
        <v>1561</v>
      </c>
      <c r="U8" s="460">
        <v>985</v>
      </c>
      <c r="V8" s="460">
        <v>1038</v>
      </c>
      <c r="W8" s="405">
        <f>X8-SUM(T8:V8)</f>
        <v>1281</v>
      </c>
      <c r="X8" s="462">
        <v>4865</v>
      </c>
      <c r="Y8" s="459">
        <v>1447</v>
      </c>
      <c r="Z8" s="460">
        <v>1190</v>
      </c>
      <c r="AA8" s="460">
        <v>1169</v>
      </c>
      <c r="AB8" s="395">
        <f>AC8-SUM(Y8:AA8)</f>
        <v>1257</v>
      </c>
      <c r="AC8" s="462">
        <v>5063</v>
      </c>
      <c r="AD8" s="459">
        <v>1700</v>
      </c>
      <c r="AE8" s="460">
        <v>986</v>
      </c>
      <c r="AF8" s="460">
        <v>1138</v>
      </c>
      <c r="AG8" s="395">
        <f>AH8-SUM(AD8:AF8)</f>
        <v>1610</v>
      </c>
      <c r="AH8" s="462">
        <v>5434</v>
      </c>
      <c r="AI8" s="459">
        <v>1725</v>
      </c>
      <c r="AJ8" s="460">
        <v>1025</v>
      </c>
      <c r="AK8" s="460">
        <v>1096</v>
      </c>
      <c r="AL8" s="395">
        <f>AM8-SUM(AI8:AK8)</f>
        <v>1082</v>
      </c>
      <c r="AM8" s="462">
        <v>4928</v>
      </c>
      <c r="AN8" s="459">
        <v>1313</v>
      </c>
      <c r="AO8" s="460">
        <v>714</v>
      </c>
      <c r="AP8" s="460">
        <v>1075</v>
      </c>
      <c r="AQ8" s="395">
        <f>AR8-SUM(AN8:AP8)</f>
        <v>921</v>
      </c>
      <c r="AR8" s="462">
        <v>4023</v>
      </c>
      <c r="AS8" s="459">
        <v>1284</v>
      </c>
      <c r="AT8" s="460">
        <v>929</v>
      </c>
      <c r="AU8" s="460">
        <v>873</v>
      </c>
      <c r="AV8" s="395">
        <f>AW8-SUM(AS8:AU8)</f>
        <v>844</v>
      </c>
      <c r="AW8" s="462">
        <v>3930</v>
      </c>
      <c r="AX8" s="406">
        <f>Power!AX236+Power!AX256+Power!AX269+Power!AX283+Power!AX296+Power!AX309+Power!AX323+AX336+Power!AX349+Power!AX362+Power!AX402+AX137+AX136+AX422+AX445+AX382+AX139+AX138</f>
        <v>789.86729871141824</v>
      </c>
      <c r="AY8" s="348">
        <f>Power!AY236+Power!AY256+Power!AY269+Power!AY283+Power!AY296+Power!AY309+Power!AY323+AY336+Power!AY349+Power!AY362+Power!AY402+AY137+AY136+AY422+AY445+AY382+AY139+AY138</f>
        <v>673.14116824451628</v>
      </c>
      <c r="AZ8" s="348">
        <f>Power!AZ236+Power!AZ256+Power!AZ269+Power!AZ283+Power!AZ296+Power!AZ309+Power!AZ323+AZ336+Power!AZ349+Power!AZ362+Power!AZ402+AZ137+AZ136+AZ422+AZ445+AZ382+AZ139+AZ138</f>
        <v>798.07954631073585</v>
      </c>
      <c r="BA8" s="405">
        <f>Power!BA236+Power!BA256+Power!BA269+Power!BA283+Power!BA296+Power!BA309+Power!BA323+BA336+Power!BA349+Power!BA362+Power!BA402+BA137+BA136+BA422+BA445+BA382+BA139+BA138</f>
        <v>748.26359303626293</v>
      </c>
      <c r="BB8" s="296">
        <f>SUM(AX8:BA8)</f>
        <v>3009.3516063029338</v>
      </c>
      <c r="BC8" s="406">
        <f>Power!BC236+Power!BC256+Power!BC269+Power!BC283+Power!BC296+Power!BC309+Power!BC323+BC336+Power!BC349+Power!BC362+Power!BC402+BC137+BC136+BC422+BC445+BC382+BC139+BC138</f>
        <v>869.28722780449323</v>
      </c>
      <c r="BD8" s="348">
        <f>Power!BD236+Power!BD256+Power!BD269+Power!BD283+Power!BD296+Power!BD309+Power!BD323+BD336+Power!BD349+Power!BD362+Power!BD402+BD137+BD136+BD422+BD445+BD382+BD139+BD138</f>
        <v>724.74024283561641</v>
      </c>
      <c r="BE8" s="348">
        <f>Power!BE236+Power!BE256+Power!BE269+Power!BE283+Power!BE296+Power!BE309+Power!BE323+BE336+Power!BE349+Power!BE362+Power!BE402+BE137+BE136+BE422+BE445+BE382+BE139+BE138</f>
        <v>697.92266413334085</v>
      </c>
      <c r="BF8" s="405">
        <f>Power!BF236+Power!BF256+Power!BF269+Power!BF283+Power!BF296+Power!BF309+Power!BF323+BF336+Power!BF349+Power!BF362+Power!BF402+BF137+BF136+BF422+BF445+BF382+BF139+BF138</f>
        <v>714.6391966768208</v>
      </c>
      <c r="BG8" s="296">
        <f>SUM(BC8:BF8)</f>
        <v>3006.5893314502709</v>
      </c>
      <c r="BH8" s="406">
        <f>Power!BH236+Power!BH256+Power!BH269+Power!BH283+Power!BH296+Power!BH309+Power!BH323+BH336+Power!BH349+Power!BH362+Power!BH402+BH137+BH136+BH422+BH445+BH382+BH139+BH138</f>
        <v>903.81605353241196</v>
      </c>
      <c r="BI8" s="348">
        <f>Power!BI236+Power!BI256+Power!BI269+Power!BI283+Power!BI296+Power!BI309+Power!BI323+BI336+Power!BI349+Power!BI362+Power!BI402+BI137+BI136+BI422+BI445+BI382+BI139+BI138</f>
        <v>679.96833955540785</v>
      </c>
      <c r="BJ8" s="348">
        <f>Power!BJ236+Power!BJ256+Power!BJ269+Power!BJ283+Power!BJ296+Power!BJ309+Power!BJ323+BJ336+Power!BJ349+Power!BJ362+Power!BJ402+BJ137+BJ136+BJ422+BJ445+BJ382+BJ139+BJ138</f>
        <v>713.45115389555792</v>
      </c>
      <c r="BK8" s="405">
        <f>Power!BK236+Power!BK256+Power!BK269+Power!BK283+Power!BK296+Power!BK309+Power!BK323+BK336+Power!BK349+Power!BK362+Power!BK402+BK137+BK136+BK422+BK445+BK382+BK139+BK138</f>
        <v>758.72532250669303</v>
      </c>
      <c r="BL8" s="296">
        <f>SUM(BH8:BK8)</f>
        <v>3055.9608694900708</v>
      </c>
      <c r="BM8" s="406">
        <f>Power!BM236+Power!BM256+Power!BM269+Power!BM283+Power!BM296+Power!BM309+Power!BM323+BM336+Power!BM349+Power!BM362+Power!BM402+BM137+BM136+BM422+BM445+BM382+BM139+BM138</f>
        <v>888.4020393834063</v>
      </c>
      <c r="BN8" s="348">
        <f>Power!BN236+Power!BN256+Power!BN269+Power!BN283+Power!BN296+Power!BN309+Power!BN323+BN336+Power!BN349+Power!BN362+Power!BN402+BN137+BN136+BN422+BN445+BN382+BN139+BN138</f>
        <v>766.00006438018875</v>
      </c>
      <c r="BO8" s="348">
        <f>Power!BO236+Power!BO256+Power!BO269+Power!BO283+Power!BO296+Power!BO309+Power!BO323+BO336+Power!BO349+Power!BO362+Power!BO402+BO137+BO136+BO422+BO445+BO382+BO139+BO138</f>
        <v>764.40579945921991</v>
      </c>
      <c r="BP8" s="405">
        <f>Power!BP236+Power!BP256+Power!BP269+Power!BP283+Power!BP296+Power!BP309+Power!BP323+BP336+Power!BP349+Power!BP362+Power!BP402+BP137+BP136+BP422+BP445+BP382+BP139+BP138</f>
        <v>786.52347077262039</v>
      </c>
      <c r="BQ8" s="296">
        <f>SUM(BM8:BP8)</f>
        <v>3205.3313739954356</v>
      </c>
      <c r="BS8" s="437"/>
      <c r="BW8" s="1644"/>
      <c r="BX8" s="437"/>
    </row>
    <row r="9" spans="1:96" s="2" customFormat="1">
      <c r="A9" s="1523"/>
      <c r="C9" s="2" t="s">
        <v>70</v>
      </c>
      <c r="E9" s="459">
        <v>1531</v>
      </c>
      <c r="F9" s="460">
        <v>627</v>
      </c>
      <c r="G9" s="460">
        <v>599</v>
      </c>
      <c r="H9" s="405">
        <f>I9-SUM(E9:G9)</f>
        <v>705</v>
      </c>
      <c r="I9" s="462">
        <v>3462</v>
      </c>
      <c r="J9" s="459">
        <v>1251</v>
      </c>
      <c r="K9" s="460">
        <v>612</v>
      </c>
      <c r="L9" s="460">
        <v>714</v>
      </c>
      <c r="M9" s="405">
        <f>N9-SUM(J9:L9)</f>
        <v>797</v>
      </c>
      <c r="N9" s="462">
        <v>3374</v>
      </c>
      <c r="O9" s="459">
        <v>1135</v>
      </c>
      <c r="P9" s="460">
        <v>603</v>
      </c>
      <c r="Q9" s="460">
        <v>597</v>
      </c>
      <c r="R9" s="405">
        <f>S9-SUM(O9:Q9)</f>
        <v>711</v>
      </c>
      <c r="S9" s="462">
        <v>3046</v>
      </c>
      <c r="T9" s="459">
        <v>822</v>
      </c>
      <c r="U9" s="460">
        <v>447</v>
      </c>
      <c r="V9" s="460">
        <v>456</v>
      </c>
      <c r="W9" s="405">
        <f>X9-SUM(T9:V9)</f>
        <v>658</v>
      </c>
      <c r="X9" s="462">
        <v>2383</v>
      </c>
      <c r="Y9" s="459">
        <v>860</v>
      </c>
      <c r="Z9" s="460">
        <v>496</v>
      </c>
      <c r="AA9" s="460">
        <v>430</v>
      </c>
      <c r="AB9" s="395">
        <f>AC9-SUM(Y9:AA9)</f>
        <v>710</v>
      </c>
      <c r="AC9" s="462">
        <v>2496</v>
      </c>
      <c r="AD9" s="459">
        <v>1044</v>
      </c>
      <c r="AE9" s="460">
        <v>520</v>
      </c>
      <c r="AF9" s="460">
        <v>472</v>
      </c>
      <c r="AG9" s="395">
        <f>AH9-SUM(AD9:AF9)</f>
        <v>711</v>
      </c>
      <c r="AH9" s="462">
        <v>2747</v>
      </c>
      <c r="AI9" s="459">
        <v>893</v>
      </c>
      <c r="AJ9" s="460">
        <v>409</v>
      </c>
      <c r="AK9" s="460">
        <v>367</v>
      </c>
      <c r="AL9" s="395">
        <f>AM9-SUM(AI9:AK9)</f>
        <v>481</v>
      </c>
      <c r="AM9" s="462">
        <v>2150</v>
      </c>
      <c r="AN9" s="459">
        <v>638</v>
      </c>
      <c r="AO9" s="460">
        <v>381</v>
      </c>
      <c r="AP9" s="460">
        <v>462</v>
      </c>
      <c r="AQ9" s="395">
        <f>AR9-SUM(AN9:AP9)</f>
        <v>505</v>
      </c>
      <c r="AR9" s="462">
        <v>1986</v>
      </c>
      <c r="AS9" s="459">
        <v>707</v>
      </c>
      <c r="AT9" s="460">
        <v>397</v>
      </c>
      <c r="AU9" s="460">
        <v>357</v>
      </c>
      <c r="AV9" s="395">
        <f>AW9-SUM(AS9:AU9)</f>
        <v>522</v>
      </c>
      <c r="AW9" s="462">
        <v>1983</v>
      </c>
      <c r="AX9" s="406">
        <f>Power!AX237+Power!AX257+Power!AX270+Power!AX284+Power!AX297+Power!AX310+Power!AX324+AX337+Power!AX350+Power!AX363+Power!AX403+AX423</f>
        <v>235.83296048878674</v>
      </c>
      <c r="AY9" s="348">
        <f>Power!AY237+Power!AY257+Power!AY270+Power!AY284+Power!AY297+Power!AY310+Power!AY324+AY337+Power!AY350+Power!AY363+Power!AY403+AY423</f>
        <v>199.8890297354875</v>
      </c>
      <c r="AZ9" s="348">
        <f>Power!AZ237+Power!AZ257+Power!AZ270+Power!AZ284+Power!AZ297+Power!AZ310+Power!AZ324+AZ337+Power!AZ350+Power!AZ363+Power!AZ403+AZ423</f>
        <v>221.18916184137501</v>
      </c>
      <c r="BA9" s="405">
        <f>Power!BA237+Power!BA257+Power!BA270+Power!BA284+Power!BA297+Power!BA310+Power!BA324+BA337+Power!BA350+Power!BA363+Power!BA403+BA423</f>
        <v>228.07520846112499</v>
      </c>
      <c r="BB9" s="296">
        <f>SUM(AX9:BA9)</f>
        <v>884.98636052677421</v>
      </c>
      <c r="BC9" s="406">
        <f>Power!BC237+Power!BC257+Power!BC270+Power!BC284+Power!BC297+Power!BC310+Power!BC324+BC337+Power!BC350+Power!BC363+Power!BC403+BC423+BC383</f>
        <v>273.21993629150074</v>
      </c>
      <c r="BD9" s="348">
        <f>Power!BD237+Power!BD257+Power!BD270+Power!BD284+Power!BD297+Power!BD310+Power!BD324+BD337+Power!BD350+Power!BD363+Power!BD403+BD423+BD383</f>
        <v>181.08975568887917</v>
      </c>
      <c r="BE9" s="348">
        <f>Power!BE237+Power!BE257+Power!BE270+Power!BE284+Power!BE297+Power!BE310+Power!BE324+BE337+Power!BE350+Power!BE363+Power!BE403+BE423+BE383</f>
        <v>185.97598808067181</v>
      </c>
      <c r="BF9" s="405">
        <f>Power!BF237+Power!BF257+Power!BF270+Power!BF284+Power!BF297+Power!BF310+Power!BF324+BF337+Power!BF350+Power!BF363+Power!BF403+BF423+BF383</f>
        <v>264.45264986279625</v>
      </c>
      <c r="BG9" s="296">
        <f>SUM(BC9:BF9)</f>
        <v>904.73832992384791</v>
      </c>
      <c r="BH9" s="406">
        <f>Power!BH237+Power!BH257+Power!BH270+Power!BH284+Power!BH297+Power!BH310+Power!BH324+BH337+Power!BH350+Power!BH363+Power!BH403+BH423+BH383</f>
        <v>298.75565200079365</v>
      </c>
      <c r="BI9" s="348">
        <f>Power!BI237+Power!BI257+Power!BI270+Power!BI284+Power!BI297+Power!BI310+Power!BI324+BI337+Power!BI350+Power!BI363+Power!BI403+BI423+BI383</f>
        <v>189.03601094147459</v>
      </c>
      <c r="BJ9" s="348">
        <f>Power!BJ237+Power!BJ257+Power!BJ270+Power!BJ284+Power!BJ297+Power!BJ310+Power!BJ324+BJ337+Power!BJ350+Power!BJ363+Power!BJ403+BJ423+BJ383</f>
        <v>186.68153266047517</v>
      </c>
      <c r="BK9" s="405">
        <f>Power!BK237+Power!BK257+Power!BK270+Power!BK284+Power!BK297+Power!BK310+Power!BK324+BK337+Power!BK350+Power!BK363+Power!BK403+BK423+BK383</f>
        <v>265.05886255316761</v>
      </c>
      <c r="BL9" s="296">
        <f>SUM(BH9:BK9)</f>
        <v>939.53205815591093</v>
      </c>
      <c r="BM9" s="406">
        <f>Power!BM237+Power!BM257+Power!BM270+Power!BM284+Power!BM297+Power!BM310+Power!BM324+BM337+Power!BM350+Power!BM363+Power!BM403+BM423+BM383</f>
        <v>272.86555576270001</v>
      </c>
      <c r="BN9" s="348">
        <f>Power!BN237+Power!BN257+Power!BN270+Power!BN284+Power!BN297+Power!BN310+Power!BN324+BN337+Power!BN350+Power!BN363+Power!BN403+BN423+BN383</f>
        <v>211.67190264913253</v>
      </c>
      <c r="BO9" s="348">
        <f>Power!BO237+Power!BO257+Power!BO270+Power!BO284+Power!BO297+Power!BO310+Power!BO324+BO337+Power!BO350+Power!BO363+Power!BO403+BO423+BO383</f>
        <v>207.89315763914558</v>
      </c>
      <c r="BP9" s="405">
        <f>Power!BP237+Power!BP257+Power!BP270+Power!BP284+Power!BP297+Power!BP310+Power!BP324+BP337+Power!BP350+Power!BP363+Power!BP403+BP423+BP383</f>
        <v>226.93844644956113</v>
      </c>
      <c r="BQ9" s="296">
        <f>SUM(BM9:BP9)</f>
        <v>919.36906250053926</v>
      </c>
      <c r="BW9" s="1644"/>
      <c r="BX9" s="437"/>
    </row>
    <row r="10" spans="1:96" s="49" customFormat="1">
      <c r="C10" s="49" t="s">
        <v>72</v>
      </c>
      <c r="E10" s="396">
        <f t="shared" ref="E10:S10" si="0">E8-SUM(E9:E9)</f>
        <v>933</v>
      </c>
      <c r="F10" s="343">
        <f t="shared" si="0"/>
        <v>736</v>
      </c>
      <c r="G10" s="343">
        <f t="shared" si="0"/>
        <v>965</v>
      </c>
      <c r="H10" s="397">
        <f t="shared" si="0"/>
        <v>676</v>
      </c>
      <c r="I10" s="297">
        <f t="shared" si="0"/>
        <v>3310</v>
      </c>
      <c r="J10" s="396">
        <f t="shared" si="0"/>
        <v>945</v>
      </c>
      <c r="K10" s="343">
        <f t="shared" si="0"/>
        <v>652</v>
      </c>
      <c r="L10" s="343">
        <f t="shared" si="0"/>
        <v>949</v>
      </c>
      <c r="M10" s="397">
        <f t="shared" si="0"/>
        <v>638</v>
      </c>
      <c r="N10" s="297">
        <f t="shared" si="0"/>
        <v>3184</v>
      </c>
      <c r="O10" s="396">
        <f t="shared" si="0"/>
        <v>832</v>
      </c>
      <c r="P10" s="343">
        <f t="shared" si="0"/>
        <v>682</v>
      </c>
      <c r="Q10" s="343">
        <f t="shared" si="0"/>
        <v>801</v>
      </c>
      <c r="R10" s="397">
        <f t="shared" si="0"/>
        <v>782</v>
      </c>
      <c r="S10" s="297">
        <f t="shared" si="0"/>
        <v>3097</v>
      </c>
      <c r="T10" s="396">
        <f>T8-T9</f>
        <v>739</v>
      </c>
      <c r="U10" s="343">
        <f>U8-U9</f>
        <v>538</v>
      </c>
      <c r="V10" s="343">
        <f>V8-V9</f>
        <v>582</v>
      </c>
      <c r="W10" s="397">
        <f>W8-SUM(W9:W9)</f>
        <v>623</v>
      </c>
      <c r="X10" s="297">
        <f>X8-X9</f>
        <v>2482</v>
      </c>
      <c r="Y10" s="396">
        <f>Y8-Y9</f>
        <v>587</v>
      </c>
      <c r="Z10" s="343">
        <f>Z8-Z9</f>
        <v>694</v>
      </c>
      <c r="AA10" s="343">
        <f>AA8-AA9</f>
        <v>739</v>
      </c>
      <c r="AB10" s="397">
        <f>AB8-SUM(AB9:AB9)</f>
        <v>547</v>
      </c>
      <c r="AC10" s="297">
        <f>AC8-AC9</f>
        <v>2567</v>
      </c>
      <c r="AD10" s="396">
        <f>AD8-AD9</f>
        <v>656</v>
      </c>
      <c r="AE10" s="343">
        <f>AE8-AE9</f>
        <v>466</v>
      </c>
      <c r="AF10" s="343">
        <f>AF8-AF9</f>
        <v>666</v>
      </c>
      <c r="AG10" s="397">
        <f>AG8-SUM(AG9:AG9)</f>
        <v>899</v>
      </c>
      <c r="AH10" s="297">
        <f>AH8-AH9</f>
        <v>2687</v>
      </c>
      <c r="AI10" s="396">
        <f>AI8-AI9</f>
        <v>832</v>
      </c>
      <c r="AJ10" s="343">
        <f>AJ8-AJ9</f>
        <v>616</v>
      </c>
      <c r="AK10" s="343">
        <f>AK8-AK9</f>
        <v>729</v>
      </c>
      <c r="AL10" s="397">
        <f>AL8-SUM(AL9:AL9)</f>
        <v>601</v>
      </c>
      <c r="AM10" s="297">
        <f>AM8-AM9</f>
        <v>2778</v>
      </c>
      <c r="AN10" s="396">
        <f>AN8-AN9</f>
        <v>675</v>
      </c>
      <c r="AO10" s="343">
        <f>AO8-AO9</f>
        <v>333</v>
      </c>
      <c r="AP10" s="343">
        <f>AP8-AP9</f>
        <v>613</v>
      </c>
      <c r="AQ10" s="397">
        <f>AQ8-SUM(AQ9:AQ9)</f>
        <v>416</v>
      </c>
      <c r="AR10" s="297">
        <f>AR8-AR9</f>
        <v>2037</v>
      </c>
      <c r="AS10" s="396">
        <f>AS8-AS9</f>
        <v>577</v>
      </c>
      <c r="AT10" s="343">
        <f>AT8-AT9</f>
        <v>532</v>
      </c>
      <c r="AU10" s="343">
        <f>AU8-AU9</f>
        <v>516</v>
      </c>
      <c r="AV10" s="397">
        <f>AV8-SUM(AV9:AV9)</f>
        <v>322</v>
      </c>
      <c r="AW10" s="297">
        <f>AW8-AW9</f>
        <v>1947</v>
      </c>
      <c r="AX10" s="396">
        <f t="shared" ref="AX10:BL10" si="1">AX8-AX9</f>
        <v>554.0343382226315</v>
      </c>
      <c r="AY10" s="343">
        <f t="shared" si="1"/>
        <v>473.25213850902878</v>
      </c>
      <c r="AZ10" s="343">
        <f>AZ8-AZ9</f>
        <v>576.89038446936081</v>
      </c>
      <c r="BA10" s="397">
        <f t="shared" si="1"/>
        <v>520.18838457513789</v>
      </c>
      <c r="BB10" s="297">
        <f t="shared" si="1"/>
        <v>2124.3652457761596</v>
      </c>
      <c r="BC10" s="396">
        <f t="shared" si="1"/>
        <v>596.06729151299248</v>
      </c>
      <c r="BD10" s="343">
        <f t="shared" si="1"/>
        <v>543.65048714673731</v>
      </c>
      <c r="BE10" s="343">
        <f t="shared" si="1"/>
        <v>511.94667605266903</v>
      </c>
      <c r="BF10" s="397">
        <f t="shared" si="1"/>
        <v>450.18654681402455</v>
      </c>
      <c r="BG10" s="297">
        <f t="shared" si="1"/>
        <v>2101.8510015264228</v>
      </c>
      <c r="BH10" s="396">
        <f t="shared" si="1"/>
        <v>605.06040153161825</v>
      </c>
      <c r="BI10" s="343">
        <f t="shared" si="1"/>
        <v>490.93232861393324</v>
      </c>
      <c r="BJ10" s="343">
        <f t="shared" si="1"/>
        <v>526.7696212350827</v>
      </c>
      <c r="BK10" s="397">
        <f t="shared" si="1"/>
        <v>493.66645995352542</v>
      </c>
      <c r="BL10" s="297">
        <f t="shared" si="1"/>
        <v>2116.4288113341599</v>
      </c>
      <c r="BM10" s="396">
        <f>BM8-BM9</f>
        <v>615.53648362070635</v>
      </c>
      <c r="BN10" s="343">
        <f>BN8-BN9</f>
        <v>554.32816173105618</v>
      </c>
      <c r="BO10" s="343">
        <f>BO8-BO9</f>
        <v>556.51264182007435</v>
      </c>
      <c r="BP10" s="397">
        <f>BP8-BP9</f>
        <v>559.58502432305932</v>
      </c>
      <c r="BQ10" s="297">
        <f>BQ8-BQ9</f>
        <v>2285.9623114948963</v>
      </c>
      <c r="BS10" s="475"/>
      <c r="BW10" s="1645"/>
      <c r="BX10" s="437"/>
    </row>
    <row r="11" spans="1:96" s="1030" customFormat="1">
      <c r="A11" s="1023"/>
      <c r="B11" s="1023"/>
      <c r="C11" s="1029"/>
      <c r="E11" s="1031"/>
      <c r="F11" s="1032"/>
      <c r="G11" s="1032"/>
      <c r="H11" s="1033"/>
      <c r="J11" s="1031"/>
      <c r="K11" s="1032"/>
      <c r="L11" s="1032"/>
      <c r="M11" s="1033"/>
      <c r="O11" s="1031"/>
      <c r="P11" s="1032"/>
      <c r="Q11" s="1032"/>
      <c r="R11" s="1033"/>
      <c r="T11" s="1031"/>
      <c r="U11" s="1032"/>
      <c r="V11" s="1025"/>
      <c r="W11" s="1033"/>
      <c r="Y11" s="1031"/>
      <c r="Z11" s="1032"/>
      <c r="AA11" s="352"/>
      <c r="AB11" s="416"/>
      <c r="AC11" s="306"/>
      <c r="AD11" s="1031"/>
      <c r="AE11" s="1032"/>
      <c r="AF11" s="352"/>
      <c r="AG11" s="416"/>
      <c r="AH11" s="306"/>
      <c r="AI11" s="1031"/>
      <c r="AJ11" s="1032"/>
      <c r="AK11" s="352"/>
      <c r="AL11" s="416"/>
      <c r="AM11" s="306"/>
      <c r="AN11" s="1031"/>
      <c r="AO11" s="1032"/>
      <c r="AP11" s="1032"/>
      <c r="AQ11" s="416"/>
      <c r="AR11" s="306"/>
      <c r="AS11" s="1031"/>
      <c r="AT11" s="1032"/>
      <c r="AU11" s="1032"/>
      <c r="AV11" s="416"/>
      <c r="AW11" s="306"/>
      <c r="AX11" s="1031"/>
      <c r="AY11" s="1032"/>
      <c r="AZ11" s="1032"/>
      <c r="BA11" s="1033"/>
      <c r="BC11" s="1031"/>
      <c r="BD11" s="1032"/>
      <c r="BE11" s="1032"/>
      <c r="BF11" s="1033"/>
      <c r="BH11" s="1031"/>
      <c r="BI11" s="1032"/>
      <c r="BJ11" s="1032"/>
      <c r="BK11" s="1033"/>
      <c r="BM11" s="1031"/>
      <c r="BN11" s="1032"/>
      <c r="BO11" s="1032"/>
      <c r="BP11" s="1033"/>
      <c r="BW11" s="1646"/>
      <c r="BX11" s="437"/>
    </row>
    <row r="12" spans="1:96" s="2" customFormat="1">
      <c r="A12" s="1523"/>
      <c r="C12" s="2" t="s">
        <v>73</v>
      </c>
      <c r="E12" s="459">
        <v>274</v>
      </c>
      <c r="F12" s="460">
        <v>281</v>
      </c>
      <c r="G12" s="460">
        <v>265</v>
      </c>
      <c r="H12" s="405">
        <f>I12-SUM(E12:G12)</f>
        <v>225</v>
      </c>
      <c r="I12" s="462">
        <v>1045</v>
      </c>
      <c r="J12" s="459">
        <v>251</v>
      </c>
      <c r="K12" s="460">
        <v>260</v>
      </c>
      <c r="L12" s="460">
        <v>263</v>
      </c>
      <c r="M12" s="405">
        <f>N12-SUM(J12:L12)</f>
        <v>272</v>
      </c>
      <c r="N12" s="462">
        <v>1046</v>
      </c>
      <c r="O12" s="459">
        <v>277</v>
      </c>
      <c r="P12" s="460">
        <v>271</v>
      </c>
      <c r="Q12" s="460">
        <v>262</v>
      </c>
      <c r="R12" s="405">
        <f>S12-SUM(O12:Q12)</f>
        <v>292</v>
      </c>
      <c r="S12" s="462">
        <v>1102</v>
      </c>
      <c r="T12" s="459">
        <v>241</v>
      </c>
      <c r="U12" s="460">
        <v>284</v>
      </c>
      <c r="V12" s="460">
        <v>255</v>
      </c>
      <c r="W12" s="405">
        <f>X12-SUM(T12:V12)</f>
        <v>342</v>
      </c>
      <c r="X12" s="462">
        <v>1122</v>
      </c>
      <c r="Y12" s="459">
        <v>282</v>
      </c>
      <c r="Z12" s="460">
        <v>280</v>
      </c>
      <c r="AA12" s="460">
        <v>304</v>
      </c>
      <c r="AB12" s="395">
        <f>AC12-SUM(Y12:AA12)</f>
        <v>358</v>
      </c>
      <c r="AC12" s="462">
        <v>1224</v>
      </c>
      <c r="AD12" s="459">
        <v>302</v>
      </c>
      <c r="AE12" s="460">
        <v>327</v>
      </c>
      <c r="AF12" s="460">
        <v>242</v>
      </c>
      <c r="AG12" s="395">
        <f>AH12-SUM(AD12:AF12)</f>
        <v>315</v>
      </c>
      <c r="AH12" s="462">
        <v>1186</v>
      </c>
      <c r="AI12" s="459">
        <v>172</v>
      </c>
      <c r="AJ12" s="460">
        <v>313</v>
      </c>
      <c r="AK12" s="460">
        <v>263</v>
      </c>
      <c r="AL12" s="395">
        <f>AM12-SUM(AI12:AK12)</f>
        <v>309</v>
      </c>
      <c r="AM12" s="462">
        <v>1057</v>
      </c>
      <c r="AN12" s="459">
        <v>253</v>
      </c>
      <c r="AO12" s="460">
        <v>265</v>
      </c>
      <c r="AP12" s="460">
        <v>289</v>
      </c>
      <c r="AQ12" s="395">
        <f>AR12-SUM(AN12:AP12)</f>
        <v>336</v>
      </c>
      <c r="AR12" s="462">
        <v>1143</v>
      </c>
      <c r="AS12" s="459">
        <v>230</v>
      </c>
      <c r="AT12" s="460">
        <v>254</v>
      </c>
      <c r="AU12" s="460">
        <v>227</v>
      </c>
      <c r="AV12" s="395">
        <f>AW12-SUM(AS12:AU12)</f>
        <v>327</v>
      </c>
      <c r="AW12" s="462">
        <v>1038</v>
      </c>
      <c r="AX12" s="392">
        <f>AX456+AX447</f>
        <v>218.78190000000001</v>
      </c>
      <c r="AY12" s="341">
        <f>AY456+AY447</f>
        <v>241.49982</v>
      </c>
      <c r="AZ12" s="341">
        <f>AZ456+AZ447</f>
        <v>236.6885</v>
      </c>
      <c r="BA12" s="393">
        <f>BA456+BA447</f>
        <v>347.68849999999998</v>
      </c>
      <c r="BB12" s="296">
        <f>SUM(AX12:BA12)</f>
        <v>1044.6587199999999</v>
      </c>
      <c r="BC12" s="392">
        <f>BC456+BC447</f>
        <v>220.959034</v>
      </c>
      <c r="BD12" s="341">
        <f>BD456+BD447</f>
        <v>243.90413319999999</v>
      </c>
      <c r="BE12" s="341">
        <f>BE456+BE447</f>
        <v>242.57899999999998</v>
      </c>
      <c r="BF12" s="393">
        <f>BF456+BF447</f>
        <v>356.35399999999993</v>
      </c>
      <c r="BG12" s="296">
        <f>SUM(BC12:BF12)</f>
        <v>1063.7961671999999</v>
      </c>
      <c r="BH12" s="392">
        <f>BH456+BH447</f>
        <v>225.35684467999999</v>
      </c>
      <c r="BI12" s="341">
        <f>BI456+BI447</f>
        <v>248.760845864</v>
      </c>
      <c r="BJ12" s="341">
        <f>BJ456+BJ447</f>
        <v>243.78655249999994</v>
      </c>
      <c r="BK12" s="393">
        <f>BK456+BK447</f>
        <v>358.13042749999988</v>
      </c>
      <c r="BL12" s="296">
        <f>SUM(BH12:BK12)</f>
        <v>1076.0346705439997</v>
      </c>
      <c r="BM12" s="392">
        <f>BM456+BM447</f>
        <v>226.47828640339998</v>
      </c>
      <c r="BN12" s="341">
        <f>BN456+BN447</f>
        <v>249.99930759331997</v>
      </c>
      <c r="BO12" s="341">
        <f>BO456+BO447</f>
        <v>245.00014276249991</v>
      </c>
      <c r="BP12" s="393">
        <f>BP456+BP447</f>
        <v>359.91573713749983</v>
      </c>
      <c r="BQ12" s="296">
        <f>SUM(BM12:BP12)</f>
        <v>1081.3934738967196</v>
      </c>
      <c r="BS12" s="1220">
        <f>(AR12/AC12-1)^1/3</f>
        <v>-2.2058823529411759E-2</v>
      </c>
      <c r="BT12" s="296" t="s">
        <v>862</v>
      </c>
      <c r="BW12" s="1644"/>
      <c r="BX12" s="437"/>
    </row>
    <row r="13" spans="1:96" s="2" customFormat="1">
      <c r="A13" s="1523"/>
      <c r="C13" s="2" t="s">
        <v>76</v>
      </c>
      <c r="E13" s="459">
        <v>51</v>
      </c>
      <c r="F13" s="460">
        <v>53</v>
      </c>
      <c r="G13" s="460">
        <v>48</v>
      </c>
      <c r="H13" s="405">
        <f>I13-SUM(E13:G13)</f>
        <v>32</v>
      </c>
      <c r="I13" s="462">
        <v>184</v>
      </c>
      <c r="J13" s="459">
        <v>43</v>
      </c>
      <c r="K13" s="460">
        <v>44</v>
      </c>
      <c r="L13" s="460">
        <v>48</v>
      </c>
      <c r="M13" s="405">
        <f>N13-SUM(J13:L13)</f>
        <v>40</v>
      </c>
      <c r="N13" s="462">
        <v>175</v>
      </c>
      <c r="O13" s="459">
        <v>54</v>
      </c>
      <c r="P13" s="460">
        <v>56</v>
      </c>
      <c r="Q13" s="460">
        <v>56</v>
      </c>
      <c r="R13" s="405">
        <f>S13-SUM(O13:Q13)</f>
        <v>58</v>
      </c>
      <c r="S13" s="462">
        <v>224</v>
      </c>
      <c r="T13" s="459">
        <v>57</v>
      </c>
      <c r="U13" s="460">
        <v>58</v>
      </c>
      <c r="V13" s="460">
        <v>60</v>
      </c>
      <c r="W13" s="405">
        <f>X13-SUM(T13:V13)</f>
        <v>62</v>
      </c>
      <c r="X13" s="462">
        <v>237</v>
      </c>
      <c r="Y13" s="459">
        <v>64</v>
      </c>
      <c r="Z13" s="460">
        <v>65</v>
      </c>
      <c r="AA13" s="460">
        <v>66</v>
      </c>
      <c r="AB13" s="395">
        <f>AC13-SUM(Y13:AA13)</f>
        <v>78</v>
      </c>
      <c r="AC13" s="462">
        <v>273</v>
      </c>
      <c r="AD13" s="459">
        <v>72</v>
      </c>
      <c r="AE13" s="460">
        <v>72</v>
      </c>
      <c r="AF13" s="460">
        <v>71</v>
      </c>
      <c r="AG13" s="395">
        <f>AH13-SUM(AD13:AF13)</f>
        <v>77</v>
      </c>
      <c r="AH13" s="462">
        <v>292</v>
      </c>
      <c r="AI13" s="459">
        <v>76</v>
      </c>
      <c r="AJ13" s="460">
        <v>75</v>
      </c>
      <c r="AK13" s="460">
        <v>75</v>
      </c>
      <c r="AL13" s="395">
        <f>AM13-SUM(AI13:AK13)</f>
        <v>65</v>
      </c>
      <c r="AM13" s="462">
        <v>291</v>
      </c>
      <c r="AN13" s="459">
        <v>79</v>
      </c>
      <c r="AO13" s="460">
        <v>80</v>
      </c>
      <c r="AP13" s="460">
        <v>86</v>
      </c>
      <c r="AQ13" s="395">
        <f>AR13-SUM(AN13:AP13)</f>
        <v>636</v>
      </c>
      <c r="AR13" s="462">
        <v>881</v>
      </c>
      <c r="AS13" s="459">
        <v>650</v>
      </c>
      <c r="AT13" s="460">
        <v>465</v>
      </c>
      <c r="AU13" s="460">
        <v>76</v>
      </c>
      <c r="AV13" s="395">
        <f>AW13-SUM(AS13:AU13)</f>
        <v>77</v>
      </c>
      <c r="AW13" s="462">
        <v>1268</v>
      </c>
      <c r="AX13" s="406">
        <f>+AX472+AX448</f>
        <v>82.395847505789007</v>
      </c>
      <c r="AY13" s="348">
        <f>+AY472+AY448</f>
        <v>83.127096870897887</v>
      </c>
      <c r="AZ13" s="348">
        <f>+AZ472+AZ448</f>
        <v>83.851567571699562</v>
      </c>
      <c r="BA13" s="405">
        <f>+BA472+BA448</f>
        <v>83.851567571699562</v>
      </c>
      <c r="BB13" s="451">
        <f>SUM(AX13:BA13)</f>
        <v>333.22607952008599</v>
      </c>
      <c r="BC13" s="406">
        <f>+BC472+BC448</f>
        <v>84.569322425214068</v>
      </c>
      <c r="BD13" s="348">
        <f>+BD472+BD448</f>
        <v>84.391144808827477</v>
      </c>
      <c r="BE13" s="348">
        <f>+BE472+BE448</f>
        <v>84.214591518098473</v>
      </c>
      <c r="BF13" s="405">
        <f>+BF472+BF448</f>
        <v>84.039647727990413</v>
      </c>
      <c r="BG13" s="451">
        <f>SUM(BC13:BF13)</f>
        <v>337.21470648013042</v>
      </c>
      <c r="BH13" s="406">
        <f>+BH472+BH448</f>
        <v>83.866298748917913</v>
      </c>
      <c r="BI13" s="348">
        <f>+BI472+BI448</f>
        <v>83.544392036547279</v>
      </c>
      <c r="BJ13" s="348">
        <f>+BJ472+BJ448</f>
        <v>83.22543832149637</v>
      </c>
      <c r="BK13" s="405">
        <f>+BK472+BK448</f>
        <v>82.909410496775735</v>
      </c>
      <c r="BL13" s="451">
        <f>SUM(BH13:BK13)</f>
        <v>333.54553960373732</v>
      </c>
      <c r="BM13" s="406">
        <f>+BM472+BM448</f>
        <v>82.596281704373382</v>
      </c>
      <c r="BN13" s="348">
        <f>+BN472+BN448</f>
        <v>82.30912348511464</v>
      </c>
      <c r="BO13" s="348">
        <f>+BO472+BO448</f>
        <v>82.024597910098322</v>
      </c>
      <c r="BP13" s="405">
        <f>+BP472+BP448</f>
        <v>81.742680826349726</v>
      </c>
      <c r="BQ13" s="451">
        <f>SUM(BM13:BP13)</f>
        <v>328.6726839259361</v>
      </c>
      <c r="BW13" s="1648"/>
      <c r="BX13" s="437"/>
    </row>
    <row r="14" spans="1:96" s="2" customFormat="1">
      <c r="A14" s="1523"/>
      <c r="C14" s="49" t="s">
        <v>88</v>
      </c>
      <c r="E14" s="396">
        <f>SUM(E9,E12:E13)</f>
        <v>1856</v>
      </c>
      <c r="F14" s="343">
        <f t="shared" ref="F14:AR14" si="2">SUM(F9,F12:F13)</f>
        <v>961</v>
      </c>
      <c r="G14" s="343">
        <f t="shared" si="2"/>
        <v>912</v>
      </c>
      <c r="H14" s="397">
        <f>SUM(H9,H12:H13)</f>
        <v>962</v>
      </c>
      <c r="I14" s="297">
        <f>SUM(I9,I12:I13)</f>
        <v>4691</v>
      </c>
      <c r="J14" s="396">
        <f t="shared" si="2"/>
        <v>1545</v>
      </c>
      <c r="K14" s="343">
        <f t="shared" si="2"/>
        <v>916</v>
      </c>
      <c r="L14" s="343">
        <f t="shared" si="2"/>
        <v>1025</v>
      </c>
      <c r="M14" s="397">
        <f t="shared" si="2"/>
        <v>1109</v>
      </c>
      <c r="N14" s="297">
        <f t="shared" si="2"/>
        <v>4595</v>
      </c>
      <c r="O14" s="396">
        <f t="shared" si="2"/>
        <v>1466</v>
      </c>
      <c r="P14" s="343">
        <f t="shared" si="2"/>
        <v>930</v>
      </c>
      <c r="Q14" s="343">
        <f t="shared" si="2"/>
        <v>915</v>
      </c>
      <c r="R14" s="397">
        <f t="shared" si="2"/>
        <v>1061</v>
      </c>
      <c r="S14" s="297">
        <f t="shared" si="2"/>
        <v>4372</v>
      </c>
      <c r="T14" s="396">
        <f t="shared" si="2"/>
        <v>1120</v>
      </c>
      <c r="U14" s="343">
        <f t="shared" si="2"/>
        <v>789</v>
      </c>
      <c r="V14" s="343">
        <f t="shared" si="2"/>
        <v>771</v>
      </c>
      <c r="W14" s="397">
        <f t="shared" si="2"/>
        <v>1062</v>
      </c>
      <c r="X14" s="297">
        <f t="shared" si="2"/>
        <v>3742</v>
      </c>
      <c r="Y14" s="396">
        <f t="shared" si="2"/>
        <v>1206</v>
      </c>
      <c r="Z14" s="343">
        <f t="shared" si="2"/>
        <v>841</v>
      </c>
      <c r="AA14" s="343">
        <f t="shared" si="2"/>
        <v>800</v>
      </c>
      <c r="AB14" s="397">
        <f t="shared" si="2"/>
        <v>1146</v>
      </c>
      <c r="AC14" s="297">
        <f t="shared" ref="AC14:AI14" si="3">SUM(AC9,AC12:AC13)</f>
        <v>3993</v>
      </c>
      <c r="AD14" s="396">
        <f t="shared" si="3"/>
        <v>1418</v>
      </c>
      <c r="AE14" s="343">
        <f t="shared" si="3"/>
        <v>919</v>
      </c>
      <c r="AF14" s="343">
        <f t="shared" si="3"/>
        <v>785</v>
      </c>
      <c r="AG14" s="397">
        <f t="shared" si="3"/>
        <v>1103</v>
      </c>
      <c r="AH14" s="297">
        <f t="shared" si="3"/>
        <v>4225</v>
      </c>
      <c r="AI14" s="396">
        <f t="shared" si="3"/>
        <v>1141</v>
      </c>
      <c r="AJ14" s="343">
        <f t="shared" ref="AJ14:AO14" si="4">SUM(AJ9,AJ12:AJ13)</f>
        <v>797</v>
      </c>
      <c r="AK14" s="343">
        <f t="shared" si="4"/>
        <v>705</v>
      </c>
      <c r="AL14" s="397">
        <f t="shared" si="4"/>
        <v>855</v>
      </c>
      <c r="AM14" s="297">
        <f t="shared" si="4"/>
        <v>3498</v>
      </c>
      <c r="AN14" s="396">
        <f t="shared" si="4"/>
        <v>970</v>
      </c>
      <c r="AO14" s="343">
        <f t="shared" si="4"/>
        <v>726</v>
      </c>
      <c r="AP14" s="343">
        <f t="shared" si="2"/>
        <v>837</v>
      </c>
      <c r="AQ14" s="397">
        <f t="shared" si="2"/>
        <v>1477</v>
      </c>
      <c r="AR14" s="297">
        <f t="shared" si="2"/>
        <v>4010</v>
      </c>
      <c r="AS14" s="396">
        <f t="shared" ref="AS14:BB14" si="5">SUM(AS9,AS12:AS13)</f>
        <v>1587</v>
      </c>
      <c r="AT14" s="343">
        <f t="shared" si="5"/>
        <v>1116</v>
      </c>
      <c r="AU14" s="343">
        <f t="shared" si="5"/>
        <v>660</v>
      </c>
      <c r="AV14" s="397">
        <f t="shared" si="5"/>
        <v>926</v>
      </c>
      <c r="AW14" s="297">
        <f t="shared" si="5"/>
        <v>4289</v>
      </c>
      <c r="AX14" s="396">
        <f t="shared" si="5"/>
        <v>537.0107079945758</v>
      </c>
      <c r="AY14" s="343">
        <f t="shared" si="5"/>
        <v>524.51594660638534</v>
      </c>
      <c r="AZ14" s="343">
        <f>SUM(AZ9,AZ12:AZ13)</f>
        <v>541.72922941307456</v>
      </c>
      <c r="BA14" s="397">
        <f t="shared" si="5"/>
        <v>659.61527603282445</v>
      </c>
      <c r="BB14" s="297">
        <f t="shared" si="5"/>
        <v>2262.87116004686</v>
      </c>
      <c r="BC14" s="396">
        <f t="shared" ref="BC14:BL14" si="6">SUM(BC9,BC12:BC13)</f>
        <v>578.74829271671479</v>
      </c>
      <c r="BD14" s="343">
        <f t="shared" si="6"/>
        <v>509.3850336977066</v>
      </c>
      <c r="BE14" s="343">
        <f t="shared" si="6"/>
        <v>512.76957959877029</v>
      </c>
      <c r="BF14" s="397">
        <f t="shared" si="6"/>
        <v>704.84629759078655</v>
      </c>
      <c r="BG14" s="297">
        <f t="shared" si="6"/>
        <v>2305.7492036039785</v>
      </c>
      <c r="BH14" s="396">
        <f t="shared" si="6"/>
        <v>607.97879542971145</v>
      </c>
      <c r="BI14" s="343">
        <f t="shared" si="6"/>
        <v>521.34124884202186</v>
      </c>
      <c r="BJ14" s="343">
        <f t="shared" si="6"/>
        <v>513.6935234819714</v>
      </c>
      <c r="BK14" s="397">
        <f t="shared" si="6"/>
        <v>706.09870054994326</v>
      </c>
      <c r="BL14" s="297">
        <f t="shared" si="6"/>
        <v>2349.1122683036479</v>
      </c>
      <c r="BM14" s="396">
        <f>SUM(BM9,BM12:BM13)</f>
        <v>581.94012387047337</v>
      </c>
      <c r="BN14" s="343">
        <f>SUM(BN9,BN12:BN13)</f>
        <v>543.98033372756709</v>
      </c>
      <c r="BO14" s="343">
        <f>SUM(BO9,BO12:BO13)</f>
        <v>534.91789831174378</v>
      </c>
      <c r="BP14" s="397">
        <f>SUM(BP9,BP12:BP13)</f>
        <v>668.59686441341069</v>
      </c>
      <c r="BQ14" s="297">
        <f>SUM(BQ9,BQ12:BQ13)</f>
        <v>2329.4352203231947</v>
      </c>
      <c r="BW14" s="1645"/>
      <c r="BX14" s="437"/>
    </row>
    <row r="15" spans="1:96" s="2" customFormat="1">
      <c r="A15" s="1523"/>
      <c r="C15" s="49"/>
      <c r="E15" s="459"/>
      <c r="F15" s="460"/>
      <c r="G15" s="460"/>
      <c r="H15" s="461"/>
      <c r="I15" s="462"/>
      <c r="J15" s="459"/>
      <c r="K15" s="460"/>
      <c r="L15" s="460"/>
      <c r="M15" s="461"/>
      <c r="N15" s="462"/>
      <c r="O15" s="459"/>
      <c r="P15" s="460"/>
      <c r="Q15" s="460"/>
      <c r="R15" s="461"/>
      <c r="S15" s="462"/>
      <c r="T15" s="459"/>
      <c r="U15" s="460"/>
      <c r="V15" s="460"/>
      <c r="W15" s="461"/>
      <c r="X15" s="462"/>
      <c r="Y15" s="392"/>
      <c r="Z15" s="460"/>
      <c r="AA15" s="460"/>
      <c r="AB15" s="461"/>
      <c r="AC15" s="462"/>
      <c r="AD15" s="392"/>
      <c r="AE15" s="460"/>
      <c r="AF15" s="460"/>
      <c r="AG15" s="461"/>
      <c r="AH15" s="462"/>
      <c r="AI15" s="392"/>
      <c r="AJ15" s="460"/>
      <c r="AK15" s="460"/>
      <c r="AL15" s="461"/>
      <c r="AM15" s="462"/>
      <c r="AN15" s="392"/>
      <c r="AO15" s="460"/>
      <c r="AP15" s="460"/>
      <c r="AQ15" s="461"/>
      <c r="AR15" s="462"/>
      <c r="AS15" s="392"/>
      <c r="AT15" s="460"/>
      <c r="AU15" s="460"/>
      <c r="AV15" s="461"/>
      <c r="AW15" s="462"/>
      <c r="AX15" s="392"/>
      <c r="AY15" s="341"/>
      <c r="AZ15" s="341"/>
      <c r="BA15" s="393"/>
      <c r="BB15" s="296"/>
      <c r="BC15" s="392"/>
      <c r="BD15" s="341"/>
      <c r="BE15" s="341"/>
      <c r="BF15" s="393"/>
      <c r="BG15" s="296"/>
      <c r="BH15" s="392"/>
      <c r="BI15" s="341"/>
      <c r="BJ15" s="341"/>
      <c r="BK15" s="393"/>
      <c r="BL15" s="296"/>
      <c r="BM15" s="392"/>
      <c r="BN15" s="341"/>
      <c r="BO15" s="341"/>
      <c r="BP15" s="393"/>
      <c r="BQ15" s="296"/>
      <c r="BW15" s="1644"/>
      <c r="BX15" s="437"/>
    </row>
    <row r="16" spans="1:96" s="2" customFormat="1">
      <c r="A16" s="1523"/>
      <c r="C16" s="49" t="s">
        <v>79</v>
      </c>
      <c r="E16" s="396">
        <f t="shared" ref="E16:X16" si="7">E8-E14</f>
        <v>608</v>
      </c>
      <c r="F16" s="343">
        <f t="shared" si="7"/>
        <v>402</v>
      </c>
      <c r="G16" s="343">
        <f t="shared" si="7"/>
        <v>652</v>
      </c>
      <c r="H16" s="397">
        <f t="shared" si="7"/>
        <v>419</v>
      </c>
      <c r="I16" s="297">
        <f t="shared" si="7"/>
        <v>2081</v>
      </c>
      <c r="J16" s="396">
        <f t="shared" si="7"/>
        <v>651</v>
      </c>
      <c r="K16" s="343">
        <f t="shared" si="7"/>
        <v>348</v>
      </c>
      <c r="L16" s="343">
        <f t="shared" si="7"/>
        <v>638</v>
      </c>
      <c r="M16" s="397">
        <f t="shared" si="7"/>
        <v>326</v>
      </c>
      <c r="N16" s="297">
        <f t="shared" si="7"/>
        <v>1963</v>
      </c>
      <c r="O16" s="396">
        <f t="shared" si="7"/>
        <v>501</v>
      </c>
      <c r="P16" s="343">
        <f t="shared" si="7"/>
        <v>355</v>
      </c>
      <c r="Q16" s="343">
        <f t="shared" si="7"/>
        <v>483</v>
      </c>
      <c r="R16" s="397">
        <f t="shared" si="7"/>
        <v>432</v>
      </c>
      <c r="S16" s="297">
        <f t="shared" si="7"/>
        <v>1771</v>
      </c>
      <c r="T16" s="396">
        <f t="shared" si="7"/>
        <v>441</v>
      </c>
      <c r="U16" s="343">
        <f t="shared" si="7"/>
        <v>196</v>
      </c>
      <c r="V16" s="343">
        <f t="shared" si="7"/>
        <v>267</v>
      </c>
      <c r="W16" s="397">
        <f t="shared" si="7"/>
        <v>219</v>
      </c>
      <c r="X16" s="297">
        <f t="shared" si="7"/>
        <v>1123</v>
      </c>
      <c r="Y16" s="396">
        <f t="shared" ref="Y16:AE16" si="8">Y8-Y14</f>
        <v>241</v>
      </c>
      <c r="Z16" s="343">
        <f t="shared" si="8"/>
        <v>349</v>
      </c>
      <c r="AA16" s="343">
        <f t="shared" si="8"/>
        <v>369</v>
      </c>
      <c r="AB16" s="397">
        <f t="shared" si="8"/>
        <v>111</v>
      </c>
      <c r="AC16" s="297">
        <f t="shared" si="8"/>
        <v>1070</v>
      </c>
      <c r="AD16" s="396">
        <f t="shared" si="8"/>
        <v>282</v>
      </c>
      <c r="AE16" s="343">
        <f t="shared" si="8"/>
        <v>67</v>
      </c>
      <c r="AF16" s="343">
        <f t="shared" ref="AF16:AK16" si="9">AF8-AF14</f>
        <v>353</v>
      </c>
      <c r="AG16" s="397">
        <f t="shared" si="9"/>
        <v>507</v>
      </c>
      <c r="AH16" s="297">
        <f t="shared" si="9"/>
        <v>1209</v>
      </c>
      <c r="AI16" s="396">
        <f t="shared" si="9"/>
        <v>584</v>
      </c>
      <c r="AJ16" s="343">
        <f t="shared" si="9"/>
        <v>228</v>
      </c>
      <c r="AK16" s="343">
        <f t="shared" si="9"/>
        <v>391</v>
      </c>
      <c r="AL16" s="397">
        <f t="shared" ref="AL16:AR16" si="10">AL8-AL14</f>
        <v>227</v>
      </c>
      <c r="AM16" s="297">
        <f t="shared" si="10"/>
        <v>1430</v>
      </c>
      <c r="AN16" s="396">
        <f t="shared" si="10"/>
        <v>343</v>
      </c>
      <c r="AO16" s="343">
        <f t="shared" si="10"/>
        <v>-12</v>
      </c>
      <c r="AP16" s="343">
        <f t="shared" si="10"/>
        <v>238</v>
      </c>
      <c r="AQ16" s="397">
        <f t="shared" si="10"/>
        <v>-556</v>
      </c>
      <c r="AR16" s="297">
        <f t="shared" si="10"/>
        <v>13</v>
      </c>
      <c r="AS16" s="396">
        <f t="shared" ref="AS16:BB16" si="11">AS8-AS14</f>
        <v>-303</v>
      </c>
      <c r="AT16" s="343">
        <f t="shared" si="11"/>
        <v>-187</v>
      </c>
      <c r="AU16" s="343">
        <f t="shared" si="11"/>
        <v>213</v>
      </c>
      <c r="AV16" s="397">
        <f t="shared" si="11"/>
        <v>-82</v>
      </c>
      <c r="AW16" s="297">
        <f t="shared" si="11"/>
        <v>-359</v>
      </c>
      <c r="AX16" s="396">
        <f t="shared" si="11"/>
        <v>252.85659071684245</v>
      </c>
      <c r="AY16" s="343">
        <f t="shared" si="11"/>
        <v>148.62522163813094</v>
      </c>
      <c r="AZ16" s="343">
        <f>AZ8-AZ14</f>
        <v>256.35031689766129</v>
      </c>
      <c r="BA16" s="397">
        <f t="shared" si="11"/>
        <v>88.648317003438478</v>
      </c>
      <c r="BB16" s="297">
        <f t="shared" si="11"/>
        <v>746.48044625607372</v>
      </c>
      <c r="BC16" s="396">
        <f t="shared" ref="BC16:BL16" si="12">BC8-BC14</f>
        <v>290.53893508777844</v>
      </c>
      <c r="BD16" s="343">
        <f t="shared" si="12"/>
        <v>215.35520913790981</v>
      </c>
      <c r="BE16" s="343">
        <f t="shared" si="12"/>
        <v>185.15308453457055</v>
      </c>
      <c r="BF16" s="397">
        <f t="shared" si="12"/>
        <v>9.7928990860342537</v>
      </c>
      <c r="BG16" s="297">
        <f t="shared" si="12"/>
        <v>700.84012784629249</v>
      </c>
      <c r="BH16" s="396">
        <f t="shared" si="12"/>
        <v>295.8372581027005</v>
      </c>
      <c r="BI16" s="343">
        <f t="shared" si="12"/>
        <v>158.627090713386</v>
      </c>
      <c r="BJ16" s="343">
        <f t="shared" si="12"/>
        <v>199.75763041358653</v>
      </c>
      <c r="BK16" s="397">
        <f t="shared" si="12"/>
        <v>52.626621956749773</v>
      </c>
      <c r="BL16" s="297">
        <f t="shared" si="12"/>
        <v>706.84860118642291</v>
      </c>
      <c r="BM16" s="396">
        <f>BM8-BM14</f>
        <v>306.46191551293293</v>
      </c>
      <c r="BN16" s="343">
        <f>BN8-BN14</f>
        <v>222.01973065262166</v>
      </c>
      <c r="BO16" s="343">
        <f>BO8-BO14</f>
        <v>229.48790114747612</v>
      </c>
      <c r="BP16" s="397">
        <f>BP8-BP14</f>
        <v>117.9266063592097</v>
      </c>
      <c r="BQ16" s="297">
        <f>BQ8-BQ14</f>
        <v>875.89615367224087</v>
      </c>
      <c r="BW16" s="1645"/>
      <c r="BX16" s="437"/>
    </row>
    <row r="17" spans="1:94" s="1023" customFormat="1">
      <c r="C17" s="1026"/>
      <c r="E17" s="1027"/>
      <c r="F17" s="1022"/>
      <c r="G17" s="1022"/>
      <c r="H17" s="1028"/>
      <c r="J17" s="1027"/>
      <c r="K17" s="1022"/>
      <c r="L17" s="1022"/>
      <c r="M17" s="1028"/>
      <c r="O17" s="1027"/>
      <c r="P17" s="1022"/>
      <c r="Q17" s="1022"/>
      <c r="R17" s="1028"/>
      <c r="T17" s="1027"/>
      <c r="U17" s="1022"/>
      <c r="V17" s="1025"/>
      <c r="W17" s="1028"/>
      <c r="Y17" s="1027"/>
      <c r="Z17" s="1022"/>
      <c r="AA17" s="352"/>
      <c r="AB17" s="416"/>
      <c r="AC17" s="306"/>
      <c r="AD17" s="1027"/>
      <c r="AE17" s="1022"/>
      <c r="AF17" s="352"/>
      <c r="AG17" s="416"/>
      <c r="AH17" s="306"/>
      <c r="AI17" s="1027"/>
      <c r="AJ17" s="1022"/>
      <c r="AK17" s="352"/>
      <c r="AL17" s="416"/>
      <c r="AM17" s="306"/>
      <c r="AN17" s="1027"/>
      <c r="AO17" s="1022"/>
      <c r="AP17" s="1022"/>
      <c r="AQ17" s="416"/>
      <c r="AR17" s="306"/>
      <c r="AS17" s="1027"/>
      <c r="AT17" s="1022"/>
      <c r="AU17" s="1022"/>
      <c r="AV17" s="416"/>
      <c r="AW17" s="306"/>
      <c r="AX17" s="1027"/>
      <c r="AY17" s="1022"/>
      <c r="AZ17" s="1022"/>
      <c r="BA17" s="1028"/>
      <c r="BC17" s="1027"/>
      <c r="BD17" s="1022"/>
      <c r="BE17" s="1022"/>
      <c r="BF17" s="1028"/>
      <c r="BH17" s="1027"/>
      <c r="BI17" s="1022"/>
      <c r="BJ17" s="1022"/>
      <c r="BK17" s="1028"/>
      <c r="BM17" s="1027"/>
      <c r="BN17" s="1022"/>
      <c r="BO17" s="1022"/>
      <c r="BP17" s="1028"/>
      <c r="BS17" s="1585"/>
      <c r="BT17" s="1585"/>
      <c r="BU17" s="1585"/>
      <c r="BV17" s="1585"/>
      <c r="BW17" s="1646"/>
      <c r="BX17" s="437"/>
      <c r="BY17" s="1585"/>
      <c r="BZ17" s="1585"/>
      <c r="CA17" s="1585"/>
      <c r="CB17" s="1585"/>
      <c r="CC17" s="1585"/>
      <c r="CD17" s="1585"/>
      <c r="CE17" s="1585"/>
      <c r="CF17" s="1585"/>
      <c r="CG17" s="1585"/>
      <c r="CH17" s="1585"/>
      <c r="CI17" s="1585"/>
      <c r="CJ17" s="1585"/>
      <c r="CK17" s="1585"/>
      <c r="CL17" s="1585"/>
      <c r="CM17" s="1585"/>
      <c r="CN17" s="1585"/>
      <c r="CO17" s="1585"/>
      <c r="CP17" s="1585"/>
    </row>
    <row r="18" spans="1:94" s="2" customFormat="1">
      <c r="A18" s="1523"/>
      <c r="B18" s="1685"/>
      <c r="C18" s="2" t="s">
        <v>385</v>
      </c>
      <c r="E18" s="459">
        <f>20-60</f>
        <v>-40</v>
      </c>
      <c r="F18" s="460">
        <f>42</f>
        <v>42</v>
      </c>
      <c r="G18" s="460">
        <f>23</f>
        <v>23</v>
      </c>
      <c r="H18" s="405">
        <f>I18-SUM(E18:G18)</f>
        <v>13</v>
      </c>
      <c r="I18" s="462">
        <f>233-135-60</f>
        <v>38</v>
      </c>
      <c r="J18" s="459">
        <f>25-1</f>
        <v>24</v>
      </c>
      <c r="K18" s="460">
        <f>30-5</f>
        <v>25</v>
      </c>
      <c r="L18" s="460">
        <f>35-2</f>
        <v>33</v>
      </c>
      <c r="M18" s="405">
        <f>N18-SUM(J18:L18)</f>
        <v>26</v>
      </c>
      <c r="N18" s="462">
        <f>170-53-9</f>
        <v>108</v>
      </c>
      <c r="O18" s="459">
        <f>58-2</f>
        <v>56</v>
      </c>
      <c r="P18" s="460">
        <f>35-1</f>
        <v>34</v>
      </c>
      <c r="Q18" s="460">
        <f>27-8</f>
        <v>19</v>
      </c>
      <c r="R18" s="405">
        <f>S18-SUM(O18:Q18)</f>
        <v>-18</v>
      </c>
      <c r="S18" s="462">
        <f>190-79-20</f>
        <v>91</v>
      </c>
      <c r="T18" s="459">
        <f>15-5</f>
        <v>10</v>
      </c>
      <c r="U18" s="460">
        <f>37-17-7</f>
        <v>13</v>
      </c>
      <c r="V18" s="460">
        <f>104-20-2</f>
        <v>82</v>
      </c>
      <c r="W18" s="405">
        <f>X18-SUM(T18:V18)</f>
        <v>-14</v>
      </c>
      <c r="X18" s="462">
        <f>199-90-18</f>
        <v>91</v>
      </c>
      <c r="Y18" s="459">
        <f>47-28-2</f>
        <v>17</v>
      </c>
      <c r="Z18" s="460">
        <f>35-10-2</f>
        <v>23</v>
      </c>
      <c r="AA18" s="460">
        <f>45-11-3</f>
        <v>31</v>
      </c>
      <c r="AB18" s="395">
        <f>AC18-SUM(Y18:AA18)</f>
        <v>38</v>
      </c>
      <c r="AC18" s="462">
        <f>16+154-49-12</f>
        <v>109</v>
      </c>
      <c r="AD18" s="459">
        <f>4+33-10-2</f>
        <v>25</v>
      </c>
      <c r="AE18" s="460">
        <f>3+46-9-2</f>
        <v>38</v>
      </c>
      <c r="AF18" s="460">
        <f>56-6-10+4</f>
        <v>44</v>
      </c>
      <c r="AG18" s="395">
        <f>AH18-SUM(AD18:AF18)</f>
        <v>57</v>
      </c>
      <c r="AH18" s="462">
        <f>14+222-52-20</f>
        <v>164</v>
      </c>
      <c r="AI18" s="459">
        <f>3+29-11-5</f>
        <v>16</v>
      </c>
      <c r="AJ18" s="460">
        <f>5+55-7-10</f>
        <v>43</v>
      </c>
      <c r="AK18" s="460">
        <f>3+25-14-30</f>
        <v>-16</v>
      </c>
      <c r="AL18" s="395">
        <f>AM18-SUM(AI18:AK18)</f>
        <v>15</v>
      </c>
      <c r="AM18" s="462">
        <f>14+169-72-53</f>
        <v>58</v>
      </c>
      <c r="AN18" s="459">
        <f>2+26-18-10</f>
        <v>0</v>
      </c>
      <c r="AO18" s="460">
        <f>4+25-9-10</f>
        <v>10</v>
      </c>
      <c r="AP18" s="460">
        <f>3+23-6-5</f>
        <v>15</v>
      </c>
      <c r="AQ18" s="395">
        <f>AR18-SUM(AN18:AP18)</f>
        <v>3</v>
      </c>
      <c r="AR18" s="462">
        <f>11+102-57-28</f>
        <v>28</v>
      </c>
      <c r="AS18" s="459">
        <f>3+38-7-1</f>
        <v>33</v>
      </c>
      <c r="AT18" s="460">
        <f>5+46-7-3</f>
        <v>41</v>
      </c>
      <c r="AU18" s="460">
        <f>3+43-8-5</f>
        <v>33</v>
      </c>
      <c r="AV18" s="395">
        <f>AW18-SUM(AS18:AU18)</f>
        <v>52</v>
      </c>
      <c r="AW18" s="462">
        <f>14+213-56-12</f>
        <v>159</v>
      </c>
      <c r="AX18" s="398">
        <f>AS18*(50/4/AS18)</f>
        <v>12.5</v>
      </c>
      <c r="AY18" s="344">
        <f>AS18*(50/4/AS18)</f>
        <v>12.5</v>
      </c>
      <c r="AZ18" s="344">
        <f>AS18*(50/4/AS18)</f>
        <v>12.5</v>
      </c>
      <c r="BA18" s="399">
        <f>AS18*(50/4/AS18)</f>
        <v>12.5</v>
      </c>
      <c r="BB18" s="437">
        <f>SUM(AX18:BA18)</f>
        <v>50</v>
      </c>
      <c r="BC18" s="398">
        <f>AX18</f>
        <v>12.5</v>
      </c>
      <c r="BD18" s="344">
        <f>AY18</f>
        <v>12.5</v>
      </c>
      <c r="BE18" s="344">
        <f>AZ18</f>
        <v>12.5</v>
      </c>
      <c r="BF18" s="399">
        <f>BA18</f>
        <v>12.5</v>
      </c>
      <c r="BG18" s="476">
        <f>SUM(BC18:BF18)</f>
        <v>50</v>
      </c>
      <c r="BH18" s="398">
        <f>BC18</f>
        <v>12.5</v>
      </c>
      <c r="BI18" s="344">
        <f>BD18</f>
        <v>12.5</v>
      </c>
      <c r="BJ18" s="344">
        <f>BE18</f>
        <v>12.5</v>
      </c>
      <c r="BK18" s="399">
        <f>BF18</f>
        <v>12.5</v>
      </c>
      <c r="BL18" s="476">
        <f>SUM(BH18:BK18)</f>
        <v>50</v>
      </c>
      <c r="BM18" s="398">
        <f>BH18</f>
        <v>12.5</v>
      </c>
      <c r="BN18" s="344">
        <f>BI18</f>
        <v>12.5</v>
      </c>
      <c r="BO18" s="344">
        <f>BJ18</f>
        <v>12.5</v>
      </c>
      <c r="BP18" s="399">
        <f>BK18</f>
        <v>12.5</v>
      </c>
      <c r="BQ18" s="476">
        <f>SUM(BM18:BP18)</f>
        <v>50</v>
      </c>
      <c r="BS18"/>
      <c r="BT18"/>
      <c r="BU18"/>
      <c r="BV18"/>
      <c r="BW18" s="1647"/>
      <c r="BX18" s="437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4" s="2" customFormat="1">
      <c r="A19" s="1523"/>
      <c r="C19" s="49"/>
      <c r="E19" s="459"/>
      <c r="F19" s="460"/>
      <c r="G19" s="460"/>
      <c r="H19" s="461"/>
      <c r="I19" s="462"/>
      <c r="J19" s="459"/>
      <c r="K19" s="460"/>
      <c r="L19" s="460"/>
      <c r="M19" s="461"/>
      <c r="N19" s="462"/>
      <c r="O19" s="459"/>
      <c r="P19" s="460"/>
      <c r="Q19" s="460"/>
      <c r="R19" s="461"/>
      <c r="S19" s="462"/>
      <c r="T19" s="459"/>
      <c r="U19" s="460"/>
      <c r="V19" s="460"/>
      <c r="W19" s="461"/>
      <c r="X19" s="462"/>
      <c r="Y19" s="459"/>
      <c r="Z19" s="460"/>
      <c r="AA19" s="460"/>
      <c r="AB19" s="461"/>
      <c r="AC19" s="462"/>
      <c r="AD19" s="459"/>
      <c r="AE19" s="460"/>
      <c r="AF19" s="460"/>
      <c r="AG19" s="461"/>
      <c r="AH19" s="462"/>
      <c r="AI19" s="459"/>
      <c r="AJ19" s="460"/>
      <c r="AK19" s="460"/>
      <c r="AL19" s="461"/>
      <c r="AM19" s="462"/>
      <c r="AN19" s="459"/>
      <c r="AO19" s="460"/>
      <c r="AP19" s="460"/>
      <c r="AQ19" s="461"/>
      <c r="AR19" s="462"/>
      <c r="AS19" s="459"/>
      <c r="AT19" s="460"/>
      <c r="AU19" s="460"/>
      <c r="AV19" s="461"/>
      <c r="AW19" s="462"/>
      <c r="AX19" s="392"/>
      <c r="AY19" s="341"/>
      <c r="AZ19" s="341"/>
      <c r="BA19" s="393"/>
      <c r="BB19" s="296"/>
      <c r="BC19" s="392"/>
      <c r="BD19" s="341"/>
      <c r="BE19" s="341"/>
      <c r="BF19" s="393"/>
      <c r="BG19" s="296"/>
      <c r="BH19" s="392"/>
      <c r="BI19" s="341"/>
      <c r="BJ19" s="341"/>
      <c r="BK19" s="393"/>
      <c r="BL19" s="296"/>
      <c r="BM19" s="392"/>
      <c r="BN19" s="341"/>
      <c r="BO19" s="341"/>
      <c r="BP19" s="393"/>
      <c r="BQ19" s="296"/>
      <c r="BS19"/>
      <c r="BT19"/>
      <c r="BU19"/>
      <c r="BV19"/>
      <c r="BW19" s="1644"/>
      <c r="BX19" s="437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4" s="2" customFormat="1">
      <c r="A20" s="1523"/>
      <c r="C20" s="49" t="s">
        <v>545</v>
      </c>
      <c r="E20" s="477">
        <f t="shared" ref="E20:X20" si="13">E16+E18</f>
        <v>568</v>
      </c>
      <c r="F20" s="478">
        <f t="shared" si="13"/>
        <v>444</v>
      </c>
      <c r="G20" s="478">
        <f t="shared" si="13"/>
        <v>675</v>
      </c>
      <c r="H20" s="479">
        <f t="shared" si="13"/>
        <v>432</v>
      </c>
      <c r="I20" s="297">
        <f t="shared" si="13"/>
        <v>2119</v>
      </c>
      <c r="J20" s="396">
        <f t="shared" si="13"/>
        <v>675</v>
      </c>
      <c r="K20" s="343">
        <f t="shared" si="13"/>
        <v>373</v>
      </c>
      <c r="L20" s="343">
        <f t="shared" si="13"/>
        <v>671</v>
      </c>
      <c r="M20" s="397">
        <f t="shared" si="13"/>
        <v>352</v>
      </c>
      <c r="N20" s="297">
        <f t="shared" si="13"/>
        <v>2071</v>
      </c>
      <c r="O20" s="396">
        <f t="shared" si="13"/>
        <v>557</v>
      </c>
      <c r="P20" s="343">
        <f t="shared" si="13"/>
        <v>389</v>
      </c>
      <c r="Q20" s="343">
        <f t="shared" si="13"/>
        <v>502</v>
      </c>
      <c r="R20" s="397">
        <f t="shared" si="13"/>
        <v>414</v>
      </c>
      <c r="S20" s="297">
        <f t="shared" si="13"/>
        <v>1862</v>
      </c>
      <c r="T20" s="396">
        <f t="shared" si="13"/>
        <v>451</v>
      </c>
      <c r="U20" s="343">
        <f t="shared" si="13"/>
        <v>209</v>
      </c>
      <c r="V20" s="343">
        <f t="shared" si="13"/>
        <v>349</v>
      </c>
      <c r="W20" s="397">
        <f t="shared" si="13"/>
        <v>205</v>
      </c>
      <c r="X20" s="297">
        <f t="shared" si="13"/>
        <v>1214</v>
      </c>
      <c r="Y20" s="396">
        <f t="shared" ref="Y20:AE20" si="14">Y16+Y18</f>
        <v>258</v>
      </c>
      <c r="Z20" s="343">
        <f t="shared" si="14"/>
        <v>372</v>
      </c>
      <c r="AA20" s="343">
        <f t="shared" si="14"/>
        <v>400</v>
      </c>
      <c r="AB20" s="397">
        <f t="shared" si="14"/>
        <v>149</v>
      </c>
      <c r="AC20" s="297">
        <f t="shared" si="14"/>
        <v>1179</v>
      </c>
      <c r="AD20" s="396">
        <f t="shared" si="14"/>
        <v>307</v>
      </c>
      <c r="AE20" s="343">
        <f t="shared" si="14"/>
        <v>105</v>
      </c>
      <c r="AF20" s="343">
        <f t="shared" ref="AF20:AK20" si="15">AF16+AF18</f>
        <v>397</v>
      </c>
      <c r="AG20" s="397">
        <f t="shared" si="15"/>
        <v>564</v>
      </c>
      <c r="AH20" s="297">
        <f t="shared" si="15"/>
        <v>1373</v>
      </c>
      <c r="AI20" s="396">
        <f t="shared" si="15"/>
        <v>600</v>
      </c>
      <c r="AJ20" s="343">
        <f t="shared" si="15"/>
        <v>271</v>
      </c>
      <c r="AK20" s="343">
        <f t="shared" si="15"/>
        <v>375</v>
      </c>
      <c r="AL20" s="397">
        <f t="shared" ref="AL20:AR20" si="16">AL16+AL18</f>
        <v>242</v>
      </c>
      <c r="AM20" s="297">
        <f t="shared" si="16"/>
        <v>1488</v>
      </c>
      <c r="AN20" s="396">
        <f t="shared" si="16"/>
        <v>343</v>
      </c>
      <c r="AO20" s="343">
        <f t="shared" si="16"/>
        <v>-2</v>
      </c>
      <c r="AP20" s="343">
        <f t="shared" si="16"/>
        <v>253</v>
      </c>
      <c r="AQ20" s="397">
        <f t="shared" si="16"/>
        <v>-553</v>
      </c>
      <c r="AR20" s="297">
        <f t="shared" si="16"/>
        <v>41</v>
      </c>
      <c r="AS20" s="396">
        <f t="shared" ref="AS20:AY20" si="17">AS16+AS18</f>
        <v>-270</v>
      </c>
      <c r="AT20" s="343">
        <f t="shared" si="17"/>
        <v>-146</v>
      </c>
      <c r="AU20" s="343">
        <f t="shared" si="17"/>
        <v>246</v>
      </c>
      <c r="AV20" s="397">
        <f t="shared" si="17"/>
        <v>-30</v>
      </c>
      <c r="AW20" s="297">
        <f t="shared" si="17"/>
        <v>-200</v>
      </c>
      <c r="AX20" s="396">
        <f t="shared" si="17"/>
        <v>265.35659071684245</v>
      </c>
      <c r="AY20" s="343">
        <f t="shared" si="17"/>
        <v>161.12522163813094</v>
      </c>
      <c r="AZ20" s="343">
        <f>AZ16+AZ18</f>
        <v>268.85031689766129</v>
      </c>
      <c r="BA20" s="397">
        <f>BA16+BA18</f>
        <v>101.14831700343848</v>
      </c>
      <c r="BB20" s="297">
        <f>BB16+BB18</f>
        <v>796.48044625607372</v>
      </c>
      <c r="BC20" s="396">
        <f t="shared" ref="BC20:BL20" si="18">BC16+BC18</f>
        <v>303.03893508777844</v>
      </c>
      <c r="BD20" s="343">
        <f t="shared" si="18"/>
        <v>227.85520913790981</v>
      </c>
      <c r="BE20" s="343">
        <f t="shared" si="18"/>
        <v>197.65308453457055</v>
      </c>
      <c r="BF20" s="397">
        <f t="shared" si="18"/>
        <v>22.292899086034254</v>
      </c>
      <c r="BG20" s="297">
        <f t="shared" si="18"/>
        <v>750.84012784629249</v>
      </c>
      <c r="BH20" s="396">
        <f t="shared" si="18"/>
        <v>308.3372581027005</v>
      </c>
      <c r="BI20" s="343">
        <f t="shared" si="18"/>
        <v>171.127090713386</v>
      </c>
      <c r="BJ20" s="343">
        <f t="shared" si="18"/>
        <v>212.25763041358653</v>
      </c>
      <c r="BK20" s="397">
        <f t="shared" si="18"/>
        <v>65.126621956749773</v>
      </c>
      <c r="BL20" s="297">
        <f t="shared" si="18"/>
        <v>756.84860118642291</v>
      </c>
      <c r="BM20" s="396">
        <f>BM16+BM18</f>
        <v>318.96191551293293</v>
      </c>
      <c r="BN20" s="343">
        <f>BN16+BN18</f>
        <v>234.51973065262166</v>
      </c>
      <c r="BO20" s="343">
        <f>BO16+BO18</f>
        <v>241.98790114747612</v>
      </c>
      <c r="BP20" s="397">
        <f>BP16+BP18</f>
        <v>130.4266063592097</v>
      </c>
      <c r="BQ20" s="297">
        <f>BQ16+BQ18</f>
        <v>925.89615367224087</v>
      </c>
      <c r="BS20"/>
      <c r="BT20"/>
      <c r="BU20"/>
      <c r="BV20"/>
      <c r="BW20" s="1645"/>
      <c r="BX20" s="437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4" s="2" customFormat="1">
      <c r="A21" s="1523"/>
      <c r="C21" s="49" t="s">
        <v>75</v>
      </c>
      <c r="E21" s="477">
        <f t="shared" ref="E21:AB21" si="19">E20+E13</f>
        <v>619</v>
      </c>
      <c r="F21" s="478">
        <f t="shared" si="19"/>
        <v>497</v>
      </c>
      <c r="G21" s="478">
        <f t="shared" si="19"/>
        <v>723</v>
      </c>
      <c r="H21" s="479">
        <f t="shared" si="19"/>
        <v>464</v>
      </c>
      <c r="I21" s="297">
        <f t="shared" si="19"/>
        <v>2303</v>
      </c>
      <c r="J21" s="396">
        <f t="shared" si="19"/>
        <v>718</v>
      </c>
      <c r="K21" s="343">
        <f t="shared" si="19"/>
        <v>417</v>
      </c>
      <c r="L21" s="343">
        <f t="shared" si="19"/>
        <v>719</v>
      </c>
      <c r="M21" s="397">
        <f t="shared" si="19"/>
        <v>392</v>
      </c>
      <c r="N21" s="297">
        <f t="shared" si="19"/>
        <v>2246</v>
      </c>
      <c r="O21" s="396">
        <f t="shared" si="19"/>
        <v>611</v>
      </c>
      <c r="P21" s="343">
        <f t="shared" si="19"/>
        <v>445</v>
      </c>
      <c r="Q21" s="343">
        <f t="shared" si="19"/>
        <v>558</v>
      </c>
      <c r="R21" s="397">
        <f t="shared" si="19"/>
        <v>472</v>
      </c>
      <c r="S21" s="297">
        <f t="shared" si="19"/>
        <v>2086</v>
      </c>
      <c r="T21" s="396">
        <f t="shared" si="19"/>
        <v>508</v>
      </c>
      <c r="U21" s="343">
        <f t="shared" si="19"/>
        <v>267</v>
      </c>
      <c r="V21" s="343">
        <f t="shared" si="19"/>
        <v>409</v>
      </c>
      <c r="W21" s="397">
        <f t="shared" si="19"/>
        <v>267</v>
      </c>
      <c r="X21" s="297">
        <f t="shared" si="19"/>
        <v>1451</v>
      </c>
      <c r="Y21" s="396">
        <f t="shared" si="19"/>
        <v>322</v>
      </c>
      <c r="Z21" s="343">
        <f t="shared" si="19"/>
        <v>437</v>
      </c>
      <c r="AA21" s="343">
        <f t="shared" si="19"/>
        <v>466</v>
      </c>
      <c r="AB21" s="397">
        <f t="shared" si="19"/>
        <v>227</v>
      </c>
      <c r="AC21" s="297">
        <f t="shared" ref="AC21:AI21" si="20">AC20+AC13</f>
        <v>1452</v>
      </c>
      <c r="AD21" s="396">
        <f t="shared" si="20"/>
        <v>379</v>
      </c>
      <c r="AE21" s="343">
        <f t="shared" si="20"/>
        <v>177</v>
      </c>
      <c r="AF21" s="343">
        <f t="shared" si="20"/>
        <v>468</v>
      </c>
      <c r="AG21" s="397">
        <f t="shared" si="20"/>
        <v>641</v>
      </c>
      <c r="AH21" s="297">
        <f t="shared" si="20"/>
        <v>1665</v>
      </c>
      <c r="AI21" s="396">
        <f t="shared" si="20"/>
        <v>676</v>
      </c>
      <c r="AJ21" s="343">
        <f t="shared" ref="AJ21:AO21" si="21">AJ20+AJ13</f>
        <v>346</v>
      </c>
      <c r="AK21" s="343">
        <f t="shared" si="21"/>
        <v>450</v>
      </c>
      <c r="AL21" s="397">
        <f t="shared" si="21"/>
        <v>307</v>
      </c>
      <c r="AM21" s="297">
        <f t="shared" si="21"/>
        <v>1779</v>
      </c>
      <c r="AN21" s="396">
        <f t="shared" si="21"/>
        <v>422</v>
      </c>
      <c r="AO21" s="343">
        <f t="shared" si="21"/>
        <v>78</v>
      </c>
      <c r="AP21" s="343">
        <f t="shared" ref="AP21:AU21" si="22">AP20+AP13</f>
        <v>339</v>
      </c>
      <c r="AQ21" s="397">
        <f t="shared" si="22"/>
        <v>83</v>
      </c>
      <c r="AR21" s="297">
        <f t="shared" si="22"/>
        <v>922</v>
      </c>
      <c r="AS21" s="396">
        <f t="shared" si="22"/>
        <v>380</v>
      </c>
      <c r="AT21" s="343">
        <f t="shared" si="22"/>
        <v>319</v>
      </c>
      <c r="AU21" s="343">
        <f t="shared" si="22"/>
        <v>322</v>
      </c>
      <c r="AV21" s="397">
        <f t="shared" ref="AV21:BB21" si="23">AV20+AV13</f>
        <v>47</v>
      </c>
      <c r="AW21" s="297">
        <f t="shared" si="23"/>
        <v>1068</v>
      </c>
      <c r="AX21" s="396">
        <f t="shared" si="23"/>
        <v>347.75243822263144</v>
      </c>
      <c r="AY21" s="343">
        <f t="shared" si="23"/>
        <v>244.25231850902884</v>
      </c>
      <c r="AZ21" s="343">
        <f t="shared" si="23"/>
        <v>352.70188446936083</v>
      </c>
      <c r="BA21" s="397">
        <f t="shared" si="23"/>
        <v>184.99988457513803</v>
      </c>
      <c r="BB21" s="297">
        <f t="shared" si="23"/>
        <v>1129.7065257761597</v>
      </c>
      <c r="BC21" s="396">
        <f t="shared" ref="BC21:BL21" si="24">BC20+BC13</f>
        <v>387.60825751299251</v>
      </c>
      <c r="BD21" s="343">
        <f t="shared" si="24"/>
        <v>312.24635394673726</v>
      </c>
      <c r="BE21" s="343">
        <f t="shared" si="24"/>
        <v>281.86767605266903</v>
      </c>
      <c r="BF21" s="397">
        <f t="shared" si="24"/>
        <v>106.33254681402467</v>
      </c>
      <c r="BG21" s="297">
        <f t="shared" si="24"/>
        <v>1088.0548343264229</v>
      </c>
      <c r="BH21" s="396">
        <f t="shared" si="24"/>
        <v>392.20355685161843</v>
      </c>
      <c r="BI21" s="343">
        <f t="shared" si="24"/>
        <v>254.67148274993326</v>
      </c>
      <c r="BJ21" s="343">
        <f t="shared" si="24"/>
        <v>295.4830687350829</v>
      </c>
      <c r="BK21" s="397">
        <f t="shared" si="24"/>
        <v>148.03603245352551</v>
      </c>
      <c r="BL21" s="297">
        <f t="shared" si="24"/>
        <v>1090.3941407901602</v>
      </c>
      <c r="BM21" s="396">
        <f>BM20+BM13</f>
        <v>401.55819721730631</v>
      </c>
      <c r="BN21" s="343">
        <f>BN20+BN13</f>
        <v>316.8288541377363</v>
      </c>
      <c r="BO21" s="343">
        <f>BO20+BO13</f>
        <v>324.01249905757447</v>
      </c>
      <c r="BP21" s="397">
        <f>BP20+BP13</f>
        <v>212.16928718555943</v>
      </c>
      <c r="BQ21" s="297">
        <f>BQ20+BQ13</f>
        <v>1254.568837598177</v>
      </c>
      <c r="BS21" s="1584"/>
      <c r="BT21" s="1584"/>
      <c r="BU21" s="1584"/>
      <c r="BV21"/>
      <c r="BW21" s="1645"/>
      <c r="BX21" s="437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4" s="2" customFormat="1">
      <c r="A22" s="1523"/>
      <c r="C22" s="49"/>
      <c r="E22" s="477"/>
      <c r="F22" s="478"/>
      <c r="G22" s="478"/>
      <c r="H22" s="479"/>
      <c r="I22" s="297"/>
      <c r="J22" s="396"/>
      <c r="K22" s="343"/>
      <c r="L22" s="343"/>
      <c r="M22" s="397"/>
      <c r="N22" s="297"/>
      <c r="O22" s="396"/>
      <c r="P22" s="343"/>
      <c r="Q22" s="343"/>
      <c r="R22" s="397"/>
      <c r="S22" s="297"/>
      <c r="T22" s="396"/>
      <c r="U22" s="343"/>
      <c r="V22" s="343"/>
      <c r="W22" s="397"/>
      <c r="X22" s="297"/>
      <c r="Y22" s="396"/>
      <c r="Z22" s="343"/>
      <c r="AA22" s="343"/>
      <c r="AB22" s="397"/>
      <c r="AC22" s="297"/>
      <c r="AD22" s="396"/>
      <c r="AE22" s="343"/>
      <c r="AF22" s="343"/>
      <c r="AG22" s="397"/>
      <c r="AH22" s="297"/>
      <c r="AI22" s="396"/>
      <c r="AJ22" s="343"/>
      <c r="AK22" s="343"/>
      <c r="AL22" s="397"/>
      <c r="AM22" s="297"/>
      <c r="AN22" s="396"/>
      <c r="AO22" s="343"/>
      <c r="AP22" s="343"/>
      <c r="AQ22" s="397"/>
      <c r="AR22" s="297"/>
      <c r="AS22" s="396"/>
      <c r="AT22" s="343"/>
      <c r="AU22" s="343"/>
      <c r="AV22" s="397"/>
      <c r="AW22" s="297"/>
      <c r="AX22" s="396"/>
      <c r="AY22" s="343"/>
      <c r="AZ22" s="343"/>
      <c r="BA22" s="397"/>
      <c r="BB22" s="297"/>
      <c r="BC22" s="396"/>
      <c r="BD22" s="343"/>
      <c r="BE22" s="343"/>
      <c r="BF22" s="397"/>
      <c r="BG22" s="297"/>
      <c r="BH22" s="396"/>
      <c r="BI22" s="343"/>
      <c r="BJ22" s="343"/>
      <c r="BK22" s="397"/>
      <c r="BL22" s="297"/>
      <c r="BM22" s="396"/>
      <c r="BN22" s="343"/>
      <c r="BO22" s="343"/>
      <c r="BP22" s="397"/>
      <c r="BQ22" s="297"/>
      <c r="BS22"/>
      <c r="BT22"/>
      <c r="BU22"/>
      <c r="BV22"/>
      <c r="BW22" s="1645"/>
      <c r="BX22" s="437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4" s="37" customFormat="1">
      <c r="C23" s="37" t="s">
        <v>89</v>
      </c>
      <c r="E23" s="456">
        <v>50</v>
      </c>
      <c r="F23" s="457">
        <v>39</v>
      </c>
      <c r="G23" s="457">
        <v>37</v>
      </c>
      <c r="H23" s="395">
        <f>I23-SUM(E23:G23)</f>
        <v>35</v>
      </c>
      <c r="I23" s="590">
        <v>161</v>
      </c>
      <c r="J23" s="456">
        <v>40</v>
      </c>
      <c r="K23" s="457">
        <v>42</v>
      </c>
      <c r="L23" s="457">
        <v>37</v>
      </c>
      <c r="M23" s="395">
        <f>N23-SUM(J23:L23)</f>
        <v>38</v>
      </c>
      <c r="N23" s="590">
        <v>157</v>
      </c>
      <c r="O23" s="456">
        <v>51</v>
      </c>
      <c r="P23" s="457">
        <v>41</v>
      </c>
      <c r="Q23" s="457">
        <v>42</v>
      </c>
      <c r="R23" s="395">
        <f>S23-SUM(O23:Q23)</f>
        <v>41</v>
      </c>
      <c r="S23" s="590">
        <v>175</v>
      </c>
      <c r="T23" s="456">
        <v>30</v>
      </c>
      <c r="U23" s="457">
        <v>32</v>
      </c>
      <c r="V23" s="457">
        <v>35</v>
      </c>
      <c r="W23" s="395">
        <f>X23-SUM(T23:V23)</f>
        <v>37</v>
      </c>
      <c r="X23" s="590">
        <v>134</v>
      </c>
      <c r="Y23" s="456">
        <v>30</v>
      </c>
      <c r="Z23" s="457">
        <v>29</v>
      </c>
      <c r="AA23" s="460">
        <v>26</v>
      </c>
      <c r="AB23" s="395">
        <f>AC23-SUM(Y23:AA23)</f>
        <v>31</v>
      </c>
      <c r="AC23" s="462">
        <v>116</v>
      </c>
      <c r="AD23" s="456">
        <v>32</v>
      </c>
      <c r="AE23" s="457">
        <v>29</v>
      </c>
      <c r="AF23" s="460">
        <v>31</v>
      </c>
      <c r="AG23" s="395">
        <f>AH23-SUM(AD23:AF23)</f>
        <v>30</v>
      </c>
      <c r="AH23" s="462">
        <v>122</v>
      </c>
      <c r="AI23" s="456">
        <v>31</v>
      </c>
      <c r="AJ23" s="457">
        <v>33</v>
      </c>
      <c r="AK23" s="460">
        <v>30</v>
      </c>
      <c r="AL23" s="395">
        <f>AM23-SUM(AI23:AK23)</f>
        <v>27</v>
      </c>
      <c r="AM23" s="462">
        <v>121</v>
      </c>
      <c r="AN23" s="456">
        <v>22</v>
      </c>
      <c r="AO23" s="457">
        <v>20</v>
      </c>
      <c r="AP23" s="457">
        <v>24</v>
      </c>
      <c r="AQ23" s="395">
        <f>AR23-SUM(AN23:AP23)</f>
        <v>18</v>
      </c>
      <c r="AR23" s="462">
        <v>84</v>
      </c>
      <c r="AS23" s="456">
        <v>16</v>
      </c>
      <c r="AT23" s="457">
        <v>13</v>
      </c>
      <c r="AU23" s="457">
        <v>12</v>
      </c>
      <c r="AV23" s="395">
        <f>AW23-SUM(AS23:AU23)</f>
        <v>9</v>
      </c>
      <c r="AW23" s="462">
        <v>50</v>
      </c>
      <c r="AX23" s="1687">
        <f>AS23+AX497+25/4</f>
        <v>23.62</v>
      </c>
      <c r="AY23" s="1688">
        <f>AT23+AY497+25/4</f>
        <v>20.167345376818737</v>
      </c>
      <c r="AZ23" s="1688">
        <f>AU23+AZ497+25/4</f>
        <v>22.243915750297393</v>
      </c>
      <c r="BA23" s="1686">
        <f>AV23+BA497+25/4</f>
        <v>16.843082416964059</v>
      </c>
      <c r="BB23" s="476">
        <f>SUM(AX23:BA23)</f>
        <v>82.874343544080176</v>
      </c>
      <c r="BC23" s="1687">
        <v>30</v>
      </c>
      <c r="BD23" s="1688">
        <v>30</v>
      </c>
      <c r="BE23" s="1688">
        <v>30</v>
      </c>
      <c r="BF23" s="1686">
        <v>30</v>
      </c>
      <c r="BG23" s="476">
        <f>SUM(BC23:BF23)</f>
        <v>120</v>
      </c>
      <c r="BH23" s="472">
        <f>BC23+BH497</f>
        <v>30.619158666518913</v>
      </c>
      <c r="BI23" s="473">
        <f>BD23+BI497</f>
        <v>24.924415202714858</v>
      </c>
      <c r="BJ23" s="473">
        <f>BE23+BJ497</f>
        <v>31.087132713511039</v>
      </c>
      <c r="BK23" s="474">
        <f>BF23+BK497</f>
        <v>28.200842553317276</v>
      </c>
      <c r="BL23" s="476">
        <f>SUM(BH23:BK23)</f>
        <v>114.83154913606208</v>
      </c>
      <c r="BM23" s="472">
        <f>BH23+BM497</f>
        <v>29.707231337572352</v>
      </c>
      <c r="BN23" s="473">
        <f>BI23+BN497</f>
        <v>25.385494989139175</v>
      </c>
      <c r="BO23" s="473">
        <f>BJ23+BO497</f>
        <v>36.750575006904249</v>
      </c>
      <c r="BP23" s="474">
        <f>BK23+BP497</f>
        <v>29.422131116290402</v>
      </c>
      <c r="BQ23" s="476">
        <f>SUM(BM23:BP23)</f>
        <v>121.26543244990619</v>
      </c>
      <c r="BR23" s="476"/>
      <c r="BS23" s="305"/>
      <c r="BT23" s="305"/>
      <c r="BU23" s="305"/>
      <c r="BV23" s="305"/>
      <c r="BW23" s="1649"/>
      <c r="BX23" s="437"/>
      <c r="BY23" s="305"/>
      <c r="BZ23" s="305"/>
      <c r="CA23" s="305"/>
      <c r="CB23" s="305"/>
      <c r="CC23" s="305"/>
      <c r="CD23" s="305"/>
      <c r="CE23" s="305"/>
      <c r="CF23" s="305"/>
      <c r="CG23" s="305"/>
      <c r="CH23" s="305"/>
      <c r="CI23" s="305"/>
      <c r="CJ23" s="305"/>
      <c r="CK23" s="305"/>
      <c r="CL23" s="305"/>
      <c r="CM23" s="305"/>
    </row>
    <row r="24" spans="1:94" s="2" customFormat="1">
      <c r="A24" s="1523"/>
      <c r="C24" s="49"/>
      <c r="E24" s="477"/>
      <c r="F24" s="478"/>
      <c r="G24" s="478"/>
      <c r="H24" s="479"/>
      <c r="I24" s="297"/>
      <c r="J24" s="396"/>
      <c r="K24" s="343"/>
      <c r="L24" s="343"/>
      <c r="M24" s="397"/>
      <c r="N24" s="297"/>
      <c r="O24" s="396"/>
      <c r="P24" s="343"/>
      <c r="Q24" s="343"/>
      <c r="R24" s="397"/>
      <c r="S24" s="297"/>
      <c r="T24" s="396"/>
      <c r="U24" s="343"/>
      <c r="V24" s="343"/>
      <c r="W24" s="397"/>
      <c r="X24" s="297"/>
      <c r="Y24" s="396"/>
      <c r="Z24" s="343"/>
      <c r="AA24" s="343"/>
      <c r="AB24" s="397"/>
      <c r="AC24" s="297"/>
      <c r="AD24" s="396"/>
      <c r="AE24" s="343"/>
      <c r="AF24" s="343"/>
      <c r="AG24" s="397"/>
      <c r="AH24" s="297"/>
      <c r="AI24" s="396"/>
      <c r="AJ24" s="343"/>
      <c r="AK24" s="343"/>
      <c r="AL24" s="397"/>
      <c r="AM24" s="297"/>
      <c r="AN24" s="396"/>
      <c r="AO24" s="343"/>
      <c r="AP24" s="343"/>
      <c r="AQ24" s="397"/>
      <c r="AR24" s="297"/>
      <c r="AS24" s="396"/>
      <c r="AT24" s="343"/>
      <c r="AU24" s="343"/>
      <c r="AV24" s="397"/>
      <c r="AW24" s="297"/>
      <c r="AX24" s="396"/>
      <c r="AY24" s="343"/>
      <c r="AZ24" s="343"/>
      <c r="BA24" s="397"/>
      <c r="BB24" s="297"/>
      <c r="BC24" s="396"/>
      <c r="BD24" s="343"/>
      <c r="BE24" s="343"/>
      <c r="BF24" s="397"/>
      <c r="BG24" s="297"/>
      <c r="BH24" s="396"/>
      <c r="BI24" s="343"/>
      <c r="BJ24" s="343"/>
      <c r="BK24" s="397"/>
      <c r="BL24" s="297"/>
      <c r="BM24" s="396"/>
      <c r="BN24" s="343"/>
      <c r="BO24" s="343"/>
      <c r="BP24" s="397"/>
      <c r="BQ24" s="297"/>
      <c r="BS24"/>
      <c r="BT24"/>
      <c r="BU24"/>
      <c r="BV24"/>
      <c r="BW24" s="1645"/>
      <c r="BX24" s="437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4" s="2" customFormat="1">
      <c r="A25" s="1523"/>
      <c r="C25" s="49" t="s">
        <v>625</v>
      </c>
      <c r="E25" s="477">
        <f t="shared" ref="E25:P25" si="25">E20-E23</f>
        <v>518</v>
      </c>
      <c r="F25" s="478">
        <f t="shared" si="25"/>
        <v>405</v>
      </c>
      <c r="G25" s="478">
        <f t="shared" si="25"/>
        <v>638</v>
      </c>
      <c r="H25" s="479">
        <f t="shared" si="25"/>
        <v>397</v>
      </c>
      <c r="I25" s="297">
        <f t="shared" si="25"/>
        <v>1958</v>
      </c>
      <c r="J25" s="396">
        <f t="shared" si="25"/>
        <v>635</v>
      </c>
      <c r="K25" s="343">
        <f t="shared" si="25"/>
        <v>331</v>
      </c>
      <c r="L25" s="343">
        <f t="shared" si="25"/>
        <v>634</v>
      </c>
      <c r="M25" s="397">
        <f t="shared" si="25"/>
        <v>314</v>
      </c>
      <c r="N25" s="297">
        <f t="shared" si="25"/>
        <v>1914</v>
      </c>
      <c r="O25" s="396">
        <f t="shared" si="25"/>
        <v>506</v>
      </c>
      <c r="P25" s="343">
        <f t="shared" si="25"/>
        <v>348</v>
      </c>
      <c r="Q25" s="343">
        <f t="shared" ref="Q25:X25" si="26">Q20-Q23</f>
        <v>460</v>
      </c>
      <c r="R25" s="397">
        <f t="shared" si="26"/>
        <v>373</v>
      </c>
      <c r="S25" s="297">
        <f t="shared" si="26"/>
        <v>1687</v>
      </c>
      <c r="T25" s="396">
        <f t="shared" si="26"/>
        <v>421</v>
      </c>
      <c r="U25" s="343">
        <f t="shared" si="26"/>
        <v>177</v>
      </c>
      <c r="V25" s="343">
        <f t="shared" si="26"/>
        <v>314</v>
      </c>
      <c r="W25" s="397">
        <f t="shared" si="26"/>
        <v>168</v>
      </c>
      <c r="X25" s="297">
        <f t="shared" si="26"/>
        <v>1080</v>
      </c>
      <c r="Y25" s="396">
        <f t="shared" ref="Y25:AE25" si="27">Y20-Y23</f>
        <v>228</v>
      </c>
      <c r="Z25" s="343">
        <f t="shared" si="27"/>
        <v>343</v>
      </c>
      <c r="AA25" s="343">
        <f t="shared" si="27"/>
        <v>374</v>
      </c>
      <c r="AB25" s="397">
        <f t="shared" si="27"/>
        <v>118</v>
      </c>
      <c r="AC25" s="297">
        <f t="shared" si="27"/>
        <v>1063</v>
      </c>
      <c r="AD25" s="396">
        <f t="shared" si="27"/>
        <v>275</v>
      </c>
      <c r="AE25" s="343">
        <f t="shared" si="27"/>
        <v>76</v>
      </c>
      <c r="AF25" s="343">
        <f t="shared" ref="AF25:AK25" si="28">AF20-AF23</f>
        <v>366</v>
      </c>
      <c r="AG25" s="397">
        <f t="shared" si="28"/>
        <v>534</v>
      </c>
      <c r="AH25" s="297">
        <f t="shared" si="28"/>
        <v>1251</v>
      </c>
      <c r="AI25" s="396">
        <f t="shared" si="28"/>
        <v>569</v>
      </c>
      <c r="AJ25" s="343">
        <f t="shared" si="28"/>
        <v>238</v>
      </c>
      <c r="AK25" s="343">
        <f t="shared" si="28"/>
        <v>345</v>
      </c>
      <c r="AL25" s="397">
        <f t="shared" ref="AL25:AR25" si="29">AL20-AL23</f>
        <v>215</v>
      </c>
      <c r="AM25" s="297">
        <f t="shared" si="29"/>
        <v>1367</v>
      </c>
      <c r="AN25" s="396">
        <f t="shared" si="29"/>
        <v>321</v>
      </c>
      <c r="AO25" s="343">
        <f t="shared" si="29"/>
        <v>-22</v>
      </c>
      <c r="AP25" s="343">
        <f t="shared" si="29"/>
        <v>229</v>
      </c>
      <c r="AQ25" s="397">
        <f t="shared" si="29"/>
        <v>-571</v>
      </c>
      <c r="AR25" s="297">
        <f t="shared" si="29"/>
        <v>-43</v>
      </c>
      <c r="AS25" s="396">
        <f t="shared" ref="AS25:AY25" si="30">AS20-AS23</f>
        <v>-286</v>
      </c>
      <c r="AT25" s="343">
        <f t="shared" si="30"/>
        <v>-159</v>
      </c>
      <c r="AU25" s="343">
        <f t="shared" si="30"/>
        <v>234</v>
      </c>
      <c r="AV25" s="397">
        <f t="shared" si="30"/>
        <v>-39</v>
      </c>
      <c r="AW25" s="297">
        <f t="shared" si="30"/>
        <v>-250</v>
      </c>
      <c r="AX25" s="396">
        <f t="shared" si="30"/>
        <v>241.73659071684244</v>
      </c>
      <c r="AY25" s="343">
        <f t="shared" si="30"/>
        <v>140.95787626131221</v>
      </c>
      <c r="AZ25" s="343">
        <f>AZ20-AZ23</f>
        <v>246.6064011473639</v>
      </c>
      <c r="BA25" s="397">
        <f>BA20-BA23</f>
        <v>84.305234586474427</v>
      </c>
      <c r="BB25" s="297">
        <f>BB20-BB23</f>
        <v>713.60610271199357</v>
      </c>
      <c r="BC25" s="396">
        <f t="shared" ref="BC25:BL25" si="31">BC20-BC23</f>
        <v>273.03893508777844</v>
      </c>
      <c r="BD25" s="343">
        <f t="shared" si="31"/>
        <v>197.85520913790981</v>
      </c>
      <c r="BE25" s="343">
        <f t="shared" si="31"/>
        <v>167.65308453457055</v>
      </c>
      <c r="BF25" s="397">
        <f t="shared" si="31"/>
        <v>-7.7071009139657463</v>
      </c>
      <c r="BG25" s="297">
        <f t="shared" si="31"/>
        <v>630.84012784629249</v>
      </c>
      <c r="BH25" s="396">
        <f t="shared" si="31"/>
        <v>277.7180994361816</v>
      </c>
      <c r="BI25" s="343">
        <f t="shared" si="31"/>
        <v>146.20267551067113</v>
      </c>
      <c r="BJ25" s="343">
        <f t="shared" si="31"/>
        <v>181.17049770007549</v>
      </c>
      <c r="BK25" s="397">
        <f t="shared" si="31"/>
        <v>36.9257794034325</v>
      </c>
      <c r="BL25" s="297">
        <f t="shared" si="31"/>
        <v>642.0170520503608</v>
      </c>
      <c r="BM25" s="396">
        <f>BM20-BM23</f>
        <v>289.25468417536058</v>
      </c>
      <c r="BN25" s="343">
        <f>BN20-BN23</f>
        <v>209.13423566348249</v>
      </c>
      <c r="BO25" s="343">
        <f>BO20-BO23</f>
        <v>205.23732614057187</v>
      </c>
      <c r="BP25" s="397">
        <f>BP20-BP23</f>
        <v>101.0044752429193</v>
      </c>
      <c r="BQ25" s="297">
        <f>BQ20-BQ23</f>
        <v>804.63072122233473</v>
      </c>
      <c r="BS25"/>
      <c r="BT25"/>
      <c r="BU25"/>
      <c r="BV25"/>
      <c r="BW25" s="1645"/>
      <c r="BX25" s="437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4" s="2" customFormat="1">
      <c r="A26" s="1523"/>
      <c r="C26" s="49"/>
      <c r="E26" s="477"/>
      <c r="F26" s="478"/>
      <c r="G26" s="478"/>
      <c r="H26" s="479"/>
      <c r="I26" s="297"/>
      <c r="J26" s="396"/>
      <c r="K26" s="343"/>
      <c r="L26" s="343"/>
      <c r="M26" s="397"/>
      <c r="N26" s="297"/>
      <c r="O26" s="396"/>
      <c r="P26" s="343"/>
      <c r="Q26" s="343"/>
      <c r="R26" s="397"/>
      <c r="S26" s="297"/>
      <c r="T26" s="396"/>
      <c r="U26" s="343"/>
      <c r="V26" s="343"/>
      <c r="W26" s="397"/>
      <c r="X26" s="297"/>
      <c r="Y26" s="396"/>
      <c r="Z26" s="343"/>
      <c r="AA26" s="343"/>
      <c r="AB26" s="397"/>
      <c r="AC26" s="297"/>
      <c r="AD26" s="396"/>
      <c r="AE26" s="343"/>
      <c r="AF26" s="343"/>
      <c r="AG26" s="397"/>
      <c r="AH26" s="297"/>
      <c r="AI26" s="396"/>
      <c r="AJ26" s="343"/>
      <c r="AK26" s="343"/>
      <c r="AL26" s="397"/>
      <c r="AM26" s="297"/>
      <c r="AN26" s="396"/>
      <c r="AO26" s="343"/>
      <c r="AP26" s="343"/>
      <c r="AQ26" s="397"/>
      <c r="AR26" s="297"/>
      <c r="AS26" s="396"/>
      <c r="AT26" s="343"/>
      <c r="AU26" s="343"/>
      <c r="AV26" s="397"/>
      <c r="AW26" s="297"/>
      <c r="AX26" s="396"/>
      <c r="AY26" s="343"/>
      <c r="AZ26" s="343"/>
      <c r="BA26" s="397"/>
      <c r="BB26" s="297"/>
      <c r="BC26" s="396"/>
      <c r="BD26" s="343"/>
      <c r="BE26" s="343"/>
      <c r="BF26" s="397"/>
      <c r="BG26" s="297"/>
      <c r="BH26" s="396"/>
      <c r="BI26" s="343"/>
      <c r="BJ26" s="343"/>
      <c r="BK26" s="397"/>
      <c r="BL26" s="297"/>
      <c r="BM26" s="396"/>
      <c r="BN26" s="343"/>
      <c r="BO26" s="343"/>
      <c r="BP26" s="397"/>
      <c r="BQ26" s="297"/>
      <c r="BS26"/>
      <c r="BT26"/>
      <c r="BU26"/>
      <c r="BV26"/>
      <c r="BW26" s="1645"/>
      <c r="BX26" s="437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4" s="2" customFormat="1">
      <c r="A27" s="1523"/>
      <c r="C27" s="2" t="s">
        <v>386</v>
      </c>
      <c r="E27" s="459">
        <v>204</v>
      </c>
      <c r="F27" s="460">
        <v>159</v>
      </c>
      <c r="G27" s="460">
        <v>256</v>
      </c>
      <c r="H27" s="405">
        <f>I27-SUM(E27:G27)</f>
        <v>148</v>
      </c>
      <c r="I27" s="462">
        <v>767</v>
      </c>
      <c r="J27" s="459">
        <v>264</v>
      </c>
      <c r="K27" s="460">
        <v>129</v>
      </c>
      <c r="L27" s="460">
        <v>250</v>
      </c>
      <c r="M27" s="405">
        <f>N27-SUM(J27:L27)</f>
        <v>135</v>
      </c>
      <c r="N27" s="462">
        <v>778</v>
      </c>
      <c r="O27" s="459">
        <v>208</v>
      </c>
      <c r="P27" s="460">
        <v>143</v>
      </c>
      <c r="Q27" s="460">
        <v>187</v>
      </c>
      <c r="R27" s="405">
        <f>S27-SUM(O27:Q27)</f>
        <v>147</v>
      </c>
      <c r="S27" s="462">
        <v>685</v>
      </c>
      <c r="T27" s="459">
        <v>168</v>
      </c>
      <c r="U27" s="460">
        <v>73</v>
      </c>
      <c r="V27" s="460">
        <v>133</v>
      </c>
      <c r="W27" s="405">
        <f>X27-SUM(T27:V27)</f>
        <v>59</v>
      </c>
      <c r="X27" s="462">
        <v>433</v>
      </c>
      <c r="Y27" s="459">
        <v>91</v>
      </c>
      <c r="Z27" s="460">
        <v>139</v>
      </c>
      <c r="AA27" s="460">
        <v>153</v>
      </c>
      <c r="AB27" s="395">
        <f>AC27-SUM(Y27:AA27)</f>
        <v>36</v>
      </c>
      <c r="AC27" s="462">
        <v>419</v>
      </c>
      <c r="AD27" s="459">
        <v>111</v>
      </c>
      <c r="AE27" s="460">
        <v>22</v>
      </c>
      <c r="AF27" s="460">
        <v>144</v>
      </c>
      <c r="AG27" s="395">
        <f>AH27-SUM(AD27:AF27)</f>
        <v>214</v>
      </c>
      <c r="AH27" s="462">
        <v>491</v>
      </c>
      <c r="AI27" s="459">
        <v>234</v>
      </c>
      <c r="AJ27" s="460">
        <v>72</v>
      </c>
      <c r="AK27" s="460">
        <v>139</v>
      </c>
      <c r="AL27" s="395">
        <f>AM27-SUM(AI27:AK27)</f>
        <v>66</v>
      </c>
      <c r="AM27" s="462">
        <v>511</v>
      </c>
      <c r="AN27" s="459">
        <v>129</v>
      </c>
      <c r="AO27" s="460">
        <v>-11</v>
      </c>
      <c r="AP27" s="460">
        <v>90</v>
      </c>
      <c r="AQ27" s="395">
        <f>AR27-SUM(AN27:AP27)</f>
        <v>-269</v>
      </c>
      <c r="AR27" s="462">
        <v>-61</v>
      </c>
      <c r="AS27" s="459">
        <v>-116</v>
      </c>
      <c r="AT27" s="460">
        <v>-62</v>
      </c>
      <c r="AU27" s="460">
        <v>98</v>
      </c>
      <c r="AV27" s="395">
        <f>AW27-SUM(AS27:AU27)</f>
        <v>-649</v>
      </c>
      <c r="AW27" s="462">
        <v>-729</v>
      </c>
      <c r="AX27" s="434">
        <f>AX25*AX484</f>
        <v>62.851513586379035</v>
      </c>
      <c r="AY27" s="435">
        <f>AY25*AY484</f>
        <v>36.649047827941175</v>
      </c>
      <c r="AZ27" s="435">
        <f>AZ25*AZ484</f>
        <v>64.117664298314622</v>
      </c>
      <c r="BA27" s="436">
        <f>BA25*BA484</f>
        <v>21.919360992483352</v>
      </c>
      <c r="BB27" s="437">
        <f>SUM(AX27:BA27)</f>
        <v>185.53758670511817</v>
      </c>
      <c r="BC27" s="434">
        <f>BC25*BC484</f>
        <v>70.990123122822396</v>
      </c>
      <c r="BD27" s="435">
        <f>BD25*BD484</f>
        <v>51.442354375856553</v>
      </c>
      <c r="BE27" s="435">
        <f>BE25*BE484</f>
        <v>43.589801978988348</v>
      </c>
      <c r="BF27" s="436">
        <f>BF25*BF484</f>
        <v>-2.0038462376310942</v>
      </c>
      <c r="BG27" s="437">
        <f>SUM(BC27:BF27)</f>
        <v>164.01843324003622</v>
      </c>
      <c r="BH27" s="434">
        <f>BH25*BH484</f>
        <v>72.206705853407215</v>
      </c>
      <c r="BI27" s="435">
        <f>BI25*BI484</f>
        <v>38.012695632774495</v>
      </c>
      <c r="BJ27" s="435">
        <f>BJ25*BJ484</f>
        <v>47.10432940201963</v>
      </c>
      <c r="BK27" s="436">
        <f>BK25*BK484</f>
        <v>9.6007026448924506</v>
      </c>
      <c r="BL27" s="437">
        <f>SUM(BH27:BK27)</f>
        <v>166.9244335330938</v>
      </c>
      <c r="BM27" s="434">
        <f>BM25*BM484</f>
        <v>75.206217885593759</v>
      </c>
      <c r="BN27" s="435">
        <f>BN25*BN484</f>
        <v>54.374901272505447</v>
      </c>
      <c r="BO27" s="435">
        <f>BO25*BO484</f>
        <v>53.361704796548686</v>
      </c>
      <c r="BP27" s="436">
        <f>BP25*BP484</f>
        <v>26.26116356315902</v>
      </c>
      <c r="BQ27" s="437">
        <f>SUM(BM27:BP27)</f>
        <v>209.20398751780689</v>
      </c>
      <c r="BS27"/>
      <c r="BT27"/>
      <c r="BU27"/>
      <c r="BV27"/>
      <c r="BW27" s="1647"/>
      <c r="BX27" s="43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4" s="2" customFormat="1">
      <c r="A28" s="1523"/>
      <c r="C28" s="49"/>
      <c r="E28" s="477"/>
      <c r="F28" s="478"/>
      <c r="G28" s="478"/>
      <c r="H28" s="479"/>
      <c r="I28" s="297"/>
      <c r="J28" s="396"/>
      <c r="K28" s="343"/>
      <c r="L28" s="343"/>
      <c r="M28" s="397"/>
      <c r="N28" s="297"/>
      <c r="O28" s="396"/>
      <c r="P28" s="343"/>
      <c r="Q28" s="343"/>
      <c r="R28" s="397"/>
      <c r="S28" s="297"/>
      <c r="T28" s="396"/>
      <c r="U28" s="343"/>
      <c r="V28" s="343"/>
      <c r="W28" s="397"/>
      <c r="X28" s="297"/>
      <c r="Y28" s="396"/>
      <c r="Z28" s="343"/>
      <c r="AA28" s="343"/>
      <c r="AB28" s="397"/>
      <c r="AC28" s="297"/>
      <c r="AD28" s="396"/>
      <c r="AE28" s="343"/>
      <c r="AF28" s="343"/>
      <c r="AG28" s="397"/>
      <c r="AH28" s="297"/>
      <c r="AI28" s="396"/>
      <c r="AJ28" s="343"/>
      <c r="AK28" s="343"/>
      <c r="AL28" s="397"/>
      <c r="AM28" s="297"/>
      <c r="AN28" s="396"/>
      <c r="AO28" s="343"/>
      <c r="AP28" s="343"/>
      <c r="AQ28" s="397"/>
      <c r="AR28" s="297"/>
      <c r="AS28" s="396"/>
      <c r="AT28" s="343"/>
      <c r="AU28" s="343"/>
      <c r="AV28" s="397"/>
      <c r="AW28" s="297"/>
      <c r="AX28" s="396"/>
      <c r="AY28" s="343"/>
      <c r="AZ28" s="343"/>
      <c r="BA28" s="397"/>
      <c r="BB28" s="297"/>
      <c r="BC28" s="396"/>
      <c r="BD28" s="343"/>
      <c r="BE28" s="343"/>
      <c r="BF28" s="397"/>
      <c r="BG28" s="297"/>
      <c r="BH28" s="396"/>
      <c r="BI28" s="343"/>
      <c r="BJ28" s="343"/>
      <c r="BK28" s="397"/>
      <c r="BL28" s="297"/>
      <c r="BM28" s="396"/>
      <c r="BN28" s="343"/>
      <c r="BO28" s="343"/>
      <c r="BP28" s="397"/>
      <c r="BQ28" s="297"/>
      <c r="BS28"/>
      <c r="BT28"/>
      <c r="BU28"/>
      <c r="BV28"/>
      <c r="BW28" s="1645"/>
      <c r="BX28" s="437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4" s="2" customFormat="1">
      <c r="A29" s="1523"/>
      <c r="C29" s="49" t="s">
        <v>127</v>
      </c>
      <c r="E29" s="477">
        <f>E25-E27</f>
        <v>314</v>
      </c>
      <c r="F29" s="478">
        <f t="shared" ref="F29:AP29" si="32">F25-F27</f>
        <v>246</v>
      </c>
      <c r="G29" s="478">
        <f t="shared" si="32"/>
        <v>382</v>
      </c>
      <c r="H29" s="479">
        <f t="shared" si="32"/>
        <v>249</v>
      </c>
      <c r="I29" s="297">
        <f t="shared" si="32"/>
        <v>1191</v>
      </c>
      <c r="J29" s="396">
        <f t="shared" si="32"/>
        <v>371</v>
      </c>
      <c r="K29" s="343">
        <f t="shared" si="32"/>
        <v>202</v>
      </c>
      <c r="L29" s="343">
        <f t="shared" si="32"/>
        <v>384</v>
      </c>
      <c r="M29" s="397">
        <f t="shared" si="32"/>
        <v>179</v>
      </c>
      <c r="N29" s="297">
        <f t="shared" si="32"/>
        <v>1136</v>
      </c>
      <c r="O29" s="396">
        <f t="shared" si="32"/>
        <v>298</v>
      </c>
      <c r="P29" s="343">
        <f t="shared" si="32"/>
        <v>205</v>
      </c>
      <c r="Q29" s="343">
        <f t="shared" si="32"/>
        <v>273</v>
      </c>
      <c r="R29" s="397">
        <f t="shared" si="32"/>
        <v>226</v>
      </c>
      <c r="S29" s="297">
        <f t="shared" si="32"/>
        <v>1002</v>
      </c>
      <c r="T29" s="396">
        <f t="shared" si="32"/>
        <v>253</v>
      </c>
      <c r="U29" s="343">
        <f t="shared" si="32"/>
        <v>104</v>
      </c>
      <c r="V29" s="343">
        <f t="shared" si="32"/>
        <v>181</v>
      </c>
      <c r="W29" s="397">
        <f>W25-W27</f>
        <v>109</v>
      </c>
      <c r="X29" s="297">
        <f t="shared" si="32"/>
        <v>647</v>
      </c>
      <c r="Y29" s="396">
        <f t="shared" ref="Y29:AE29" si="33">Y25-Y27</f>
        <v>137</v>
      </c>
      <c r="Z29" s="343">
        <f t="shared" si="33"/>
        <v>204</v>
      </c>
      <c r="AA29" s="343">
        <f t="shared" si="33"/>
        <v>221</v>
      </c>
      <c r="AB29" s="397">
        <f t="shared" si="33"/>
        <v>82</v>
      </c>
      <c r="AC29" s="297">
        <f t="shared" si="33"/>
        <v>644</v>
      </c>
      <c r="AD29" s="396">
        <f t="shared" si="33"/>
        <v>164</v>
      </c>
      <c r="AE29" s="343">
        <f t="shared" si="33"/>
        <v>54</v>
      </c>
      <c r="AF29" s="343">
        <f t="shared" ref="AF29:AK29" si="34">AF25-AF27</f>
        <v>222</v>
      </c>
      <c r="AG29" s="397">
        <f t="shared" si="34"/>
        <v>320</v>
      </c>
      <c r="AH29" s="297">
        <f t="shared" si="34"/>
        <v>760</v>
      </c>
      <c r="AI29" s="396">
        <f t="shared" si="34"/>
        <v>335</v>
      </c>
      <c r="AJ29" s="343">
        <f t="shared" si="34"/>
        <v>166</v>
      </c>
      <c r="AK29" s="343">
        <f t="shared" si="34"/>
        <v>206</v>
      </c>
      <c r="AL29" s="397">
        <f>AL25-AL27</f>
        <v>149</v>
      </c>
      <c r="AM29" s="297">
        <f>AM25-AM27</f>
        <v>856</v>
      </c>
      <c r="AN29" s="396">
        <f>AN25-AN27</f>
        <v>192</v>
      </c>
      <c r="AO29" s="343">
        <f>AO25-AO27</f>
        <v>-11</v>
      </c>
      <c r="AP29" s="343">
        <f t="shared" si="32"/>
        <v>139</v>
      </c>
      <c r="AQ29" s="397">
        <f t="shared" ref="AQ29:AY29" si="35">AQ25-AQ27</f>
        <v>-302</v>
      </c>
      <c r="AR29" s="297">
        <f t="shared" si="35"/>
        <v>18</v>
      </c>
      <c r="AS29" s="396">
        <f t="shared" si="35"/>
        <v>-170</v>
      </c>
      <c r="AT29" s="343">
        <f t="shared" si="35"/>
        <v>-97</v>
      </c>
      <c r="AU29" s="343">
        <f t="shared" si="35"/>
        <v>136</v>
      </c>
      <c r="AV29" s="397">
        <f t="shared" si="35"/>
        <v>610</v>
      </c>
      <c r="AW29" s="297">
        <f t="shared" si="35"/>
        <v>479</v>
      </c>
      <c r="AX29" s="396">
        <f t="shared" si="35"/>
        <v>178.8850771304634</v>
      </c>
      <c r="AY29" s="343">
        <f t="shared" si="35"/>
        <v>104.30882843337103</v>
      </c>
      <c r="AZ29" s="343">
        <f>AZ25-AZ27</f>
        <v>182.48873684904927</v>
      </c>
      <c r="BA29" s="397">
        <f>BA25-BA27</f>
        <v>62.385873593991079</v>
      </c>
      <c r="BB29" s="297">
        <f>BB25-BB27</f>
        <v>528.06851600687537</v>
      </c>
      <c r="BC29" s="396">
        <f t="shared" ref="BC29:BL29" si="36">BC25-BC27</f>
        <v>202.04881196495603</v>
      </c>
      <c r="BD29" s="343">
        <f t="shared" si="36"/>
        <v>146.41285476205326</v>
      </c>
      <c r="BE29" s="343">
        <f t="shared" si="36"/>
        <v>124.06328255558221</v>
      </c>
      <c r="BF29" s="397">
        <f t="shared" si="36"/>
        <v>-5.7032546763346517</v>
      </c>
      <c r="BG29" s="297">
        <f t="shared" si="36"/>
        <v>466.8216946062563</v>
      </c>
      <c r="BH29" s="396">
        <f t="shared" si="36"/>
        <v>205.51139358277439</v>
      </c>
      <c r="BI29" s="343">
        <f t="shared" si="36"/>
        <v>108.18997987789663</v>
      </c>
      <c r="BJ29" s="343">
        <f t="shared" si="36"/>
        <v>134.06616829805586</v>
      </c>
      <c r="BK29" s="397">
        <f t="shared" si="36"/>
        <v>27.32507675854005</v>
      </c>
      <c r="BL29" s="297">
        <f t="shared" si="36"/>
        <v>475.092618517267</v>
      </c>
      <c r="BM29" s="396">
        <f>BM25-BM27</f>
        <v>214.04846628976682</v>
      </c>
      <c r="BN29" s="343">
        <f>BN25-BN27</f>
        <v>154.75933439097705</v>
      </c>
      <c r="BO29" s="343">
        <f>BO25-BO27</f>
        <v>151.87562134402319</v>
      </c>
      <c r="BP29" s="397">
        <f>BP25-BP27</f>
        <v>74.743311679760282</v>
      </c>
      <c r="BQ29" s="297">
        <f>BQ25-BQ27</f>
        <v>595.42673370452781</v>
      </c>
      <c r="BS29"/>
      <c r="BT29"/>
      <c r="BU29"/>
      <c r="BV29"/>
      <c r="BW29" s="1645"/>
      <c r="BX29" s="437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4" s="2" customFormat="1">
      <c r="A30" s="1523"/>
      <c r="C30" s="49"/>
      <c r="E30" s="477"/>
      <c r="F30" s="478"/>
      <c r="G30" s="478"/>
      <c r="H30" s="479"/>
      <c r="I30" s="297"/>
      <c r="J30" s="396"/>
      <c r="K30" s="343"/>
      <c r="L30" s="343"/>
      <c r="M30" s="397"/>
      <c r="N30" s="297"/>
      <c r="O30" s="396"/>
      <c r="P30" s="343"/>
      <c r="Q30" s="343"/>
      <c r="R30" s="397"/>
      <c r="S30" s="297"/>
      <c r="T30" s="396"/>
      <c r="U30" s="343"/>
      <c r="V30" s="343"/>
      <c r="W30" s="397"/>
      <c r="X30" s="297"/>
      <c r="Y30" s="396"/>
      <c r="Z30" s="343"/>
      <c r="AA30" s="343"/>
      <c r="AB30" s="397"/>
      <c r="AC30" s="297"/>
      <c r="AD30" s="396"/>
      <c r="AE30" s="343"/>
      <c r="AF30" s="343"/>
      <c r="AG30" s="397"/>
      <c r="AH30" s="297"/>
      <c r="AI30" s="396"/>
      <c r="AJ30" s="343"/>
      <c r="AK30" s="343"/>
      <c r="AL30" s="397"/>
      <c r="AM30" s="297"/>
      <c r="AN30" s="396"/>
      <c r="AO30" s="343"/>
      <c r="AP30" s="343"/>
      <c r="AQ30" s="397"/>
      <c r="AR30" s="297"/>
      <c r="AS30" s="396"/>
      <c r="AT30" s="343"/>
      <c r="AU30" s="343"/>
      <c r="AV30" s="397"/>
      <c r="AW30" s="297"/>
      <c r="AX30" s="396"/>
      <c r="AY30" s="343"/>
      <c r="AZ30" s="343"/>
      <c r="BA30" s="397"/>
      <c r="BB30" s="297"/>
      <c r="BC30" s="396"/>
      <c r="BD30" s="343"/>
      <c r="BE30" s="343"/>
      <c r="BF30" s="397"/>
      <c r="BG30" s="297"/>
      <c r="BH30" s="396"/>
      <c r="BI30" s="343"/>
      <c r="BJ30" s="343"/>
      <c r="BK30" s="397"/>
      <c r="BL30" s="297"/>
      <c r="BM30" s="396"/>
      <c r="BN30" s="343"/>
      <c r="BO30" s="343"/>
      <c r="BP30" s="397"/>
      <c r="BQ30" s="297"/>
      <c r="BS30"/>
      <c r="BT30"/>
      <c r="BU30"/>
      <c r="BV30"/>
      <c r="BW30" s="1645"/>
      <c r="BX30" s="437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4" s="2" customFormat="1">
      <c r="A31" s="1523"/>
      <c r="C31" s="37" t="s">
        <v>388</v>
      </c>
      <c r="E31" s="459">
        <v>0</v>
      </c>
      <c r="F31" s="460">
        <v>0</v>
      </c>
      <c r="G31" s="460">
        <v>0</v>
      </c>
      <c r="H31" s="405">
        <f>I31-SUM(E31:G31)</f>
        <v>-2</v>
      </c>
      <c r="I31" s="462">
        <v>-2</v>
      </c>
      <c r="J31" s="459">
        <v>-7</v>
      </c>
      <c r="K31" s="460">
        <v>2</v>
      </c>
      <c r="L31" s="460">
        <v>0</v>
      </c>
      <c r="M31" s="405">
        <f>N31-SUM(J31:L31)</f>
        <v>12</v>
      </c>
      <c r="N31" s="462">
        <v>7</v>
      </c>
      <c r="O31" s="459">
        <v>64</v>
      </c>
      <c r="P31" s="460">
        <v>3</v>
      </c>
      <c r="Q31" s="460">
        <v>29</v>
      </c>
      <c r="R31" s="405">
        <f>S31-SUM(O31:Q31)</f>
        <v>0</v>
      </c>
      <c r="S31" s="462">
        <v>96</v>
      </c>
      <c r="T31" s="459">
        <v>0</v>
      </c>
      <c r="U31" s="460">
        <v>0</v>
      </c>
      <c r="V31" s="460">
        <v>0</v>
      </c>
      <c r="W31" s="405">
        <f>X31-SUM(T31:V31)</f>
        <v>0</v>
      </c>
      <c r="X31" s="462">
        <v>0</v>
      </c>
      <c r="Y31" s="459">
        <v>0</v>
      </c>
      <c r="Z31" s="460">
        <v>0</v>
      </c>
      <c r="AA31" s="460">
        <v>0</v>
      </c>
      <c r="AB31" s="395">
        <f>AC31-SUM(Y31:AA31)</f>
        <v>0</v>
      </c>
      <c r="AC31" s="462">
        <v>0</v>
      </c>
      <c r="AD31" s="459">
        <v>0</v>
      </c>
      <c r="AE31" s="460">
        <v>0</v>
      </c>
      <c r="AF31" s="460">
        <v>0</v>
      </c>
      <c r="AG31" s="395">
        <f>AH31-SUM(AD31:AF31)</f>
        <v>0</v>
      </c>
      <c r="AH31" s="462">
        <v>0</v>
      </c>
      <c r="AI31" s="459">
        <v>0</v>
      </c>
      <c r="AJ31" s="460">
        <v>0</v>
      </c>
      <c r="AK31" s="460">
        <v>0</v>
      </c>
      <c r="AL31" s="395">
        <f>AM31-SUM(AI31:AK31)</f>
        <v>0</v>
      </c>
      <c r="AM31" s="462">
        <v>0</v>
      </c>
      <c r="AN31" s="459">
        <v>0</v>
      </c>
      <c r="AO31" s="460">
        <v>0</v>
      </c>
      <c r="AP31" s="460">
        <v>0</v>
      </c>
      <c r="AQ31" s="395">
        <f>AR31-SUM(AN31:AP31)</f>
        <v>0</v>
      </c>
      <c r="AR31" s="462">
        <v>0</v>
      </c>
      <c r="AS31" s="459">
        <v>0</v>
      </c>
      <c r="AT31" s="460">
        <v>0</v>
      </c>
      <c r="AU31" s="460">
        <v>0</v>
      </c>
      <c r="AV31" s="395">
        <f>AW31-SUM(AS31:AU31)</f>
        <v>0</v>
      </c>
      <c r="AW31" s="462">
        <v>0</v>
      </c>
      <c r="AX31" s="398">
        <v>0</v>
      </c>
      <c r="AY31" s="344">
        <v>0</v>
      </c>
      <c r="AZ31" s="344">
        <v>0</v>
      </c>
      <c r="BA31" s="399">
        <v>0</v>
      </c>
      <c r="BB31" s="296">
        <f>SUM(AX31:BA31)</f>
        <v>0</v>
      </c>
      <c r="BC31" s="398">
        <v>0</v>
      </c>
      <c r="BD31" s="344">
        <v>0</v>
      </c>
      <c r="BE31" s="344">
        <v>0</v>
      </c>
      <c r="BF31" s="399">
        <v>0</v>
      </c>
      <c r="BG31" s="296">
        <f>SUM(BC31:BF31)</f>
        <v>0</v>
      </c>
      <c r="BH31" s="398">
        <v>0</v>
      </c>
      <c r="BI31" s="344">
        <v>0</v>
      </c>
      <c r="BJ31" s="344">
        <v>0</v>
      </c>
      <c r="BK31" s="399">
        <v>0</v>
      </c>
      <c r="BL31" s="296">
        <f>SUM(BH31:BK31)</f>
        <v>0</v>
      </c>
      <c r="BM31" s="398">
        <v>0</v>
      </c>
      <c r="BN31" s="344">
        <v>0</v>
      </c>
      <c r="BO31" s="344">
        <v>0</v>
      </c>
      <c r="BP31" s="399">
        <v>0</v>
      </c>
      <c r="BQ31" s="296">
        <f>SUM(BM31:BP31)</f>
        <v>0</v>
      </c>
      <c r="BS31"/>
      <c r="BT31"/>
      <c r="BU31"/>
      <c r="BV31"/>
      <c r="BW31" s="1644"/>
      <c r="BX31" s="437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4" s="2" customFormat="1">
      <c r="A32" s="1523"/>
      <c r="C32" s="49"/>
      <c r="E32" s="477"/>
      <c r="F32" s="478"/>
      <c r="G32" s="478"/>
      <c r="H32" s="479"/>
      <c r="I32" s="297"/>
      <c r="J32" s="396"/>
      <c r="K32" s="343"/>
      <c r="L32" s="343"/>
      <c r="M32" s="397"/>
      <c r="N32" s="297"/>
      <c r="O32" s="396"/>
      <c r="P32" s="343"/>
      <c r="Q32" s="343"/>
      <c r="R32" s="397"/>
      <c r="S32" s="297"/>
      <c r="T32" s="396"/>
      <c r="U32" s="343"/>
      <c r="V32" s="343"/>
      <c r="W32" s="397"/>
      <c r="X32" s="297"/>
      <c r="Y32" s="396"/>
      <c r="Z32" s="343"/>
      <c r="AA32" s="343"/>
      <c r="AB32" s="397"/>
      <c r="AC32" s="297"/>
      <c r="AD32" s="396"/>
      <c r="AE32" s="343"/>
      <c r="AF32" s="343"/>
      <c r="AG32" s="397"/>
      <c r="AH32" s="297"/>
      <c r="AI32" s="396"/>
      <c r="AJ32" s="343"/>
      <c r="AK32" s="343"/>
      <c r="AL32" s="397"/>
      <c r="AM32" s="297"/>
      <c r="AN32" s="396"/>
      <c r="AO32" s="343"/>
      <c r="AP32" s="343"/>
      <c r="AQ32" s="397"/>
      <c r="AR32" s="297"/>
      <c r="AS32" s="396"/>
      <c r="AT32" s="343"/>
      <c r="AU32" s="343"/>
      <c r="AV32" s="397"/>
      <c r="AW32" s="297"/>
      <c r="AX32" s="396"/>
      <c r="AY32" s="343"/>
      <c r="AZ32" s="343"/>
      <c r="BA32" s="397"/>
      <c r="BB32" s="297"/>
      <c r="BC32" s="396"/>
      <c r="BD32" s="343"/>
      <c r="BE32" s="343"/>
      <c r="BF32" s="397"/>
      <c r="BG32" s="297"/>
      <c r="BH32" s="396"/>
      <c r="BI32" s="343"/>
      <c r="BJ32" s="343"/>
      <c r="BK32" s="397"/>
      <c r="BL32" s="297"/>
      <c r="BM32" s="396"/>
      <c r="BN32" s="343"/>
      <c r="BO32" s="343"/>
      <c r="BP32" s="397"/>
      <c r="BQ32" s="297"/>
      <c r="BU32" s="601"/>
      <c r="BW32" s="1645"/>
      <c r="BX32" s="437"/>
    </row>
    <row r="33" spans="1:76" s="2" customFormat="1">
      <c r="A33" s="1523"/>
      <c r="C33" s="49" t="s">
        <v>90</v>
      </c>
      <c r="E33" s="477">
        <f>+E29+E31</f>
        <v>314</v>
      </c>
      <c r="F33" s="478">
        <f t="shared" ref="F33:Y33" si="37">+F29+F31</f>
        <v>246</v>
      </c>
      <c r="G33" s="478">
        <f t="shared" si="37"/>
        <v>382</v>
      </c>
      <c r="H33" s="479">
        <f t="shared" si="37"/>
        <v>247</v>
      </c>
      <c r="I33" s="297">
        <f t="shared" si="37"/>
        <v>1189</v>
      </c>
      <c r="J33" s="396">
        <f t="shared" si="37"/>
        <v>364</v>
      </c>
      <c r="K33" s="343">
        <f t="shared" si="37"/>
        <v>204</v>
      </c>
      <c r="L33" s="343">
        <f t="shared" si="37"/>
        <v>384</v>
      </c>
      <c r="M33" s="397">
        <f t="shared" si="37"/>
        <v>191</v>
      </c>
      <c r="N33" s="297">
        <f t="shared" si="37"/>
        <v>1143</v>
      </c>
      <c r="O33" s="396">
        <f t="shared" si="37"/>
        <v>362</v>
      </c>
      <c r="P33" s="343">
        <f t="shared" si="37"/>
        <v>208</v>
      </c>
      <c r="Q33" s="343">
        <f t="shared" si="37"/>
        <v>302</v>
      </c>
      <c r="R33" s="397">
        <f t="shared" si="37"/>
        <v>226</v>
      </c>
      <c r="S33" s="297">
        <f t="shared" si="37"/>
        <v>1098</v>
      </c>
      <c r="T33" s="396">
        <f t="shared" si="37"/>
        <v>253</v>
      </c>
      <c r="U33" s="343">
        <f t="shared" si="37"/>
        <v>104</v>
      </c>
      <c r="V33" s="343">
        <f t="shared" si="37"/>
        <v>181</v>
      </c>
      <c r="W33" s="397">
        <f>+W29+W31</f>
        <v>109</v>
      </c>
      <c r="X33" s="297">
        <f t="shared" si="37"/>
        <v>647</v>
      </c>
      <c r="Y33" s="396">
        <f t="shared" si="37"/>
        <v>137</v>
      </c>
      <c r="Z33" s="343">
        <f t="shared" ref="Z33:AE33" si="38">+Z29+Z31</f>
        <v>204</v>
      </c>
      <c r="AA33" s="343">
        <f t="shared" si="38"/>
        <v>221</v>
      </c>
      <c r="AB33" s="397">
        <f t="shared" si="38"/>
        <v>82</v>
      </c>
      <c r="AC33" s="297">
        <f t="shared" si="38"/>
        <v>644</v>
      </c>
      <c r="AD33" s="396">
        <f t="shared" si="38"/>
        <v>164</v>
      </c>
      <c r="AE33" s="343">
        <f t="shared" si="38"/>
        <v>54</v>
      </c>
      <c r="AF33" s="343">
        <f t="shared" ref="AF33:AK33" si="39">+AF29+AF31</f>
        <v>222</v>
      </c>
      <c r="AG33" s="397">
        <f t="shared" si="39"/>
        <v>320</v>
      </c>
      <c r="AH33" s="297">
        <f t="shared" si="39"/>
        <v>760</v>
      </c>
      <c r="AI33" s="396">
        <f t="shared" si="39"/>
        <v>335</v>
      </c>
      <c r="AJ33" s="343">
        <f t="shared" si="39"/>
        <v>166</v>
      </c>
      <c r="AK33" s="343">
        <f t="shared" si="39"/>
        <v>206</v>
      </c>
      <c r="AL33" s="397">
        <f t="shared" ref="AL33:AR33" si="40">+AL29+AL31</f>
        <v>149</v>
      </c>
      <c r="AM33" s="297">
        <f t="shared" si="40"/>
        <v>856</v>
      </c>
      <c r="AN33" s="396">
        <f t="shared" si="40"/>
        <v>192</v>
      </c>
      <c r="AO33" s="343">
        <f t="shared" si="40"/>
        <v>-11</v>
      </c>
      <c r="AP33" s="343">
        <f t="shared" si="40"/>
        <v>139</v>
      </c>
      <c r="AQ33" s="397">
        <f t="shared" si="40"/>
        <v>-302</v>
      </c>
      <c r="AR33" s="297">
        <f t="shared" si="40"/>
        <v>18</v>
      </c>
      <c r="AS33" s="396">
        <f t="shared" ref="AS33:AY33" si="41">+AS29+AS31</f>
        <v>-170</v>
      </c>
      <c r="AT33" s="343">
        <f t="shared" si="41"/>
        <v>-97</v>
      </c>
      <c r="AU33" s="343">
        <f t="shared" si="41"/>
        <v>136</v>
      </c>
      <c r="AV33" s="397">
        <f t="shared" si="41"/>
        <v>610</v>
      </c>
      <c r="AW33" s="297">
        <f t="shared" si="41"/>
        <v>479</v>
      </c>
      <c r="AX33" s="396">
        <f t="shared" si="41"/>
        <v>178.8850771304634</v>
      </c>
      <c r="AY33" s="343">
        <f t="shared" si="41"/>
        <v>104.30882843337103</v>
      </c>
      <c r="AZ33" s="343">
        <f>+AZ29+AZ31</f>
        <v>182.48873684904927</v>
      </c>
      <c r="BA33" s="397">
        <f>+BA29+BA31</f>
        <v>62.385873593991079</v>
      </c>
      <c r="BB33" s="297">
        <f>+BB29+BB31</f>
        <v>528.06851600687537</v>
      </c>
      <c r="BC33" s="396">
        <f t="shared" ref="BC33:BL33" si="42">+BC29+BC31</f>
        <v>202.04881196495603</v>
      </c>
      <c r="BD33" s="343">
        <f t="shared" si="42"/>
        <v>146.41285476205326</v>
      </c>
      <c r="BE33" s="343">
        <f t="shared" si="42"/>
        <v>124.06328255558221</v>
      </c>
      <c r="BF33" s="397">
        <f t="shared" si="42"/>
        <v>-5.7032546763346517</v>
      </c>
      <c r="BG33" s="297">
        <f t="shared" si="42"/>
        <v>466.8216946062563</v>
      </c>
      <c r="BH33" s="396">
        <f t="shared" si="42"/>
        <v>205.51139358277439</v>
      </c>
      <c r="BI33" s="343">
        <f t="shared" si="42"/>
        <v>108.18997987789663</v>
      </c>
      <c r="BJ33" s="343">
        <f t="shared" si="42"/>
        <v>134.06616829805586</v>
      </c>
      <c r="BK33" s="397">
        <f t="shared" si="42"/>
        <v>27.32507675854005</v>
      </c>
      <c r="BL33" s="297">
        <f t="shared" si="42"/>
        <v>475.092618517267</v>
      </c>
      <c r="BM33" s="396">
        <f>+BM29+BM31</f>
        <v>214.04846628976682</v>
      </c>
      <c r="BN33" s="343">
        <f>+BN29+BN31</f>
        <v>154.75933439097705</v>
      </c>
      <c r="BO33" s="343">
        <f>+BO29+BO31</f>
        <v>151.87562134402319</v>
      </c>
      <c r="BP33" s="397">
        <f>+BP29+BP31</f>
        <v>74.743311679760282</v>
      </c>
      <c r="BQ33" s="297">
        <f>+BQ29+BQ31</f>
        <v>595.42673370452781</v>
      </c>
      <c r="BV33" s="777"/>
      <c r="BW33" s="1645"/>
      <c r="BX33" s="437"/>
    </row>
    <row r="34" spans="1:76" s="2" customFormat="1">
      <c r="A34" s="1523"/>
      <c r="C34" s="305" t="s">
        <v>91</v>
      </c>
      <c r="E34" s="459">
        <f>38+60</f>
        <v>98</v>
      </c>
      <c r="F34" s="460">
        <v>7</v>
      </c>
      <c r="G34" s="460">
        <v>-24</v>
      </c>
      <c r="H34" s="405">
        <f>I34-SUM(E34:G34)</f>
        <v>27</v>
      </c>
      <c r="I34" s="462">
        <v>108</v>
      </c>
      <c r="J34" s="459">
        <f>-59+7+1</f>
        <v>-51</v>
      </c>
      <c r="K34" s="460">
        <f>27-2+5</f>
        <v>30</v>
      </c>
      <c r="L34" s="460">
        <f>-20-26+2</f>
        <v>-44</v>
      </c>
      <c r="M34" s="405">
        <f>N34-SUM(J34:L34)</f>
        <v>20</v>
      </c>
      <c r="N34" s="462">
        <v>-45</v>
      </c>
      <c r="O34" s="459">
        <f>-31-64+2</f>
        <v>-93</v>
      </c>
      <c r="P34" s="460">
        <f>-19-3+1</f>
        <v>-21</v>
      </c>
      <c r="Q34" s="460">
        <f>-15-29+8</f>
        <v>-36</v>
      </c>
      <c r="R34" s="405">
        <f>S34-SUM(O34:Q34)</f>
        <v>-82</v>
      </c>
      <c r="S34" s="462">
        <v>-232</v>
      </c>
      <c r="T34" s="459">
        <f>-57+5</f>
        <v>-52</v>
      </c>
      <c r="U34" s="460">
        <f>6+7</f>
        <v>13</v>
      </c>
      <c r="V34" s="460">
        <f>-40+76</f>
        <v>36</v>
      </c>
      <c r="W34" s="405">
        <f>X34-SUM(T34:V34)</f>
        <v>0</v>
      </c>
      <c r="X34" s="462">
        <f>-52+10+39</f>
        <v>-3</v>
      </c>
      <c r="Y34" s="459">
        <f>-9+105+17</f>
        <v>113</v>
      </c>
      <c r="Z34" s="460">
        <f>-8-80-2</f>
        <v>-90</v>
      </c>
      <c r="AA34" s="460">
        <f>-12-3+10</f>
        <v>-5</v>
      </c>
      <c r="AB34" s="395">
        <f>AC34-SUM(Y34:AA34)</f>
        <v>48</v>
      </c>
      <c r="AC34" s="462">
        <f>-40+74+32</f>
        <v>66</v>
      </c>
      <c r="AD34" s="459">
        <v>129</v>
      </c>
      <c r="AE34" s="460">
        <v>33</v>
      </c>
      <c r="AF34" s="460">
        <f>-17-36+2</f>
        <v>-51</v>
      </c>
      <c r="AG34" s="395">
        <f>AH34-SUM(AD34:AF34)</f>
        <v>-229</v>
      </c>
      <c r="AH34" s="462">
        <f>-68-66+16</f>
        <v>-118</v>
      </c>
      <c r="AI34" s="459">
        <f>-2+20-75</f>
        <v>-57</v>
      </c>
      <c r="AJ34" s="460">
        <f>-1-28-27</f>
        <v>-56</v>
      </c>
      <c r="AK34" s="460">
        <f>14-50</f>
        <v>-36</v>
      </c>
      <c r="AL34" s="395">
        <f>AM34-SUM(AI34:AK34)</f>
        <v>-54</v>
      </c>
      <c r="AM34" s="462">
        <f>-8-93-102</f>
        <v>-203</v>
      </c>
      <c r="AN34" s="459">
        <f>8-22+6</f>
        <v>-8</v>
      </c>
      <c r="AO34" s="460">
        <f>171-69</f>
        <v>102</v>
      </c>
      <c r="AP34" s="460">
        <f>-4-58+114-21</f>
        <v>31</v>
      </c>
      <c r="AQ34" s="395">
        <f>AR34-SUM(AN34:AP34)</f>
        <v>371</v>
      </c>
      <c r="AR34" s="462">
        <f>-5+168+669-336</f>
        <v>496</v>
      </c>
      <c r="AS34" s="459">
        <f>-17-10+564-217</f>
        <v>320</v>
      </c>
      <c r="AT34" s="460">
        <f>-30-36+387-127</f>
        <v>194</v>
      </c>
      <c r="AU34" s="460">
        <f>-22+46+9-11</f>
        <v>22</v>
      </c>
      <c r="AV34" s="395">
        <f>AW34-SUM(AS34:AU34)</f>
        <v>-510</v>
      </c>
      <c r="AW34" s="462">
        <f>-133+167+975-395-588</f>
        <v>26</v>
      </c>
      <c r="AX34" s="398">
        <v>0</v>
      </c>
      <c r="AY34" s="344">
        <v>0</v>
      </c>
      <c r="AZ34" s="344">
        <v>0</v>
      </c>
      <c r="BA34" s="399">
        <v>0</v>
      </c>
      <c r="BB34" s="451">
        <f>SUM(AX34:BA34)</f>
        <v>0</v>
      </c>
      <c r="BC34" s="398">
        <v>0</v>
      </c>
      <c r="BD34" s="344">
        <v>0</v>
      </c>
      <c r="BE34" s="344">
        <v>0</v>
      </c>
      <c r="BF34" s="399">
        <v>0</v>
      </c>
      <c r="BG34" s="451">
        <f>SUM(BC34:BF34)</f>
        <v>0</v>
      </c>
      <c r="BH34" s="398">
        <v>0</v>
      </c>
      <c r="BI34" s="344">
        <v>0</v>
      </c>
      <c r="BJ34" s="344">
        <v>0</v>
      </c>
      <c r="BK34" s="399">
        <v>0</v>
      </c>
      <c r="BL34" s="451">
        <f>SUM(BH34:BK34)</f>
        <v>0</v>
      </c>
      <c r="BM34" s="398">
        <v>0</v>
      </c>
      <c r="BN34" s="344">
        <v>0</v>
      </c>
      <c r="BO34" s="344">
        <v>0</v>
      </c>
      <c r="BP34" s="399">
        <v>0</v>
      </c>
      <c r="BQ34" s="451">
        <f>SUM(BM34:BP34)</f>
        <v>0</v>
      </c>
      <c r="BV34" s="437"/>
      <c r="BW34" s="1648"/>
      <c r="BX34" s="437"/>
    </row>
    <row r="35" spans="1:76" s="2" customFormat="1">
      <c r="A35" s="1523"/>
      <c r="C35" s="49" t="s">
        <v>421</v>
      </c>
      <c r="E35" s="477">
        <f>+E33+E34</f>
        <v>412</v>
      </c>
      <c r="F35" s="478">
        <f t="shared" ref="F35:AP35" si="43">+F33+F34</f>
        <v>253</v>
      </c>
      <c r="G35" s="478">
        <f t="shared" si="43"/>
        <v>358</v>
      </c>
      <c r="H35" s="479">
        <f t="shared" si="43"/>
        <v>274</v>
      </c>
      <c r="I35" s="297">
        <f t="shared" si="43"/>
        <v>1297</v>
      </c>
      <c r="J35" s="396">
        <f t="shared" si="43"/>
        <v>313</v>
      </c>
      <c r="K35" s="343">
        <f t="shared" si="43"/>
        <v>234</v>
      </c>
      <c r="L35" s="343">
        <f t="shared" si="43"/>
        <v>340</v>
      </c>
      <c r="M35" s="397">
        <f t="shared" si="43"/>
        <v>211</v>
      </c>
      <c r="N35" s="297">
        <f t="shared" si="43"/>
        <v>1098</v>
      </c>
      <c r="O35" s="396">
        <f t="shared" si="43"/>
        <v>269</v>
      </c>
      <c r="P35" s="343">
        <f t="shared" si="43"/>
        <v>187</v>
      </c>
      <c r="Q35" s="343">
        <f t="shared" si="43"/>
        <v>266</v>
      </c>
      <c r="R35" s="397">
        <f t="shared" si="43"/>
        <v>144</v>
      </c>
      <c r="S35" s="297">
        <f t="shared" si="43"/>
        <v>866</v>
      </c>
      <c r="T35" s="396">
        <f t="shared" si="43"/>
        <v>201</v>
      </c>
      <c r="U35" s="343">
        <f t="shared" si="43"/>
        <v>117</v>
      </c>
      <c r="V35" s="343">
        <f t="shared" si="43"/>
        <v>217</v>
      </c>
      <c r="W35" s="397">
        <f t="shared" si="43"/>
        <v>109</v>
      </c>
      <c r="X35" s="297">
        <f t="shared" si="43"/>
        <v>644</v>
      </c>
      <c r="Y35" s="396">
        <f t="shared" si="43"/>
        <v>250</v>
      </c>
      <c r="Z35" s="343">
        <f t="shared" si="43"/>
        <v>114</v>
      </c>
      <c r="AA35" s="343">
        <f t="shared" si="43"/>
        <v>216</v>
      </c>
      <c r="AB35" s="397">
        <f t="shared" si="43"/>
        <v>130</v>
      </c>
      <c r="AC35" s="297">
        <f t="shared" ref="AC35:AI35" si="44">+AC33+AC34</f>
        <v>710</v>
      </c>
      <c r="AD35" s="396">
        <f t="shared" si="44"/>
        <v>293</v>
      </c>
      <c r="AE35" s="343">
        <f t="shared" si="44"/>
        <v>87</v>
      </c>
      <c r="AF35" s="343">
        <f t="shared" si="44"/>
        <v>171</v>
      </c>
      <c r="AG35" s="397">
        <f t="shared" si="44"/>
        <v>91</v>
      </c>
      <c r="AH35" s="297">
        <f t="shared" si="44"/>
        <v>642</v>
      </c>
      <c r="AI35" s="396">
        <f t="shared" si="44"/>
        <v>278</v>
      </c>
      <c r="AJ35" s="343">
        <f>+AJ33+AJ34</f>
        <v>110</v>
      </c>
      <c r="AK35" s="343">
        <f>+AK33+AK34</f>
        <v>170</v>
      </c>
      <c r="AL35" s="397">
        <f t="shared" si="43"/>
        <v>95</v>
      </c>
      <c r="AM35" s="297">
        <f t="shared" si="43"/>
        <v>653</v>
      </c>
      <c r="AN35" s="396">
        <f t="shared" si="43"/>
        <v>184</v>
      </c>
      <c r="AO35" s="343">
        <f>+AO33+AO34</f>
        <v>91</v>
      </c>
      <c r="AP35" s="343">
        <f t="shared" si="43"/>
        <v>170</v>
      </c>
      <c r="AQ35" s="397">
        <f t="shared" ref="AQ35:AY35" si="45">+AQ33+AQ34</f>
        <v>69</v>
      </c>
      <c r="AR35" s="297">
        <f t="shared" si="45"/>
        <v>514</v>
      </c>
      <c r="AS35" s="396">
        <f t="shared" si="45"/>
        <v>150</v>
      </c>
      <c r="AT35" s="343">
        <f t="shared" si="45"/>
        <v>97</v>
      </c>
      <c r="AU35" s="343">
        <f t="shared" si="45"/>
        <v>158</v>
      </c>
      <c r="AV35" s="397">
        <f>+AV33+AV34</f>
        <v>100</v>
      </c>
      <c r="AW35" s="297">
        <f>+AW33+AW34</f>
        <v>505</v>
      </c>
      <c r="AX35" s="396">
        <f t="shared" si="45"/>
        <v>178.8850771304634</v>
      </c>
      <c r="AY35" s="343">
        <f t="shared" si="45"/>
        <v>104.30882843337103</v>
      </c>
      <c r="AZ35" s="343">
        <f>+AZ33+AZ34</f>
        <v>182.48873684904927</v>
      </c>
      <c r="BA35" s="397">
        <f>+BA33+BA34</f>
        <v>62.385873593991079</v>
      </c>
      <c r="BB35" s="297">
        <f>+BB33+BB34</f>
        <v>528.06851600687537</v>
      </c>
      <c r="BC35" s="396">
        <f t="shared" ref="BC35:BL35" si="46">+BC33+BC34</f>
        <v>202.04881196495603</v>
      </c>
      <c r="BD35" s="343">
        <f t="shared" si="46"/>
        <v>146.41285476205326</v>
      </c>
      <c r="BE35" s="343">
        <f t="shared" si="46"/>
        <v>124.06328255558221</v>
      </c>
      <c r="BF35" s="397">
        <f t="shared" si="46"/>
        <v>-5.7032546763346517</v>
      </c>
      <c r="BG35" s="297">
        <f t="shared" si="46"/>
        <v>466.8216946062563</v>
      </c>
      <c r="BH35" s="396">
        <f t="shared" si="46"/>
        <v>205.51139358277439</v>
      </c>
      <c r="BI35" s="343">
        <f t="shared" si="46"/>
        <v>108.18997987789663</v>
      </c>
      <c r="BJ35" s="343">
        <f t="shared" si="46"/>
        <v>134.06616829805586</v>
      </c>
      <c r="BK35" s="397">
        <f t="shared" si="46"/>
        <v>27.32507675854005</v>
      </c>
      <c r="BL35" s="297">
        <f t="shared" si="46"/>
        <v>475.092618517267</v>
      </c>
      <c r="BM35" s="396">
        <f>+BM33+BM34</f>
        <v>214.04846628976682</v>
      </c>
      <c r="BN35" s="343">
        <f>+BN33+BN34</f>
        <v>154.75933439097705</v>
      </c>
      <c r="BO35" s="343">
        <f>+BO33+BO34</f>
        <v>151.87562134402319</v>
      </c>
      <c r="BP35" s="397">
        <f>+BP33+BP34</f>
        <v>74.743311679760282</v>
      </c>
      <c r="BQ35" s="297">
        <f>+BQ33+BQ34</f>
        <v>595.42673370452781</v>
      </c>
      <c r="BW35" s="1645"/>
      <c r="BX35" s="437"/>
    </row>
    <row r="36" spans="1:76" s="2" customFormat="1">
      <c r="A36" s="1523"/>
      <c r="C36" s="49"/>
      <c r="E36" s="477"/>
      <c r="F36" s="478"/>
      <c r="G36" s="478"/>
      <c r="H36" s="479"/>
      <c r="I36" s="297"/>
      <c r="J36" s="396"/>
      <c r="K36" s="343"/>
      <c r="L36" s="343"/>
      <c r="M36" s="397"/>
      <c r="N36" s="297"/>
      <c r="O36" s="396"/>
      <c r="P36" s="343"/>
      <c r="Q36" s="343"/>
      <c r="R36" s="397"/>
      <c r="S36" s="297"/>
      <c r="T36" s="396"/>
      <c r="U36" s="343"/>
      <c r="V36" s="343"/>
      <c r="W36" s="397"/>
      <c r="X36" s="297"/>
      <c r="Y36" s="396"/>
      <c r="Z36" s="343"/>
      <c r="AA36" s="343"/>
      <c r="AB36" s="397"/>
      <c r="AC36" s="297"/>
      <c r="AD36" s="396"/>
      <c r="AE36" s="343"/>
      <c r="AF36" s="343"/>
      <c r="AG36" s="397"/>
      <c r="AH36" s="297"/>
      <c r="AI36" s="396"/>
      <c r="AJ36" s="343"/>
      <c r="AK36" s="343"/>
      <c r="AL36" s="397"/>
      <c r="AM36" s="297"/>
      <c r="AN36" s="396"/>
      <c r="AO36" s="343"/>
      <c r="AP36" s="343"/>
      <c r="AQ36" s="397"/>
      <c r="AR36" s="297"/>
      <c r="AS36" s="396"/>
      <c r="AT36" s="343"/>
      <c r="AU36" s="343"/>
      <c r="AV36" s="397"/>
      <c r="AW36" s="297"/>
      <c r="AX36" s="396"/>
      <c r="AY36" s="343"/>
      <c r="AZ36" s="343"/>
      <c r="BA36" s="397"/>
      <c r="BB36" s="297"/>
      <c r="BC36" s="396"/>
      <c r="BD36" s="343"/>
      <c r="BE36" s="343"/>
      <c r="BF36" s="397"/>
      <c r="BG36" s="297"/>
      <c r="BH36" s="396"/>
      <c r="BI36" s="343"/>
      <c r="BJ36" s="343"/>
      <c r="BK36" s="397"/>
      <c r="BL36" s="297"/>
      <c r="BM36" s="396"/>
      <c r="BN36" s="343"/>
      <c r="BO36" s="343"/>
      <c r="BP36" s="397"/>
      <c r="BQ36" s="297"/>
      <c r="BW36" s="1645"/>
      <c r="BX36" s="437"/>
    </row>
    <row r="37" spans="1:76" s="2" customFormat="1">
      <c r="A37" s="1523"/>
      <c r="C37" s="37" t="s">
        <v>400</v>
      </c>
      <c r="E37" s="394">
        <f>+PEG!E45</f>
        <v>505.98599999999999</v>
      </c>
      <c r="F37" s="342">
        <f>+PEG!F45</f>
        <v>505.98200000000003</v>
      </c>
      <c r="G37" s="342">
        <f>+PEG!G45</f>
        <v>505.98200000000003</v>
      </c>
      <c r="H37" s="395">
        <f>+PEG!H45</f>
        <v>505.98700000000002</v>
      </c>
      <c r="I37" s="77">
        <f>+PEG!I45</f>
        <v>507.1035</v>
      </c>
      <c r="J37" s="394">
        <f>+PEG!J45</f>
        <v>505.95</v>
      </c>
      <c r="K37" s="342">
        <f>+PEG!K45</f>
        <v>506.10899999999998</v>
      </c>
      <c r="L37" s="342">
        <f>+PEG!L45</f>
        <v>505.94499999999999</v>
      </c>
      <c r="M37" s="395">
        <f>+PEG!M45</f>
        <v>505.93799999999999</v>
      </c>
      <c r="N37" s="77">
        <f>+PEG!N45</f>
        <v>507.04500000000002</v>
      </c>
      <c r="O37" s="394">
        <f>+PEG!O45</f>
        <v>505.97899999999998</v>
      </c>
      <c r="P37" s="342">
        <f>+PEG!P45</f>
        <v>505.988</v>
      </c>
      <c r="Q37" s="342">
        <f>+PEG!Q45</f>
        <v>505.90899999999999</v>
      </c>
      <c r="R37" s="395">
        <f>+PEG!R45</f>
        <v>505.92</v>
      </c>
      <c r="S37" s="77">
        <f>+PEG!S45</f>
        <v>505.94900000000001</v>
      </c>
      <c r="T37" s="394">
        <f>+PEG!T45</f>
        <v>506.01</v>
      </c>
      <c r="U37" s="342">
        <f>+PEG!U45</f>
        <v>505.90300000000002</v>
      </c>
      <c r="V37" s="342">
        <f>+PEG!V45</f>
        <v>505.91399999999999</v>
      </c>
      <c r="W37" s="395">
        <f>+PEG!W45</f>
        <v>505.90600000000001</v>
      </c>
      <c r="X37" s="77">
        <f>+PEG!X45</f>
        <v>505.93299999999999</v>
      </c>
      <c r="Y37" s="394">
        <f>+PEG!Y45</f>
        <v>505.94200000000001</v>
      </c>
      <c r="Z37" s="342">
        <f>+PEG!Z45</f>
        <v>505.9</v>
      </c>
      <c r="AA37" s="342">
        <f>+PEG!AA45</f>
        <v>505.858</v>
      </c>
      <c r="AB37" s="395">
        <f>+PEG!AB45</f>
        <v>505.85899999999998</v>
      </c>
      <c r="AC37" s="77">
        <f>+PEG!AC45</f>
        <v>505.88900000000001</v>
      </c>
      <c r="AD37" s="394">
        <f>+PEG!AD45</f>
        <v>506.077</v>
      </c>
      <c r="AE37" s="342">
        <f>+PEG!AE45</f>
        <v>505.875</v>
      </c>
      <c r="AF37" s="342">
        <f>+PEG!AF45</f>
        <v>505.86200000000002</v>
      </c>
      <c r="AG37" s="395">
        <f>+PEG!AG45</f>
        <v>506</v>
      </c>
      <c r="AH37" s="77">
        <f>+PEG!AH45</f>
        <v>506</v>
      </c>
      <c r="AI37" s="394">
        <f>+PEG!AI45</f>
        <v>506.077</v>
      </c>
      <c r="AJ37" s="342">
        <f>+PEG!AJ45</f>
        <v>506</v>
      </c>
      <c r="AK37" s="342">
        <f>+PEG!AK45</f>
        <v>505</v>
      </c>
      <c r="AL37" s="395">
        <f>+PEG!AL45</f>
        <v>505</v>
      </c>
      <c r="AM37" s="77">
        <f>+PEG!AM45</f>
        <v>505</v>
      </c>
      <c r="AN37" s="394">
        <f>+PEG!AN45</f>
        <v>505</v>
      </c>
      <c r="AO37" s="342">
        <f>+PEG!AO45</f>
        <v>505</v>
      </c>
      <c r="AP37" s="342">
        <f>+PEG!AP45</f>
        <v>505</v>
      </c>
      <c r="AQ37" s="395">
        <f>+PEG!AQ45</f>
        <v>505</v>
      </c>
      <c r="AR37" s="77">
        <f>+PEG!AR45</f>
        <v>505</v>
      </c>
      <c r="AS37" s="394">
        <f>+PEG!AS45</f>
        <v>505</v>
      </c>
      <c r="AT37" s="342">
        <f>+PEG!AT45</f>
        <v>505</v>
      </c>
      <c r="AU37" s="342">
        <f>+PEG!AU45</f>
        <v>505</v>
      </c>
      <c r="AV37" s="395">
        <f>+PEG!AV45</f>
        <v>505</v>
      </c>
      <c r="AW37" s="77">
        <f>+PEG!AW45</f>
        <v>505</v>
      </c>
      <c r="AX37" s="394">
        <f>+PEG!AX45</f>
        <v>505</v>
      </c>
      <c r="AY37" s="342">
        <f>+PEG!AY45</f>
        <v>505</v>
      </c>
      <c r="AZ37" s="342">
        <f>+PEG!AZ45</f>
        <v>505</v>
      </c>
      <c r="BA37" s="395">
        <f>+PEG!BA45</f>
        <v>505</v>
      </c>
      <c r="BB37" s="77">
        <f>+PEG!BB45</f>
        <v>505</v>
      </c>
      <c r="BC37" s="394">
        <f>+PEG!BC45</f>
        <v>505</v>
      </c>
      <c r="BD37" s="342">
        <f>+PEG!BD45</f>
        <v>505</v>
      </c>
      <c r="BE37" s="342">
        <f>+PEG!BE45</f>
        <v>505</v>
      </c>
      <c r="BF37" s="395">
        <f>+PEG!BF45</f>
        <v>505</v>
      </c>
      <c r="BG37" s="77">
        <f>+PEG!BG45</f>
        <v>505</v>
      </c>
      <c r="BH37" s="394">
        <f>+PEG!BH45</f>
        <v>505</v>
      </c>
      <c r="BI37" s="342">
        <f>+PEG!BI45</f>
        <v>505</v>
      </c>
      <c r="BJ37" s="342">
        <f>+PEG!BJ45</f>
        <v>505</v>
      </c>
      <c r="BK37" s="395">
        <f>+PEG!BK45</f>
        <v>505</v>
      </c>
      <c r="BL37" s="77">
        <f>+PEG!BL45</f>
        <v>505</v>
      </c>
      <c r="BM37" s="394">
        <f>+PEG!BM45</f>
        <v>505</v>
      </c>
      <c r="BN37" s="342">
        <f>+PEG!BN45</f>
        <v>505</v>
      </c>
      <c r="BO37" s="342">
        <f>+PEG!BO45</f>
        <v>505</v>
      </c>
      <c r="BP37" s="395">
        <f>+PEG!BP45</f>
        <v>505</v>
      </c>
      <c r="BQ37" s="77">
        <f>+PEG!BQ45</f>
        <v>505</v>
      </c>
      <c r="BW37" s="1643"/>
      <c r="BX37" s="437"/>
    </row>
    <row r="38" spans="1:76" s="2" customFormat="1">
      <c r="A38" s="1523"/>
      <c r="C38" s="37" t="s">
        <v>401</v>
      </c>
      <c r="E38" s="394">
        <f>+PEG!E46</f>
        <v>506.548</v>
      </c>
      <c r="F38" s="342">
        <f>+PEG!F46</f>
        <v>507.24200000000002</v>
      </c>
      <c r="G38" s="342">
        <f>+PEG!G46</f>
        <v>507.24200000000002</v>
      </c>
      <c r="H38" s="395">
        <f>+PEG!H46</f>
        <v>507.38200000000001</v>
      </c>
      <c r="I38" s="77">
        <f>+PEG!I46</f>
        <v>507.1035</v>
      </c>
      <c r="J38" s="394">
        <f>+PEG!J46</f>
        <v>507.14699999999999</v>
      </c>
      <c r="K38" s="342">
        <f>+PEG!K46</f>
        <v>507.09100000000001</v>
      </c>
      <c r="L38" s="342">
        <f>+PEG!L46</f>
        <v>506.96800000000002</v>
      </c>
      <c r="M38" s="395">
        <f>+PEG!M46</f>
        <v>506.97399999999999</v>
      </c>
      <c r="N38" s="77">
        <f>+PEG!N46</f>
        <v>507.04500000000002</v>
      </c>
      <c r="O38" s="394">
        <f>+PEG!O46</f>
        <v>507.13200000000001</v>
      </c>
      <c r="P38" s="342">
        <f>+PEG!P46</f>
        <v>506.76100000000002</v>
      </c>
      <c r="Q38" s="342">
        <f>+PEG!Q46</f>
        <v>506.99900000000002</v>
      </c>
      <c r="R38" s="395">
        <f>+PEG!R46</f>
        <v>507.03800000000001</v>
      </c>
      <c r="S38" s="77">
        <f>+PEG!S46</f>
        <v>506.98200000000003</v>
      </c>
      <c r="T38" s="394">
        <f>+PEG!T46</f>
        <v>507.029</v>
      </c>
      <c r="U38" s="342">
        <f>+PEG!U46</f>
        <v>506.96899999999999</v>
      </c>
      <c r="V38" s="342">
        <f>+PEG!V46</f>
        <v>507.11099999999999</v>
      </c>
      <c r="W38" s="395">
        <f>+PEG!W46</f>
        <v>507.23099999999999</v>
      </c>
      <c r="X38" s="77">
        <f>+PEG!X46</f>
        <v>507.08600000000001</v>
      </c>
      <c r="Y38" s="394">
        <f>+PEG!Y46</f>
        <v>507.22</v>
      </c>
      <c r="Z38" s="342">
        <f>+PEG!Z46</f>
        <v>507.38099999999997</v>
      </c>
      <c r="AA38" s="342">
        <f>+PEG!AA46</f>
        <v>507.69400000000002</v>
      </c>
      <c r="AB38" s="395">
        <f>+PEG!AB46</f>
        <v>507.79599999999999</v>
      </c>
      <c r="AC38" s="77">
        <f>+PEG!AC46</f>
        <v>507.52499999999998</v>
      </c>
      <c r="AD38" s="394">
        <f>+PEG!AD46</f>
        <v>507.83100000000002</v>
      </c>
      <c r="AE38" s="342">
        <f>+PEG!AE46</f>
        <v>508.05599999999998</v>
      </c>
      <c r="AF38" s="342">
        <f>+PEG!AF46</f>
        <v>507.42200000000003</v>
      </c>
      <c r="AG38" s="395">
        <f>+PEG!AG46</f>
        <v>508</v>
      </c>
      <c r="AH38" s="77">
        <f>+PEG!AH46</f>
        <v>508</v>
      </c>
      <c r="AI38" s="394">
        <f>+PEG!AI46</f>
        <v>507.83100000000002</v>
      </c>
      <c r="AJ38" s="342">
        <f>+PEG!AJ46</f>
        <v>508</v>
      </c>
      <c r="AK38" s="342">
        <f>+PEG!AK46</f>
        <v>508</v>
      </c>
      <c r="AL38" s="395">
        <f>+PEG!AL46</f>
        <v>508</v>
      </c>
      <c r="AM38" s="77">
        <f>+PEG!AM46</f>
        <v>508</v>
      </c>
      <c r="AN38" s="394">
        <f>+PEG!AN46</f>
        <v>508</v>
      </c>
      <c r="AO38" s="342">
        <f>+PEG!AO46</f>
        <v>508</v>
      </c>
      <c r="AP38" s="342">
        <f>+PEG!AP46</f>
        <v>508</v>
      </c>
      <c r="AQ38" s="395">
        <f>+PEG!AQ46</f>
        <v>508</v>
      </c>
      <c r="AR38" s="77">
        <f>+PEG!AR46</f>
        <v>508</v>
      </c>
      <c r="AS38" s="394">
        <f>+PEG!AS46</f>
        <v>508</v>
      </c>
      <c r="AT38" s="342">
        <f>+PEG!AT46</f>
        <v>507</v>
      </c>
      <c r="AU38" s="342">
        <f>+PEG!AU46</f>
        <v>507</v>
      </c>
      <c r="AV38" s="395">
        <f>+PEG!AV46</f>
        <v>508</v>
      </c>
      <c r="AW38" s="77">
        <f>+PEG!AW46</f>
        <v>507</v>
      </c>
      <c r="AX38" s="394">
        <f>+PEG!AX46</f>
        <v>508</v>
      </c>
      <c r="AY38" s="342">
        <f>+PEG!AY46</f>
        <v>508</v>
      </c>
      <c r="AZ38" s="342">
        <f>+PEG!AZ46</f>
        <v>508</v>
      </c>
      <c r="BA38" s="395">
        <f>+PEG!BA46</f>
        <v>508</v>
      </c>
      <c r="BB38" s="77">
        <f>+PEG!BB46</f>
        <v>508</v>
      </c>
      <c r="BC38" s="394">
        <f>+PEG!BC46</f>
        <v>508</v>
      </c>
      <c r="BD38" s="342">
        <f>+PEG!BD46</f>
        <v>508</v>
      </c>
      <c r="BE38" s="342">
        <f>+PEG!BE46</f>
        <v>508</v>
      </c>
      <c r="BF38" s="395">
        <f>+PEG!BF46</f>
        <v>508</v>
      </c>
      <c r="BG38" s="77">
        <f>+PEG!BG46</f>
        <v>508</v>
      </c>
      <c r="BH38" s="394">
        <f>+PEG!BH46</f>
        <v>508</v>
      </c>
      <c r="BI38" s="342">
        <f>+PEG!BI46</f>
        <v>508</v>
      </c>
      <c r="BJ38" s="342">
        <f>+PEG!BJ46</f>
        <v>508</v>
      </c>
      <c r="BK38" s="395">
        <f>+PEG!BK46</f>
        <v>508</v>
      </c>
      <c r="BL38" s="77">
        <f>+PEG!BL46</f>
        <v>508</v>
      </c>
      <c r="BM38" s="394">
        <f>+PEG!BM46</f>
        <v>508</v>
      </c>
      <c r="BN38" s="342">
        <f>+PEG!BN46</f>
        <v>508</v>
      </c>
      <c r="BO38" s="342">
        <f>+PEG!BO46</f>
        <v>508</v>
      </c>
      <c r="BP38" s="395">
        <f>+PEG!BP46</f>
        <v>508</v>
      </c>
      <c r="BQ38" s="77">
        <f>+PEG!BQ46</f>
        <v>508</v>
      </c>
      <c r="BW38" s="1643"/>
      <c r="BX38" s="437"/>
    </row>
    <row r="39" spans="1:76" s="2" customFormat="1">
      <c r="A39" s="1523"/>
      <c r="C39" s="37"/>
      <c r="E39" s="394"/>
      <c r="F39" s="342"/>
      <c r="G39" s="342"/>
      <c r="H39" s="395"/>
      <c r="I39" s="77"/>
      <c r="J39" s="394"/>
      <c r="K39" s="342"/>
      <c r="L39" s="342"/>
      <c r="M39" s="395"/>
      <c r="N39" s="77"/>
      <c r="O39" s="394"/>
      <c r="P39" s="342"/>
      <c r="Q39" s="342"/>
      <c r="R39" s="395"/>
      <c r="S39" s="77"/>
      <c r="T39" s="394"/>
      <c r="U39" s="342"/>
      <c r="V39" s="342"/>
      <c r="W39" s="395"/>
      <c r="X39" s="77"/>
      <c r="Y39" s="394"/>
      <c r="Z39" s="342"/>
      <c r="AA39" s="342"/>
      <c r="AB39" s="395"/>
      <c r="AC39" s="77"/>
      <c r="AD39" s="394"/>
      <c r="AE39" s="342"/>
      <c r="AF39" s="342"/>
      <c r="AG39" s="395"/>
      <c r="AH39" s="77"/>
      <c r="AI39" s="394"/>
      <c r="AJ39" s="342"/>
      <c r="AK39" s="342"/>
      <c r="AL39" s="395"/>
      <c r="AM39" s="77"/>
      <c r="AN39" s="394"/>
      <c r="AO39" s="342"/>
      <c r="AP39" s="342"/>
      <c r="AQ39" s="395"/>
      <c r="AR39" s="77"/>
      <c r="AS39" s="394"/>
      <c r="AT39" s="342"/>
      <c r="AU39" s="342"/>
      <c r="AV39" s="395"/>
      <c r="AW39" s="77"/>
      <c r="AX39" s="394"/>
      <c r="AY39" s="342"/>
      <c r="AZ39" s="342"/>
      <c r="BA39" s="395"/>
      <c r="BB39" s="77"/>
      <c r="BC39" s="394"/>
      <c r="BD39" s="342"/>
      <c r="BE39" s="342"/>
      <c r="BF39" s="395"/>
      <c r="BG39" s="77"/>
      <c r="BH39" s="394"/>
      <c r="BI39" s="342"/>
      <c r="BJ39" s="342"/>
      <c r="BK39" s="395"/>
      <c r="BL39" s="77"/>
      <c r="BM39" s="394"/>
      <c r="BN39" s="342"/>
      <c r="BO39" s="342"/>
      <c r="BP39" s="395"/>
      <c r="BQ39" s="77"/>
      <c r="BW39" s="1643"/>
      <c r="BX39" s="437"/>
    </row>
    <row r="40" spans="1:76" s="2" customFormat="1">
      <c r="A40" s="1523"/>
      <c r="C40" s="37" t="s">
        <v>522</v>
      </c>
      <c r="D40" s="37"/>
      <c r="E40" s="493">
        <f t="shared" ref="E40:AO40" si="47">E33/E38</f>
        <v>0.6198820250005922</v>
      </c>
      <c r="F40" s="494">
        <f t="shared" si="47"/>
        <v>0.4849756132181483</v>
      </c>
      <c r="G40" s="494">
        <f t="shared" si="47"/>
        <v>0.75309221239566126</v>
      </c>
      <c r="H40" s="495">
        <f t="shared" si="47"/>
        <v>0.48681269733652355</v>
      </c>
      <c r="I40" s="496">
        <f t="shared" si="47"/>
        <v>2.344689003329695</v>
      </c>
      <c r="J40" s="493">
        <f t="shared" si="47"/>
        <v>0.71774061564004121</v>
      </c>
      <c r="K40" s="494">
        <f t="shared" si="47"/>
        <v>0.40229465717198687</v>
      </c>
      <c r="L40" s="494">
        <f t="shared" si="47"/>
        <v>0.75744425683672345</v>
      </c>
      <c r="M40" s="495">
        <f t="shared" si="47"/>
        <v>0.37674515852883977</v>
      </c>
      <c r="N40" s="496">
        <f t="shared" si="47"/>
        <v>2.2542377895453067</v>
      </c>
      <c r="O40" s="493">
        <f t="shared" si="47"/>
        <v>0.713818098640985</v>
      </c>
      <c r="P40" s="494">
        <f t="shared" si="47"/>
        <v>0.41044989649953328</v>
      </c>
      <c r="Q40" s="494">
        <f t="shared" si="47"/>
        <v>0.59566192438249377</v>
      </c>
      <c r="R40" s="495">
        <f t="shared" si="47"/>
        <v>0.44572596136778703</v>
      </c>
      <c r="S40" s="496">
        <f t="shared" si="47"/>
        <v>2.1657573641667751</v>
      </c>
      <c r="T40" s="493">
        <f t="shared" si="47"/>
        <v>0.49898526514262498</v>
      </c>
      <c r="U40" s="494">
        <f t="shared" si="47"/>
        <v>0.20514074825087925</v>
      </c>
      <c r="V40" s="494">
        <f t="shared" si="47"/>
        <v>0.35692382929969968</v>
      </c>
      <c r="W40" s="495">
        <f>W33/W38</f>
        <v>0.21489222859012955</v>
      </c>
      <c r="X40" s="496">
        <f t="shared" si="47"/>
        <v>1.2759176944344746</v>
      </c>
      <c r="Y40" s="493">
        <f t="shared" si="47"/>
        <v>0.27009975947320686</v>
      </c>
      <c r="Z40" s="494">
        <f t="shared" ref="Z40:AE40" si="48">Z33/Z38</f>
        <v>0.40206472059458281</v>
      </c>
      <c r="AA40" s="494">
        <f t="shared" si="48"/>
        <v>0.43530157929776597</v>
      </c>
      <c r="AB40" s="495">
        <f t="shared" si="48"/>
        <v>0.1614821700052777</v>
      </c>
      <c r="AC40" s="496">
        <f t="shared" si="48"/>
        <v>1.2689030097039555</v>
      </c>
      <c r="AD40" s="493">
        <f t="shared" si="48"/>
        <v>0.32294208112541378</v>
      </c>
      <c r="AE40" s="494">
        <f t="shared" si="48"/>
        <v>0.10628749586659739</v>
      </c>
      <c r="AF40" s="494">
        <f t="shared" ref="AF40:AK40" si="49">AF33/AF38</f>
        <v>0.43750566589544793</v>
      </c>
      <c r="AG40" s="495">
        <f t="shared" si="49"/>
        <v>0.62992125984251968</v>
      </c>
      <c r="AH40" s="496">
        <f t="shared" si="49"/>
        <v>1.4960629921259843</v>
      </c>
      <c r="AI40" s="493">
        <f t="shared" si="49"/>
        <v>0.65966827546959517</v>
      </c>
      <c r="AJ40" s="494">
        <f t="shared" si="49"/>
        <v>0.32677165354330706</v>
      </c>
      <c r="AK40" s="494">
        <f t="shared" si="49"/>
        <v>0.40551181102362205</v>
      </c>
      <c r="AL40" s="495">
        <f t="shared" si="47"/>
        <v>0.29330708661417321</v>
      </c>
      <c r="AM40" s="496">
        <f t="shared" si="47"/>
        <v>1.6850393700787401</v>
      </c>
      <c r="AN40" s="493">
        <f t="shared" si="47"/>
        <v>0.37795275590551181</v>
      </c>
      <c r="AO40" s="494">
        <f t="shared" si="47"/>
        <v>-2.1653543307086614E-2</v>
      </c>
      <c r="AP40" s="494">
        <f t="shared" ref="AP40:AU40" si="50">AP33/AP38</f>
        <v>0.2736220472440945</v>
      </c>
      <c r="AQ40" s="495">
        <f t="shared" si="50"/>
        <v>-0.59448818897637801</v>
      </c>
      <c r="AR40" s="496">
        <f t="shared" si="50"/>
        <v>3.5433070866141732E-2</v>
      </c>
      <c r="AS40" s="493">
        <f t="shared" si="50"/>
        <v>-0.3346456692913386</v>
      </c>
      <c r="AT40" s="494">
        <f t="shared" si="50"/>
        <v>-0.19132149901380671</v>
      </c>
      <c r="AU40" s="494">
        <f t="shared" si="50"/>
        <v>0.26824457593688361</v>
      </c>
      <c r="AV40" s="495">
        <f t="shared" ref="AV40:BB40" si="51">AV33/AV38</f>
        <v>1.2007874015748032</v>
      </c>
      <c r="AW40" s="496">
        <f t="shared" si="51"/>
        <v>0.94477317554240636</v>
      </c>
      <c r="AX40" s="493">
        <f t="shared" si="51"/>
        <v>0.35213597860327439</v>
      </c>
      <c r="AY40" s="494">
        <f t="shared" si="51"/>
        <v>0.20533233943576976</v>
      </c>
      <c r="AZ40" s="494">
        <f t="shared" si="51"/>
        <v>0.3592297969469474</v>
      </c>
      <c r="BA40" s="495">
        <f t="shared" si="51"/>
        <v>0.122806837783447</v>
      </c>
      <c r="BB40" s="496">
        <f t="shared" si="51"/>
        <v>1.0395049527694398</v>
      </c>
      <c r="BC40" s="493">
        <f t="shared" ref="BC40:BL40" si="52">BC33/BC38</f>
        <v>0.39773388182077957</v>
      </c>
      <c r="BD40" s="494">
        <f t="shared" si="52"/>
        <v>0.28821428102766389</v>
      </c>
      <c r="BE40" s="494">
        <f t="shared" si="52"/>
        <v>0.24421906014878386</v>
      </c>
      <c r="BF40" s="495">
        <f t="shared" si="52"/>
        <v>-1.1226879284123329E-2</v>
      </c>
      <c r="BG40" s="496">
        <f t="shared" si="52"/>
        <v>0.91894034371310296</v>
      </c>
      <c r="BH40" s="493">
        <f t="shared" si="52"/>
        <v>0.40454998736766612</v>
      </c>
      <c r="BI40" s="494">
        <f t="shared" si="52"/>
        <v>0.2129724013344422</v>
      </c>
      <c r="BJ40" s="494">
        <f t="shared" si="52"/>
        <v>0.26390978011428318</v>
      </c>
      <c r="BK40" s="495">
        <f t="shared" si="52"/>
        <v>5.3789521178228446E-2</v>
      </c>
      <c r="BL40" s="496">
        <f t="shared" si="52"/>
        <v>0.93522168999462008</v>
      </c>
      <c r="BM40" s="493">
        <f>BM33/BM38</f>
        <v>0.42135524860190321</v>
      </c>
      <c r="BN40" s="494">
        <f>BN33/BN38</f>
        <v>0.30464435903735637</v>
      </c>
      <c r="BO40" s="494">
        <f>BO33/BO38</f>
        <v>0.29896775855122676</v>
      </c>
      <c r="BP40" s="495">
        <f>BP33/BP38</f>
        <v>0.14713250330661473</v>
      </c>
      <c r="BQ40" s="496">
        <f>BQ33/BQ38</f>
        <v>1.1720998694971019</v>
      </c>
      <c r="BW40" s="1650"/>
      <c r="BX40" s="777"/>
    </row>
    <row r="41" spans="1:76" s="2" customFormat="1">
      <c r="A41" s="1523"/>
      <c r="C41" s="497" t="s">
        <v>521</v>
      </c>
      <c r="D41" s="498"/>
      <c r="E41" s="499">
        <f t="shared" ref="E41:AO41" si="53">E35/E38</f>
        <v>0.8133483894912229</v>
      </c>
      <c r="F41" s="500">
        <f t="shared" si="53"/>
        <v>0.4987757322934615</v>
      </c>
      <c r="G41" s="500">
        <f t="shared" si="53"/>
        <v>0.70577751842315894</v>
      </c>
      <c r="H41" s="501">
        <f t="shared" si="53"/>
        <v>0.54002704077007069</v>
      </c>
      <c r="I41" s="502">
        <f t="shared" si="53"/>
        <v>2.5576632778121233</v>
      </c>
      <c r="J41" s="499">
        <f t="shared" si="53"/>
        <v>0.61717805685531024</v>
      </c>
      <c r="K41" s="500">
        <f t="shared" si="53"/>
        <v>0.46145563616786728</v>
      </c>
      <c r="L41" s="500">
        <f t="shared" si="53"/>
        <v>0.67065376907418217</v>
      </c>
      <c r="M41" s="501">
        <f t="shared" si="53"/>
        <v>0.41619491334861353</v>
      </c>
      <c r="N41" s="502">
        <f t="shared" si="53"/>
        <v>2.1654882702718692</v>
      </c>
      <c r="O41" s="499">
        <f t="shared" si="53"/>
        <v>0.53043389097907445</v>
      </c>
      <c r="P41" s="500">
        <f t="shared" si="53"/>
        <v>0.36901024348756117</v>
      </c>
      <c r="Q41" s="500">
        <f t="shared" si="53"/>
        <v>0.52465586717133561</v>
      </c>
      <c r="R41" s="501">
        <f t="shared" si="53"/>
        <v>0.28400238246443066</v>
      </c>
      <c r="S41" s="502">
        <f>S35/S38</f>
        <v>1.7081474292972925</v>
      </c>
      <c r="T41" s="499">
        <f t="shared" si="53"/>
        <v>0.39642702882872577</v>
      </c>
      <c r="U41" s="500">
        <f t="shared" si="53"/>
        <v>0.23078334178223917</v>
      </c>
      <c r="V41" s="500">
        <f t="shared" si="53"/>
        <v>0.42791420418803772</v>
      </c>
      <c r="W41" s="501">
        <f>W35/W38</f>
        <v>0.21489222859012955</v>
      </c>
      <c r="X41" s="502">
        <f t="shared" si="53"/>
        <v>1.2700015382006207</v>
      </c>
      <c r="Y41" s="499">
        <f t="shared" si="53"/>
        <v>0.49288277276132642</v>
      </c>
      <c r="Z41" s="500">
        <f t="shared" ref="Z41:AE41" si="54">Z35/Z38</f>
        <v>0.22468322621461981</v>
      </c>
      <c r="AA41" s="500">
        <f t="shared" si="54"/>
        <v>0.42545312727745449</v>
      </c>
      <c r="AB41" s="501">
        <f t="shared" si="54"/>
        <v>0.25600831830105003</v>
      </c>
      <c r="AC41" s="502">
        <f t="shared" si="54"/>
        <v>1.3989458647357274</v>
      </c>
      <c r="AD41" s="499">
        <f t="shared" si="54"/>
        <v>0.57696359615698922</v>
      </c>
      <c r="AE41" s="500">
        <f t="shared" si="54"/>
        <v>0.17124096556285134</v>
      </c>
      <c r="AF41" s="500">
        <f t="shared" ref="AF41:AK41" si="55">AF35/AF38</f>
        <v>0.33699760751406127</v>
      </c>
      <c r="AG41" s="501">
        <f t="shared" si="55"/>
        <v>0.17913385826771652</v>
      </c>
      <c r="AH41" s="502">
        <f t="shared" si="55"/>
        <v>1.2637795275590551</v>
      </c>
      <c r="AI41" s="499">
        <f t="shared" si="55"/>
        <v>0.54742621068820141</v>
      </c>
      <c r="AJ41" s="500">
        <f t="shared" si="55"/>
        <v>0.21653543307086615</v>
      </c>
      <c r="AK41" s="500">
        <f t="shared" si="55"/>
        <v>0.3346456692913386</v>
      </c>
      <c r="AL41" s="501">
        <f t="shared" si="53"/>
        <v>0.18700787401574803</v>
      </c>
      <c r="AM41" s="502">
        <f t="shared" si="53"/>
        <v>1.2854330708661417</v>
      </c>
      <c r="AN41" s="499">
        <f t="shared" si="53"/>
        <v>0.36220472440944884</v>
      </c>
      <c r="AO41" s="500">
        <f t="shared" si="53"/>
        <v>0.17913385826771652</v>
      </c>
      <c r="AP41" s="500">
        <f t="shared" ref="AP41:AU41" si="56">AP35/AP38</f>
        <v>0.3346456692913386</v>
      </c>
      <c r="AQ41" s="501">
        <f t="shared" si="56"/>
        <v>0.13582677165354332</v>
      </c>
      <c r="AR41" s="502">
        <f t="shared" si="56"/>
        <v>1.0118110236220472</v>
      </c>
      <c r="AS41" s="499">
        <f t="shared" si="56"/>
        <v>0.29527559055118108</v>
      </c>
      <c r="AT41" s="500">
        <f t="shared" si="56"/>
        <v>0.19132149901380671</v>
      </c>
      <c r="AU41" s="500">
        <f t="shared" si="56"/>
        <v>0.31163708086785008</v>
      </c>
      <c r="AV41" s="501">
        <f>AV35/AV38</f>
        <v>0.19685039370078741</v>
      </c>
      <c r="AW41" s="502">
        <f>AW35/AW38</f>
        <v>0.99605522682445757</v>
      </c>
      <c r="AX41" s="499">
        <f t="shared" ref="AX41:BG41" si="57">AX35/AX38</f>
        <v>0.35213597860327439</v>
      </c>
      <c r="AY41" s="500">
        <f t="shared" si="57"/>
        <v>0.20533233943576976</v>
      </c>
      <c r="AZ41" s="500">
        <f>AZ35/AZ38</f>
        <v>0.3592297969469474</v>
      </c>
      <c r="BA41" s="501">
        <f t="shared" si="57"/>
        <v>0.122806837783447</v>
      </c>
      <c r="BB41" s="502">
        <f t="shared" si="57"/>
        <v>1.0395049527694398</v>
      </c>
      <c r="BC41" s="499">
        <f t="shared" si="57"/>
        <v>0.39773388182077957</v>
      </c>
      <c r="BD41" s="500">
        <f t="shared" si="57"/>
        <v>0.28821428102766389</v>
      </c>
      <c r="BE41" s="500">
        <f t="shared" si="57"/>
        <v>0.24421906014878386</v>
      </c>
      <c r="BF41" s="501">
        <f t="shared" si="57"/>
        <v>-1.1226879284123329E-2</v>
      </c>
      <c r="BG41" s="502">
        <f t="shared" si="57"/>
        <v>0.91894034371310296</v>
      </c>
      <c r="BH41" s="499">
        <f t="shared" ref="BH41:BQ41" si="58">BH35/BH38</f>
        <v>0.40454998736766612</v>
      </c>
      <c r="BI41" s="500">
        <f t="shared" si="58"/>
        <v>0.2129724013344422</v>
      </c>
      <c r="BJ41" s="500">
        <f t="shared" si="58"/>
        <v>0.26390978011428318</v>
      </c>
      <c r="BK41" s="501">
        <f t="shared" si="58"/>
        <v>5.3789521178228446E-2</v>
      </c>
      <c r="BL41" s="502">
        <f t="shared" si="58"/>
        <v>0.93522168999462008</v>
      </c>
      <c r="BM41" s="499">
        <f t="shared" si="58"/>
        <v>0.42135524860190321</v>
      </c>
      <c r="BN41" s="500">
        <f t="shared" si="58"/>
        <v>0.30464435903735637</v>
      </c>
      <c r="BO41" s="500">
        <f t="shared" si="58"/>
        <v>0.29896775855122676</v>
      </c>
      <c r="BP41" s="501">
        <f t="shared" si="58"/>
        <v>0.14713250330661473</v>
      </c>
      <c r="BQ41" s="502">
        <f t="shared" si="58"/>
        <v>1.1720998694971019</v>
      </c>
      <c r="BW41" s="1655"/>
      <c r="BX41" s="777"/>
    </row>
    <row r="42" spans="1:76" s="2" customFormat="1">
      <c r="A42" s="1523"/>
      <c r="C42" s="37"/>
      <c r="D42" s="37"/>
      <c r="E42" s="627"/>
      <c r="F42" s="628"/>
      <c r="G42" s="628"/>
      <c r="H42" s="629"/>
      <c r="I42" s="630"/>
      <c r="J42" s="627"/>
      <c r="K42" s="628"/>
      <c r="L42" s="628"/>
      <c r="M42" s="629"/>
      <c r="N42" s="630"/>
      <c r="O42" s="627"/>
      <c r="P42" s="628"/>
      <c r="Q42" s="628"/>
      <c r="R42" s="629"/>
      <c r="S42" s="630"/>
      <c r="T42" s="627"/>
      <c r="U42" s="628"/>
      <c r="V42" s="628"/>
      <c r="W42" s="629"/>
      <c r="X42" s="630"/>
      <c r="Y42" s="627"/>
      <c r="Z42" s="628"/>
      <c r="AA42" s="628"/>
      <c r="AB42" s="629"/>
      <c r="AC42" s="630"/>
      <c r="AD42" s="627"/>
      <c r="AE42" s="628"/>
      <c r="AF42" s="628"/>
      <c r="AG42" s="629"/>
      <c r="AH42" s="630"/>
      <c r="AI42" s="627"/>
      <c r="AJ42" s="628"/>
      <c r="AK42" s="628"/>
      <c r="AL42" s="629"/>
      <c r="AM42" s="630"/>
      <c r="AN42" s="627"/>
      <c r="AO42" s="628"/>
      <c r="AP42" s="628"/>
      <c r="AQ42" s="629"/>
      <c r="AR42" s="630"/>
      <c r="AS42" s="627"/>
      <c r="AT42" s="628"/>
      <c r="AU42" s="628"/>
      <c r="AV42" s="629"/>
      <c r="AW42" s="630"/>
      <c r="AX42" s="627"/>
      <c r="AY42" s="628"/>
      <c r="AZ42" s="628"/>
      <c r="BA42" s="629"/>
      <c r="BB42" s="630"/>
      <c r="BC42" s="627"/>
      <c r="BD42" s="628"/>
      <c r="BE42" s="628"/>
      <c r="BF42" s="629"/>
      <c r="BG42" s="630"/>
      <c r="BH42" s="627"/>
      <c r="BI42" s="628"/>
      <c r="BJ42" s="628"/>
      <c r="BK42" s="629"/>
      <c r="BL42" s="630"/>
      <c r="BM42" s="627"/>
      <c r="BN42" s="628"/>
      <c r="BO42" s="628"/>
      <c r="BP42" s="629"/>
      <c r="BQ42" s="630"/>
    </row>
    <row r="43" spans="1:76" s="2" customFormat="1">
      <c r="A43" s="1523"/>
      <c r="C43" s="37"/>
      <c r="D43" s="37"/>
      <c r="E43" s="627"/>
      <c r="F43" s="628"/>
      <c r="G43" s="628"/>
      <c r="H43" s="629"/>
      <c r="I43" s="630"/>
      <c r="J43" s="627"/>
      <c r="K43" s="628"/>
      <c r="L43" s="628"/>
      <c r="M43" s="629"/>
      <c r="N43" s="630"/>
      <c r="O43" s="627"/>
      <c r="P43" s="628"/>
      <c r="Q43" s="628"/>
      <c r="R43" s="629"/>
      <c r="S43" s="630"/>
      <c r="T43" s="627"/>
      <c r="U43" s="628"/>
      <c r="V43" s="628"/>
      <c r="W43" s="629"/>
      <c r="X43" s="558"/>
      <c r="Y43" s="627"/>
      <c r="Z43" s="628"/>
      <c r="AA43" s="628"/>
      <c r="AB43" s="629"/>
      <c r="AC43" s="558"/>
      <c r="AD43" s="627"/>
      <c r="AE43" s="628"/>
      <c r="AF43" s="628"/>
      <c r="AG43" s="629"/>
      <c r="AH43" s="630"/>
      <c r="AI43" s="627"/>
      <c r="AJ43" s="628"/>
      <c r="AK43" s="628"/>
      <c r="AL43" s="629"/>
      <c r="AM43" s="630"/>
      <c r="AN43" s="627"/>
      <c r="AO43" s="628"/>
      <c r="AP43" s="628"/>
      <c r="AQ43" s="629"/>
      <c r="AR43" s="630"/>
      <c r="AS43" s="627"/>
      <c r="AT43" s="628"/>
      <c r="AU43" s="628"/>
      <c r="AV43" s="629"/>
      <c r="AW43" s="630"/>
      <c r="AX43" s="627"/>
      <c r="AY43" s="628"/>
      <c r="AZ43" s="628"/>
      <c r="BA43" s="629"/>
      <c r="BB43" s="630"/>
      <c r="BC43" s="627"/>
      <c r="BD43" s="628"/>
      <c r="BE43" s="628"/>
      <c r="BF43" s="629"/>
      <c r="BG43" s="630"/>
      <c r="BH43" s="627"/>
      <c r="BI43" s="628"/>
      <c r="BJ43" s="628"/>
      <c r="BK43" s="629"/>
      <c r="BL43" s="630"/>
      <c r="BM43" s="627"/>
      <c r="BN43" s="628"/>
      <c r="BO43" s="628"/>
      <c r="BP43" s="629"/>
      <c r="BQ43" s="630"/>
    </row>
    <row r="44" spans="1:76" s="2" customFormat="1" ht="13.5" customHeight="1">
      <c r="A44" s="1523"/>
      <c r="B44" s="105" t="s">
        <v>238</v>
      </c>
      <c r="C44" s="277"/>
      <c r="D44" s="277"/>
      <c r="E44" s="360"/>
      <c r="F44" s="20"/>
      <c r="G44" s="20"/>
      <c r="H44" s="361"/>
      <c r="I44" s="33"/>
      <c r="J44" s="360"/>
      <c r="K44" s="20"/>
      <c r="L44" s="20"/>
      <c r="M44" s="361"/>
      <c r="N44" s="33"/>
      <c r="O44" s="360"/>
      <c r="P44" s="20"/>
      <c r="Q44" s="20"/>
      <c r="R44" s="361"/>
      <c r="S44" s="33"/>
      <c r="T44" s="360"/>
      <c r="U44" s="20"/>
      <c r="V44" s="20"/>
      <c r="W44" s="361"/>
      <c r="X44" s="33"/>
      <c r="Y44" s="360"/>
      <c r="Z44" s="20"/>
      <c r="AA44" s="20"/>
      <c r="AB44" s="361"/>
      <c r="AC44" s="33"/>
      <c r="AD44" s="360"/>
      <c r="AE44" s="20"/>
      <c r="AF44" s="20"/>
      <c r="AG44" s="361"/>
      <c r="AH44" s="33"/>
      <c r="AI44" s="360"/>
      <c r="AJ44" s="20"/>
      <c r="AK44" s="20"/>
      <c r="AL44" s="361"/>
      <c r="AM44" s="33"/>
      <c r="AN44" s="360"/>
      <c r="AO44" s="20"/>
      <c r="AP44" s="20"/>
      <c r="AQ44" s="361"/>
      <c r="AR44" s="33"/>
      <c r="AS44" s="360"/>
      <c r="AT44" s="20"/>
      <c r="AU44" s="20"/>
      <c r="AV44" s="361"/>
      <c r="AW44" s="33"/>
      <c r="AX44" s="360"/>
      <c r="AY44" s="20"/>
      <c r="AZ44" s="20"/>
      <c r="BA44" s="361"/>
      <c r="BB44" s="33"/>
      <c r="BC44" s="360"/>
      <c r="BD44" s="20"/>
      <c r="BE44" s="20"/>
      <c r="BF44" s="361"/>
      <c r="BG44" s="33"/>
      <c r="BH44" s="360"/>
      <c r="BI44" s="20"/>
      <c r="BJ44" s="20"/>
      <c r="BK44" s="361"/>
      <c r="BL44" s="33"/>
      <c r="BM44" s="360"/>
      <c r="BN44" s="20"/>
      <c r="BO44" s="20"/>
      <c r="BP44" s="361"/>
      <c r="BQ44" s="33"/>
    </row>
    <row r="45" spans="1:76" s="2" customFormat="1">
      <c r="A45" s="1523"/>
      <c r="C45" s="752"/>
      <c r="D45" s="753"/>
      <c r="E45" s="754"/>
      <c r="F45" s="755"/>
      <c r="G45" s="755"/>
      <c r="H45" s="756"/>
      <c r="I45" s="534"/>
      <c r="J45" s="754"/>
      <c r="K45" s="755"/>
      <c r="L45" s="755"/>
      <c r="M45" s="756"/>
      <c r="N45" s="534"/>
      <c r="O45" s="754"/>
      <c r="P45" s="755"/>
      <c r="Q45" s="755"/>
      <c r="R45" s="756"/>
      <c r="S45" s="534"/>
      <c r="T45" s="754"/>
      <c r="U45" s="755"/>
      <c r="V45" s="755"/>
      <c r="W45" s="756"/>
      <c r="X45" s="534"/>
      <c r="Y45" s="754"/>
      <c r="Z45" s="755"/>
      <c r="AA45" s="755"/>
      <c r="AB45" s="756"/>
      <c r="AC45" s="534"/>
      <c r="AD45" s="754"/>
      <c r="AE45" s="755"/>
      <c r="AF45" s="755"/>
      <c r="AG45" s="756"/>
      <c r="AH45" s="534"/>
      <c r="AI45" s="754"/>
      <c r="AJ45" s="755"/>
      <c r="AK45" s="755"/>
      <c r="AL45" s="756"/>
      <c r="AM45" s="534"/>
      <c r="AN45" s="754"/>
      <c r="AO45" s="755"/>
      <c r="AP45" s="755"/>
      <c r="AQ45" s="756"/>
      <c r="AR45" s="534"/>
      <c r="AS45" s="754"/>
      <c r="AT45" s="755"/>
      <c r="AU45" s="755"/>
      <c r="AV45" s="756"/>
      <c r="AW45" s="534"/>
      <c r="AX45" s="754"/>
      <c r="AY45" s="755"/>
      <c r="AZ45" s="755"/>
      <c r="BA45" s="756"/>
      <c r="BB45" s="534"/>
      <c r="BC45" s="754"/>
      <c r="BD45" s="755"/>
      <c r="BE45" s="755"/>
      <c r="BF45" s="756"/>
      <c r="BG45" s="534"/>
      <c r="BH45" s="754"/>
      <c r="BI45" s="755"/>
      <c r="BJ45" s="755"/>
      <c r="BK45" s="756"/>
      <c r="BL45" s="534"/>
      <c r="BM45" s="754"/>
      <c r="BN45" s="755"/>
      <c r="BO45" s="755"/>
      <c r="BP45" s="756"/>
      <c r="BQ45" s="534"/>
      <c r="BR45" s="759"/>
      <c r="BS45" s="989" t="s">
        <v>1051</v>
      </c>
      <c r="BT45" s="534"/>
      <c r="BU45" s="990">
        <f>'Market Prices'!$BP$8</f>
        <v>2.8552499999999994</v>
      </c>
    </row>
    <row r="46" spans="1:76" s="2" customFormat="1">
      <c r="A46" s="1523"/>
      <c r="C46" s="1193" t="s">
        <v>202</v>
      </c>
      <c r="D46" s="37"/>
      <c r="E46" s="365"/>
      <c r="F46" s="6"/>
      <c r="G46" s="6"/>
      <c r="H46" s="366"/>
      <c r="J46" s="365"/>
      <c r="K46" s="6"/>
      <c r="L46" s="6"/>
      <c r="M46" s="366"/>
      <c r="N46" s="593"/>
      <c r="O46" s="493">
        <f>'Market Prices'!K8</f>
        <v>4.1753749999999998</v>
      </c>
      <c r="P46" s="494">
        <f>'Market Prices'!L8</f>
        <v>4.3679218749999995</v>
      </c>
      <c r="Q46" s="494">
        <f>'Market Prices'!M8</f>
        <v>4.1250937499999987</v>
      </c>
      <c r="R46" s="495">
        <f>'Market Prices'!N8</f>
        <v>3.3347142857142864</v>
      </c>
      <c r="S46" s="595">
        <f>AVERAGE(O46:R46)</f>
        <v>4.0007762276785712</v>
      </c>
      <c r="T46" s="493">
        <f>'Market Prices'!P8</f>
        <v>2.2776984126984123</v>
      </c>
      <c r="U46" s="494">
        <f>'Market Prices'!Q8</f>
        <v>2.8780317460317462</v>
      </c>
      <c r="V46" s="494">
        <f>'Market Prices'!R8</f>
        <v>3.3929375000000004</v>
      </c>
      <c r="W46" s="495">
        <f>'Market Prices'!S8</f>
        <v>3.4791000000000003</v>
      </c>
      <c r="X46" s="595">
        <f>AVERAGE(T46:W46)</f>
        <v>3.0069419146825398</v>
      </c>
      <c r="Y46" s="493">
        <f>'Market Prices'!S8+Y49</f>
        <v>3.4791000000000003</v>
      </c>
      <c r="Z46" s="494">
        <f>'Market Prices'!T8+Z49</f>
        <v>4.0243281250000011</v>
      </c>
      <c r="AA46" s="494">
        <f>'Market Prices'!U8+AA49</f>
        <v>3.5578281250000003</v>
      </c>
      <c r="AB46" s="495">
        <f>'Market Prices'!V8+AB49</f>
        <v>3.8364218749999996</v>
      </c>
      <c r="AC46" s="595">
        <f>AVERAGE(Y46:AB46)</f>
        <v>3.7244195312500001</v>
      </c>
      <c r="AD46" s="493">
        <f>'Market Prices'!W8+AD49</f>
        <v>5.1762950819672131</v>
      </c>
      <c r="AE46" s="494">
        <f>'Market Prices'!X8+AE49</f>
        <v>4.6069687499999992</v>
      </c>
      <c r="AF46" s="494">
        <f>'Market Prices'!Y8+AF49</f>
        <v>3.9690625000000006</v>
      </c>
      <c r="AG46" s="495">
        <f>'Market Prices'!Z8+AG49</f>
        <v>3.7758906249999988</v>
      </c>
      <c r="AH46" s="595">
        <f>AVERAGE(AD46:AG46)</f>
        <v>4.3820542392418025</v>
      </c>
      <c r="AI46" s="493">
        <f>'Market Prices'!AA8+AI49</f>
        <v>2.8932580645161292</v>
      </c>
      <c r="AJ46" s="494">
        <f>'Market Prices'!AB8+AJ49</f>
        <v>2.7407301587301576</v>
      </c>
      <c r="AK46" s="494">
        <f>'Market Prices'!AC8+AK49</f>
        <v>2.7644218749999996</v>
      </c>
      <c r="AL46" s="495">
        <f>'Market Prices'!AD8+AL49</f>
        <v>2.1331111111111114</v>
      </c>
      <c r="AM46" s="595">
        <f>AVERAGE(AI46:AL46)</f>
        <v>2.6328803023393492</v>
      </c>
      <c r="AN46" s="493">
        <f>'Market Prices'!AE8+AN49</f>
        <v>1.9876885245901643</v>
      </c>
      <c r="AO46" s="494">
        <f>'Market Prices'!AF8+AO49</f>
        <v>2.135984375</v>
      </c>
      <c r="AP46" s="494">
        <f>'Market Prices'!AG8+AP49</f>
        <v>2.8751562499999994</v>
      </c>
      <c r="AQ46" s="495">
        <f>'Market Prices'!AH8+AQ49</f>
        <v>3.0312419354838709</v>
      </c>
      <c r="AR46" s="595">
        <f>AVERAGE(AN46:AQ46)</f>
        <v>2.5075177712685086</v>
      </c>
      <c r="AS46" s="493">
        <f>'Market Prices'!AI8+AS49</f>
        <v>3.0098387096774188</v>
      </c>
      <c r="AT46" s="494">
        <f>'Market Prices'!AJ8+AT49</f>
        <v>3.076171875</v>
      </c>
      <c r="AU46" s="494">
        <f>'Market Prices'!AK8+AU49</f>
        <v>2.9540158730158725</v>
      </c>
      <c r="AV46" s="495">
        <f>'Market Prices'!AL8+AV49</f>
        <v>2.8899677419354837</v>
      </c>
      <c r="AW46" s="595">
        <f>AVERAGE(AS46:AV46)</f>
        <v>2.9824985499071941</v>
      </c>
      <c r="AX46" s="493">
        <f>'Market Prices'!AM8+AX49</f>
        <v>3.1108032786885249</v>
      </c>
      <c r="AY46" s="494">
        <f>'Market Prices'!AN8+AY49</f>
        <v>2.6796666666666664</v>
      </c>
      <c r="AZ46" s="494">
        <f>'Market Prices'!AO8+AZ49</f>
        <v>2.8149999999999999</v>
      </c>
      <c r="BA46" s="495">
        <f>'Market Prices'!AP8+BA49</f>
        <v>2.9016666666666668</v>
      </c>
      <c r="BB46" s="595">
        <f>AVERAGE(AX46:BA46)</f>
        <v>2.8767841530054645</v>
      </c>
      <c r="BC46" s="493">
        <f>'Market Prices'!AQ8</f>
        <v>2.9026943643004919</v>
      </c>
      <c r="BD46" s="494">
        <f>'Market Prices'!AR8</f>
        <v>2.5441789597993276</v>
      </c>
      <c r="BE46" s="494">
        <f>'Market Prices'!AS8</f>
        <v>2.5777897789713125</v>
      </c>
      <c r="BF46" s="495">
        <f>'Market Prices'!AT8</f>
        <v>3.0133368969288674</v>
      </c>
      <c r="BG46" s="595">
        <f>AVERAGE(BC46:BF46)</f>
        <v>2.7594999999999996</v>
      </c>
      <c r="BH46" s="493">
        <f>'Market Prices'!AU8</f>
        <v>2.9460848852381236</v>
      </c>
      <c r="BI46" s="494">
        <f>'Market Prices'!AV8</f>
        <v>2.5822102633295767</v>
      </c>
      <c r="BJ46" s="494">
        <f>'Market Prices'!AW8</f>
        <v>2.6163235091335033</v>
      </c>
      <c r="BK46" s="495">
        <f>'Market Prices'!AX8</f>
        <v>3.0583813422987949</v>
      </c>
      <c r="BL46" s="595">
        <f>AVERAGE(BH46:BK46)</f>
        <v>2.8007499999999994</v>
      </c>
      <c r="BM46" s="493">
        <f>+BQ46+BM49</f>
        <v>2.7763125</v>
      </c>
      <c r="BN46" s="494">
        <f>+BQ46+BN49</f>
        <v>2.7763125</v>
      </c>
      <c r="BO46" s="494">
        <f>+BQ46+BO49</f>
        <v>2.7763125</v>
      </c>
      <c r="BP46" s="495">
        <f>+BQ46+BP49</f>
        <v>2.7763125</v>
      </c>
      <c r="BQ46" s="1509">
        <f>BU45+(BU46-BU45)*0.75</f>
        <v>2.7763125</v>
      </c>
      <c r="BR46" s="1356"/>
      <c r="BS46" s="991" t="s">
        <v>711</v>
      </c>
      <c r="BT46" s="536"/>
      <c r="BU46" s="992">
        <f>Valuation!BX27</f>
        <v>2.75</v>
      </c>
    </row>
    <row r="47" spans="1:76" s="2" customFormat="1">
      <c r="A47" s="1523"/>
      <c r="C47" s="1432" t="s">
        <v>913</v>
      </c>
      <c r="D47" s="37"/>
      <c r="E47" s="365"/>
      <c r="F47" s="6"/>
      <c r="G47" s="6"/>
      <c r="H47" s="366"/>
      <c r="J47" s="365"/>
      <c r="K47" s="6"/>
      <c r="L47" s="6"/>
      <c r="M47" s="366"/>
      <c r="N47" s="593"/>
      <c r="O47" s="493"/>
      <c r="P47" s="494"/>
      <c r="Q47" s="494"/>
      <c r="R47" s="495"/>
      <c r="S47" s="595"/>
      <c r="T47" s="493"/>
      <c r="U47" s="494"/>
      <c r="V47" s="494"/>
      <c r="W47" s="495"/>
      <c r="X47" s="595"/>
      <c r="Y47" s="493"/>
      <c r="Z47" s="494"/>
      <c r="AA47" s="494"/>
      <c r="AB47" s="495"/>
      <c r="AC47" s="595"/>
      <c r="AD47" s="493"/>
      <c r="AE47" s="494"/>
      <c r="AF47" s="494"/>
      <c r="AG47" s="495"/>
      <c r="AH47" s="595"/>
      <c r="AI47" s="493"/>
      <c r="AJ47" s="494"/>
      <c r="AK47" s="494"/>
      <c r="AL47" s="495"/>
      <c r="AM47" s="595"/>
      <c r="AN47" s="493"/>
      <c r="AO47" s="494"/>
      <c r="AP47" s="494"/>
      <c r="AQ47" s="495"/>
      <c r="AR47" s="595"/>
      <c r="AS47" s="493"/>
      <c r="AT47" s="494"/>
      <c r="AU47" s="494"/>
      <c r="AV47" s="495"/>
      <c r="AW47" s="595"/>
      <c r="AX47" s="493"/>
      <c r="AY47" s="494"/>
      <c r="AZ47" s="494"/>
      <c r="BA47" s="495"/>
      <c r="BB47" s="595"/>
      <c r="BC47" s="1434">
        <f>BC46</f>
        <v>2.9026943643004919</v>
      </c>
      <c r="BD47" s="1435">
        <f>BD46</f>
        <v>2.5441789597993276</v>
      </c>
      <c r="BE47" s="1435">
        <f>BE46</f>
        <v>2.5777897789713125</v>
      </c>
      <c r="BF47" s="1436">
        <f>BF46</f>
        <v>3.0133368969288674</v>
      </c>
      <c r="BG47" s="595">
        <f>AVERAGE(BC47:BF47)</f>
        <v>2.7594999999999996</v>
      </c>
      <c r="BH47" s="1434">
        <f>BH46</f>
        <v>2.9460848852381236</v>
      </c>
      <c r="BI47" s="1435">
        <f>BI46</f>
        <v>2.5822102633295767</v>
      </c>
      <c r="BJ47" s="1435">
        <f>BJ46</f>
        <v>2.6163235091335033</v>
      </c>
      <c r="BK47" s="1436">
        <f>BK46</f>
        <v>3.0583813422987949</v>
      </c>
      <c r="BL47" s="595">
        <f>AVERAGE(BH47:BK47)</f>
        <v>2.8007499999999994</v>
      </c>
      <c r="BM47" s="1434">
        <f>+BQ47+BM49</f>
        <v>2.75</v>
      </c>
      <c r="BN47" s="1435">
        <f>+BQ47+BN49</f>
        <v>2.75</v>
      </c>
      <c r="BO47" s="1435">
        <f>+BQ47+BO49</f>
        <v>2.75</v>
      </c>
      <c r="BP47" s="1436">
        <f>+BQ47+BP49</f>
        <v>2.75</v>
      </c>
      <c r="BQ47" s="1510">
        <f>BU46</f>
        <v>2.75</v>
      </c>
      <c r="BR47" s="1433"/>
      <c r="BS47" s="1431"/>
      <c r="BU47" s="1191"/>
    </row>
    <row r="48" spans="1:76" s="2" customFormat="1">
      <c r="A48" s="1523"/>
      <c r="C48" s="535"/>
      <c r="D48" s="37"/>
      <c r="E48" s="365"/>
      <c r="F48" s="6"/>
      <c r="G48" s="6"/>
      <c r="H48" s="366"/>
      <c r="J48" s="365"/>
      <c r="K48" s="6"/>
      <c r="L48" s="6"/>
      <c r="M48" s="366"/>
      <c r="N48" s="32"/>
      <c r="O48" s="365"/>
      <c r="P48" s="6"/>
      <c r="Q48" s="6"/>
      <c r="R48" s="366"/>
      <c r="T48" s="365"/>
      <c r="U48" s="6"/>
      <c r="V48" s="6"/>
      <c r="W48" s="366"/>
      <c r="Y48" s="365"/>
      <c r="Z48" s="6"/>
      <c r="AA48" s="6"/>
      <c r="AB48" s="366"/>
      <c r="AD48" s="365"/>
      <c r="AE48" s="6"/>
      <c r="AF48" s="6"/>
      <c r="AG48" s="366"/>
      <c r="AI48" s="365"/>
      <c r="AJ48" s="6"/>
      <c r="AK48" s="6"/>
      <c r="AL48" s="366"/>
      <c r="AN48" s="365"/>
      <c r="AO48" s="6"/>
      <c r="AP48" s="6"/>
      <c r="AQ48" s="366"/>
      <c r="AS48" s="365"/>
      <c r="AT48" s="6"/>
      <c r="AU48" s="6"/>
      <c r="AV48" s="366"/>
      <c r="AX48" s="365"/>
      <c r="AY48" s="6"/>
      <c r="AZ48" s="6"/>
      <c r="BA48" s="366"/>
      <c r="BC48" s="365"/>
      <c r="BD48" s="6"/>
      <c r="BE48" s="6"/>
      <c r="BF48" s="366"/>
      <c r="BH48" s="365"/>
      <c r="BI48" s="6"/>
      <c r="BJ48" s="6"/>
      <c r="BK48" s="366"/>
      <c r="BM48" s="365"/>
      <c r="BN48" s="6"/>
      <c r="BO48" s="6"/>
      <c r="BP48" s="366"/>
      <c r="BR48" s="759"/>
    </row>
    <row r="49" spans="1:70" s="2" customFormat="1">
      <c r="A49" s="1523"/>
      <c r="C49" s="758" t="s">
        <v>794</v>
      </c>
      <c r="D49" s="603"/>
      <c r="E49" s="365"/>
      <c r="F49" s="6"/>
      <c r="G49" s="6"/>
      <c r="H49" s="366"/>
      <c r="J49" s="365"/>
      <c r="K49" s="6"/>
      <c r="L49" s="6"/>
      <c r="M49" s="366"/>
      <c r="N49" s="32"/>
      <c r="O49" s="365"/>
      <c r="P49" s="6"/>
      <c r="Q49" s="6"/>
      <c r="R49" s="366"/>
      <c r="T49" s="365"/>
      <c r="U49" s="6"/>
      <c r="V49" s="6"/>
      <c r="W49" s="366"/>
      <c r="Y49" s="598">
        <f>+AC49</f>
        <v>0</v>
      </c>
      <c r="Z49" s="599">
        <f t="shared" ref="Z49:AB50" si="59">+Y49</f>
        <v>0</v>
      </c>
      <c r="AA49" s="599">
        <f t="shared" si="59"/>
        <v>0</v>
      </c>
      <c r="AB49" s="600">
        <f t="shared" si="59"/>
        <v>0</v>
      </c>
      <c r="AC49" s="594">
        <f>Valuation!AC25</f>
        <v>0</v>
      </c>
      <c r="AD49" s="598">
        <f>+AH49</f>
        <v>0</v>
      </c>
      <c r="AE49" s="599">
        <f t="shared" ref="AE49:AG50" si="60">+AD49</f>
        <v>0</v>
      </c>
      <c r="AF49" s="599">
        <f t="shared" si="60"/>
        <v>0</v>
      </c>
      <c r="AG49" s="600">
        <f t="shared" si="60"/>
        <v>0</v>
      </c>
      <c r="AH49" s="594">
        <f>Valuation!AH25</f>
        <v>0</v>
      </c>
      <c r="AI49" s="598">
        <f>+AM49</f>
        <v>0</v>
      </c>
      <c r="AJ49" s="599">
        <f t="shared" ref="AJ49:AL50" si="61">+AI49</f>
        <v>0</v>
      </c>
      <c r="AK49" s="599">
        <f t="shared" si="61"/>
        <v>0</v>
      </c>
      <c r="AL49" s="600">
        <f t="shared" si="61"/>
        <v>0</v>
      </c>
      <c r="AM49" s="594">
        <f>Valuation!AM25</f>
        <v>0</v>
      </c>
      <c r="AN49" s="598">
        <f>+AR49</f>
        <v>0</v>
      </c>
      <c r="AO49" s="599">
        <f t="shared" ref="AO49:AQ50" si="62">+AN49</f>
        <v>0</v>
      </c>
      <c r="AP49" s="599">
        <f t="shared" si="62"/>
        <v>0</v>
      </c>
      <c r="AQ49" s="600">
        <f t="shared" si="62"/>
        <v>0</v>
      </c>
      <c r="AR49" s="594">
        <f>Valuation!AR25</f>
        <v>0</v>
      </c>
      <c r="AS49" s="598">
        <f>+AW49</f>
        <v>0</v>
      </c>
      <c r="AT49" s="599">
        <f t="shared" ref="AT49:AV50" si="63">+AS49</f>
        <v>0</v>
      </c>
      <c r="AU49" s="599">
        <f t="shared" si="63"/>
        <v>0</v>
      </c>
      <c r="AV49" s="600">
        <f t="shared" si="63"/>
        <v>0</v>
      </c>
      <c r="AW49" s="594">
        <v>0</v>
      </c>
      <c r="AX49" s="598">
        <f>+BB49</f>
        <v>0</v>
      </c>
      <c r="AY49" s="599">
        <f>+AX49</f>
        <v>0</v>
      </c>
      <c r="AZ49" s="599">
        <f>+AY49</f>
        <v>0</v>
      </c>
      <c r="BA49" s="600">
        <f>+AY49</f>
        <v>0</v>
      </c>
      <c r="BB49" s="1194">
        <f>Valuation!BB25</f>
        <v>0</v>
      </c>
      <c r="BC49" s="598">
        <f>+BG49</f>
        <v>0</v>
      </c>
      <c r="BD49" s="599">
        <f t="shared" ref="BD49:BF50" si="64">+BC49</f>
        <v>0</v>
      </c>
      <c r="BE49" s="599">
        <f t="shared" si="64"/>
        <v>0</v>
      </c>
      <c r="BF49" s="600">
        <f t="shared" si="64"/>
        <v>0</v>
      </c>
      <c r="BG49" s="594">
        <f>Valuation!BG25</f>
        <v>0</v>
      </c>
      <c r="BH49" s="598">
        <f>+BL49</f>
        <v>0</v>
      </c>
      <c r="BI49" s="599">
        <f t="shared" ref="BI49:BK50" si="65">+BH49</f>
        <v>0</v>
      </c>
      <c r="BJ49" s="599">
        <f t="shared" si="65"/>
        <v>0</v>
      </c>
      <c r="BK49" s="600">
        <f t="shared" si="65"/>
        <v>0</v>
      </c>
      <c r="BL49" s="594">
        <v>0</v>
      </c>
      <c r="BM49" s="598">
        <f>+BQ49</f>
        <v>0</v>
      </c>
      <c r="BN49" s="599">
        <f t="shared" ref="BN49:BP50" si="66">+BM49</f>
        <v>0</v>
      </c>
      <c r="BO49" s="599">
        <f t="shared" si="66"/>
        <v>0</v>
      </c>
      <c r="BP49" s="600">
        <f t="shared" si="66"/>
        <v>0</v>
      </c>
      <c r="BQ49" s="594">
        <v>0</v>
      </c>
      <c r="BR49" s="1747"/>
    </row>
    <row r="50" spans="1:70" s="2" customFormat="1">
      <c r="A50" s="1523"/>
      <c r="C50" s="758" t="s">
        <v>1</v>
      </c>
      <c r="D50" s="603"/>
      <c r="E50" s="365"/>
      <c r="F50" s="6"/>
      <c r="G50" s="6"/>
      <c r="H50" s="366"/>
      <c r="J50" s="365"/>
      <c r="K50" s="6"/>
      <c r="L50" s="6"/>
      <c r="M50" s="366"/>
      <c r="N50" s="32"/>
      <c r="O50" s="365"/>
      <c r="P50" s="6"/>
      <c r="Q50" s="6"/>
      <c r="R50" s="366"/>
      <c r="T50" s="365"/>
      <c r="U50" s="6"/>
      <c r="V50" s="6"/>
      <c r="W50" s="366"/>
      <c r="Y50" s="598">
        <f>+AC50</f>
        <v>0</v>
      </c>
      <c r="Z50" s="599">
        <f t="shared" si="59"/>
        <v>0</v>
      </c>
      <c r="AA50" s="599">
        <f t="shared" si="59"/>
        <v>0</v>
      </c>
      <c r="AB50" s="600">
        <f t="shared" si="59"/>
        <v>0</v>
      </c>
      <c r="AC50" s="594">
        <f>Valuation!AC26</f>
        <v>0</v>
      </c>
      <c r="AD50" s="598">
        <f>+AH50</f>
        <v>0</v>
      </c>
      <c r="AE50" s="599">
        <f t="shared" si="60"/>
        <v>0</v>
      </c>
      <c r="AF50" s="599">
        <f t="shared" si="60"/>
        <v>0</v>
      </c>
      <c r="AG50" s="600">
        <f t="shared" si="60"/>
        <v>0</v>
      </c>
      <c r="AH50" s="594">
        <f>Valuation!AH26</f>
        <v>0</v>
      </c>
      <c r="AI50" s="598">
        <f>+AM50</f>
        <v>0</v>
      </c>
      <c r="AJ50" s="599">
        <f t="shared" si="61"/>
        <v>0</v>
      </c>
      <c r="AK50" s="599">
        <f t="shared" si="61"/>
        <v>0</v>
      </c>
      <c r="AL50" s="600">
        <f t="shared" si="61"/>
        <v>0</v>
      </c>
      <c r="AM50" s="594">
        <f>Valuation!AM26</f>
        <v>0</v>
      </c>
      <c r="AN50" s="598">
        <f>+AR50</f>
        <v>0</v>
      </c>
      <c r="AO50" s="599">
        <f t="shared" si="62"/>
        <v>0</v>
      </c>
      <c r="AP50" s="599">
        <f t="shared" si="62"/>
        <v>0</v>
      </c>
      <c r="AQ50" s="600">
        <f t="shared" si="62"/>
        <v>0</v>
      </c>
      <c r="AR50" s="594">
        <f>Valuation!AR26</f>
        <v>0</v>
      </c>
      <c r="AS50" s="598">
        <f>+AW50</f>
        <v>0</v>
      </c>
      <c r="AT50" s="599">
        <f t="shared" si="63"/>
        <v>0</v>
      </c>
      <c r="AU50" s="599">
        <f t="shared" si="63"/>
        <v>0</v>
      </c>
      <c r="AV50" s="600">
        <f t="shared" si="63"/>
        <v>0</v>
      </c>
      <c r="AW50" s="594">
        <f>Valuation!AW26</f>
        <v>0</v>
      </c>
      <c r="AX50" s="598">
        <f>+BB50</f>
        <v>0</v>
      </c>
      <c r="AY50" s="599">
        <f>+AX50</f>
        <v>0</v>
      </c>
      <c r="AZ50" s="599">
        <f>+AY50</f>
        <v>0</v>
      </c>
      <c r="BA50" s="600">
        <f>+AY50</f>
        <v>0</v>
      </c>
      <c r="BB50" s="1194">
        <f>Valuation!BB26</f>
        <v>0</v>
      </c>
      <c r="BC50" s="598">
        <f>+BG50</f>
        <v>0</v>
      </c>
      <c r="BD50" s="599">
        <f t="shared" si="64"/>
        <v>0</v>
      </c>
      <c r="BE50" s="599">
        <f t="shared" si="64"/>
        <v>0</v>
      </c>
      <c r="BF50" s="600">
        <f t="shared" si="64"/>
        <v>0</v>
      </c>
      <c r="BG50" s="594">
        <f>Valuation!BG26</f>
        <v>0</v>
      </c>
      <c r="BH50" s="598">
        <f>+BL50</f>
        <v>0</v>
      </c>
      <c r="BI50" s="599">
        <f t="shared" si="65"/>
        <v>0</v>
      </c>
      <c r="BJ50" s="599">
        <f t="shared" si="65"/>
        <v>0</v>
      </c>
      <c r="BK50" s="600">
        <f t="shared" si="65"/>
        <v>0</v>
      </c>
      <c r="BL50" s="594">
        <v>0</v>
      </c>
      <c r="BM50" s="598">
        <f>+BQ50</f>
        <v>0</v>
      </c>
      <c r="BN50" s="599">
        <f t="shared" si="66"/>
        <v>0</v>
      </c>
      <c r="BO50" s="599">
        <f t="shared" si="66"/>
        <v>0</v>
      </c>
      <c r="BP50" s="600">
        <f t="shared" si="66"/>
        <v>0</v>
      </c>
      <c r="BQ50" s="594">
        <v>0</v>
      </c>
      <c r="BR50" s="1747"/>
    </row>
    <row r="51" spans="1:70" s="2" customFormat="1">
      <c r="A51" s="1523"/>
      <c r="C51" s="535"/>
      <c r="D51" s="37"/>
      <c r="E51" s="365"/>
      <c r="F51" s="6"/>
      <c r="G51" s="6"/>
      <c r="H51" s="366"/>
      <c r="J51" s="365"/>
      <c r="K51" s="6"/>
      <c r="L51" s="6"/>
      <c r="M51" s="366"/>
      <c r="O51" s="365"/>
      <c r="P51" s="6"/>
      <c r="Q51" s="6"/>
      <c r="R51" s="366"/>
      <c r="T51" s="365"/>
      <c r="U51" s="6"/>
      <c r="V51" s="6"/>
      <c r="W51" s="366"/>
      <c r="Y51" s="365"/>
      <c r="Z51" s="6"/>
      <c r="AA51" s="6"/>
      <c r="AB51" s="366"/>
      <c r="AD51" s="365"/>
      <c r="AE51" s="6"/>
      <c r="AF51" s="6"/>
      <c r="AG51" s="366"/>
      <c r="AI51" s="365"/>
      <c r="AJ51" s="6"/>
      <c r="AK51" s="6"/>
      <c r="AL51" s="366"/>
      <c r="AN51" s="365"/>
      <c r="AO51" s="6"/>
      <c r="AP51" s="6"/>
      <c r="AQ51" s="366"/>
      <c r="AS51" s="365"/>
      <c r="AT51" s="6"/>
      <c r="AU51" s="6"/>
      <c r="AV51" s="366"/>
      <c r="AX51" s="365"/>
      <c r="AY51" s="6"/>
      <c r="AZ51" s="6"/>
      <c r="BA51" s="366"/>
      <c r="BC51" s="365"/>
      <c r="BD51" s="6"/>
      <c r="BE51" s="6"/>
      <c r="BF51" s="366"/>
      <c r="BH51" s="365"/>
      <c r="BI51" s="6"/>
      <c r="BJ51" s="6"/>
      <c r="BK51" s="366"/>
      <c r="BM51" s="365"/>
      <c r="BN51" s="6"/>
      <c r="BO51" s="6"/>
      <c r="BP51" s="366"/>
      <c r="BR51" s="759"/>
    </row>
    <row r="52" spans="1:70" s="2" customFormat="1">
      <c r="A52" s="1523"/>
      <c r="C52" s="757" t="s">
        <v>508</v>
      </c>
      <c r="D52" s="37"/>
      <c r="E52" s="365"/>
      <c r="F52" s="6"/>
      <c r="G52" s="6"/>
      <c r="H52" s="366"/>
      <c r="J52" s="365"/>
      <c r="K52" s="6"/>
      <c r="L52" s="6"/>
      <c r="M52" s="366"/>
      <c r="N52" s="32"/>
      <c r="O52" s="365"/>
      <c r="P52" s="6"/>
      <c r="Q52" s="6"/>
      <c r="R52" s="366"/>
      <c r="T52" s="365"/>
      <c r="U52" s="6"/>
      <c r="V52" s="6"/>
      <c r="W52" s="366"/>
      <c r="Y52" s="365"/>
      <c r="Z52" s="6"/>
      <c r="AA52" s="6"/>
      <c r="AB52" s="366"/>
      <c r="AD52" s="365"/>
      <c r="AE52" s="6"/>
      <c r="AF52" s="6"/>
      <c r="AG52" s="366"/>
      <c r="AI52" s="365"/>
      <c r="AJ52" s="6"/>
      <c r="AK52" s="6"/>
      <c r="AL52" s="366"/>
      <c r="AN52" s="365"/>
      <c r="AO52" s="6"/>
      <c r="AP52" s="6"/>
      <c r="AQ52" s="366"/>
      <c r="AS52" s="365"/>
      <c r="AT52" s="6"/>
      <c r="AU52" s="6"/>
      <c r="AV52" s="366"/>
      <c r="AX52" s="365"/>
      <c r="AY52" s="6"/>
      <c r="AZ52" s="6"/>
      <c r="BA52" s="366"/>
      <c r="BC52" s="365"/>
      <c r="BD52" s="6"/>
      <c r="BE52" s="6"/>
      <c r="BF52" s="366"/>
      <c r="BH52" s="365"/>
      <c r="BI52" s="6"/>
      <c r="BJ52" s="6"/>
      <c r="BK52" s="366"/>
      <c r="BM52" s="365"/>
      <c r="BN52" s="6"/>
      <c r="BO52" s="6"/>
      <c r="BP52" s="366"/>
      <c r="BR52" s="759"/>
    </row>
    <row r="53" spans="1:70" s="2" customFormat="1">
      <c r="A53" s="1523"/>
      <c r="C53" s="535" t="s">
        <v>597</v>
      </c>
      <c r="D53" s="37"/>
      <c r="E53" s="365"/>
      <c r="F53" s="6"/>
      <c r="G53" s="6"/>
      <c r="H53" s="366"/>
      <c r="J53" s="365"/>
      <c r="K53" s="6"/>
      <c r="L53" s="6"/>
      <c r="M53" s="366"/>
      <c r="N53" s="32"/>
      <c r="O53" s="598">
        <f>'Market Prices'!K53</f>
        <v>2.7836406250000012</v>
      </c>
      <c r="P53" s="599">
        <f>'Market Prices'!L53</f>
        <v>0.38664062500000007</v>
      </c>
      <c r="Q53" s="599">
        <f>'Market Prices'!M53</f>
        <v>0.58382812500000192</v>
      </c>
      <c r="R53" s="600">
        <f>'Market Prices'!N53</f>
        <v>0.35206349206349286</v>
      </c>
      <c r="S53" s="601">
        <f>AVERAGE(O53:R53)</f>
        <v>1.0265432167658739</v>
      </c>
      <c r="T53" s="598">
        <f>'Market Prices'!P53</f>
        <v>0.20609523809523767</v>
      </c>
      <c r="U53" s="599">
        <f>'Market Prices'!Q53</f>
        <v>0.18090476190476101</v>
      </c>
      <c r="V53" s="599">
        <f>'Market Prices'!R53</f>
        <v>0.52926562499999807</v>
      </c>
      <c r="W53" s="600">
        <f>'Market Prices'!S53</f>
        <v>4.3436166666666658</v>
      </c>
      <c r="X53" s="601">
        <f>AVERAGE(T53:W53)</f>
        <v>1.3149705729166656</v>
      </c>
      <c r="Y53" s="598">
        <f>'Market Prices'!S53</f>
        <v>4.3436166666666658</v>
      </c>
      <c r="Z53" s="599">
        <f>'Market Prices'!T53</f>
        <v>0.30776562499999827</v>
      </c>
      <c r="AA53" s="599">
        <f>'Market Prices'!U53</f>
        <v>0.20923437499999897</v>
      </c>
      <c r="AB53" s="600">
        <f>'Market Prices'!V53</f>
        <v>0.48042187499999889</v>
      </c>
      <c r="AC53" s="601">
        <f>AVERAGE(Y53:AB53)</f>
        <v>1.3352596354166657</v>
      </c>
      <c r="AD53" s="598">
        <f>'Market Prices'!W53</f>
        <v>11.865918032786885</v>
      </c>
      <c r="AE53" s="599">
        <f>'Market Prices'!X53</f>
        <v>-0.87728124999999935</v>
      </c>
      <c r="AF53" s="599">
        <f>'Market Prices'!Y53</f>
        <v>-1.3732187500000017</v>
      </c>
      <c r="AG53" s="600">
        <f>'Market Prices'!Z53</f>
        <v>-0.57965624999999754</v>
      </c>
      <c r="AH53" s="601">
        <f>AVERAGE(AD53:AG53)</f>
        <v>2.2589404456967217</v>
      </c>
      <c r="AI53" s="598">
        <f>'Market Prices'!AA53</f>
        <v>6.0189193548387117</v>
      </c>
      <c r="AJ53" s="599">
        <f>'Market Prices'!AB53</f>
        <v>-0.25368253968253818</v>
      </c>
      <c r="AK53" s="599">
        <f>'Market Prices'!AC53</f>
        <v>-0.4931562499999993</v>
      </c>
      <c r="AL53" s="600">
        <f>'Market Prices'!AD53</f>
        <v>-0.2235238095238099</v>
      </c>
      <c r="AM53" s="601">
        <f>AVERAGE(AI53:AL53)</f>
        <v>1.2621391889080911</v>
      </c>
      <c r="AN53" s="598">
        <f>'Market Prices'!AE53</f>
        <v>0.49621311475409802</v>
      </c>
      <c r="AO53" s="599">
        <f>'Market Prices'!AF53</f>
        <v>-0.43893749999999998</v>
      </c>
      <c r="AP53" s="599">
        <f>'Market Prices'!AG53</f>
        <v>-0.95798437499999922</v>
      </c>
      <c r="AQ53" s="600">
        <f>'Market Prices'!AH53</f>
        <v>-0.3514999999999997</v>
      </c>
      <c r="AR53" s="601">
        <f>AVERAGE(AN53:AQ53)</f>
        <v>-0.31305219006147522</v>
      </c>
      <c r="AS53" s="598">
        <f>'Market Prices'!AI53</f>
        <v>0.30054838709677556</v>
      </c>
      <c r="AT53" s="599">
        <f>'Market Prices'!AJ53</f>
        <v>-0.38845312499999896</v>
      </c>
      <c r="AU53" s="599">
        <f>'Market Prices'!AK53</f>
        <v>-0.54298412698412557</v>
      </c>
      <c r="AV53" s="600">
        <f>'Market Prices'!AL53</f>
        <v>0.63106451612903358</v>
      </c>
      <c r="AW53" s="601">
        <f>AVERAGE(AS53:AV53)</f>
        <v>4.3912810421153914E-5</v>
      </c>
      <c r="AX53" s="598">
        <f>'Market Prices'!AM53</f>
        <v>4.698950819672131</v>
      </c>
      <c r="AY53" s="599">
        <f>'Market Prices'!AN53</f>
        <v>-0.19166666666666643</v>
      </c>
      <c r="AZ53" s="599">
        <f>'Market Prices'!AO53</f>
        <v>-0.30999999999999961</v>
      </c>
      <c r="BA53" s="600">
        <f>'Market Prices'!AP53</f>
        <v>0.25666666666666638</v>
      </c>
      <c r="BB53" s="601">
        <f>AVERAGE(AX53:BA53)</f>
        <v>1.113487704918033</v>
      </c>
      <c r="BC53" s="598">
        <f>'Market Prices'!AQ53</f>
        <v>1.637734667576852</v>
      </c>
      <c r="BD53" s="599">
        <f>'Market Prices'!AR53</f>
        <v>-0.69677150590554215</v>
      </c>
      <c r="BE53" s="599">
        <f>'Market Prices'!AS53</f>
        <v>-0.82532002718121711</v>
      </c>
      <c r="BF53" s="600">
        <f>'Market Prices'!AT53</f>
        <v>1.5445568651099078</v>
      </c>
      <c r="BG53" s="601">
        <f>AVERAGE(BC53:BF53)</f>
        <v>0.41504999990000013</v>
      </c>
      <c r="BH53" s="598">
        <f>'Market Prices'!AU53</f>
        <v>1.6691288195742207</v>
      </c>
      <c r="BI53" s="599">
        <f>'Market Prices'!AV53</f>
        <v>-0.704374459769459</v>
      </c>
      <c r="BJ53" s="599">
        <f>'Market Prices'!AW53</f>
        <v>-0.83498911122825525</v>
      </c>
      <c r="BK53" s="600">
        <f>'Market Prices'!AX53</f>
        <v>1.5745847514234943</v>
      </c>
      <c r="BL53" s="601">
        <f>AVERAGE(BH53:BK53)</f>
        <v>0.42608750000000017</v>
      </c>
      <c r="BM53" s="598">
        <f>'Market Prices'!AY53</f>
        <v>1.7632770950378909</v>
      </c>
      <c r="BN53" s="599">
        <f>'Market Prices'!AZ53</f>
        <v>-0.69298925565485447</v>
      </c>
      <c r="BO53" s="599">
        <f>'Market Prices'!BA53</f>
        <v>-0.82743500086795607</v>
      </c>
      <c r="BP53" s="600">
        <f>'Market Prices'!BB53</f>
        <v>1.6671304946849221</v>
      </c>
      <c r="BQ53" s="601">
        <f>AVERAGE(BM53:BP53)</f>
        <v>0.47749583330000062</v>
      </c>
      <c r="BR53" s="1748"/>
    </row>
    <row r="54" spans="1:70" s="2" customFormat="1">
      <c r="A54" s="1523"/>
      <c r="C54" s="535" t="s">
        <v>886</v>
      </c>
      <c r="D54" s="37"/>
      <c r="E54" s="365"/>
      <c r="F54" s="6"/>
      <c r="G54" s="6"/>
      <c r="H54" s="366"/>
      <c r="J54" s="365"/>
      <c r="K54" s="6"/>
      <c r="L54" s="6"/>
      <c r="M54" s="366"/>
      <c r="N54" s="32"/>
      <c r="O54" s="598">
        <f>'Market Prices'!K54</f>
        <v>1.7646250000000014</v>
      </c>
      <c r="P54" s="599">
        <f>'Market Prices'!L54</f>
        <v>0.28798437500000063</v>
      </c>
      <c r="Q54" s="599">
        <f>'Market Prices'!M54</f>
        <v>0.25414062500000068</v>
      </c>
      <c r="R54" s="600">
        <f>'Market Prices'!N54</f>
        <v>0.24365079365079412</v>
      </c>
      <c r="S54" s="601">
        <f>AVERAGE(O54:R54)</f>
        <v>0.63760019841269922</v>
      </c>
      <c r="T54" s="598">
        <f>'Market Prices'!P54</f>
        <v>0.1599206349206348</v>
      </c>
      <c r="U54" s="599">
        <f>'Market Prices'!Q54</f>
        <v>0.16882539682539655</v>
      </c>
      <c r="V54" s="599">
        <f>'Market Prices'!R54</f>
        <v>0.26892187499999887</v>
      </c>
      <c r="W54" s="600">
        <f>'Market Prices'!S54</f>
        <v>0.819599999999999</v>
      </c>
      <c r="X54" s="601">
        <f>AVERAGE(T54:W54)</f>
        <v>0.3543169766865073</v>
      </c>
      <c r="Y54" s="598">
        <f>'Market Prices'!S54</f>
        <v>0.819599999999999</v>
      </c>
      <c r="Z54" s="599">
        <f>'Market Prices'!T54</f>
        <v>0.11882812499999851</v>
      </c>
      <c r="AA54" s="599">
        <f>'Market Prices'!U54</f>
        <v>-1.3265625000001169E-2</v>
      </c>
      <c r="AB54" s="600">
        <f>'Market Prices'!V54</f>
        <v>0.14118750000000091</v>
      </c>
      <c r="AC54" s="601">
        <f>AVERAGE(Y54:AB54)</f>
        <v>0.26658749999999931</v>
      </c>
      <c r="AD54" s="598">
        <f>'Market Prices'!W54</f>
        <v>7.5181639344262283</v>
      </c>
      <c r="AE54" s="599">
        <f>'Market Prices'!X54</f>
        <v>-0.89420312500000065</v>
      </c>
      <c r="AF54" s="599">
        <f>'Market Prices'!Y54</f>
        <v>-1.4395156250000012</v>
      </c>
      <c r="AG54" s="600">
        <f>'Market Prices'!Z54</f>
        <v>-1.017578125</v>
      </c>
      <c r="AH54" s="601">
        <f>AVERAGE(AD54:AG54)</f>
        <v>1.0417167648565566</v>
      </c>
      <c r="AI54" s="598">
        <f>'Market Prices'!AA54</f>
        <v>3.554258064516127</v>
      </c>
      <c r="AJ54" s="599">
        <f>'Market Prices'!AB54</f>
        <v>-1.1179206349206339</v>
      </c>
      <c r="AK54" s="599">
        <f>'Market Prices'!AC54</f>
        <v>-1.3916093749999998</v>
      </c>
      <c r="AL54" s="600">
        <f>'Market Prices'!AD54</f>
        <v>-0.84366666666666723</v>
      </c>
      <c r="AM54" s="601">
        <f>AVERAGE(AI54:AL54)</f>
        <v>5.0265346982206582E-2</v>
      </c>
      <c r="AN54" s="598">
        <f>'Market Prices'!AE54</f>
        <v>-0.15401639344262286</v>
      </c>
      <c r="AO54" s="599">
        <f>'Market Prices'!AF54</f>
        <v>-0.55339062499999958</v>
      </c>
      <c r="AP54" s="599">
        <f>'Market Prices'!AG54</f>
        <v>-1.5273593749999999</v>
      </c>
      <c r="AQ54" s="600">
        <f>'Market Prices'!AH54</f>
        <v>-0.79788709677419334</v>
      </c>
      <c r="AR54" s="601">
        <f>AVERAGE(AN54:AQ54)</f>
        <v>-0.75816337255420385</v>
      </c>
      <c r="AS54" s="598">
        <f>'Market Prices'!AI54</f>
        <v>-1.6838709677418517E-2</v>
      </c>
      <c r="AT54" s="599">
        <f>'Market Prices'!AJ54</f>
        <v>-0.56160937500000019</v>
      </c>
      <c r="AU54" s="599">
        <f>'Market Prices'!AK54</f>
        <v>-1.2109841269841268</v>
      </c>
      <c r="AV54" s="600">
        <f>'Market Prices'!AL54</f>
        <v>-0.13975806451612982</v>
      </c>
      <c r="AW54" s="601">
        <f>AVERAGE(AS54:AV54)</f>
        <v>-0.48229756904441884</v>
      </c>
      <c r="AX54" s="598">
        <f>'Market Prices'!AM54</f>
        <v>3.4441967213114757</v>
      </c>
      <c r="AY54" s="599">
        <f>'Market Prices'!AN54</f>
        <v>-0.46333333333333293</v>
      </c>
      <c r="AZ54" s="599">
        <f>'Market Prices'!AO54</f>
        <v>-0.59499999999999975</v>
      </c>
      <c r="BA54" s="600">
        <f>'Market Prices'!AP54</f>
        <v>-0.21666666666666679</v>
      </c>
      <c r="BB54" s="601">
        <f>AVERAGE(AX54:BA54)</f>
        <v>0.54229918032786906</v>
      </c>
      <c r="BC54" s="598">
        <f>'Market Prices'!AQ54</f>
        <v>0.74457975965344758</v>
      </c>
      <c r="BD54" s="599">
        <f>'Market Prices'!AR54</f>
        <v>-0.76430483819771866</v>
      </c>
      <c r="BE54" s="599">
        <f>'Market Prices'!AS54</f>
        <v>-0.78296558457066712</v>
      </c>
      <c r="BF54" s="600">
        <f>'Market Prices'!AT54</f>
        <v>0.8235214539149398</v>
      </c>
      <c r="BG54" s="601">
        <f>AVERAGE(BC54:BF54)</f>
        <v>5.2076977000004021E-3</v>
      </c>
      <c r="BH54" s="598">
        <f>'Market Prices'!AU54</f>
        <v>0.64485745238273218</v>
      </c>
      <c r="BI54" s="599">
        <f>'Market Prices'!AV54</f>
        <v>-0.82982612063011629</v>
      </c>
      <c r="BJ54" s="599">
        <f>'Market Prices'!AW54</f>
        <v>-0.84922019602346377</v>
      </c>
      <c r="BK54" s="600">
        <f>'Market Prices'!AX54</f>
        <v>0.71921711267084909</v>
      </c>
      <c r="BL54" s="601">
        <f>AVERAGE(BH54:BK54)</f>
        <v>-7.8742937899999699E-2</v>
      </c>
      <c r="BM54" s="598">
        <f>'Market Prices'!AY54</f>
        <v>0.64402689825038939</v>
      </c>
      <c r="BN54" s="599">
        <f>'Market Prices'!AZ54</f>
        <v>-0.85250267876937125</v>
      </c>
      <c r="BO54" s="599">
        <f>'Market Prices'!BA54</f>
        <v>-0.87232898455971686</v>
      </c>
      <c r="BP54" s="600">
        <f>'Market Prices'!BB54</f>
        <v>0.71913809827870034</v>
      </c>
      <c r="BQ54" s="601">
        <f>AVERAGE(BM54:BP54)</f>
        <v>-9.0416666699999593E-2</v>
      </c>
      <c r="BR54" s="1748"/>
    </row>
    <row r="55" spans="1:70" s="2" customFormat="1">
      <c r="A55" s="1523"/>
      <c r="C55" s="535" t="s">
        <v>885</v>
      </c>
      <c r="D55" s="37"/>
      <c r="E55" s="365"/>
      <c r="F55" s="6"/>
      <c r="G55" s="6"/>
      <c r="H55" s="366"/>
      <c r="J55" s="365"/>
      <c r="K55" s="6"/>
      <c r="L55" s="6"/>
      <c r="M55" s="366"/>
      <c r="N55" s="32"/>
      <c r="O55" s="598">
        <f>'Market Prices'!K57</f>
        <v>1.7646250000000014</v>
      </c>
      <c r="P55" s="599">
        <f>'Market Prices'!L57</f>
        <v>0.28798437500000063</v>
      </c>
      <c r="Q55" s="599">
        <f>'Market Prices'!M57</f>
        <v>0.25414062500000068</v>
      </c>
      <c r="R55" s="600">
        <f>'Market Prices'!N57</f>
        <v>0.24365079365079412</v>
      </c>
      <c r="S55" s="601">
        <f>AVERAGE(O55:R55)</f>
        <v>0.63760019841269922</v>
      </c>
      <c r="T55" s="598">
        <f>'Market Prices'!P57</f>
        <v>0.1599206349206348</v>
      </c>
      <c r="U55" s="599">
        <f>'Market Prices'!Q57</f>
        <v>0.16882539682539655</v>
      </c>
      <c r="V55" s="599">
        <f>'Market Prices'!R57</f>
        <v>0.26892187499999887</v>
      </c>
      <c r="W55" s="600">
        <f>'Market Prices'!S57</f>
        <v>0.819599999999999</v>
      </c>
      <c r="X55" s="601">
        <f>AVERAGE(T55:W55)</f>
        <v>0.3543169766865073</v>
      </c>
      <c r="Y55" s="598">
        <f>'Market Prices'!S57</f>
        <v>0.819599999999999</v>
      </c>
      <c r="Z55" s="599">
        <f>'Market Prices'!T57</f>
        <v>0.11882812499999851</v>
      </c>
      <c r="AA55" s="599">
        <f>'Market Prices'!U57</f>
        <v>-1.3265625000001169E-2</v>
      </c>
      <c r="AB55" s="600">
        <f>'Market Prices'!V57</f>
        <v>0.14118750000000091</v>
      </c>
      <c r="AC55" s="601">
        <f>AVERAGE(Y55:AB55)</f>
        <v>0.26658749999999931</v>
      </c>
      <c r="AD55" s="598">
        <f>'Market Prices'!W57</f>
        <v>7.5181639344262283</v>
      </c>
      <c r="AE55" s="599">
        <f>'Market Prices'!X57</f>
        <v>-0.89420312500000065</v>
      </c>
      <c r="AF55" s="599">
        <f>'Market Prices'!Y57</f>
        <v>-1.4395156250000012</v>
      </c>
      <c r="AG55" s="600">
        <f>'Market Prices'!Z57</f>
        <v>-1.017578125</v>
      </c>
      <c r="AH55" s="601">
        <f>AVERAGE(AD55:AG55)</f>
        <v>1.0417167648565566</v>
      </c>
      <c r="AI55" s="598">
        <f>'Market Prices'!AA57</f>
        <v>3.554258064516127</v>
      </c>
      <c r="AJ55" s="599">
        <f>'Market Prices'!AB57</f>
        <v>-1.1179206349206339</v>
      </c>
      <c r="AK55" s="599">
        <f>'Market Prices'!AC57</f>
        <v>-1.3916093749999998</v>
      </c>
      <c r="AL55" s="600">
        <f>'Market Prices'!AD57</f>
        <v>-0.84366666666666723</v>
      </c>
      <c r="AM55" s="601">
        <f>AVERAGE(AI55:AL55)</f>
        <v>5.0265346982206582E-2</v>
      </c>
      <c r="AN55" s="598">
        <f>'Market Prices'!AE57</f>
        <v>-0.15401639344262286</v>
      </c>
      <c r="AO55" s="599">
        <f>'Market Prices'!AF57</f>
        <v>-0.55339062499999958</v>
      </c>
      <c r="AP55" s="599">
        <f>'Market Prices'!AG57</f>
        <v>-1.5273593749999999</v>
      </c>
      <c r="AQ55" s="600">
        <f>'Market Prices'!AH57</f>
        <v>-0.79788709677419334</v>
      </c>
      <c r="AR55" s="601">
        <f>AVERAGE(AN55:AQ55)</f>
        <v>-0.75816337255420385</v>
      </c>
      <c r="AS55" s="598">
        <f>'Market Prices'!AI57</f>
        <v>-1.6838709677418517E-2</v>
      </c>
      <c r="AT55" s="599">
        <f>'Market Prices'!AJ57</f>
        <v>-0.56160937500000019</v>
      </c>
      <c r="AU55" s="599">
        <f>'Market Prices'!AK57</f>
        <v>-1.2109841269841268</v>
      </c>
      <c r="AV55" s="600">
        <f>'Market Prices'!AL57</f>
        <v>-0.13975806451612982</v>
      </c>
      <c r="AW55" s="601">
        <f>AVERAGE(AS55:AV55)</f>
        <v>-0.48229756904441884</v>
      </c>
      <c r="AX55" s="598">
        <f>'Market Prices'!AM57</f>
        <v>3.4441967213114757</v>
      </c>
      <c r="AY55" s="599">
        <f>'Market Prices'!AN57</f>
        <v>-0.46333333333333293</v>
      </c>
      <c r="AZ55" s="599">
        <f>'Market Prices'!AO57</f>
        <v>-0.59499999999999975</v>
      </c>
      <c r="BA55" s="600">
        <f>'Market Prices'!AP57</f>
        <v>-0.21666666666666679</v>
      </c>
      <c r="BB55" s="601">
        <f>AVERAGE(AX55:BA55)</f>
        <v>0.54229918032786906</v>
      </c>
      <c r="BC55" s="598">
        <f>'Market Prices'!AQ57</f>
        <v>0.74457975965344758</v>
      </c>
      <c r="BD55" s="599">
        <f>'Market Prices'!AR57</f>
        <v>-0.76430483819771866</v>
      </c>
      <c r="BE55" s="599">
        <f>'Market Prices'!AS57</f>
        <v>-0.78296558457066712</v>
      </c>
      <c r="BF55" s="600">
        <f>'Market Prices'!AT57</f>
        <v>0.8235214539149398</v>
      </c>
      <c r="BG55" s="601">
        <f>AVERAGE(BC55:BF55)</f>
        <v>5.2076977000004021E-3</v>
      </c>
      <c r="BH55" s="598">
        <f>'Market Prices'!AU57</f>
        <v>0.64485745238273218</v>
      </c>
      <c r="BI55" s="599">
        <f>'Market Prices'!AV57</f>
        <v>-0.82982612063011629</v>
      </c>
      <c r="BJ55" s="599">
        <f>'Market Prices'!AW57</f>
        <v>-0.84922019602346377</v>
      </c>
      <c r="BK55" s="600">
        <f>'Market Prices'!AX57</f>
        <v>0.71921711267084909</v>
      </c>
      <c r="BL55" s="601">
        <f>AVERAGE(BH55:BK55)</f>
        <v>-7.8742937899999699E-2</v>
      </c>
      <c r="BM55" s="598">
        <f>'Market Prices'!AY57</f>
        <v>-0.25</v>
      </c>
      <c r="BN55" s="599">
        <f>'Market Prices'!AZ57</f>
        <v>-0.25</v>
      </c>
      <c r="BO55" s="599">
        <f>'Market Prices'!BA57</f>
        <v>-0.25</v>
      </c>
      <c r="BP55" s="600">
        <f>'Market Prices'!BB57</f>
        <v>-0.25</v>
      </c>
      <c r="BQ55" s="601">
        <f>AVERAGE(BM55:BP55)</f>
        <v>-0.25</v>
      </c>
      <c r="BR55" s="1748"/>
    </row>
    <row r="56" spans="1:70" s="2" customFormat="1">
      <c r="A56" s="1523"/>
      <c r="C56" s="535" t="s">
        <v>738</v>
      </c>
      <c r="D56" s="37"/>
      <c r="E56" s="365"/>
      <c r="F56" s="6"/>
      <c r="G56" s="6"/>
      <c r="H56" s="366"/>
      <c r="J56" s="365"/>
      <c r="K56" s="6"/>
      <c r="L56" s="6"/>
      <c r="M56" s="366"/>
      <c r="N56" s="32"/>
      <c r="O56" s="598">
        <f>'Market Prices'!K55</f>
        <v>2.7836406250000012</v>
      </c>
      <c r="P56" s="599">
        <f>'Market Prices'!L55</f>
        <v>0.38664062500000007</v>
      </c>
      <c r="Q56" s="599">
        <f>'Market Prices'!M55</f>
        <v>0.58382812500000192</v>
      </c>
      <c r="R56" s="600">
        <f>'Market Prices'!N55</f>
        <v>0.35206349206349286</v>
      </c>
      <c r="S56" s="601">
        <f>AVERAGE(O56:R56)</f>
        <v>1.0265432167658739</v>
      </c>
      <c r="T56" s="598">
        <f>'Market Prices'!P55</f>
        <v>0.20609523809523767</v>
      </c>
      <c r="U56" s="599">
        <f>'Market Prices'!Q55</f>
        <v>0.18090476190476101</v>
      </c>
      <c r="V56" s="599">
        <f>'Market Prices'!R55</f>
        <v>0.52926562499999807</v>
      </c>
      <c r="W56" s="600">
        <f>'Market Prices'!S55</f>
        <v>4.3436166666666658</v>
      </c>
      <c r="X56" s="601">
        <f>AVERAGE(T56:W56)</f>
        <v>1.3149705729166656</v>
      </c>
      <c r="Y56" s="598">
        <f>'Market Prices'!S55</f>
        <v>4.3436166666666658</v>
      </c>
      <c r="Z56" s="599">
        <f>'Market Prices'!T55</f>
        <v>0.30776562499999827</v>
      </c>
      <c r="AA56" s="599">
        <f>'Market Prices'!U55</f>
        <v>0.20923437499999897</v>
      </c>
      <c r="AB56" s="600">
        <f>'Market Prices'!V55</f>
        <v>0.48042187499999889</v>
      </c>
      <c r="AC56" s="601">
        <f>AVERAGE(Y56:AB56)</f>
        <v>1.3352596354166657</v>
      </c>
      <c r="AD56" s="598">
        <f>'Market Prices'!W55</f>
        <v>11.865918032786885</v>
      </c>
      <c r="AE56" s="599">
        <f>'Market Prices'!X55</f>
        <v>-0.87728124999999935</v>
      </c>
      <c r="AF56" s="599">
        <f>'Market Prices'!Y55</f>
        <v>-1.3732187500000017</v>
      </c>
      <c r="AG56" s="600">
        <f>'Market Prices'!Z55</f>
        <v>-0.57965624999999754</v>
      </c>
      <c r="AH56" s="601">
        <f>AVERAGE(AD56:AG56)</f>
        <v>2.2589404456967217</v>
      </c>
      <c r="AI56" s="598">
        <f>'Market Prices'!AA55</f>
        <v>6.0189193548387117</v>
      </c>
      <c r="AJ56" s="599">
        <f>'Market Prices'!AB55</f>
        <v>-0.25368253968253818</v>
      </c>
      <c r="AK56" s="599">
        <f>'Market Prices'!AC55</f>
        <v>-0.4931562499999993</v>
      </c>
      <c r="AL56" s="600">
        <f>'Market Prices'!AD55</f>
        <v>-0.2235238095238099</v>
      </c>
      <c r="AM56" s="601">
        <f>AVERAGE(AI56:AL56)</f>
        <v>1.2621391889080911</v>
      </c>
      <c r="AN56" s="598">
        <f>'Market Prices'!AE55</f>
        <v>0.49621311475409802</v>
      </c>
      <c r="AO56" s="599">
        <f>'Market Prices'!AF55</f>
        <v>-0.43893749999999998</v>
      </c>
      <c r="AP56" s="599">
        <f>'Market Prices'!AG55</f>
        <v>-0.95798437499999922</v>
      </c>
      <c r="AQ56" s="600">
        <f>'Market Prices'!AH55</f>
        <v>-0.3514999999999997</v>
      </c>
      <c r="AR56" s="601">
        <f>AVERAGE(AN56:AQ56)</f>
        <v>-0.31305219006147522</v>
      </c>
      <c r="AS56" s="598">
        <f>'Market Prices'!AI55</f>
        <v>0.30054838709677556</v>
      </c>
      <c r="AT56" s="599">
        <f>'Market Prices'!AJ55</f>
        <v>-0.38845312499999896</v>
      </c>
      <c r="AU56" s="599">
        <f>'Market Prices'!AK55</f>
        <v>-0.54298412698412557</v>
      </c>
      <c r="AV56" s="600">
        <f>'Market Prices'!AL55</f>
        <v>0.63106451612903358</v>
      </c>
      <c r="AW56" s="601">
        <f>AVERAGE(AS56:AV56)</f>
        <v>4.3912810421153914E-5</v>
      </c>
      <c r="AX56" s="598">
        <f>'Market Prices'!AM55</f>
        <v>4.698950819672131</v>
      </c>
      <c r="AY56" s="599">
        <f>'Market Prices'!AN55</f>
        <v>-0.19166666666666643</v>
      </c>
      <c r="AZ56" s="599">
        <f>'Market Prices'!AO55</f>
        <v>-0.30999999999999961</v>
      </c>
      <c r="BA56" s="600">
        <f>'Market Prices'!AP55</f>
        <v>0.25666666666666638</v>
      </c>
      <c r="BB56" s="601">
        <f>AVERAGE(AX56:BA56)</f>
        <v>1.113487704918033</v>
      </c>
      <c r="BC56" s="598">
        <f>'Market Prices'!AQ55</f>
        <v>1.637734667576852</v>
      </c>
      <c r="BD56" s="599">
        <f>'Market Prices'!AR55</f>
        <v>-0.69677150590554215</v>
      </c>
      <c r="BE56" s="599">
        <f>'Market Prices'!AS55</f>
        <v>-0.82532002718121711</v>
      </c>
      <c r="BF56" s="600">
        <f>'Market Prices'!AT55</f>
        <v>1.5445568651099078</v>
      </c>
      <c r="BG56" s="601">
        <f>AVERAGE(BC56:BF56)</f>
        <v>0.41504999990000013</v>
      </c>
      <c r="BH56" s="598">
        <f>'Market Prices'!AU55</f>
        <v>1.6691288195742207</v>
      </c>
      <c r="BI56" s="599">
        <f>'Market Prices'!AV55</f>
        <v>-0.704374459769459</v>
      </c>
      <c r="BJ56" s="599">
        <f>'Market Prices'!AW55</f>
        <v>-0.83498911122825525</v>
      </c>
      <c r="BK56" s="600">
        <f>'Market Prices'!AX55</f>
        <v>1.5745847514234943</v>
      </c>
      <c r="BL56" s="601">
        <f>AVERAGE(BH56:BK56)</f>
        <v>0.42608750000000017</v>
      </c>
      <c r="BM56" s="598">
        <f>'Market Prices'!AY55</f>
        <v>1.7632770950378909</v>
      </c>
      <c r="BN56" s="599">
        <f>'Market Prices'!AZ55</f>
        <v>-0.69298925565485447</v>
      </c>
      <c r="BO56" s="599">
        <f>'Market Prices'!BA55</f>
        <v>-0.82743500086795607</v>
      </c>
      <c r="BP56" s="600">
        <f>'Market Prices'!BB55</f>
        <v>1.6671304946849221</v>
      </c>
      <c r="BQ56" s="601">
        <f>AVERAGE(BM56:BP56)</f>
        <v>0.47749583330000062</v>
      </c>
      <c r="BR56" s="1748"/>
    </row>
    <row r="57" spans="1:70" s="2" customFormat="1">
      <c r="A57" s="1523"/>
      <c r="C57" s="535"/>
      <c r="D57" s="37"/>
      <c r="E57" s="365"/>
      <c r="F57" s="6"/>
      <c r="G57" s="6"/>
      <c r="H57" s="366"/>
      <c r="J57" s="365"/>
      <c r="K57" s="6"/>
      <c r="L57" s="6"/>
      <c r="M57" s="366"/>
      <c r="N57" s="32"/>
      <c r="O57" s="598"/>
      <c r="P57" s="599"/>
      <c r="Q57" s="599"/>
      <c r="R57" s="600"/>
      <c r="S57" s="601"/>
      <c r="T57" s="598"/>
      <c r="U57" s="599"/>
      <c r="V57" s="599"/>
      <c r="W57" s="600"/>
      <c r="X57" s="601"/>
      <c r="Y57" s="598"/>
      <c r="Z57" s="599"/>
      <c r="AA57" s="599"/>
      <c r="AB57" s="600"/>
      <c r="AC57" s="601"/>
      <c r="AD57" s="598"/>
      <c r="AE57" s="599"/>
      <c r="AF57" s="599"/>
      <c r="AG57" s="600"/>
      <c r="AH57" s="601"/>
      <c r="AI57" s="598"/>
      <c r="AJ57" s="599"/>
      <c r="AK57" s="599"/>
      <c r="AL57" s="600"/>
      <c r="AM57" s="601"/>
      <c r="AN57" s="598"/>
      <c r="AO57" s="599"/>
      <c r="AP57" s="599"/>
      <c r="AQ57" s="600"/>
      <c r="AR57" s="601"/>
      <c r="AS57" s="598"/>
      <c r="AT57" s="599"/>
      <c r="AU57" s="599"/>
      <c r="AV57" s="600"/>
      <c r="AW57" s="601"/>
      <c r="AX57" s="598"/>
      <c r="AY57" s="599"/>
      <c r="AZ57" s="599"/>
      <c r="BA57" s="600"/>
      <c r="BB57" s="601"/>
      <c r="BC57" s="598"/>
      <c r="BD57" s="599"/>
      <c r="BE57" s="599"/>
      <c r="BF57" s="600"/>
      <c r="BG57" s="601"/>
      <c r="BH57" s="598"/>
      <c r="BI57" s="599"/>
      <c r="BJ57" s="599"/>
      <c r="BK57" s="600"/>
      <c r="BL57" s="601"/>
      <c r="BM57" s="598"/>
      <c r="BN57" s="599"/>
      <c r="BO57" s="599"/>
      <c r="BP57" s="600"/>
      <c r="BQ57" s="601"/>
      <c r="BR57" s="1748"/>
    </row>
    <row r="58" spans="1:70" s="2" customFormat="1">
      <c r="A58" s="1523"/>
      <c r="C58" s="757" t="s">
        <v>247</v>
      </c>
      <c r="E58" s="365"/>
      <c r="F58" s="6"/>
      <c r="G58" s="6"/>
      <c r="H58" s="366"/>
      <c r="I58" s="37"/>
      <c r="J58" s="365"/>
      <c r="K58" s="6"/>
      <c r="L58" s="6"/>
      <c r="M58" s="366"/>
      <c r="O58" s="365"/>
      <c r="P58" s="6"/>
      <c r="Q58" s="6"/>
      <c r="R58" s="366"/>
      <c r="T58" s="365"/>
      <c r="U58" s="6"/>
      <c r="V58" s="6"/>
      <c r="W58" s="366"/>
      <c r="Y58" s="365"/>
      <c r="Z58" s="6"/>
      <c r="AA58" s="6"/>
      <c r="AB58" s="366"/>
      <c r="AD58" s="365"/>
      <c r="AE58" s="6"/>
      <c r="AF58" s="6"/>
      <c r="AG58" s="366"/>
      <c r="AI58" s="365"/>
      <c r="AJ58" s="6"/>
      <c r="AK58" s="6"/>
      <c r="AL58" s="366"/>
      <c r="AN58" s="365"/>
      <c r="AO58" s="6"/>
      <c r="AP58" s="6"/>
      <c r="AQ58" s="366"/>
      <c r="AS58" s="365"/>
      <c r="AT58" s="6"/>
      <c r="AU58" s="6"/>
      <c r="AV58" s="366"/>
      <c r="AX58" s="365"/>
      <c r="AY58" s="6"/>
      <c r="AZ58" s="6"/>
      <c r="BA58" s="366"/>
      <c r="BC58" s="365"/>
      <c r="BD58" s="6"/>
      <c r="BE58" s="6"/>
      <c r="BF58" s="366"/>
      <c r="BH58" s="365"/>
      <c r="BI58" s="6"/>
      <c r="BJ58" s="6"/>
      <c r="BK58" s="366"/>
      <c r="BM58" s="365"/>
      <c r="BN58" s="6"/>
      <c r="BO58" s="6"/>
      <c r="BP58" s="366"/>
      <c r="BR58" s="759"/>
    </row>
    <row r="59" spans="1:70" s="2" customFormat="1">
      <c r="A59" s="1523"/>
      <c r="C59" s="535" t="s">
        <v>282</v>
      </c>
      <c r="E59" s="365"/>
      <c r="F59" s="6"/>
      <c r="G59" s="6"/>
      <c r="H59" s="366"/>
      <c r="I59" s="37"/>
      <c r="J59" s="365"/>
      <c r="K59" s="6"/>
      <c r="L59" s="6"/>
      <c r="M59" s="366"/>
      <c r="O59" s="365"/>
      <c r="P59" s="6"/>
      <c r="Q59" s="6"/>
      <c r="R59" s="366"/>
      <c r="T59" s="598"/>
      <c r="U59" s="599"/>
      <c r="V59" s="599"/>
      <c r="W59" s="600"/>
      <c r="X59" s="601"/>
      <c r="Y59" s="598">
        <f t="shared" ref="Y59:AB60" si="67">(Y$46+Y$53)*Y80/1000+Y$50</f>
        <v>89.765515873015843</v>
      </c>
      <c r="Z59" s="599">
        <f t="shared" si="67"/>
        <v>45.06300781249999</v>
      </c>
      <c r="AA59" s="599">
        <f t="shared" si="67"/>
        <v>54.984013671875005</v>
      </c>
      <c r="AB59" s="600">
        <f t="shared" si="67"/>
        <v>67.341074218749995</v>
      </c>
      <c r="AC59" s="601">
        <f>AVERAGE(Y59:AB59)</f>
        <v>64.288402894035215</v>
      </c>
      <c r="AD59" s="598">
        <f t="shared" ref="AD59:AG60" si="68">(AD$46+AD$53)*AD80/1000+AD$50</f>
        <v>167.3350595238096</v>
      </c>
      <c r="AE59" s="599">
        <f t="shared" si="68"/>
        <v>44.335244140625001</v>
      </c>
      <c r="AF59" s="599">
        <f t="shared" si="68"/>
        <v>41.33302734374999</v>
      </c>
      <c r="AG59" s="600">
        <f t="shared" si="68"/>
        <v>48.027636718750003</v>
      </c>
      <c r="AH59" s="601">
        <f>AVERAGE(AD59:AG59)</f>
        <v>75.257741931733648</v>
      </c>
      <c r="AI59" s="598">
        <f t="shared" ref="AI59:AL60" si="69">(AI$46+AI$53)*AI80/1000+AI$50</f>
        <v>87.659980158730164</v>
      </c>
      <c r="AJ59" s="599">
        <f t="shared" si="69"/>
        <v>28.370332031249998</v>
      </c>
      <c r="AK59" s="599">
        <f t="shared" si="69"/>
        <v>42.395605769230762</v>
      </c>
      <c r="AL59" s="600">
        <f t="shared" si="69"/>
        <v>33.06513671874999</v>
      </c>
      <c r="AM59" s="601">
        <f>AVERAGE(AI59:AL59)</f>
        <v>47.872763669490226</v>
      </c>
      <c r="AN59" s="598">
        <f t="shared" ref="AN59:AQ60" si="70">(AN$46+AN$53)*AN80/1000+AN$50</f>
        <v>30.31946289062499</v>
      </c>
      <c r="AO59" s="599">
        <f t="shared" si="70"/>
        <v>28.207148437500003</v>
      </c>
      <c r="AP59" s="599">
        <f t="shared" si="70"/>
        <v>42.730703124999998</v>
      </c>
      <c r="AQ59" s="600">
        <f t="shared" si="70"/>
        <v>38.680972222222231</v>
      </c>
      <c r="AR59" s="601">
        <f>AVERAGE(AN59:AQ59)</f>
        <v>34.984571668836807</v>
      </c>
      <c r="AS59" s="598">
        <f t="shared" ref="AS59:AV60" si="71">(AS$46+AS$53)*AS80/1000+AS$50</f>
        <v>33.978535156249976</v>
      </c>
      <c r="AT59" s="599">
        <f t="shared" si="71"/>
        <v>33.298916015625025</v>
      </c>
      <c r="AU59" s="599">
        <f t="shared" si="71"/>
        <v>31.712827380952373</v>
      </c>
      <c r="AV59" s="600">
        <f t="shared" si="71"/>
        <v>52.552301587301585</v>
      </c>
      <c r="AW59" s="601">
        <f>AVERAGE(AS59:AV59)</f>
        <v>37.88564503503224</v>
      </c>
      <c r="AX59" s="598">
        <f t="shared" ref="AX59:BA60" si="72">(AX$46+AX$53)*AX80/1000+AX$50</f>
        <v>62.437333984375016</v>
      </c>
      <c r="AY59" s="599">
        <f t="shared" si="72"/>
        <v>32.65</v>
      </c>
      <c r="AZ59" s="599">
        <f>(AZ$46+AZ$53)*AZ80/1000+AZ$50</f>
        <v>35.383333333333326</v>
      </c>
      <c r="BA59" s="600">
        <f t="shared" si="72"/>
        <v>42.35</v>
      </c>
      <c r="BB59" s="601">
        <f>AVERAGE(AX59:BA59)</f>
        <v>43.205166829427085</v>
      </c>
      <c r="BC59" s="598">
        <f t="shared" ref="BC59:BF60" si="73">(BC$46+BC$53)*BC80/1000+BC$50</f>
        <v>73.199444871908241</v>
      </c>
      <c r="BD59" s="599">
        <f t="shared" si="73"/>
        <v>31.598138616301913</v>
      </c>
      <c r="BE59" s="599">
        <f t="shared" si="73"/>
        <v>36.852856695587477</v>
      </c>
      <c r="BF59" s="600">
        <f t="shared" si="73"/>
        <v>38.566226482602353</v>
      </c>
      <c r="BG59" s="601">
        <f>AVERAGE(BC59:BF59)</f>
        <v>45.054166666599997</v>
      </c>
      <c r="BH59" s="598">
        <f t="shared" ref="BH59:BK60" si="74">(BH$46+BH$53)*BH80/1000+BH$50</f>
        <v>73.199444871908241</v>
      </c>
      <c r="BI59" s="599">
        <f t="shared" si="74"/>
        <v>31.598138616301917</v>
      </c>
      <c r="BJ59" s="599">
        <f t="shared" si="74"/>
        <v>36.852856695587484</v>
      </c>
      <c r="BK59" s="600">
        <f t="shared" si="74"/>
        <v>38.566226482602353</v>
      </c>
      <c r="BL59" s="601">
        <f>AVERAGE(BH59:BK59)</f>
        <v>45.054166666600004</v>
      </c>
      <c r="BM59" s="598">
        <f t="shared" ref="BM59:BP60" si="75">(BM$46+BM$53)*BM80/1000+BM$50</f>
        <v>69.866716832296532</v>
      </c>
      <c r="BN59" s="599">
        <f t="shared" si="75"/>
        <v>34.017180604094122</v>
      </c>
      <c r="BO59" s="599">
        <f t="shared" si="75"/>
        <v>39.124429437830933</v>
      </c>
      <c r="BP59" s="600">
        <f t="shared" si="75"/>
        <v>35.892640580422331</v>
      </c>
      <c r="BQ59" s="601">
        <f>AVERAGE(BM59:BP59)</f>
        <v>44.725241863660976</v>
      </c>
      <c r="BR59" s="1748"/>
    </row>
    <row r="60" spans="1:70" s="2" customFormat="1">
      <c r="A60" s="1523"/>
      <c r="C60" s="535" t="s">
        <v>283</v>
      </c>
      <c r="E60" s="365"/>
      <c r="F60" s="6"/>
      <c r="G60" s="6"/>
      <c r="H60" s="366"/>
      <c r="I60" s="37"/>
      <c r="J60" s="365"/>
      <c r="K60" s="6"/>
      <c r="L60" s="6"/>
      <c r="M60" s="366"/>
      <c r="O60" s="365"/>
      <c r="P60" s="6"/>
      <c r="Q60" s="6"/>
      <c r="R60" s="366"/>
      <c r="T60" s="598"/>
      <c r="U60" s="599"/>
      <c r="V60" s="599"/>
      <c r="W60" s="600"/>
      <c r="X60" s="601"/>
      <c r="Y60" s="598">
        <f t="shared" si="67"/>
        <v>72.617844806763287</v>
      </c>
      <c r="Z60" s="599">
        <f t="shared" si="67"/>
        <v>34.133154761904763</v>
      </c>
      <c r="AA60" s="599">
        <f t="shared" si="67"/>
        <v>30.454148550724629</v>
      </c>
      <c r="AB60" s="600">
        <f t="shared" si="67"/>
        <v>51.12213387681161</v>
      </c>
      <c r="AC60" s="601">
        <f>AVERAGE(Y60:AB60)</f>
        <v>47.081820499051069</v>
      </c>
      <c r="AD60" s="598">
        <f t="shared" si="68"/>
        <v>125.17613546698867</v>
      </c>
      <c r="AE60" s="599">
        <f t="shared" si="68"/>
        <v>32.324491758241756</v>
      </c>
      <c r="AF60" s="599">
        <f t="shared" si="68"/>
        <v>26.776259057971</v>
      </c>
      <c r="AG60" s="600">
        <f t="shared" si="68"/>
        <v>31.050057065217374</v>
      </c>
      <c r="AH60" s="601">
        <f>AVERAGE(AD60:AG60)</f>
        <v>53.831735837104702</v>
      </c>
      <c r="AI60" s="598">
        <f t="shared" si="69"/>
        <v>74.709404790660244</v>
      </c>
      <c r="AJ60" s="599">
        <f t="shared" si="69"/>
        <v>18.747051282051284</v>
      </c>
      <c r="AK60" s="599">
        <f t="shared" si="69"/>
        <v>22.344044384057977</v>
      </c>
      <c r="AL60" s="600">
        <f t="shared" si="69"/>
        <v>20.198206884057964</v>
      </c>
      <c r="AM60" s="601">
        <f>AVERAGE(AI60:AL60)</f>
        <v>33.99967683520687</v>
      </c>
      <c r="AN60" s="598">
        <f t="shared" si="70"/>
        <v>22.403306059882151</v>
      </c>
      <c r="AO60" s="599">
        <f t="shared" si="70"/>
        <v>18.611707875457874</v>
      </c>
      <c r="AP60" s="599">
        <f t="shared" si="70"/>
        <v>21.732721920289862</v>
      </c>
      <c r="AQ60" s="600">
        <f t="shared" si="70"/>
        <v>28.745413949275392</v>
      </c>
      <c r="AR60" s="601">
        <f>AVERAGE(AN60:AQ60)</f>
        <v>22.873287451226318</v>
      </c>
      <c r="AS60" s="598">
        <f t="shared" si="71"/>
        <v>30.265937600644126</v>
      </c>
      <c r="AT60" s="599">
        <f t="shared" si="71"/>
        <v>22.968333333333337</v>
      </c>
      <c r="AU60" s="599">
        <f t="shared" si="71"/>
        <v>19.421938405797103</v>
      </c>
      <c r="AV60" s="600">
        <f t="shared" si="71"/>
        <v>41.756125543478234</v>
      </c>
      <c r="AW60" s="601">
        <f>AVERAGE(AS60:AV60)</f>
        <v>28.603083720813199</v>
      </c>
      <c r="AX60" s="598">
        <f t="shared" si="72"/>
        <v>55.496529991948492</v>
      </c>
      <c r="AY60" s="599">
        <f t="shared" si="72"/>
        <v>24.166666666666671</v>
      </c>
      <c r="AZ60" s="599">
        <f>(AZ$46+AZ$53)*AZ81/1000+AZ$50</f>
        <v>23.300000000000004</v>
      </c>
      <c r="BA60" s="600">
        <f t="shared" si="72"/>
        <v>33.700000000000003</v>
      </c>
      <c r="BB60" s="601">
        <f>AVERAGE(AX60:BA60)</f>
        <v>34.165799164653791</v>
      </c>
      <c r="BC60" s="598">
        <f t="shared" si="73"/>
        <v>56.863680246618706</v>
      </c>
      <c r="BD60" s="599">
        <f t="shared" si="73"/>
        <v>22.402357917897522</v>
      </c>
      <c r="BE60" s="599">
        <f t="shared" si="73"/>
        <v>23.701528116853666</v>
      </c>
      <c r="BF60" s="600">
        <f t="shared" si="73"/>
        <v>32.932400385030085</v>
      </c>
      <c r="BG60" s="601">
        <f>AVERAGE(BC60:BF60)</f>
        <v>33.974991666599998</v>
      </c>
      <c r="BH60" s="598">
        <f t="shared" si="74"/>
        <v>56.696324969164479</v>
      </c>
      <c r="BI60" s="599">
        <f t="shared" si="74"/>
        <v>22.336425624934453</v>
      </c>
      <c r="BJ60" s="599">
        <f t="shared" si="74"/>
        <v>23.631772241101654</v>
      </c>
      <c r="BK60" s="600">
        <f t="shared" si="74"/>
        <v>32.8354771647994</v>
      </c>
      <c r="BL60" s="601">
        <f>AVERAGE(BH60:BK60)</f>
        <v>33.875</v>
      </c>
      <c r="BM60" s="598">
        <f t="shared" si="75"/>
        <v>54.313826887816766</v>
      </c>
      <c r="BN60" s="599">
        <f t="shared" si="75"/>
        <v>24.134785269424992</v>
      </c>
      <c r="BO60" s="599">
        <f t="shared" si="75"/>
        <v>25.180601373112481</v>
      </c>
      <c r="BP60" s="600">
        <f t="shared" si="75"/>
        <v>30.671466488753687</v>
      </c>
      <c r="BQ60" s="601">
        <f>AVERAGE(BM60:BP60)</f>
        <v>33.575170004776979</v>
      </c>
      <c r="BR60" s="1748"/>
    </row>
    <row r="61" spans="1:70" s="2" customFormat="1">
      <c r="A61" s="1523"/>
      <c r="C61" s="535" t="s">
        <v>206</v>
      </c>
      <c r="E61" s="365"/>
      <c r="F61" s="6"/>
      <c r="G61" s="6"/>
      <c r="H61" s="366"/>
      <c r="I61" s="37"/>
      <c r="J61" s="365"/>
      <c r="K61" s="6"/>
      <c r="L61" s="6"/>
      <c r="M61" s="366"/>
      <c r="O61" s="365"/>
      <c r="P61" s="6"/>
      <c r="Q61" s="6"/>
      <c r="R61" s="366"/>
      <c r="T61" s="598"/>
      <c r="U61" s="599"/>
      <c r="V61" s="599"/>
      <c r="W61" s="600"/>
      <c r="X61" s="601"/>
      <c r="Y61" s="598">
        <f t="shared" ref="Y61:AR61" si="76">Y59*47.5%+Y60*52.5%</f>
        <v>80.76298856323325</v>
      </c>
      <c r="Z61" s="599">
        <f t="shared" si="76"/>
        <v>39.324834960937494</v>
      </c>
      <c r="AA61" s="599">
        <f t="shared" si="76"/>
        <v>42.105834483271053</v>
      </c>
      <c r="AB61" s="600">
        <f t="shared" si="76"/>
        <v>58.826130539232338</v>
      </c>
      <c r="AC61" s="601">
        <f t="shared" si="76"/>
        <v>55.254947136668534</v>
      </c>
      <c r="AD61" s="598">
        <f>AD59*47.5%+AD60*52.5%</f>
        <v>145.20162439397859</v>
      </c>
      <c r="AE61" s="599">
        <f>AE59*47.5%+AE60*52.5%</f>
        <v>38.029599139873795</v>
      </c>
      <c r="AF61" s="599">
        <f t="shared" si="76"/>
        <v>33.69072399371602</v>
      </c>
      <c r="AG61" s="600">
        <f t="shared" si="76"/>
        <v>39.114407400645376</v>
      </c>
      <c r="AH61" s="601">
        <f t="shared" si="76"/>
        <v>64.009088732053456</v>
      </c>
      <c r="AI61" s="598">
        <f t="shared" si="76"/>
        <v>80.860928090493445</v>
      </c>
      <c r="AJ61" s="599">
        <f t="shared" si="76"/>
        <v>23.318109637920671</v>
      </c>
      <c r="AK61" s="599">
        <f t="shared" si="76"/>
        <v>31.868536042015048</v>
      </c>
      <c r="AL61" s="600">
        <f t="shared" si="76"/>
        <v>26.309998555536676</v>
      </c>
      <c r="AM61" s="601">
        <f t="shared" si="76"/>
        <v>40.589393081491465</v>
      </c>
      <c r="AN61" s="598">
        <f t="shared" si="76"/>
        <v>26.163480554484998</v>
      </c>
      <c r="AO61" s="599">
        <f t="shared" si="76"/>
        <v>23.169542142427886</v>
      </c>
      <c r="AP61" s="599">
        <f t="shared" si="76"/>
        <v>31.706762992527175</v>
      </c>
      <c r="AQ61" s="600">
        <f t="shared" si="76"/>
        <v>33.464804128925138</v>
      </c>
      <c r="AR61" s="601">
        <f t="shared" si="76"/>
        <v>28.626147454591301</v>
      </c>
      <c r="AS61" s="598">
        <f t="shared" ref="AS61:BB61" si="77">AS59*47.5%+AS60*52.5%</f>
        <v>32.029421439556906</v>
      </c>
      <c r="AT61" s="599">
        <f t="shared" si="77"/>
        <v>27.875360107421891</v>
      </c>
      <c r="AU61" s="599">
        <f t="shared" si="77"/>
        <v>25.260110668995857</v>
      </c>
      <c r="AV61" s="600">
        <f t="shared" si="77"/>
        <v>46.884309164294322</v>
      </c>
      <c r="AW61" s="601">
        <f t="shared" si="77"/>
        <v>33.012300345067246</v>
      </c>
      <c r="AX61" s="598">
        <f>AX59*47.5%+AX60*52.5%</f>
        <v>58.793411888351088</v>
      </c>
      <c r="AY61" s="599">
        <f>AY59*47.5%+AY60*52.5%</f>
        <v>28.196250000000003</v>
      </c>
      <c r="AZ61" s="599">
        <f>AZ59*47.5%+AZ60*52.5%</f>
        <v>29.039583333333333</v>
      </c>
      <c r="BA61" s="600">
        <f>BA59*47.5%+BA60*52.5%</f>
        <v>37.808750000000003</v>
      </c>
      <c r="BB61" s="601">
        <f t="shared" si="77"/>
        <v>38.459498805421106</v>
      </c>
      <c r="BC61" s="598">
        <f t="shared" ref="BC61:BH61" si="78">BC59*47.5%+BC60*52.5%</f>
        <v>64.623168443631229</v>
      </c>
      <c r="BD61" s="599">
        <f t="shared" si="78"/>
        <v>26.770353749639611</v>
      </c>
      <c r="BE61" s="599">
        <f t="shared" si="78"/>
        <v>29.948409191752226</v>
      </c>
      <c r="BF61" s="600">
        <f t="shared" si="78"/>
        <v>35.608467781376916</v>
      </c>
      <c r="BG61" s="601">
        <f t="shared" si="78"/>
        <v>39.237599791599997</v>
      </c>
      <c r="BH61" s="598">
        <f t="shared" si="78"/>
        <v>64.535306922967763</v>
      </c>
      <c r="BI61" s="599">
        <f t="shared" ref="BI61:BQ61" si="79">BI59*47.5%+BI60*52.5%</f>
        <v>26.735739295834001</v>
      </c>
      <c r="BJ61" s="599">
        <f t="shared" si="79"/>
        <v>29.911787356982423</v>
      </c>
      <c r="BK61" s="600">
        <f t="shared" si="79"/>
        <v>35.557583090755799</v>
      </c>
      <c r="BL61" s="601">
        <f t="shared" si="79"/>
        <v>39.185104166635</v>
      </c>
      <c r="BM61" s="598">
        <f t="shared" si="79"/>
        <v>61.701449611444652</v>
      </c>
      <c r="BN61" s="599">
        <f t="shared" si="79"/>
        <v>28.828923053392828</v>
      </c>
      <c r="BO61" s="599">
        <f t="shared" si="79"/>
        <v>31.803919703853747</v>
      </c>
      <c r="BP61" s="600">
        <f t="shared" si="79"/>
        <v>33.151524182296292</v>
      </c>
      <c r="BQ61" s="601">
        <f t="shared" si="79"/>
        <v>38.871454137746881</v>
      </c>
      <c r="BR61" s="1748"/>
    </row>
    <row r="62" spans="1:70" s="2" customFormat="1">
      <c r="A62" s="1523"/>
      <c r="C62" s="535"/>
      <c r="E62" s="365"/>
      <c r="F62" s="6"/>
      <c r="G62" s="6"/>
      <c r="H62" s="366"/>
      <c r="I62" s="37"/>
      <c r="J62" s="365"/>
      <c r="K62" s="6"/>
      <c r="L62" s="6"/>
      <c r="M62" s="366"/>
      <c r="O62" s="365"/>
      <c r="P62" s="6"/>
      <c r="Q62" s="6"/>
      <c r="R62" s="366"/>
      <c r="T62" s="598"/>
      <c r="U62" s="599"/>
      <c r="V62" s="599"/>
      <c r="W62" s="600"/>
      <c r="X62" s="601"/>
      <c r="Y62" s="598"/>
      <c r="Z62" s="599"/>
      <c r="AA62" s="599"/>
      <c r="AB62" s="600"/>
      <c r="AC62" s="601"/>
      <c r="AD62" s="598"/>
      <c r="AE62" s="599"/>
      <c r="AF62" s="599"/>
      <c r="AG62" s="600"/>
      <c r="AH62" s="601"/>
      <c r="AI62" s="598"/>
      <c r="AJ62" s="599"/>
      <c r="AK62" s="599"/>
      <c r="AL62" s="600"/>
      <c r="AM62" s="601"/>
      <c r="AN62" s="598"/>
      <c r="AO62" s="599"/>
      <c r="AP62" s="599"/>
      <c r="AQ62" s="600"/>
      <c r="AR62" s="601"/>
      <c r="AS62" s="598"/>
      <c r="AT62" s="599"/>
      <c r="AU62" s="599"/>
      <c r="AV62" s="600"/>
      <c r="AW62" s="601"/>
      <c r="AX62" s="598"/>
      <c r="AY62" s="599"/>
      <c r="AZ62" s="599"/>
      <c r="BA62" s="600"/>
      <c r="BB62" s="601"/>
      <c r="BC62" s="598"/>
      <c r="BD62" s="599"/>
      <c r="BE62" s="599"/>
      <c r="BF62" s="600"/>
      <c r="BG62" s="601"/>
      <c r="BH62" s="598"/>
      <c r="BI62" s="599"/>
      <c r="BJ62" s="599"/>
      <c r="BK62" s="600"/>
      <c r="BL62" s="601"/>
      <c r="BM62" s="598"/>
      <c r="BN62" s="599"/>
      <c r="BO62" s="599"/>
      <c r="BP62" s="600"/>
      <c r="BQ62" s="601"/>
      <c r="BR62" s="1748"/>
    </row>
    <row r="63" spans="1:70" s="2" customFormat="1">
      <c r="A63" s="1523"/>
      <c r="C63" s="535" t="s">
        <v>284</v>
      </c>
      <c r="E63" s="365"/>
      <c r="F63" s="6"/>
      <c r="G63" s="6"/>
      <c r="H63" s="366"/>
      <c r="I63" s="37"/>
      <c r="J63" s="365"/>
      <c r="K63" s="6"/>
      <c r="L63" s="6"/>
      <c r="M63" s="366"/>
      <c r="O63" s="365"/>
      <c r="P63" s="6"/>
      <c r="Q63" s="6"/>
      <c r="R63" s="366"/>
      <c r="T63" s="598"/>
      <c r="U63" s="599"/>
      <c r="V63" s="599"/>
      <c r="W63" s="600"/>
      <c r="X63" s="601"/>
      <c r="Y63" s="598">
        <f t="shared" ref="Y63:AB64" si="80">(Y$46+Y$54)*Y83/1000+Y$50</f>
        <v>45.623531746031752</v>
      </c>
      <c r="Z63" s="599">
        <f t="shared" si="80"/>
        <v>40.663671874999991</v>
      </c>
      <c r="AA63" s="599">
        <f t="shared" si="80"/>
        <v>53.937705078124999</v>
      </c>
      <c r="AB63" s="600">
        <f t="shared" si="80"/>
        <v>46.228017578124991</v>
      </c>
      <c r="AC63" s="601">
        <f>AVERAGE(Y63:AB63)</f>
        <v>46.613231569320433</v>
      </c>
      <c r="AD63" s="598">
        <f t="shared" ref="AD63:AG64" si="81">(AD$46+AD$54)*AD83/1000+AD$50</f>
        <v>105.87010912698418</v>
      </c>
      <c r="AE63" s="599">
        <f t="shared" si="81"/>
        <v>44.886210937500003</v>
      </c>
      <c r="AF63" s="599">
        <f t="shared" si="81"/>
        <v>43.024843750000009</v>
      </c>
      <c r="AG63" s="600">
        <f t="shared" si="81"/>
        <v>39.284560546874999</v>
      </c>
      <c r="AH63" s="601">
        <f>AVERAGE(AD63:AG63)</f>
        <v>58.266431090339793</v>
      </c>
      <c r="AI63" s="598">
        <f t="shared" ref="AI63:AL64" si="82">(AI$46+AI$54)*AI83/1000+AI$50</f>
        <v>53.16058531746031</v>
      </c>
      <c r="AJ63" s="599">
        <f t="shared" si="82"/>
        <v>38.357529296875022</v>
      </c>
      <c r="AK63" s="599">
        <f t="shared" si="82"/>
        <v>40.580288461538458</v>
      </c>
      <c r="AL63" s="600">
        <f t="shared" si="82"/>
        <v>34.609042968750003</v>
      </c>
      <c r="AM63" s="601">
        <f>AVERAGE(AI63:AL63)</f>
        <v>41.676861511155948</v>
      </c>
      <c r="AN63" s="598">
        <f t="shared" ref="AN63:AQ64" si="83">(AN$46+AN$54)*AN83/1000+AN$50</f>
        <v>30.752001953124989</v>
      </c>
      <c r="AO63" s="599">
        <f t="shared" si="83"/>
        <v>35.76955078124999</v>
      </c>
      <c r="AP63" s="599">
        <f t="shared" si="83"/>
        <v>46.082998046874998</v>
      </c>
      <c r="AQ63" s="600">
        <f t="shared" si="83"/>
        <v>27.32274801587301</v>
      </c>
      <c r="AR63" s="601">
        <f>AVERAGE(AN63:AQ63)</f>
        <v>34.981824699280743</v>
      </c>
      <c r="AS63" s="598">
        <f t="shared" ref="AS63:AV64" si="84">(AS$46+AS$54)*AS83/1000+AS$50</f>
        <v>27.648046875000006</v>
      </c>
      <c r="AT63" s="599">
        <f t="shared" si="84"/>
        <v>33.630214843749989</v>
      </c>
      <c r="AU63" s="599">
        <f t="shared" si="84"/>
        <v>34.760575396825409</v>
      </c>
      <c r="AV63" s="600">
        <f t="shared" si="84"/>
        <v>35.233521825396821</v>
      </c>
      <c r="AW63" s="601">
        <f>AVERAGE(AS63:AV63)</f>
        <v>32.818089735243056</v>
      </c>
      <c r="AX63" s="598">
        <f t="shared" ref="AX63:BA64" si="85">(AX$46+AX$54)*AX83/1000+AX$50</f>
        <v>36.453183593749984</v>
      </c>
      <c r="AY63" s="599">
        <f t="shared" si="85"/>
        <v>37.466666666666654</v>
      </c>
      <c r="AZ63" s="599">
        <f>(AZ$46+AZ$54)*AZ83/1000+AZ$50</f>
        <v>33.733333333333327</v>
      </c>
      <c r="BA63" s="600">
        <f t="shared" si="85"/>
        <v>37.766666666666666</v>
      </c>
      <c r="BB63" s="601">
        <f>AVERAGE(AX63:BA63)</f>
        <v>36.354962565104159</v>
      </c>
      <c r="BC63" s="598">
        <f t="shared" ref="BC63:BF64" si="86">(BC$46+BC$54)*BC83/1000+BC$50</f>
        <v>52.984877086683944</v>
      </c>
      <c r="BD63" s="599">
        <f t="shared" si="86"/>
        <v>34.892480032694301</v>
      </c>
      <c r="BE63" s="599">
        <f t="shared" si="86"/>
        <v>31.661694844481875</v>
      </c>
      <c r="BF63" s="600">
        <f t="shared" si="86"/>
        <v>28.460948036139868</v>
      </c>
      <c r="BG63" s="601">
        <f>AVERAGE(BC63:BF63)</f>
        <v>37</v>
      </c>
      <c r="BH63" s="598">
        <f t="shared" ref="BH63:BK64" si="87">(BH$46+BH$54)*BH83/1000+BH$50</f>
        <v>52.579137036825585</v>
      </c>
      <c r="BI63" s="599">
        <f t="shared" si="87"/>
        <v>34.625285365714404</v>
      </c>
      <c r="BJ63" s="599">
        <f t="shared" si="87"/>
        <v>31.41924042444456</v>
      </c>
      <c r="BK63" s="600">
        <f t="shared" si="87"/>
        <v>28.243003839415444</v>
      </c>
      <c r="BL63" s="601">
        <f>AVERAGE(BH63:BK63)</f>
        <v>36.716666666599998</v>
      </c>
      <c r="BM63" s="598">
        <f t="shared" ref="BM63:BP64" si="88">(BM$46+BM$54)*BM83/1000+BM$50</f>
        <v>49.641118805082428</v>
      </c>
      <c r="BN63" s="599">
        <f t="shared" si="88"/>
        <v>37.678492608695116</v>
      </c>
      <c r="BO63" s="599">
        <f t="shared" si="88"/>
        <v>33.555542142260165</v>
      </c>
      <c r="BP63" s="600">
        <f t="shared" si="88"/>
        <v>25.903926375010165</v>
      </c>
      <c r="BQ63" s="601">
        <f>AVERAGE(BM63:BP63)</f>
        <v>36.694769982761969</v>
      </c>
      <c r="BR63" s="1748"/>
    </row>
    <row r="64" spans="1:70" s="2" customFormat="1">
      <c r="A64" s="1523"/>
      <c r="C64" s="535" t="s">
        <v>285</v>
      </c>
      <c r="E64" s="365"/>
      <c r="F64" s="6"/>
      <c r="G64" s="6"/>
      <c r="H64" s="366"/>
      <c r="I64" s="37"/>
      <c r="J64" s="365"/>
      <c r="K64" s="6"/>
      <c r="L64" s="6"/>
      <c r="M64" s="366"/>
      <c r="O64" s="365"/>
      <c r="P64" s="6"/>
      <c r="Q64" s="6"/>
      <c r="R64" s="366"/>
      <c r="T64" s="598"/>
      <c r="U64" s="599"/>
      <c r="V64" s="599"/>
      <c r="W64" s="600"/>
      <c r="X64" s="601"/>
      <c r="Y64" s="598">
        <f t="shared" si="80"/>
        <v>35.609952294685982</v>
      </c>
      <c r="Z64" s="599">
        <f t="shared" si="80"/>
        <v>28.352330586080591</v>
      </c>
      <c r="AA64" s="599">
        <f t="shared" si="80"/>
        <v>26.087404891304349</v>
      </c>
      <c r="AB64" s="600">
        <f t="shared" si="80"/>
        <v>29.252230615942018</v>
      </c>
      <c r="AC64" s="601">
        <f>AVERAGE(Y64:AB64)</f>
        <v>29.825479597003238</v>
      </c>
      <c r="AD64" s="598">
        <f t="shared" si="81"/>
        <v>74.738565619967801</v>
      </c>
      <c r="AE64" s="599">
        <f t="shared" si="81"/>
        <v>27.261304945054935</v>
      </c>
      <c r="AF64" s="599">
        <f t="shared" si="81"/>
        <v>23.849180253623189</v>
      </c>
      <c r="AG64" s="600">
        <f t="shared" si="81"/>
        <v>21.799227355072475</v>
      </c>
      <c r="AH64" s="601">
        <f>AVERAGE(AD64:AG64)</f>
        <v>36.912069543429595</v>
      </c>
      <c r="AI64" s="598">
        <f t="shared" si="82"/>
        <v>37.643325281803563</v>
      </c>
      <c r="AJ64" s="599">
        <f t="shared" si="82"/>
        <v>18.227133699633701</v>
      </c>
      <c r="AK64" s="599">
        <f t="shared" si="82"/>
        <v>20.449230072463756</v>
      </c>
      <c r="AL64" s="600">
        <f t="shared" si="82"/>
        <v>14.298236956521746</v>
      </c>
      <c r="AM64" s="601">
        <f>AVERAGE(AI64:AL64)</f>
        <v>22.654481502605691</v>
      </c>
      <c r="AN64" s="598">
        <f t="shared" si="83"/>
        <v>13.624288899506292</v>
      </c>
      <c r="AO64" s="599">
        <f t="shared" si="83"/>
        <v>15.5952152014652</v>
      </c>
      <c r="AP64" s="599">
        <f t="shared" si="83"/>
        <v>19.290855978260876</v>
      </c>
      <c r="AQ64" s="600">
        <f t="shared" si="83"/>
        <v>17.24411086956523</v>
      </c>
      <c r="AR64" s="601">
        <f>AVERAGE(AN64:AQ64)</f>
        <v>16.438617737199401</v>
      </c>
      <c r="AS64" s="598">
        <f t="shared" si="84"/>
        <v>19.385393719806771</v>
      </c>
      <c r="AT64" s="599">
        <f t="shared" si="84"/>
        <v>14.500613553113544</v>
      </c>
      <c r="AU64" s="599">
        <f t="shared" si="84"/>
        <v>17.318980978260868</v>
      </c>
      <c r="AV64" s="600">
        <f t="shared" si="84"/>
        <v>19.652653804347828</v>
      </c>
      <c r="AW64" s="601">
        <f>AVERAGE(AS64:AV64)</f>
        <v>17.714410513882253</v>
      </c>
      <c r="AX64" s="598">
        <f t="shared" si="85"/>
        <v>32.735488727858289</v>
      </c>
      <c r="AY64" s="599">
        <f t="shared" si="85"/>
        <v>32.93333333333333</v>
      </c>
      <c r="AZ64" s="599">
        <f>(AZ$46+AZ$54)*AZ84/1000+AZ$50</f>
        <v>29.3</v>
      </c>
      <c r="BA64" s="600">
        <f t="shared" si="85"/>
        <v>33.083333333333336</v>
      </c>
      <c r="BB64" s="601">
        <f>AVERAGE(AX64:BA64)</f>
        <v>32.01303884863124</v>
      </c>
      <c r="BC64" s="598">
        <f t="shared" si="86"/>
        <v>50.208915257706195</v>
      </c>
      <c r="BD64" s="599">
        <f t="shared" si="86"/>
        <v>32.014743875122768</v>
      </c>
      <c r="BE64" s="599">
        <f t="shared" si="86"/>
        <v>27.396223447236203</v>
      </c>
      <c r="BF64" s="600">
        <f t="shared" si="86"/>
        <v>24.304750753134822</v>
      </c>
      <c r="BG64" s="601">
        <f>AVERAGE(BC64:BF64)</f>
        <v>33.481158333299994</v>
      </c>
      <c r="BH64" s="598">
        <f t="shared" si="87"/>
        <v>49.68362440537765</v>
      </c>
      <c r="BI64" s="599">
        <f t="shared" si="87"/>
        <v>31.679802321198984</v>
      </c>
      <c r="BJ64" s="599">
        <f t="shared" si="87"/>
        <v>27.109601330599784</v>
      </c>
      <c r="BK64" s="600">
        <f t="shared" si="87"/>
        <v>24.050471942823588</v>
      </c>
      <c r="BL64" s="601">
        <f>AVERAGE(BH64:BK64)</f>
        <v>33.130875000000003</v>
      </c>
      <c r="BM64" s="598">
        <f t="shared" si="88"/>
        <v>46.66040429048271</v>
      </c>
      <c r="BN64" s="599">
        <f t="shared" si="88"/>
        <v>34.291757333409386</v>
      </c>
      <c r="BO64" s="599">
        <f t="shared" si="88"/>
        <v>28.800420564115417</v>
      </c>
      <c r="BP64" s="600">
        <f t="shared" si="88"/>
        <v>21.942466060763959</v>
      </c>
      <c r="BQ64" s="601">
        <f>AVERAGE(BM64:BP64)</f>
        <v>32.923762062192864</v>
      </c>
      <c r="BR64" s="1748"/>
    </row>
    <row r="65" spans="1:71" s="2" customFormat="1">
      <c r="A65" s="1523"/>
      <c r="C65" s="535" t="s">
        <v>888</v>
      </c>
      <c r="E65" s="365"/>
      <c r="F65" s="6"/>
      <c r="G65" s="6"/>
      <c r="H65" s="366"/>
      <c r="I65" s="37"/>
      <c r="J65" s="365"/>
      <c r="K65" s="6"/>
      <c r="L65" s="6"/>
      <c r="M65" s="366"/>
      <c r="O65" s="365"/>
      <c r="P65" s="6"/>
      <c r="Q65" s="6"/>
      <c r="R65" s="366"/>
      <c r="T65" s="598"/>
      <c r="U65" s="599"/>
      <c r="V65" s="599"/>
      <c r="W65" s="600"/>
      <c r="X65" s="601"/>
      <c r="Y65" s="598">
        <f t="shared" ref="Y65:BB65" si="89">Y63*47.5%+Y64*52.5%</f>
        <v>40.36640253407522</v>
      </c>
      <c r="Z65" s="599">
        <f t="shared" si="89"/>
        <v>34.200217698317303</v>
      </c>
      <c r="AA65" s="599">
        <f t="shared" si="89"/>
        <v>39.316297480044156</v>
      </c>
      <c r="AB65" s="600">
        <f t="shared" si="89"/>
        <v>37.315729422978933</v>
      </c>
      <c r="AC65" s="601">
        <f t="shared" si="89"/>
        <v>37.799661783853907</v>
      </c>
      <c r="AD65" s="598">
        <f>AD63*47.5%+AD64*52.5%</f>
        <v>89.526048785800583</v>
      </c>
      <c r="AE65" s="599">
        <f>AE63*47.5%+AE64*52.5%</f>
        <v>35.633135291466346</v>
      </c>
      <c r="AF65" s="599">
        <f t="shared" si="89"/>
        <v>32.957620414402179</v>
      </c>
      <c r="AG65" s="600">
        <f t="shared" si="89"/>
        <v>30.104760621178674</v>
      </c>
      <c r="AH65" s="601">
        <f t="shared" si="89"/>
        <v>47.055391278211943</v>
      </c>
      <c r="AI65" s="598">
        <f t="shared" si="89"/>
        <v>45.014023798740517</v>
      </c>
      <c r="AJ65" s="599">
        <f t="shared" si="89"/>
        <v>27.789071608323329</v>
      </c>
      <c r="AK65" s="599">
        <f t="shared" si="89"/>
        <v>30.011482807274241</v>
      </c>
      <c r="AL65" s="600">
        <f t="shared" si="89"/>
        <v>23.945869812330169</v>
      </c>
      <c r="AM65" s="601">
        <f t="shared" si="89"/>
        <v>31.690112006667061</v>
      </c>
      <c r="AN65" s="598">
        <f t="shared" si="89"/>
        <v>21.759952599975172</v>
      </c>
      <c r="AO65" s="599">
        <f t="shared" si="89"/>
        <v>25.178024601862976</v>
      </c>
      <c r="AP65" s="599">
        <f t="shared" si="89"/>
        <v>32.017123460852581</v>
      </c>
      <c r="AQ65" s="600">
        <f t="shared" si="89"/>
        <v>22.031463514061425</v>
      </c>
      <c r="AR65" s="601">
        <f t="shared" si="89"/>
        <v>25.246641044188038</v>
      </c>
      <c r="AS65" s="598">
        <f t="shared" si="89"/>
        <v>23.310153968523558</v>
      </c>
      <c r="AT65" s="599">
        <f t="shared" si="89"/>
        <v>23.587174166165855</v>
      </c>
      <c r="AU65" s="599">
        <f t="shared" si="89"/>
        <v>25.603738327079025</v>
      </c>
      <c r="AV65" s="600">
        <f t="shared" si="89"/>
        <v>27.053566114346101</v>
      </c>
      <c r="AW65" s="601">
        <f t="shared" si="89"/>
        <v>24.888658144028636</v>
      </c>
      <c r="AX65" s="598">
        <f>AX63*47.5%+AX64*52.5%</f>
        <v>34.50139378915685</v>
      </c>
      <c r="AY65" s="599">
        <f>AY63*47.5%+AY64*52.5%</f>
        <v>35.086666666666659</v>
      </c>
      <c r="AZ65" s="599">
        <f>AZ63*47.5%+AZ64*52.5%</f>
        <v>31.40583333333333</v>
      </c>
      <c r="BA65" s="600">
        <f>BA63*47.5%+BA64*52.5%</f>
        <v>35.307916666666671</v>
      </c>
      <c r="BB65" s="601">
        <f t="shared" si="89"/>
        <v>34.075452613955875</v>
      </c>
      <c r="BC65" s="598">
        <f t="shared" ref="BC65:BH65" si="90">BC63*47.5%+BC64*52.5%</f>
        <v>51.527497126470621</v>
      </c>
      <c r="BD65" s="599">
        <f t="shared" si="90"/>
        <v>33.381668549969248</v>
      </c>
      <c r="BE65" s="599">
        <f t="shared" si="90"/>
        <v>29.422322360927897</v>
      </c>
      <c r="BF65" s="600">
        <f t="shared" si="90"/>
        <v>26.278944462562219</v>
      </c>
      <c r="BG65" s="601">
        <f t="shared" si="90"/>
        <v>35.152608124982493</v>
      </c>
      <c r="BH65" s="598">
        <f t="shared" si="90"/>
        <v>51.058992905315421</v>
      </c>
      <c r="BI65" s="599">
        <f t="shared" ref="BI65:BQ65" si="91">BI63*47.5%+BI64*52.5%</f>
        <v>33.07890676734381</v>
      </c>
      <c r="BJ65" s="599">
        <f t="shared" si="91"/>
        <v>29.156679900176051</v>
      </c>
      <c r="BK65" s="600">
        <f t="shared" si="91"/>
        <v>26.041924593704721</v>
      </c>
      <c r="BL65" s="601">
        <f t="shared" si="91"/>
        <v>34.834126041635002</v>
      </c>
      <c r="BM65" s="598">
        <f t="shared" si="91"/>
        <v>48.076243684917578</v>
      </c>
      <c r="BN65" s="599">
        <f t="shared" si="91"/>
        <v>35.900456589170105</v>
      </c>
      <c r="BO65" s="599">
        <f t="shared" si="91"/>
        <v>31.059103313734173</v>
      </c>
      <c r="BP65" s="600">
        <f t="shared" si="91"/>
        <v>23.824159710030905</v>
      </c>
      <c r="BQ65" s="601">
        <f t="shared" si="91"/>
        <v>34.714990824463186</v>
      </c>
      <c r="BR65" s="1748"/>
    </row>
    <row r="66" spans="1:71" s="2" customFormat="1">
      <c r="A66" s="1523"/>
      <c r="C66" s="535"/>
      <c r="E66" s="365"/>
      <c r="F66" s="6"/>
      <c r="G66" s="6"/>
      <c r="H66" s="366"/>
      <c r="I66" s="37"/>
      <c r="J66" s="365"/>
      <c r="K66" s="6"/>
      <c r="L66" s="6"/>
      <c r="M66" s="366"/>
      <c r="O66" s="365"/>
      <c r="P66" s="6"/>
      <c r="Q66" s="6"/>
      <c r="R66" s="366"/>
      <c r="T66" s="598"/>
      <c r="U66" s="599"/>
      <c r="V66" s="599"/>
      <c r="W66" s="600"/>
      <c r="X66" s="601"/>
      <c r="Y66" s="598"/>
      <c r="Z66" s="599"/>
      <c r="AA66" s="599"/>
      <c r="AB66" s="600"/>
      <c r="AC66" s="601"/>
      <c r="AD66" s="598"/>
      <c r="AE66" s="599"/>
      <c r="AF66" s="599"/>
      <c r="AG66" s="600"/>
      <c r="AH66" s="601"/>
      <c r="AI66" s="598"/>
      <c r="AJ66" s="599"/>
      <c r="AK66" s="599"/>
      <c r="AL66" s="600"/>
      <c r="AM66" s="601"/>
      <c r="AN66" s="598"/>
      <c r="AO66" s="599"/>
      <c r="AP66" s="599"/>
      <c r="AQ66" s="600"/>
      <c r="AR66" s="601"/>
      <c r="AS66" s="598"/>
      <c r="AT66" s="599"/>
      <c r="AU66" s="599"/>
      <c r="AV66" s="600"/>
      <c r="AW66" s="601"/>
      <c r="AX66" s="598"/>
      <c r="AY66" s="599"/>
      <c r="AZ66" s="599"/>
      <c r="BA66" s="600"/>
      <c r="BB66" s="601"/>
      <c r="BC66" s="598"/>
      <c r="BD66" s="599"/>
      <c r="BE66" s="599"/>
      <c r="BF66" s="600"/>
      <c r="BG66" s="601"/>
      <c r="BH66" s="598"/>
      <c r="BI66" s="599"/>
      <c r="BJ66" s="599"/>
      <c r="BK66" s="600"/>
      <c r="BL66" s="601"/>
      <c r="BM66" s="598"/>
      <c r="BN66" s="599"/>
      <c r="BO66" s="599"/>
      <c r="BP66" s="600"/>
      <c r="BQ66" s="601"/>
      <c r="BR66" s="1748"/>
    </row>
    <row r="67" spans="1:71" s="2" customFormat="1">
      <c r="A67" s="1523"/>
      <c r="C67" s="535" t="s">
        <v>461</v>
      </c>
      <c r="E67" s="365"/>
      <c r="F67" s="6"/>
      <c r="G67" s="6"/>
      <c r="H67" s="366"/>
      <c r="I67" s="37"/>
      <c r="J67" s="365"/>
      <c r="K67" s="6"/>
      <c r="L67" s="6"/>
      <c r="M67" s="366"/>
      <c r="O67" s="365"/>
      <c r="P67" s="6"/>
      <c r="Q67" s="6"/>
      <c r="R67" s="366"/>
      <c r="T67" s="598"/>
      <c r="U67" s="599"/>
      <c r="V67" s="599"/>
      <c r="W67" s="600"/>
      <c r="X67" s="601"/>
      <c r="Y67" s="598">
        <f t="shared" ref="Y67:AB68" si="92">(Y$46+Y$55)*Y86/1000+Y$50</f>
        <v>41.997815863095234</v>
      </c>
      <c r="Z67" s="599">
        <f t="shared" si="92"/>
        <v>45.53030431640623</v>
      </c>
      <c r="AA67" s="599">
        <f t="shared" si="92"/>
        <v>48.136464199218771</v>
      </c>
      <c r="AB67" s="600">
        <f t="shared" si="92"/>
        <v>40.193486718750009</v>
      </c>
      <c r="AC67" s="601">
        <f>AVERAGE(Y67:AB67)</f>
        <v>43.964517774367565</v>
      </c>
      <c r="AD67" s="598">
        <f t="shared" ref="AD67:AG68" si="93">(AD$46+AD$55)*AD86/1000+AD$50</f>
        <v>113.57858770833332</v>
      </c>
      <c r="AE67" s="599">
        <f t="shared" si="93"/>
        <v>50.488559589843781</v>
      </c>
      <c r="AF67" s="599">
        <f t="shared" si="93"/>
        <v>41.389708935546885</v>
      </c>
      <c r="AG67" s="600">
        <f t="shared" si="93"/>
        <v>40.371172851562484</v>
      </c>
      <c r="AH67" s="601">
        <f>AVERAGE(AD67:AG67)</f>
        <v>61.457007271321615</v>
      </c>
      <c r="AI67" s="598">
        <f t="shared" ref="AI67:AL68" si="94">(AI$46+AI$55)*AI86/1000+AI$50</f>
        <v>56.866776517857161</v>
      </c>
      <c r="AJ67" s="599">
        <f t="shared" si="94"/>
        <v>39.147263818359377</v>
      </c>
      <c r="AK67" s="599">
        <f t="shared" si="94"/>
        <v>39.464831807692292</v>
      </c>
      <c r="AL67" s="600">
        <f t="shared" si="94"/>
        <v>31.895178447265621</v>
      </c>
      <c r="AM67" s="601">
        <f>AVERAGE(AI67:AL67)</f>
        <v>41.843512647793617</v>
      </c>
      <c r="AN67" s="598">
        <f t="shared" ref="AN67:AQ68" si="95">(AN$46+AN$55)*AN86/1000+AN$50</f>
        <v>30.103148642578116</v>
      </c>
      <c r="AO67" s="599">
        <f t="shared" si="95"/>
        <v>32.701806339843749</v>
      </c>
      <c r="AP67" s="599">
        <f t="shared" si="95"/>
        <v>38.936782353515625</v>
      </c>
      <c r="AQ67" s="600">
        <f t="shared" si="95"/>
        <v>33.269796091269853</v>
      </c>
      <c r="AR67" s="601">
        <f>AVERAGE(AN67:AQ67)</f>
        <v>33.752883356801831</v>
      </c>
      <c r="AS67" s="598">
        <f t="shared" ref="AS67:AV68" si="96">(AS$46+AS$55)*AS86/1000+AS$50</f>
        <v>32.144072138671881</v>
      </c>
      <c r="AT67" s="599">
        <f t="shared" si="96"/>
        <v>32.803312458984372</v>
      </c>
      <c r="AU67" s="599">
        <f t="shared" si="96"/>
        <v>35.491018034722231</v>
      </c>
      <c r="AV67" s="600">
        <f t="shared" si="96"/>
        <v>37.44785995039684</v>
      </c>
      <c r="AW67" s="601">
        <f>AVERAGE(AS67:AV67)</f>
        <v>34.471565645693829</v>
      </c>
      <c r="AX67" s="598">
        <f t="shared" ref="AX67:BA68" si="97">(AX$46+AX$55)*AX86/1000+AX$50</f>
        <v>48.149713212890617</v>
      </c>
      <c r="AY67" s="599">
        <f t="shared" si="97"/>
        <v>34.5</v>
      </c>
      <c r="AZ67" s="599">
        <f>(AZ$46+AZ$55)*AZ86/1000+AZ$50</f>
        <v>36.9</v>
      </c>
      <c r="BA67" s="600">
        <f t="shared" si="97"/>
        <v>34.68333333333333</v>
      </c>
      <c r="BB67" s="601">
        <f>AVERAGE(AX67:BA67)</f>
        <v>38.55826163655599</v>
      </c>
      <c r="BC67" s="598">
        <f t="shared" ref="BC67:BF68" si="98">(BC$47+BC$55)*BC86/1000+BC$50</f>
        <v>40.501333218824755</v>
      </c>
      <c r="BD67" s="599">
        <f t="shared" si="98"/>
        <v>29.678493986239484</v>
      </c>
      <c r="BE67" s="599">
        <f t="shared" si="98"/>
        <v>32.100602483050345</v>
      </c>
      <c r="BF67" s="600">
        <f t="shared" si="98"/>
        <v>39.002903645085446</v>
      </c>
      <c r="BG67" s="601">
        <f>AVERAGE(BC67:BF67)</f>
        <v>35.320833333300008</v>
      </c>
      <c r="BH67" s="598">
        <f t="shared" ref="BH67:BK68" si="99">(BH$47+BH$55)*BH86/1000+BH$50</f>
        <v>40.405777401430242</v>
      </c>
      <c r="BI67" s="599">
        <f t="shared" si="99"/>
        <v>29.608472766528742</v>
      </c>
      <c r="BJ67" s="599">
        <f t="shared" si="99"/>
        <v>32.024866721648337</v>
      </c>
      <c r="BK67" s="600">
        <f t="shared" si="99"/>
        <v>38.910883110392703</v>
      </c>
      <c r="BL67" s="601">
        <f>AVERAGE(BH67:BK67)</f>
        <v>35.237500000000004</v>
      </c>
      <c r="BM67" s="598">
        <f t="shared" ref="BM67:BP68" si="100">(BM$47+BM$55)*BM86/1000+BM$50</f>
        <v>35.79999999999999</v>
      </c>
      <c r="BN67" s="599">
        <f t="shared" si="100"/>
        <v>35.79999999999999</v>
      </c>
      <c r="BO67" s="599">
        <f t="shared" si="100"/>
        <v>35.79999999999999</v>
      </c>
      <c r="BP67" s="600">
        <f t="shared" si="100"/>
        <v>35.79999999999999</v>
      </c>
      <c r="BQ67" s="601">
        <f>AVERAGE(BM67:BP67)</f>
        <v>35.79999999999999</v>
      </c>
      <c r="BR67" s="1748"/>
    </row>
    <row r="68" spans="1:71" s="2" customFormat="1">
      <c r="A68" s="1523"/>
      <c r="C68" s="535" t="s">
        <v>462</v>
      </c>
      <c r="E68" s="365"/>
      <c r="F68" s="6"/>
      <c r="G68" s="6"/>
      <c r="H68" s="366"/>
      <c r="I68" s="37"/>
      <c r="J68" s="365"/>
      <c r="K68" s="6"/>
      <c r="L68" s="6"/>
      <c r="M68" s="366"/>
      <c r="O68" s="365"/>
      <c r="P68" s="6"/>
      <c r="Q68" s="6"/>
      <c r="R68" s="366"/>
      <c r="T68" s="598"/>
      <c r="U68" s="599"/>
      <c r="V68" s="599"/>
      <c r="W68" s="600"/>
      <c r="X68" s="601"/>
      <c r="Y68" s="598">
        <f t="shared" si="92"/>
        <v>33.486062323832535</v>
      </c>
      <c r="Z68" s="599">
        <f t="shared" si="92"/>
        <v>29.612168522893782</v>
      </c>
      <c r="AA68" s="599">
        <f t="shared" si="92"/>
        <v>28.466996774909429</v>
      </c>
      <c r="AB68" s="600">
        <f t="shared" si="92"/>
        <v>31.005893446105066</v>
      </c>
      <c r="AC68" s="601">
        <f>AVERAGE(Y68:AB68)</f>
        <v>30.642780266935201</v>
      </c>
      <c r="AD68" s="598">
        <f t="shared" si="93"/>
        <v>78.280771197463764</v>
      </c>
      <c r="AE68" s="599">
        <f t="shared" si="93"/>
        <v>30.680673397435903</v>
      </c>
      <c r="AF68" s="599">
        <f t="shared" si="93"/>
        <v>27.413026009963776</v>
      </c>
      <c r="AG68" s="600">
        <f t="shared" si="93"/>
        <v>29.952876293025366</v>
      </c>
      <c r="AH68" s="601">
        <f>AVERAGE(AD68:AG68)</f>
        <v>41.581836724472197</v>
      </c>
      <c r="AI68" s="598">
        <f t="shared" si="94"/>
        <v>44.217764477254434</v>
      </c>
      <c r="AJ68" s="599">
        <f t="shared" si="94"/>
        <v>25.028568056318672</v>
      </c>
      <c r="AK68" s="599">
        <f t="shared" si="94"/>
        <v>23.22481523731884</v>
      </c>
      <c r="AL68" s="600">
        <f t="shared" si="94"/>
        <v>22.109061745018124</v>
      </c>
      <c r="AM68" s="601">
        <f>AVERAGE(AI68:AL68)</f>
        <v>28.645052378977518</v>
      </c>
      <c r="AN68" s="598">
        <f t="shared" si="95"/>
        <v>23.988923446826721</v>
      </c>
      <c r="AO68" s="599">
        <f t="shared" si="95"/>
        <v>21.266628026098903</v>
      </c>
      <c r="AP68" s="599">
        <f t="shared" si="95"/>
        <v>22.9101000946558</v>
      </c>
      <c r="AQ68" s="600">
        <f t="shared" si="95"/>
        <v>25.259746692934794</v>
      </c>
      <c r="AR68" s="601">
        <f>AVERAGE(AN68:AQ68)</f>
        <v>23.356349565129054</v>
      </c>
      <c r="AS68" s="598">
        <f t="shared" si="96"/>
        <v>27.075569670692431</v>
      </c>
      <c r="AT68" s="599">
        <f t="shared" si="96"/>
        <v>22.121270426282049</v>
      </c>
      <c r="AU68" s="599">
        <f t="shared" si="96"/>
        <v>21.948979516304348</v>
      </c>
      <c r="AV68" s="600">
        <f t="shared" si="96"/>
        <v>28.679605414130432</v>
      </c>
      <c r="AW68" s="601">
        <f>AVERAGE(AS68:AV68)</f>
        <v>24.956356256852317</v>
      </c>
      <c r="AX68" s="598">
        <f t="shared" si="97"/>
        <v>43.803590137359109</v>
      </c>
      <c r="AY68" s="599">
        <f t="shared" si="97"/>
        <v>24.95</v>
      </c>
      <c r="AZ68" s="599">
        <f>(AZ$46+AZ$55)*AZ87/1000+AZ$50</f>
        <v>24.783333333333335</v>
      </c>
      <c r="BA68" s="600">
        <f t="shared" si="97"/>
        <v>25.683333333333334</v>
      </c>
      <c r="BB68" s="601">
        <f>AVERAGE(AX68:BA68)</f>
        <v>29.805064201006445</v>
      </c>
      <c r="BC68" s="598">
        <f t="shared" si="98"/>
        <v>32.710239316820804</v>
      </c>
      <c r="BD68" s="599">
        <f t="shared" si="98"/>
        <v>20.631697104333988</v>
      </c>
      <c r="BE68" s="599">
        <f t="shared" si="98"/>
        <v>20.527571740433242</v>
      </c>
      <c r="BF68" s="600">
        <f t="shared" si="98"/>
        <v>31.938458504811976</v>
      </c>
      <c r="BG68" s="601">
        <f>AVERAGE(BC68:BF68)</f>
        <v>26.451991666600001</v>
      </c>
      <c r="BH68" s="598">
        <f t="shared" si="99"/>
        <v>32.33891227956417</v>
      </c>
      <c r="BI68" s="599">
        <f t="shared" si="99"/>
        <v>20.397485826173483</v>
      </c>
      <c r="BJ68" s="599">
        <f t="shared" si="99"/>
        <v>20.29454249467874</v>
      </c>
      <c r="BK68" s="600">
        <f t="shared" si="99"/>
        <v>31.575892732783618</v>
      </c>
      <c r="BL68" s="601">
        <f>AVERAGE(BH68:BK68)</f>
        <v>26.1517083333</v>
      </c>
      <c r="BM68" s="598">
        <f t="shared" si="100"/>
        <v>26.18883759785253</v>
      </c>
      <c r="BN68" s="599">
        <f t="shared" si="100"/>
        <v>26.18883759785253</v>
      </c>
      <c r="BO68" s="599">
        <f t="shared" si="100"/>
        <v>26.18883759785253</v>
      </c>
      <c r="BP68" s="600">
        <f t="shared" si="100"/>
        <v>26.18883759785253</v>
      </c>
      <c r="BQ68" s="601">
        <f>AVERAGE(BM68:BP68)</f>
        <v>26.18883759785253</v>
      </c>
      <c r="BR68" s="1748"/>
    </row>
    <row r="69" spans="1:71" s="2" customFormat="1">
      <c r="A69" s="1523"/>
      <c r="C69" s="535" t="s">
        <v>249</v>
      </c>
      <c r="E69" s="365"/>
      <c r="F69" s="6"/>
      <c r="G69" s="6"/>
      <c r="H69" s="366"/>
      <c r="I69" s="37"/>
      <c r="J69" s="365"/>
      <c r="K69" s="6"/>
      <c r="L69" s="6"/>
      <c r="M69" s="366"/>
      <c r="O69" s="365"/>
      <c r="P69" s="6"/>
      <c r="Q69" s="6"/>
      <c r="R69" s="366"/>
      <c r="T69" s="598"/>
      <c r="U69" s="599"/>
      <c r="V69" s="599"/>
      <c r="W69" s="600"/>
      <c r="X69" s="601"/>
      <c r="Y69" s="598">
        <f>Y67*47.5%+Y68*52.5%</f>
        <v>37.529145254982318</v>
      </c>
      <c r="Z69" s="599">
        <f t="shared" ref="Z69:AR69" si="101">Z67*47.5%+Z68*52.5%</f>
        <v>37.173283024812193</v>
      </c>
      <c r="AA69" s="599">
        <f t="shared" si="101"/>
        <v>37.809993801456365</v>
      </c>
      <c r="AB69" s="600">
        <f t="shared" si="101"/>
        <v>35.370000250611412</v>
      </c>
      <c r="AC69" s="601">
        <f t="shared" si="101"/>
        <v>36.970605582965575</v>
      </c>
      <c r="AD69" s="598">
        <f>AD67*47.5%+AD68*52.5%</f>
        <v>95.047234040126796</v>
      </c>
      <c r="AE69" s="599">
        <f>AE67*47.5%+AE68*52.5%</f>
        <v>40.089419338829643</v>
      </c>
      <c r="AF69" s="599">
        <f t="shared" si="101"/>
        <v>34.051950399615748</v>
      </c>
      <c r="AG69" s="600">
        <f t="shared" si="101"/>
        <v>34.901567158330494</v>
      </c>
      <c r="AH69" s="601">
        <f t="shared" si="101"/>
        <v>51.022542734225667</v>
      </c>
      <c r="AI69" s="598">
        <f t="shared" si="101"/>
        <v>50.226045196540731</v>
      </c>
      <c r="AJ69" s="599">
        <f t="shared" si="101"/>
        <v>31.734948543288006</v>
      </c>
      <c r="AK69" s="599">
        <f t="shared" si="101"/>
        <v>30.938823108246229</v>
      </c>
      <c r="AL69" s="600">
        <f t="shared" si="101"/>
        <v>26.757467178585685</v>
      </c>
      <c r="AM69" s="601">
        <f t="shared" si="101"/>
        <v>34.914321006665162</v>
      </c>
      <c r="AN69" s="598">
        <f t="shared" si="101"/>
        <v>26.893180414808633</v>
      </c>
      <c r="AO69" s="599">
        <f t="shared" si="101"/>
        <v>26.698337725127704</v>
      </c>
      <c r="AP69" s="599">
        <f t="shared" si="101"/>
        <v>30.522774167614216</v>
      </c>
      <c r="AQ69" s="600">
        <f t="shared" si="101"/>
        <v>29.064520157143946</v>
      </c>
      <c r="AR69" s="601">
        <f t="shared" si="101"/>
        <v>28.294703116173622</v>
      </c>
      <c r="AS69" s="598">
        <f t="shared" ref="AS69:BB69" si="102">AS67*47.5%+AS68*52.5%</f>
        <v>29.483108342982668</v>
      </c>
      <c r="AT69" s="599">
        <f t="shared" si="102"/>
        <v>27.195240391815652</v>
      </c>
      <c r="AU69" s="599">
        <f t="shared" si="102"/>
        <v>28.381447812552842</v>
      </c>
      <c r="AV69" s="600">
        <f t="shared" si="102"/>
        <v>32.844526318856978</v>
      </c>
      <c r="AW69" s="601">
        <f t="shared" si="102"/>
        <v>29.476080716552033</v>
      </c>
      <c r="AX69" s="598">
        <f>AX67*47.5%+AX68*52.5%</f>
        <v>45.867998598236575</v>
      </c>
      <c r="AY69" s="599">
        <f>AY67*47.5%+AY68*52.5%</f>
        <v>29.486249999999998</v>
      </c>
      <c r="AZ69" s="599">
        <f>AZ67*47.5%+AZ68*52.5%</f>
        <v>30.53875</v>
      </c>
      <c r="BA69" s="600">
        <f>BA67*47.5%+BA68*52.5%</f>
        <v>29.958333333333332</v>
      </c>
      <c r="BB69" s="601">
        <f t="shared" si="102"/>
        <v>33.962832982892479</v>
      </c>
      <c r="BC69" s="598">
        <f t="shared" ref="BC69:BL69" si="103">BC67*47.5%+BC68*52.5%</f>
        <v>36.411008920272678</v>
      </c>
      <c r="BD69" s="599">
        <f t="shared" si="103"/>
        <v>24.928925623239095</v>
      </c>
      <c r="BE69" s="599">
        <f t="shared" si="103"/>
        <v>26.024761343176365</v>
      </c>
      <c r="BF69" s="600">
        <f t="shared" si="103"/>
        <v>35.294069946441873</v>
      </c>
      <c r="BG69" s="601">
        <f t="shared" si="103"/>
        <v>30.664691458282505</v>
      </c>
      <c r="BH69" s="598">
        <f t="shared" si="103"/>
        <v>36.170673212450552</v>
      </c>
      <c r="BI69" s="599">
        <f t="shared" si="103"/>
        <v>24.77270462284223</v>
      </c>
      <c r="BJ69" s="599">
        <f t="shared" si="103"/>
        <v>25.866446502489296</v>
      </c>
      <c r="BK69" s="600">
        <f t="shared" si="103"/>
        <v>35.060013162147939</v>
      </c>
      <c r="BL69" s="601">
        <f t="shared" si="103"/>
        <v>30.467459374982504</v>
      </c>
      <c r="BM69" s="598">
        <f>BM67*47.5%+BM68*52.5%</f>
        <v>30.754139738872574</v>
      </c>
      <c r="BN69" s="599">
        <f>BN67*47.5%+BN68*52.5%</f>
        <v>30.754139738872574</v>
      </c>
      <c r="BO69" s="599">
        <f>BO67*47.5%+BO68*52.5%</f>
        <v>30.754139738872574</v>
      </c>
      <c r="BP69" s="600">
        <f>BP67*47.5%+BP68*52.5%</f>
        <v>30.754139738872574</v>
      </c>
      <c r="BQ69" s="601">
        <f>BQ67*47.5%+BQ68*52.5%</f>
        <v>30.754139738872574</v>
      </c>
      <c r="BR69" s="1748"/>
    </row>
    <row r="70" spans="1:71" s="2" customFormat="1">
      <c r="A70" s="1523"/>
      <c r="C70" s="535"/>
      <c r="E70" s="365"/>
      <c r="F70" s="6"/>
      <c r="G70" s="6"/>
      <c r="H70" s="366"/>
      <c r="I70" s="37"/>
      <c r="J70" s="365"/>
      <c r="K70" s="6"/>
      <c r="L70" s="6"/>
      <c r="M70" s="366"/>
      <c r="O70" s="365"/>
      <c r="P70" s="6"/>
      <c r="Q70" s="6"/>
      <c r="R70" s="366"/>
      <c r="T70" s="598"/>
      <c r="U70" s="599"/>
      <c r="V70" s="599"/>
      <c r="W70" s="600"/>
      <c r="X70" s="601"/>
      <c r="Y70" s="598"/>
      <c r="Z70" s="599"/>
      <c r="AA70" s="599"/>
      <c r="AB70" s="600"/>
      <c r="AC70" s="601"/>
      <c r="AD70" s="598"/>
      <c r="AE70" s="599"/>
      <c r="AF70" s="599"/>
      <c r="AG70" s="600"/>
      <c r="AH70" s="601"/>
      <c r="AI70" s="598"/>
      <c r="AJ70" s="599"/>
      <c r="AK70" s="599"/>
      <c r="AL70" s="600"/>
      <c r="AM70" s="601"/>
      <c r="AN70" s="598"/>
      <c r="AO70" s="599"/>
      <c r="AP70" s="599"/>
      <c r="AQ70" s="600"/>
      <c r="AR70" s="601"/>
      <c r="AS70" s="598"/>
      <c r="AT70" s="599"/>
      <c r="AU70" s="599"/>
      <c r="AV70" s="600"/>
      <c r="AW70" s="601"/>
      <c r="AX70" s="598"/>
      <c r="AY70" s="599"/>
      <c r="AZ70" s="599"/>
      <c r="BA70" s="600"/>
      <c r="BB70" s="601"/>
      <c r="BC70" s="598"/>
      <c r="BD70" s="599"/>
      <c r="BE70" s="599"/>
      <c r="BF70" s="600"/>
      <c r="BG70" s="601"/>
      <c r="BH70" s="598"/>
      <c r="BI70" s="599"/>
      <c r="BJ70" s="599"/>
      <c r="BK70" s="600"/>
      <c r="BL70" s="601"/>
      <c r="BM70" s="598"/>
      <c r="BN70" s="599"/>
      <c r="BO70" s="599"/>
      <c r="BP70" s="600"/>
      <c r="BQ70" s="601"/>
      <c r="BR70" s="1748"/>
    </row>
    <row r="71" spans="1:71" s="2" customFormat="1">
      <c r="A71" s="1523"/>
      <c r="C71" s="535" t="s">
        <v>460</v>
      </c>
      <c r="E71" s="365"/>
      <c r="F71" s="6"/>
      <c r="G71" s="6"/>
      <c r="H71" s="366"/>
      <c r="I71" s="37"/>
      <c r="J71" s="365"/>
      <c r="K71" s="6"/>
      <c r="L71" s="6"/>
      <c r="M71" s="366"/>
      <c r="O71" s="365"/>
      <c r="P71" s="6"/>
      <c r="Q71" s="6"/>
      <c r="R71" s="366"/>
      <c r="T71" s="598"/>
      <c r="U71" s="599"/>
      <c r="V71" s="599"/>
      <c r="W71" s="600"/>
      <c r="X71" s="601"/>
      <c r="Y71" s="598">
        <f t="shared" ref="Y71:AB72" si="104">(Y$46+Y$55)*Y89/1000+Y$50</f>
        <v>42.607887670634931</v>
      </c>
      <c r="Z71" s="599">
        <f t="shared" si="104"/>
        <v>47.166300820312507</v>
      </c>
      <c r="AA71" s="599">
        <f t="shared" si="104"/>
        <v>55.200128388671871</v>
      </c>
      <c r="AB71" s="600">
        <f t="shared" si="104"/>
        <v>42.19233237304686</v>
      </c>
      <c r="AC71" s="601">
        <f>AVERAGE(Y71:AB71)</f>
        <v>46.791662313166547</v>
      </c>
      <c r="AD71" s="598">
        <f t="shared" ref="AD71:AG72" si="105">(AD$46+AD$55)*AD89/1000+AD$50</f>
        <v>132.34547472222226</v>
      </c>
      <c r="AE71" s="599">
        <f t="shared" si="105"/>
        <v>53.887016669921877</v>
      </c>
      <c r="AF71" s="599">
        <f t="shared" si="105"/>
        <v>45.337472450195328</v>
      </c>
      <c r="AG71" s="600">
        <f t="shared" si="105"/>
        <v>49.12051941503907</v>
      </c>
      <c r="AH71" s="601">
        <f>AVERAGE(AD71:AG71)</f>
        <v>70.17262081434464</v>
      </c>
      <c r="AI71" s="598">
        <f t="shared" ref="AI71:AL72" si="106">(AI$46+AI$55)*AI89/1000+AI$50</f>
        <v>67.284598143849195</v>
      </c>
      <c r="AJ71" s="599">
        <f t="shared" si="106"/>
        <v>36.819058058593754</v>
      </c>
      <c r="AK71" s="599">
        <f t="shared" si="106"/>
        <v>39.898508561538463</v>
      </c>
      <c r="AL71" s="600">
        <f t="shared" si="106"/>
        <v>30.041686161132823</v>
      </c>
      <c r="AM71" s="601">
        <f>AVERAGE(AI71:AL71)</f>
        <v>43.510962731278553</v>
      </c>
      <c r="AN71" s="598">
        <f t="shared" ref="AN71:AQ72" si="107">(AN$46+AN$55)*AN89/1000+AN$50</f>
        <v>31.26632047949219</v>
      </c>
      <c r="AO71" s="599">
        <f t="shared" si="107"/>
        <v>28.707086242187497</v>
      </c>
      <c r="AP71" s="599">
        <f t="shared" si="107"/>
        <v>40.605906624023433</v>
      </c>
      <c r="AQ71" s="600">
        <f t="shared" si="107"/>
        <v>28.828253920634918</v>
      </c>
      <c r="AR71" s="601">
        <f>AVERAGE(AN71:AQ71)</f>
        <v>32.351891816584512</v>
      </c>
      <c r="AS71" s="598">
        <f t="shared" ref="AS71:AV72" si="108">(AS$46+AS$55)*AS89/1000+AS$50</f>
        <v>33.256564817382809</v>
      </c>
      <c r="AT71" s="599">
        <f t="shared" si="108"/>
        <v>32.387231337890618</v>
      </c>
      <c r="AU71" s="599">
        <f t="shared" si="108"/>
        <v>34.354411583333338</v>
      </c>
      <c r="AV71" s="600">
        <f t="shared" si="108"/>
        <v>39.044797251984129</v>
      </c>
      <c r="AW71" s="601">
        <f>AVERAGE(AS71:AV71)</f>
        <v>34.760751247647725</v>
      </c>
      <c r="AX71" s="598">
        <f t="shared" ref="AX71:BA72" si="109">(AX$46+AX$55)*AX89/1000+AX$50</f>
        <v>49.504310380859366</v>
      </c>
      <c r="AY71" s="599">
        <f t="shared" si="109"/>
        <v>34.371333333333332</v>
      </c>
      <c r="AZ71" s="599">
        <f>(AZ$46+AZ$55)*AZ89/1000+AZ$50</f>
        <v>38.062833333333337</v>
      </c>
      <c r="BA71" s="600">
        <f t="shared" si="109"/>
        <v>34.614333333333327</v>
      </c>
      <c r="BB71" s="601">
        <f>AVERAGE(AX71:BA71)</f>
        <v>39.138202595214842</v>
      </c>
      <c r="BC71" s="598">
        <f t="shared" ref="BC71:BF72" si="110">(BC$47+BC$55)*BC89/1000+BC$50</f>
        <v>46.510944725679025</v>
      </c>
      <c r="BD71" s="599">
        <f t="shared" si="110"/>
        <v>30.296280173373429</v>
      </c>
      <c r="BE71" s="599">
        <f t="shared" si="110"/>
        <v>33.94738406386135</v>
      </c>
      <c r="BF71" s="600">
        <f t="shared" si="110"/>
        <v>36.410057703486217</v>
      </c>
      <c r="BG71" s="601">
        <f>AVERAGE(BC71:BF71)</f>
        <v>36.791166666600006</v>
      </c>
      <c r="BH71" s="598">
        <f t="shared" ref="BH71:BK72" si="111">(BH$47+BH$55)*BH89/1000+BH$50</f>
        <v>46.479340030218324</v>
      </c>
      <c r="BI71" s="599">
        <f t="shared" si="111"/>
        <v>30.275693519756331</v>
      </c>
      <c r="BJ71" s="599">
        <f t="shared" si="111"/>
        <v>33.924316445231916</v>
      </c>
      <c r="BK71" s="600">
        <f t="shared" si="111"/>
        <v>36.385316671193436</v>
      </c>
      <c r="BL71" s="601">
        <f>AVERAGE(BH71:BK71)</f>
        <v>36.7661666666</v>
      </c>
      <c r="BM71" s="598">
        <f t="shared" ref="BM71:BP72" si="112">(BM$47+BM$55)*BM89/1000+BM$50</f>
        <v>36.021428571428572</v>
      </c>
      <c r="BN71" s="599">
        <f t="shared" si="112"/>
        <v>36.021428571428572</v>
      </c>
      <c r="BO71" s="599">
        <f t="shared" si="112"/>
        <v>36.021428571428572</v>
      </c>
      <c r="BP71" s="600">
        <f t="shared" si="112"/>
        <v>36.021428571428572</v>
      </c>
      <c r="BQ71" s="601">
        <f>AVERAGE(BM71:BP71)</f>
        <v>36.021428571428572</v>
      </c>
      <c r="BR71" s="1748"/>
    </row>
    <row r="72" spans="1:71" s="2" customFormat="1">
      <c r="A72" s="1523"/>
      <c r="C72" s="535" t="s">
        <v>248</v>
      </c>
      <c r="E72" s="365"/>
      <c r="F72" s="6"/>
      <c r="G72" s="6"/>
      <c r="H72" s="366"/>
      <c r="I72" s="37"/>
      <c r="J72" s="365"/>
      <c r="K72" s="6"/>
      <c r="L72" s="6"/>
      <c r="M72" s="366"/>
      <c r="O72" s="365"/>
      <c r="P72" s="6"/>
      <c r="Q72" s="6"/>
      <c r="R72" s="366"/>
      <c r="T72" s="598"/>
      <c r="U72" s="599"/>
      <c r="V72" s="599"/>
      <c r="W72" s="600"/>
      <c r="X72" s="601"/>
      <c r="Y72" s="598">
        <f t="shared" si="104"/>
        <v>34.559726323027377</v>
      </c>
      <c r="Z72" s="599">
        <f t="shared" si="104"/>
        <v>31.325106590201472</v>
      </c>
      <c r="AA72" s="599">
        <f t="shared" si="104"/>
        <v>30.007325350543468</v>
      </c>
      <c r="AB72" s="600">
        <f t="shared" si="104"/>
        <v>32.19676385769926</v>
      </c>
      <c r="AC72" s="601">
        <f>AVERAGE(Y72:AB72)</f>
        <v>32.022230530367892</v>
      </c>
      <c r="AD72" s="598">
        <f t="shared" si="105"/>
        <v>90.786707820652154</v>
      </c>
      <c r="AE72" s="599">
        <f t="shared" si="105"/>
        <v>30.634786767857143</v>
      </c>
      <c r="AF72" s="599">
        <f t="shared" si="105"/>
        <v>26.507552103713767</v>
      </c>
      <c r="AG72" s="600">
        <f t="shared" si="105"/>
        <v>37.660706784782626</v>
      </c>
      <c r="AH72" s="601">
        <f>AVERAGE(AD72:AG72)</f>
        <v>46.397438369251425</v>
      </c>
      <c r="AI72" s="598">
        <f t="shared" si="106"/>
        <v>52.915014835144923</v>
      </c>
      <c r="AJ72" s="599">
        <f t="shared" si="106"/>
        <v>25.152664907509156</v>
      </c>
      <c r="AK72" s="599">
        <f t="shared" si="106"/>
        <v>20.837114357789854</v>
      </c>
      <c r="AL72" s="600">
        <f t="shared" si="106"/>
        <v>25.347991754166664</v>
      </c>
      <c r="AM72" s="601">
        <f>AVERAGE(AI72:AL72)</f>
        <v>31.063196463652652</v>
      </c>
      <c r="AN72" s="598">
        <f t="shared" si="107"/>
        <v>25.346020121237455</v>
      </c>
      <c r="AO72" s="599">
        <f t="shared" si="107"/>
        <v>19.254250642399263</v>
      </c>
      <c r="AP72" s="599">
        <f t="shared" si="107"/>
        <v>21.072814450181166</v>
      </c>
      <c r="AQ72" s="600">
        <f t="shared" si="107"/>
        <v>21.316599519927536</v>
      </c>
      <c r="AR72" s="601">
        <f>AVERAGE(AN72:AQ72)</f>
        <v>21.747421183436355</v>
      </c>
      <c r="AS72" s="598">
        <f t="shared" si="108"/>
        <v>29.336510980555559</v>
      </c>
      <c r="AT72" s="599">
        <f t="shared" si="108"/>
        <v>21.736222810439564</v>
      </c>
      <c r="AU72" s="599">
        <f t="shared" si="108"/>
        <v>19.181085373188402</v>
      </c>
      <c r="AV72" s="600">
        <f t="shared" si="108"/>
        <v>33.856300585507242</v>
      </c>
      <c r="AW72" s="601">
        <f>AVERAGE(AS72:AV72)</f>
        <v>26.027529937422692</v>
      </c>
      <c r="AX72" s="598">
        <f t="shared" si="109"/>
        <v>46.651077805173117</v>
      </c>
      <c r="AY72" s="599">
        <f t="shared" si="109"/>
        <v>25.158666666666669</v>
      </c>
      <c r="AZ72" s="599">
        <f>(AZ$46+AZ$55)*AZ90/1000+AZ$50</f>
        <v>25.266666666666666</v>
      </c>
      <c r="BA72" s="600">
        <f t="shared" si="109"/>
        <v>25.499833333333331</v>
      </c>
      <c r="BB72" s="601">
        <f>AVERAGE(AX72:BA72)</f>
        <v>30.644061117959946</v>
      </c>
      <c r="BC72" s="598">
        <f t="shared" si="110"/>
        <v>37.348531597794086</v>
      </c>
      <c r="BD72" s="599">
        <f t="shared" si="110"/>
        <v>20.745010650110842</v>
      </c>
      <c r="BE72" s="599">
        <f t="shared" si="110"/>
        <v>21.194398638146538</v>
      </c>
      <c r="BF72" s="600">
        <f t="shared" si="110"/>
        <v>30.99135911394854</v>
      </c>
      <c r="BG72" s="601">
        <f>AVERAGE(BC72:BF72)</f>
        <v>27.569825000000002</v>
      </c>
      <c r="BH72" s="598">
        <f t="shared" si="111"/>
        <v>37.020764656216237</v>
      </c>
      <c r="BI72" s="599">
        <f t="shared" si="111"/>
        <v>20.562954531626438</v>
      </c>
      <c r="BJ72" s="599">
        <f t="shared" si="111"/>
        <v>21.008398736061572</v>
      </c>
      <c r="BK72" s="600">
        <f t="shared" si="111"/>
        <v>30.719382076095741</v>
      </c>
      <c r="BL72" s="601">
        <f>AVERAGE(BH72:BK72)</f>
        <v>27.327874999999999</v>
      </c>
      <c r="BM72" s="598">
        <f t="shared" si="112"/>
        <v>26.910278327419032</v>
      </c>
      <c r="BN72" s="599">
        <f t="shared" si="112"/>
        <v>26.910278327419032</v>
      </c>
      <c r="BO72" s="599">
        <f t="shared" si="112"/>
        <v>26.910278327419032</v>
      </c>
      <c r="BP72" s="600">
        <f t="shared" si="112"/>
        <v>26.910278327419032</v>
      </c>
      <c r="BQ72" s="601">
        <f>AVERAGE(BM72:BP72)</f>
        <v>26.910278327419032</v>
      </c>
      <c r="BR72" s="1748"/>
    </row>
    <row r="73" spans="1:71" s="2" customFormat="1">
      <c r="A73" s="1523"/>
      <c r="C73" s="535" t="s">
        <v>250</v>
      </c>
      <c r="E73" s="365"/>
      <c r="F73" s="6"/>
      <c r="G73" s="6"/>
      <c r="H73" s="366"/>
      <c r="I73" s="37"/>
      <c r="J73" s="365"/>
      <c r="K73" s="6"/>
      <c r="L73" s="6"/>
      <c r="M73" s="366"/>
      <c r="O73" s="365"/>
      <c r="P73" s="6"/>
      <c r="Q73" s="6"/>
      <c r="R73" s="366"/>
      <c r="T73" s="598"/>
      <c r="U73" s="599"/>
      <c r="V73" s="599"/>
      <c r="W73" s="600"/>
      <c r="X73" s="601"/>
      <c r="Y73" s="598">
        <f>Y71*47.5%+Y72*52.5%</f>
        <v>38.382602963140968</v>
      </c>
      <c r="Z73" s="599">
        <f t="shared" ref="Z73:AQ73" si="113">Z71*47.5%+Z72*52.5%</f>
        <v>38.849673849504214</v>
      </c>
      <c r="AA73" s="599">
        <f t="shared" si="113"/>
        <v>41.973906793654457</v>
      </c>
      <c r="AB73" s="600">
        <f t="shared" si="113"/>
        <v>36.944658902489365</v>
      </c>
      <c r="AC73" s="601">
        <f t="shared" si="113"/>
        <v>39.037710627197256</v>
      </c>
      <c r="AD73" s="598">
        <f>AD71*47.5%+AD72*52.5%</f>
        <v>110.52712209889796</v>
      </c>
      <c r="AE73" s="599">
        <f>AE71*47.5%+AE72*52.5%</f>
        <v>41.679595971337889</v>
      </c>
      <c r="AF73" s="599">
        <f t="shared" si="113"/>
        <v>35.451764268292507</v>
      </c>
      <c r="AG73" s="600">
        <f t="shared" si="113"/>
        <v>43.10411778415444</v>
      </c>
      <c r="AH73" s="601">
        <f t="shared" si="113"/>
        <v>57.690650030670703</v>
      </c>
      <c r="AI73" s="598">
        <f t="shared" si="113"/>
        <v>59.740566906779449</v>
      </c>
      <c r="AJ73" s="599">
        <f t="shared" si="113"/>
        <v>30.694201654274341</v>
      </c>
      <c r="AK73" s="599">
        <f t="shared" si="113"/>
        <v>29.891276604570443</v>
      </c>
      <c r="AL73" s="600">
        <f t="shared" si="113"/>
        <v>27.577496597475587</v>
      </c>
      <c r="AM73" s="601">
        <f t="shared" si="113"/>
        <v>36.975885440774952</v>
      </c>
      <c r="AN73" s="598">
        <f t="shared" si="113"/>
        <v>28.158162791408454</v>
      </c>
      <c r="AO73" s="599">
        <f t="shared" si="113"/>
        <v>23.744347552298677</v>
      </c>
      <c r="AP73" s="599">
        <f t="shared" si="113"/>
        <v>30.351033232756244</v>
      </c>
      <c r="AQ73" s="600">
        <f t="shared" si="113"/>
        <v>24.884635360263541</v>
      </c>
      <c r="AR73" s="601">
        <f t="shared" ref="AR73:AW73" si="114">AR71*47.5%+AR72*52.5%</f>
        <v>26.784544734181729</v>
      </c>
      <c r="AS73" s="598">
        <f t="shared" si="114"/>
        <v>31.198536553048502</v>
      </c>
      <c r="AT73" s="599">
        <f t="shared" si="114"/>
        <v>26.795451860978815</v>
      </c>
      <c r="AU73" s="599">
        <f t="shared" si="114"/>
        <v>26.388415323007248</v>
      </c>
      <c r="AV73" s="600">
        <f t="shared" si="114"/>
        <v>36.320836502083765</v>
      </c>
      <c r="AW73" s="601">
        <f t="shared" si="114"/>
        <v>30.175810059779582</v>
      </c>
      <c r="AX73" s="598">
        <f t="shared" ref="AX73:BL73" si="115">AX71*47.5%+AX72*52.5%</f>
        <v>48.006363278624086</v>
      </c>
      <c r="AY73" s="599">
        <f t="shared" si="115"/>
        <v>29.534683333333334</v>
      </c>
      <c r="AZ73" s="599">
        <f>AZ71*47.5%+AZ72*52.5%</f>
        <v>31.344845833333334</v>
      </c>
      <c r="BA73" s="600">
        <f t="shared" si="115"/>
        <v>29.829220833333331</v>
      </c>
      <c r="BB73" s="601">
        <f t="shared" si="115"/>
        <v>34.678778319656018</v>
      </c>
      <c r="BC73" s="598">
        <f t="shared" si="115"/>
        <v>41.70067783353943</v>
      </c>
      <c r="BD73" s="599">
        <f t="shared" si="115"/>
        <v>25.28186367366057</v>
      </c>
      <c r="BE73" s="599">
        <f t="shared" si="115"/>
        <v>27.252066715361075</v>
      </c>
      <c r="BF73" s="600">
        <f t="shared" si="115"/>
        <v>33.565240943978935</v>
      </c>
      <c r="BG73" s="601">
        <f t="shared" si="115"/>
        <v>31.949962291635003</v>
      </c>
      <c r="BH73" s="598">
        <f t="shared" si="115"/>
        <v>41.513587958867234</v>
      </c>
      <c r="BI73" s="599">
        <f t="shared" si="115"/>
        <v>25.176505550988139</v>
      </c>
      <c r="BJ73" s="599">
        <f t="shared" si="115"/>
        <v>27.143459647917485</v>
      </c>
      <c r="BK73" s="600">
        <f t="shared" si="115"/>
        <v>33.410701008767148</v>
      </c>
      <c r="BL73" s="601">
        <f t="shared" si="115"/>
        <v>31.811063541634997</v>
      </c>
      <c r="BM73" s="598">
        <f>BM71*47.5%+BM72*52.5%</f>
        <v>31.238074693323561</v>
      </c>
      <c r="BN73" s="599">
        <f>BN71*47.5%+BN72*52.5%</f>
        <v>31.238074693323561</v>
      </c>
      <c r="BO73" s="599">
        <f>BO71*47.5%+BO72*52.5%</f>
        <v>31.238074693323561</v>
      </c>
      <c r="BP73" s="600">
        <f>BP71*47.5%+BP72*52.5%</f>
        <v>31.238074693323561</v>
      </c>
      <c r="BQ73" s="601">
        <f>BQ71*47.5%+BQ72*52.5%</f>
        <v>31.238074693323561</v>
      </c>
      <c r="BR73" s="1748"/>
      <c r="BS73" s="601"/>
    </row>
    <row r="74" spans="1:71" s="2" customFormat="1">
      <c r="A74" s="1523"/>
      <c r="C74" s="535"/>
      <c r="E74" s="365"/>
      <c r="F74" s="6"/>
      <c r="G74" s="6"/>
      <c r="H74" s="366"/>
      <c r="I74" s="37"/>
      <c r="J74" s="365"/>
      <c r="K74" s="6"/>
      <c r="L74" s="6"/>
      <c r="M74" s="366"/>
      <c r="O74" s="365"/>
      <c r="P74" s="6"/>
      <c r="Q74" s="6"/>
      <c r="R74" s="366"/>
      <c r="T74" s="598"/>
      <c r="U74" s="599"/>
      <c r="V74" s="599"/>
      <c r="W74" s="600"/>
      <c r="X74" s="601"/>
      <c r="Y74" s="598"/>
      <c r="Z74" s="599"/>
      <c r="AA74" s="599"/>
      <c r="AB74" s="600"/>
      <c r="AC74" s="601"/>
      <c r="AD74" s="598"/>
      <c r="AE74" s="599"/>
      <c r="AF74" s="599"/>
      <c r="AG74" s="600"/>
      <c r="AH74" s="601"/>
      <c r="AI74" s="598"/>
      <c r="AJ74" s="599"/>
      <c r="AK74" s="599"/>
      <c r="AL74" s="600"/>
      <c r="AM74" s="601"/>
      <c r="AN74" s="598"/>
      <c r="AO74" s="599"/>
      <c r="AP74" s="599"/>
      <c r="AQ74" s="600"/>
      <c r="AR74" s="601"/>
      <c r="AS74" s="598"/>
      <c r="AT74" s="599"/>
      <c r="AU74" s="599"/>
      <c r="AV74" s="600"/>
      <c r="AW74" s="601"/>
      <c r="AX74" s="598"/>
      <c r="AY74" s="599"/>
      <c r="AZ74" s="599"/>
      <c r="BA74" s="600"/>
      <c r="BB74" s="601"/>
      <c r="BC74" s="598"/>
      <c r="BD74" s="599"/>
      <c r="BE74" s="599"/>
      <c r="BF74" s="600"/>
      <c r="BG74" s="601"/>
      <c r="BH74" s="598"/>
      <c r="BI74" s="599"/>
      <c r="BJ74" s="599"/>
      <c r="BK74" s="600"/>
      <c r="BL74" s="601"/>
      <c r="BM74" s="598"/>
      <c r="BN74" s="599"/>
      <c r="BO74" s="599"/>
      <c r="BP74" s="600"/>
      <c r="BQ74" s="601"/>
      <c r="BR74" s="1748"/>
    </row>
    <row r="75" spans="1:71" s="2" customFormat="1">
      <c r="A75" s="1523"/>
      <c r="C75" s="535" t="s">
        <v>865</v>
      </c>
      <c r="E75" s="365"/>
      <c r="F75" s="6"/>
      <c r="G75" s="6"/>
      <c r="H75" s="366"/>
      <c r="I75" s="37"/>
      <c r="J75" s="365"/>
      <c r="K75" s="6"/>
      <c r="L75" s="6"/>
      <c r="M75" s="366"/>
      <c r="O75" s="365"/>
      <c r="P75" s="6"/>
      <c r="Q75" s="6"/>
      <c r="R75" s="366"/>
      <c r="T75" s="598"/>
      <c r="U75" s="599"/>
      <c r="V75" s="599"/>
      <c r="W75" s="600"/>
      <c r="X75" s="601"/>
      <c r="Y75" s="598">
        <f>(Y$46+((Y$55+Y$56)/2))*Y89/1000+Y$50</f>
        <v>60.072575399806389</v>
      </c>
      <c r="Z75" s="599">
        <f t="shared" ref="Z75:AV75" si="116">(Z$46+((Z$55+Z$56)/2))*Z89/1000+Z$50</f>
        <v>48.241746980620576</v>
      </c>
      <c r="AA75" s="599">
        <f t="shared" si="116"/>
        <v>56.93264524603854</v>
      </c>
      <c r="AB75" s="600">
        <f t="shared" si="116"/>
        <v>43.991539906134847</v>
      </c>
      <c r="AC75" s="601">
        <f>AVERAGE(Y75:AB75)</f>
        <v>52.309626883150088</v>
      </c>
      <c r="AD75" s="598">
        <f>(AD$46+((AD$55+AD$56)/2))*AD89/1000+AD$50</f>
        <v>155.00912582306702</v>
      </c>
      <c r="AE75" s="599">
        <f>(AE$46+((AE$55+AE$56)/2))*AE89/1000+AE$50</f>
        <v>54.009818571834465</v>
      </c>
      <c r="AF75" s="599">
        <f t="shared" si="116"/>
        <v>45.931597187228824</v>
      </c>
      <c r="AG75" s="600">
        <f t="shared" si="116"/>
        <v>53.019814720267888</v>
      </c>
      <c r="AH75" s="601">
        <f>AVERAGE(AD75:AG75)</f>
        <v>76.992589075599554</v>
      </c>
      <c r="AI75" s="598">
        <f t="shared" si="116"/>
        <v>80.144879619790771</v>
      </c>
      <c r="AJ75" s="599">
        <f t="shared" si="116"/>
        <v>46.62317620621279</v>
      </c>
      <c r="AK75" s="599">
        <f t="shared" si="116"/>
        <v>52.954530305204671</v>
      </c>
      <c r="AL75" s="600">
        <f t="shared" si="116"/>
        <v>37.265780680916777</v>
      </c>
      <c r="AM75" s="601">
        <f>AVERAGE(AI75:AL75)</f>
        <v>54.247091703031252</v>
      </c>
      <c r="AN75" s="598">
        <f>(AN$46+((AN$55+AN$56)/2))*AN89/1000+AN$50</f>
        <v>36.809918989597229</v>
      </c>
      <c r="AO75" s="599">
        <f>(AO$46+((AO$55+AO$56)/2))*AO89/1000+AO$50</f>
        <v>29.745133981875227</v>
      </c>
      <c r="AP75" s="599">
        <f>(AP$46+((AP$55+AP$56)/2))*AP89/1000+AP$50</f>
        <v>49.182862288820246</v>
      </c>
      <c r="AQ75" s="600">
        <f>(AQ$46+((AQ$55+AQ$56)/2))*AQ89/1000+AQ$50</f>
        <v>31.709247202503263</v>
      </c>
      <c r="AR75" s="601">
        <f>AVERAGE(AN75:AQ75)</f>
        <v>36.861790615698993</v>
      </c>
      <c r="AS75" s="598">
        <f t="shared" si="116"/>
        <v>35.019879978771371</v>
      </c>
      <c r="AT75" s="599">
        <f>(AT$46+((AT$55+AT$56)/2))*AT89/1000+AT$50</f>
        <v>33.502346099673559</v>
      </c>
      <c r="AU75" s="599">
        <f t="shared" si="116"/>
        <v>40.937408992850614</v>
      </c>
      <c r="AV75" s="600">
        <f t="shared" si="116"/>
        <v>44.516491215111813</v>
      </c>
      <c r="AW75" s="601">
        <f>AVERAGE(AS75:AV75)</f>
        <v>38.494031571601838</v>
      </c>
      <c r="AX75" s="598">
        <f>(AX$46+((AX$55+AX$56)/2))*AX89/1000+AX$50</f>
        <v>54.24235281693116</v>
      </c>
      <c r="AY75" s="599">
        <f>(AY$46+((AY$55+AY$56)/2))*AY89/1000+AY$50</f>
        <v>36.47786338797814</v>
      </c>
      <c r="AZ75" s="599">
        <f>(AZ$46+((AZ$55+AZ$56)/2))*AZ89/1000+AZ$50</f>
        <v>40.506055743243245</v>
      </c>
      <c r="BA75" s="600">
        <f>(BA$46+((BA$55+BA$56)/2))*BA89/1000+BA$50</f>
        <v>37.665379474446503</v>
      </c>
      <c r="BB75" s="601">
        <f>AVERAGE(AX75:BA75)</f>
        <v>42.22291285564976</v>
      </c>
      <c r="BC75" s="598">
        <f>(BC$47+((BC$55+BC$56)/2))*BC89/1000+BC$50</f>
        <v>52.205811239970537</v>
      </c>
      <c r="BD75" s="599">
        <f>(BD$47+((BD$55+BD$56)/2))*BD89/1000+BD$50</f>
        <v>30.871042380243491</v>
      </c>
      <c r="BE75" s="599">
        <f>(BE$47+((BE$55+BE$56)/2))*BE89/1000+BE$50</f>
        <v>33.546837165007204</v>
      </c>
      <c r="BF75" s="600">
        <f>(BF$47+((BF$55+BF$56)/2))*BF89/1000+BF$50</f>
        <v>39.83120835947696</v>
      </c>
      <c r="BG75" s="601">
        <f>AVERAGE(BC75:BF75)</f>
        <v>39.113724786174544</v>
      </c>
      <c r="BH75" s="598">
        <f>(BH$47+((BH$55+BH$56)/2))*BH89/1000+BH$50</f>
        <v>53.108165096572861</v>
      </c>
      <c r="BI75" s="599">
        <f>(BI$47+((BI$55+BI$56)/2))*BI89/1000+BI$50</f>
        <v>31.359398839615835</v>
      </c>
      <c r="BJ75" s="599">
        <f>(BJ$47+((BJ$55+BJ$56)/2))*BJ89/1000+BJ$50</f>
        <v>34.060918482127512</v>
      </c>
      <c r="BK75" s="600">
        <f>(BK$47+((BK$55+BK$56)/2))*BK89/1000+BK$50</f>
        <v>40.504709292894958</v>
      </c>
      <c r="BL75" s="601">
        <f>AVERAGE(BH75:BK75)</f>
        <v>39.758297927802786</v>
      </c>
      <c r="BM75" s="598">
        <f>(BM$47+((BM$55+BM$56)/2))*BM89/1000+BM$50</f>
        <v>50.525651986108691</v>
      </c>
      <c r="BN75" s="599">
        <f>(BN$47+((BN$55+BN$56)/2))*BN89/1000+BN$50</f>
        <v>32.830007405332246</v>
      </c>
      <c r="BO75" s="599">
        <f>(BO$47+((BO$55+BO$56)/2))*BO89/1000+BO$50</f>
        <v>31.861421843746999</v>
      </c>
      <c r="BP75" s="600">
        <f>(BP$47+((BP$55+BP$56)/2))*BP89/1000+BP$50</f>
        <v>49.832984406708668</v>
      </c>
      <c r="BQ75" s="601">
        <f>AVERAGE(BM75:BP75)</f>
        <v>41.262516410474149</v>
      </c>
      <c r="BR75" s="1748"/>
    </row>
    <row r="76" spans="1:71" s="2" customFormat="1">
      <c r="A76" s="1523"/>
      <c r="C76" s="535" t="s">
        <v>866</v>
      </c>
      <c r="E76" s="365"/>
      <c r="F76" s="6"/>
      <c r="G76" s="6"/>
      <c r="H76" s="366"/>
      <c r="I76" s="37"/>
      <c r="J76" s="365"/>
      <c r="K76" s="6"/>
      <c r="L76" s="6"/>
      <c r="M76" s="366"/>
      <c r="O76" s="365"/>
      <c r="P76" s="6"/>
      <c r="Q76" s="6"/>
      <c r="R76" s="366"/>
      <c r="T76" s="598"/>
      <c r="U76" s="599"/>
      <c r="V76" s="599"/>
      <c r="W76" s="600"/>
      <c r="X76" s="601"/>
      <c r="Y76" s="598">
        <f>(Y$46+(Y$55+Y$56)/2)*Y90/1000+Y$50</f>
        <v>48.725526629839571</v>
      </c>
      <c r="Z76" s="599">
        <f t="shared" ref="Z76:AV76" si="117">(Z$46+(Z$55+Z$56)/2)*Z90/1000+Z$50</f>
        <v>32.039355217245912</v>
      </c>
      <c r="AA76" s="599">
        <f t="shared" si="117"/>
        <v>30.949138323300463</v>
      </c>
      <c r="AB76" s="600">
        <f t="shared" si="117"/>
        <v>33.569730385400234</v>
      </c>
      <c r="AC76" s="601">
        <f>AVERAGE(Y76:AB76)</f>
        <v>36.320937638946546</v>
      </c>
      <c r="AD76" s="598">
        <f>(AD$46+(AD$55+AD$56)/2)*AD90/1000+AD$50</f>
        <v>106.3335806922798</v>
      </c>
      <c r="AE76" s="599">
        <f>(AE$46+(AE$55+AE$56)/2)*AE90/1000+AE$50</f>
        <v>30.704599689637973</v>
      </c>
      <c r="AF76" s="599">
        <f t="shared" si="117"/>
        <v>26.854920220459153</v>
      </c>
      <c r="AG76" s="600">
        <f t="shared" si="117"/>
        <v>40.650296856432831</v>
      </c>
      <c r="AH76" s="601">
        <f>AVERAGE(AD76:AG76)</f>
        <v>51.135849364702437</v>
      </c>
      <c r="AI76" s="598">
        <f t="shared" si="117"/>
        <v>63.028800216291543</v>
      </c>
      <c r="AJ76" s="599">
        <f t="shared" si="117"/>
        <v>31.850275098629545</v>
      </c>
      <c r="AK76" s="599">
        <f t="shared" si="117"/>
        <v>27.655660412235989</v>
      </c>
      <c r="AL76" s="600">
        <f t="shared" si="117"/>
        <v>31.44339822824519</v>
      </c>
      <c r="AM76" s="601">
        <f>AVERAGE(AI76:AL76)</f>
        <v>38.494533488850571</v>
      </c>
      <c r="AN76" s="598">
        <f t="shared" si="117"/>
        <v>29.839934250766852</v>
      </c>
      <c r="AO76" s="599">
        <f t="shared" si="117"/>
        <v>19.950484011056208</v>
      </c>
      <c r="AP76" s="599">
        <f t="shared" si="117"/>
        <v>25.523905690310325</v>
      </c>
      <c r="AQ76" s="600">
        <f t="shared" si="117"/>
        <v>23.446904746815747</v>
      </c>
      <c r="AR76" s="601">
        <f>AVERAGE(AN76:AQ76)</f>
        <v>24.690307174737285</v>
      </c>
      <c r="AS76" s="598">
        <f t="shared" si="117"/>
        <v>30.891978746944265</v>
      </c>
      <c r="AT76" s="599">
        <f t="shared" si="117"/>
        <v>22.484615986393671</v>
      </c>
      <c r="AU76" s="599">
        <f t="shared" si="117"/>
        <v>22.856567778618018</v>
      </c>
      <c r="AV76" s="600">
        <f t="shared" si="117"/>
        <v>38.600884462636785</v>
      </c>
      <c r="AW76" s="601">
        <f>AVERAGE(AS76:AV76)</f>
        <v>28.708511743648184</v>
      </c>
      <c r="AX76" s="598">
        <f>(AX$46+(AX$55+AX$56)/2)*AX90/1000+AX$50</f>
        <v>51.116038222334268</v>
      </c>
      <c r="AY76" s="599">
        <f>(AY$46+(AY$55+AY$56)/2)*AY90/1000+AY$50</f>
        <v>26.700576227001555</v>
      </c>
      <c r="AZ76" s="599">
        <f>(AZ$46+(AZ$55+AZ$56)/2)*AZ90/1000+AZ$50</f>
        <v>26.888513513513512</v>
      </c>
      <c r="BA76" s="600">
        <f>(BA$46+(BA$55+BA$56)/2)*BA90/1000+BA$50</f>
        <v>27.747490895923857</v>
      </c>
      <c r="BB76" s="601">
        <f>AVERAGE(AX76:BA76)</f>
        <v>33.113154714693295</v>
      </c>
      <c r="BC76" s="598">
        <f>(BC$47+(BC$55+BC$56)/2)*BC90/1000+BC$50</f>
        <v>41.92153915996483</v>
      </c>
      <c r="BD76" s="599">
        <f>(BD$47+(BD$55+BD$56)/2)*BD90/1000+BD$50</f>
        <v>21.138572105001266</v>
      </c>
      <c r="BE76" s="599">
        <f>(BE$47+(BE$55+BE$56)/2)*BE90/1000+BE$50</f>
        <v>20.944324858334284</v>
      </c>
      <c r="BF76" s="600">
        <f>(BF$47+(BF$55+BF$56)/2)*BF90/1000+BF$50</f>
        <v>33.903359677808616</v>
      </c>
      <c r="BG76" s="601">
        <f>AVERAGE(BC76:BF76)</f>
        <v>29.476948950277247</v>
      </c>
      <c r="BH76" s="598">
        <f>(BH$47+(BH$55+BH$56)/2)*BH90/1000+BH$50</f>
        <v>42.30061958894958</v>
      </c>
      <c r="BI76" s="599">
        <f>(BI$47+(BI$55+BI$56)/2)*BI90/1000+BI$50</f>
        <v>21.298996571535817</v>
      </c>
      <c r="BJ76" s="599">
        <f>(BJ$47+(BJ$55+BJ$56)/2)*BJ90/1000+BJ$50</f>
        <v>21.092992630942074</v>
      </c>
      <c r="BK76" s="600">
        <f>(BK$47+(BK$55+BK$56)/2)*BK90/1000+BK$50</f>
        <v>34.197301397536897</v>
      </c>
      <c r="BL76" s="601">
        <f>AVERAGE(BH76:BK76)</f>
        <v>29.722477547241091</v>
      </c>
      <c r="BM76" s="598">
        <f>(BM$47+(BM$55+BM$56)/2)*BM90/1000+BM$50</f>
        <v>37.745847722956498</v>
      </c>
      <c r="BN76" s="599">
        <f>(BN$47+(BN$55+BN$56)/2)*BN90/1000+BN$50</f>
        <v>24.526085494273367</v>
      </c>
      <c r="BO76" s="599">
        <f>(BO$47+(BO$55+BO$56)/2)*BO90/1000+BO$50</f>
        <v>23.802491009549005</v>
      </c>
      <c r="BP76" s="600">
        <f>(BP$47+(BP$55+BP$56)/2)*BP90/1000+BP$50</f>
        <v>37.228381367809796</v>
      </c>
      <c r="BQ76" s="601">
        <f>AVERAGE(BM76:BP76)</f>
        <v>30.825701398647169</v>
      </c>
      <c r="BR76" s="1748"/>
    </row>
    <row r="77" spans="1:71" s="2" customFormat="1">
      <c r="A77" s="1523"/>
      <c r="C77" s="535" t="s">
        <v>867</v>
      </c>
      <c r="E77" s="365"/>
      <c r="F77" s="6"/>
      <c r="G77" s="6"/>
      <c r="H77" s="366"/>
      <c r="I77" s="37"/>
      <c r="J77" s="365"/>
      <c r="K77" s="6"/>
      <c r="L77" s="6"/>
      <c r="M77" s="366"/>
      <c r="O77" s="365"/>
      <c r="P77" s="6"/>
      <c r="Q77" s="6"/>
      <c r="R77" s="366"/>
      <c r="T77" s="598"/>
      <c r="U77" s="599"/>
      <c r="V77" s="599"/>
      <c r="W77" s="600"/>
      <c r="X77" s="601"/>
      <c r="Y77" s="598">
        <f>Y75*47.5%+Y76*52.5%</f>
        <v>54.115374795573814</v>
      </c>
      <c r="Z77" s="599">
        <f t="shared" ref="Z77:AW77" si="118">Z75*47.5%+Z76*52.5%</f>
        <v>39.735491304848878</v>
      </c>
      <c r="AA77" s="599">
        <f t="shared" si="118"/>
        <v>43.29130411160105</v>
      </c>
      <c r="AB77" s="600">
        <f t="shared" si="118"/>
        <v>38.520089907749181</v>
      </c>
      <c r="AC77" s="601">
        <f t="shared" si="118"/>
        <v>43.915565029943224</v>
      </c>
      <c r="AD77" s="598">
        <f>AD75*47.5%+AD76*52.5%</f>
        <v>129.45446462940373</v>
      </c>
      <c r="AE77" s="599">
        <f>AE75*47.5%+AE76*52.5%</f>
        <v>41.774578658681307</v>
      </c>
      <c r="AF77" s="599">
        <f t="shared" si="118"/>
        <v>35.916341779674745</v>
      </c>
      <c r="AG77" s="600">
        <f t="shared" si="118"/>
        <v>46.525817841754481</v>
      </c>
      <c r="AH77" s="601">
        <f t="shared" si="118"/>
        <v>63.417800727378562</v>
      </c>
      <c r="AI77" s="598">
        <f t="shared" si="118"/>
        <v>71.158937932953677</v>
      </c>
      <c r="AJ77" s="599">
        <f t="shared" si="118"/>
        <v>38.867403124731588</v>
      </c>
      <c r="AK77" s="599">
        <f t="shared" si="118"/>
        <v>39.672623611396112</v>
      </c>
      <c r="AL77" s="600">
        <f t="shared" si="118"/>
        <v>34.209029893264194</v>
      </c>
      <c r="AM77" s="601">
        <f t="shared" si="118"/>
        <v>45.976998640586395</v>
      </c>
      <c r="AN77" s="598">
        <f t="shared" si="118"/>
        <v>33.15067700171128</v>
      </c>
      <c r="AO77" s="599">
        <f t="shared" si="118"/>
        <v>24.602942747195243</v>
      </c>
      <c r="AP77" s="599">
        <f t="shared" si="118"/>
        <v>36.76191007460254</v>
      </c>
      <c r="AQ77" s="600">
        <f t="shared" si="118"/>
        <v>27.37151741326732</v>
      </c>
      <c r="AR77" s="601">
        <f t="shared" si="118"/>
        <v>30.471761809194096</v>
      </c>
      <c r="AS77" s="598">
        <f t="shared" si="118"/>
        <v>32.85273183206214</v>
      </c>
      <c r="AT77" s="599">
        <f t="shared" si="118"/>
        <v>27.718037790201617</v>
      </c>
      <c r="AU77" s="599">
        <f t="shared" si="118"/>
        <v>31.444967355378502</v>
      </c>
      <c r="AV77" s="600">
        <f t="shared" si="118"/>
        <v>41.410797670062422</v>
      </c>
      <c r="AW77" s="601">
        <f t="shared" si="118"/>
        <v>33.356633661926168</v>
      </c>
      <c r="AX77" s="598">
        <f t="shared" ref="AX77:BF77" si="119">AX75*47.5%+AX76*52.5%</f>
        <v>52.601037654767794</v>
      </c>
      <c r="AY77" s="599">
        <f t="shared" si="119"/>
        <v>31.344787628465433</v>
      </c>
      <c r="AZ77" s="599">
        <f>AZ75*47.5%+AZ76*52.5%</f>
        <v>33.356846072635136</v>
      </c>
      <c r="BA77" s="600">
        <f t="shared" si="119"/>
        <v>32.458487970722118</v>
      </c>
      <c r="BB77" s="601">
        <f t="shared" si="119"/>
        <v>37.440289831647618</v>
      </c>
      <c r="BC77" s="598">
        <f t="shared" si="119"/>
        <v>46.806568397967538</v>
      </c>
      <c r="BD77" s="599">
        <f t="shared" si="119"/>
        <v>25.761495485741321</v>
      </c>
      <c r="BE77" s="599">
        <f t="shared" si="119"/>
        <v>26.930518204003921</v>
      </c>
      <c r="BF77" s="600">
        <f t="shared" si="119"/>
        <v>36.719087801601077</v>
      </c>
      <c r="BG77" s="601">
        <f t="shared" ref="BG77:BL77" si="120">BG75*47.5%+BG76*52.5%</f>
        <v>34.054417472328467</v>
      </c>
      <c r="BH77" s="598">
        <f t="shared" si="120"/>
        <v>47.434203705070644</v>
      </c>
      <c r="BI77" s="599">
        <f t="shared" si="120"/>
        <v>26.077687648873827</v>
      </c>
      <c r="BJ77" s="599">
        <f t="shared" si="120"/>
        <v>27.252757410255157</v>
      </c>
      <c r="BK77" s="600">
        <f t="shared" si="120"/>
        <v>37.193320147831976</v>
      </c>
      <c r="BL77" s="601">
        <f t="shared" si="120"/>
        <v>34.48949222800789</v>
      </c>
      <c r="BM77" s="598">
        <f>BM75*47.5%+BM76*52.5%</f>
        <v>43.816254747953792</v>
      </c>
      <c r="BN77" s="599">
        <f>BN75*47.5%+BN76*52.5%</f>
        <v>28.470448402026335</v>
      </c>
      <c r="BO77" s="599">
        <f>BO75*47.5%+BO76*52.5%</f>
        <v>27.630483155793051</v>
      </c>
      <c r="BP77" s="600">
        <f>BP75*47.5%+BP76*52.5%</f>
        <v>43.215567811286761</v>
      </c>
      <c r="BQ77" s="601">
        <f>BQ75*47.5%+BQ76*52.5%</f>
        <v>35.783188529264983</v>
      </c>
      <c r="BR77" s="1748"/>
    </row>
    <row r="78" spans="1:71" s="2" customFormat="1">
      <c r="A78" s="1523"/>
      <c r="C78" s="535"/>
      <c r="E78" s="365"/>
      <c r="F78" s="6"/>
      <c r="G78" s="6"/>
      <c r="H78" s="366"/>
      <c r="I78" s="37"/>
      <c r="J78" s="365"/>
      <c r="K78" s="6"/>
      <c r="L78" s="6"/>
      <c r="M78" s="366"/>
      <c r="O78" s="365"/>
      <c r="P78" s="6"/>
      <c r="Q78" s="6"/>
      <c r="R78" s="366"/>
      <c r="T78" s="598"/>
      <c r="U78" s="599"/>
      <c r="V78" s="599"/>
      <c r="W78" s="600"/>
      <c r="X78" s="601"/>
      <c r="Y78" s="598"/>
      <c r="Z78" s="599"/>
      <c r="AA78" s="599"/>
      <c r="AB78" s="600"/>
      <c r="AC78" s="601"/>
      <c r="AD78" s="598"/>
      <c r="AE78" s="599"/>
      <c r="AF78" s="599"/>
      <c r="AG78" s="600"/>
      <c r="AH78" s="601"/>
      <c r="AI78" s="598"/>
      <c r="AJ78" s="599"/>
      <c r="AK78" s="599"/>
      <c r="AL78" s="600"/>
      <c r="AM78" s="601"/>
      <c r="AN78" s="598"/>
      <c r="AO78" s="599"/>
      <c r="AP78" s="599"/>
      <c r="AQ78" s="600"/>
      <c r="AR78" s="601"/>
      <c r="AS78" s="598"/>
      <c r="AT78" s="599"/>
      <c r="AU78" s="599"/>
      <c r="AV78" s="600"/>
      <c r="AW78" s="601"/>
      <c r="AX78" s="598"/>
      <c r="AY78" s="599"/>
      <c r="AZ78" s="599"/>
      <c r="BA78" s="600"/>
      <c r="BB78" s="601"/>
      <c r="BC78" s="598"/>
      <c r="BD78" s="599"/>
      <c r="BE78" s="599"/>
      <c r="BF78" s="600"/>
      <c r="BG78" s="601"/>
      <c r="BH78" s="598"/>
      <c r="BI78" s="599"/>
      <c r="BJ78" s="599"/>
      <c r="BK78" s="600"/>
      <c r="BL78" s="601"/>
      <c r="BM78" s="598"/>
      <c r="BN78" s="599"/>
      <c r="BO78" s="599"/>
      <c r="BP78" s="600"/>
      <c r="BQ78" s="601"/>
      <c r="BR78" s="1748"/>
    </row>
    <row r="79" spans="1:71" s="2" customFormat="1">
      <c r="A79" s="1523"/>
      <c r="C79" s="757" t="s">
        <v>203</v>
      </c>
      <c r="E79" s="365"/>
      <c r="F79" s="6"/>
      <c r="G79" s="6"/>
      <c r="H79" s="366"/>
      <c r="I79" s="37"/>
      <c r="J79" s="365"/>
      <c r="K79" s="6"/>
      <c r="L79" s="6"/>
      <c r="M79" s="366"/>
      <c r="O79" s="365"/>
      <c r="P79" s="6"/>
      <c r="Q79" s="6"/>
      <c r="R79" s="366"/>
      <c r="T79" s="365"/>
      <c r="U79" s="6"/>
      <c r="V79" s="6"/>
      <c r="W79" s="366"/>
      <c r="Y79" s="365"/>
      <c r="Z79" s="6"/>
      <c r="AA79" s="6"/>
      <c r="AB79" s="366"/>
      <c r="AD79" s="365"/>
      <c r="AE79" s="6"/>
      <c r="AF79" s="6"/>
      <c r="AG79" s="366"/>
      <c r="AI79" s="365"/>
      <c r="AJ79" s="6"/>
      <c r="AK79" s="6"/>
      <c r="AL79" s="366"/>
      <c r="AN79" s="365"/>
      <c r="AO79" s="6"/>
      <c r="AP79" s="6"/>
      <c r="AQ79" s="366"/>
      <c r="AS79" s="365"/>
      <c r="AT79" s="6"/>
      <c r="AU79" s="6"/>
      <c r="AV79" s="366"/>
      <c r="AX79" s="365"/>
      <c r="AY79" s="6"/>
      <c r="AZ79" s="6"/>
      <c r="BA79" s="366"/>
      <c r="BC79" s="365"/>
      <c r="BD79" s="6"/>
      <c r="BE79" s="6"/>
      <c r="BF79" s="366"/>
      <c r="BH79" s="365"/>
      <c r="BI79" s="6"/>
      <c r="BJ79" s="6"/>
      <c r="BK79" s="366"/>
      <c r="BM79" s="365"/>
      <c r="BN79" s="6"/>
      <c r="BO79" s="6"/>
      <c r="BP79" s="366"/>
      <c r="BR79" s="759"/>
    </row>
    <row r="80" spans="1:71" s="2" customFormat="1">
      <c r="A80" s="1523"/>
      <c r="C80" s="535" t="s">
        <v>282</v>
      </c>
      <c r="E80" s="365"/>
      <c r="F80" s="6"/>
      <c r="G80" s="6"/>
      <c r="H80" s="366"/>
      <c r="I80" s="37"/>
      <c r="J80" s="365"/>
      <c r="K80" s="6"/>
      <c r="L80" s="6"/>
      <c r="M80" s="366"/>
      <c r="O80" s="365"/>
      <c r="P80" s="6"/>
      <c r="Q80" s="6"/>
      <c r="R80" s="366"/>
      <c r="T80" s="392"/>
      <c r="U80" s="341"/>
      <c r="V80" s="341"/>
      <c r="W80" s="393"/>
      <c r="X80" s="296"/>
      <c r="Y80" s="392">
        <f>'Market Prices'!S78</f>
        <v>11474.979818138521</v>
      </c>
      <c r="Z80" s="341">
        <f>'Market Prices'!T78</f>
        <v>10402.131258701407</v>
      </c>
      <c r="AA80" s="341">
        <f>'Market Prices'!U78</f>
        <v>14595.99188276675</v>
      </c>
      <c r="AB80" s="393">
        <f>'Market Prices'!V78</f>
        <v>15599.608908418337</v>
      </c>
      <c r="AC80" s="296">
        <f>AVERAGE(Y80:AB80)</f>
        <v>13018.177967006253</v>
      </c>
      <c r="AD80" s="392">
        <f>'Market Prices'!W78</f>
        <v>9818.857351275652</v>
      </c>
      <c r="AE80" s="341">
        <f>'Market Prices'!X78</f>
        <v>11887.120339338082</v>
      </c>
      <c r="AF80" s="341">
        <f>'Market Prices'!Y78</f>
        <v>15922.771678283798</v>
      </c>
      <c r="AG80" s="393">
        <f>'Market Prices'!Z78</f>
        <v>15026.318812665288</v>
      </c>
      <c r="AH80" s="296">
        <f>AVERAGE(AD80:AG80)</f>
        <v>13163.767045390705</v>
      </c>
      <c r="AI80" s="392">
        <f>'Market Prices'!AA78</f>
        <v>9835.9779023649571</v>
      </c>
      <c r="AJ80" s="341">
        <f>'Market Prices'!AB78</f>
        <v>11407.233144218615</v>
      </c>
      <c r="AK80" s="341">
        <f>'Market Prices'!AC78</f>
        <v>18666.071155473397</v>
      </c>
      <c r="AL80" s="393">
        <f>'Market Prices'!AD78</f>
        <v>17315.33127145606</v>
      </c>
      <c r="AM80" s="296">
        <f>AVERAGE(AI80:AL80)</f>
        <v>14306.153368378258</v>
      </c>
      <c r="AN80" s="392">
        <f>'Market Prices'!AE78</f>
        <v>12206.386279703562</v>
      </c>
      <c r="AO80" s="341">
        <f>'Market Prices'!AF78</f>
        <v>16621.31367909328</v>
      </c>
      <c r="AP80" s="341">
        <f>'Market Prices'!AG78</f>
        <v>22288.404958475618</v>
      </c>
      <c r="AQ80" s="393">
        <f>'Market Prices'!AH78</f>
        <v>14434.588536316558</v>
      </c>
      <c r="AR80" s="296">
        <f>AVERAGE(AN80:AQ80)</f>
        <v>16387.673363397254</v>
      </c>
      <c r="AS80" s="392">
        <f>'Market Prices'!AI78</f>
        <v>10264.218099859183</v>
      </c>
      <c r="AT80" s="341">
        <f>'Market Prices'!AJ78</f>
        <v>12389.285901147583</v>
      </c>
      <c r="AU80" s="341">
        <f>'Market Prices'!AK78</f>
        <v>13153.218506204936</v>
      </c>
      <c r="AV80" s="393">
        <f>'Market Prices'!AL78</f>
        <v>14925.254225358662</v>
      </c>
      <c r="AW80" s="296">
        <f>AVERAGE(AS80:AV80)</f>
        <v>12682.994183142589</v>
      </c>
      <c r="AX80" s="392">
        <f>'Market Prices'!AM78</f>
        <v>7994.7887216424933</v>
      </c>
      <c r="AY80" s="341">
        <f>'Market Prices'!AN78</f>
        <v>13122.990353697749</v>
      </c>
      <c r="AZ80" s="341">
        <f>'Market Prices'!AO78</f>
        <v>14125.083166999331</v>
      </c>
      <c r="BA80" s="393">
        <f>'Market Prices'!AP78</f>
        <v>13408.970976253298</v>
      </c>
      <c r="BB80" s="296">
        <f>AVERAGE(AX80:BA80)</f>
        <v>12162.958304648218</v>
      </c>
      <c r="BC80" s="394">
        <f>'Market Prices'!AQ78</f>
        <v>16121.702235183328</v>
      </c>
      <c r="BD80" s="342">
        <f>'Market Prices'!AR78</f>
        <v>17104.044129356756</v>
      </c>
      <c r="BE80" s="342">
        <f>'Market Prices'!AS78</f>
        <v>21029.097168692006</v>
      </c>
      <c r="BF80" s="395">
        <f>'Market Prices'!AT78</f>
        <v>8461.414086437906</v>
      </c>
      <c r="BG80" s="296">
        <f>AVERAGE(BC80:BF80)</f>
        <v>15679.064404917501</v>
      </c>
      <c r="BH80" s="394">
        <f>'Market Prices'!AU78</f>
        <v>15860.467045238278</v>
      </c>
      <c r="BI80" s="342">
        <f>'Market Prices'!AV78</f>
        <v>16826.891124557431</v>
      </c>
      <c r="BJ80" s="342">
        <f>'Market Prices'!AW78</f>
        <v>20688.34281700529</v>
      </c>
      <c r="BK80" s="395">
        <f>'Market Prices'!AX78</f>
        <v>8324.3057908107585</v>
      </c>
      <c r="BL80" s="296">
        <f>AVERAGE(BH80:BK80)</f>
        <v>15425.001694402939</v>
      </c>
      <c r="BM80" s="394">
        <f>'Market Prices'!AY78</f>
        <v>15390.53594374832</v>
      </c>
      <c r="BN80" s="342">
        <f>'Market Prices'!AZ78</f>
        <v>16328.325763382341</v>
      </c>
      <c r="BO80" s="342">
        <f>'Market Prices'!BA78</f>
        <v>20075.366181432888</v>
      </c>
      <c r="BP80" s="395">
        <f>'Market Prices'!BB78</f>
        <v>8077.6642399499096</v>
      </c>
      <c r="BQ80" s="296">
        <f>AVERAGE(BM80:BP80)</f>
        <v>14967.973032128364</v>
      </c>
      <c r="BR80" s="1749"/>
    </row>
    <row r="81" spans="1:74" s="2" customFormat="1">
      <c r="A81" s="1523"/>
      <c r="C81" s="535" t="s">
        <v>283</v>
      </c>
      <c r="E81" s="365"/>
      <c r="F81" s="6"/>
      <c r="G81" s="6"/>
      <c r="H81" s="366"/>
      <c r="I81" s="37"/>
      <c r="J81" s="365"/>
      <c r="K81" s="6"/>
      <c r="L81" s="6"/>
      <c r="M81" s="366"/>
      <c r="O81" s="365"/>
      <c r="P81" s="6"/>
      <c r="Q81" s="6"/>
      <c r="R81" s="366"/>
      <c r="T81" s="392"/>
      <c r="U81" s="341"/>
      <c r="V81" s="341"/>
      <c r="W81" s="393"/>
      <c r="X81" s="296"/>
      <c r="Y81" s="392">
        <f>+'Market Prices'!S96</f>
        <v>9282.9445192863459</v>
      </c>
      <c r="Z81" s="341">
        <f>+'Market Prices'!T96</f>
        <v>7879.1357555234736</v>
      </c>
      <c r="AA81" s="341">
        <f>+'Market Prices'!U96</f>
        <v>8084.3226123072382</v>
      </c>
      <c r="AB81" s="393">
        <f>+'Market Prices'!V96</f>
        <v>11842.479560862408</v>
      </c>
      <c r="AC81" s="296">
        <f>AVERAGE(Y81:AB81)</f>
        <v>9272.2206119948678</v>
      </c>
      <c r="AD81" s="392">
        <f>+'Market Prices'!W96</f>
        <v>7345.0633802143266</v>
      </c>
      <c r="AE81" s="341">
        <f>+'Market Prices'!X96</f>
        <v>8666.8096880078447</v>
      </c>
      <c r="AF81" s="341">
        <f>+'Market Prices'!Y96</f>
        <v>10315.050379273025</v>
      </c>
      <c r="AG81" s="393">
        <f>+'Market Prices'!Z96</f>
        <v>9714.574534358846</v>
      </c>
      <c r="AH81" s="296">
        <f>AVERAGE(AD81:AG81)</f>
        <v>9010.3744954635113</v>
      </c>
      <c r="AI81" s="392">
        <f>+'Market Prices'!AA96</f>
        <v>8382.8453222230091</v>
      </c>
      <c r="AJ81" s="341">
        <f>+'Market Prices'!AB96</f>
        <v>7537.8738784383268</v>
      </c>
      <c r="AK81" s="341">
        <f>+'Market Prices'!AC96</f>
        <v>9837.7064039165271</v>
      </c>
      <c r="AL81" s="393">
        <f>+'Market Prices'!AD96</f>
        <v>10577.262881497305</v>
      </c>
      <c r="AM81" s="296">
        <f>AVERAGE(AI81:AL81)</f>
        <v>9083.9221215187918</v>
      </c>
      <c r="AN81" s="392">
        <f>+'Market Prices'!AE96</f>
        <v>9019.4014549612002</v>
      </c>
      <c r="AO81" s="341">
        <f>+'Market Prices'!AF96</f>
        <v>10967.114786064982</v>
      </c>
      <c r="AP81" s="341">
        <f>+'Market Prices'!AG96</f>
        <v>11335.823461467095</v>
      </c>
      <c r="AQ81" s="393">
        <f>+'Market Prices'!AH96</f>
        <v>10726.933653066462</v>
      </c>
      <c r="AR81" s="296">
        <f>AVERAGE(AN81:AQ81)</f>
        <v>10512.318338889934</v>
      </c>
      <c r="AS81" s="392">
        <f>+'Market Prices'!AI96</f>
        <v>9142.7185751590077</v>
      </c>
      <c r="AT81" s="341">
        <f>+'Market Prices'!AJ96</f>
        <v>8545.6610120881614</v>
      </c>
      <c r="AU81" s="341">
        <f>+'Market Prices'!AK96</f>
        <v>8055.4469835426908</v>
      </c>
      <c r="AV81" s="393">
        <f>+'Market Prices'!AL96</f>
        <v>11859.057936160812</v>
      </c>
      <c r="AW81" s="296">
        <f>AVERAGE(AS81:AV81)</f>
        <v>9400.7211267376679</v>
      </c>
      <c r="AX81" s="392">
        <f>+'Market Prices'!AM96</f>
        <v>7106.0534420152553</v>
      </c>
      <c r="AY81" s="341">
        <f>+'Market Prices'!AN96</f>
        <v>9713.2904608788867</v>
      </c>
      <c r="AZ81" s="341">
        <f>+'Market Prices'!AO96</f>
        <v>9301.3972055888225</v>
      </c>
      <c r="BA81" s="393">
        <f>+'Market Prices'!AP96</f>
        <v>10670.184696569921</v>
      </c>
      <c r="BB81" s="296">
        <f>AVERAGE(AX81:BA81)</f>
        <v>9197.731451263222</v>
      </c>
      <c r="BC81" s="394">
        <f>+'Market Prices'!AQ96</f>
        <v>12523.856192309457</v>
      </c>
      <c r="BD81" s="342">
        <f>+'Market Prices'!AR96</f>
        <v>12126.37627431892</v>
      </c>
      <c r="BE81" s="342">
        <f>+'Market Prices'!AS96</f>
        <v>13524.643202910216</v>
      </c>
      <c r="BF81" s="395">
        <f>+'Market Prices'!AT96</f>
        <v>7225.3549785020023</v>
      </c>
      <c r="BG81" s="296">
        <f>AVERAGE(BC81:BF81)</f>
        <v>11350.057662010147</v>
      </c>
      <c r="BH81" s="394">
        <f>+'Market Prices'!AU96</f>
        <v>12284.65865189438</v>
      </c>
      <c r="BI81" s="342">
        <f>+'Market Prices'!AV96</f>
        <v>11894.770342853019</v>
      </c>
      <c r="BJ81" s="342">
        <f>+'Market Prices'!AW96</f>
        <v>13266.331278894815</v>
      </c>
      <c r="BK81" s="395">
        <f>+'Market Prices'!AX96</f>
        <v>7087.3553789421785</v>
      </c>
      <c r="BL81" s="296">
        <f>AVERAGE(BH81:BK81)</f>
        <v>11133.278913146098</v>
      </c>
      <c r="BM81" s="394">
        <f>+'Market Prices'!AY96</f>
        <v>11964.479552774072</v>
      </c>
      <c r="BN81" s="342">
        <f>+'Market Prices'!AZ96</f>
        <v>11584.75303097351</v>
      </c>
      <c r="BO81" s="342">
        <f>+'Market Prices'!BA96</f>
        <v>12920.56652320475</v>
      </c>
      <c r="BP81" s="395">
        <f>+'Market Prices'!BB96</f>
        <v>6902.6353045243814</v>
      </c>
      <c r="BQ81" s="296">
        <f>AVERAGE(BM81:BP81)</f>
        <v>10843.108602869177</v>
      </c>
      <c r="BR81" s="1749"/>
    </row>
    <row r="82" spans="1:74" s="2" customFormat="1">
      <c r="A82" s="1523"/>
      <c r="C82" s="535"/>
      <c r="E82" s="365"/>
      <c r="F82" s="6"/>
      <c r="G82" s="6"/>
      <c r="H82" s="366"/>
      <c r="I82" s="37"/>
      <c r="J82" s="365"/>
      <c r="K82" s="6"/>
      <c r="L82" s="6"/>
      <c r="M82" s="366"/>
      <c r="O82" s="365"/>
      <c r="P82" s="6"/>
      <c r="Q82" s="6"/>
      <c r="R82" s="366"/>
      <c r="T82" s="365"/>
      <c r="U82" s="6"/>
      <c r="V82" s="6"/>
      <c r="W82" s="366"/>
      <c r="Y82" s="365"/>
      <c r="Z82" s="6"/>
      <c r="AA82" s="6"/>
      <c r="AB82" s="366"/>
      <c r="AD82" s="365"/>
      <c r="AE82" s="6"/>
      <c r="AF82" s="6"/>
      <c r="AG82" s="366"/>
      <c r="AI82" s="365"/>
      <c r="AJ82" s="6"/>
      <c r="AK82" s="6"/>
      <c r="AL82" s="366"/>
      <c r="AN82" s="365"/>
      <c r="AO82" s="6"/>
      <c r="AP82" s="6"/>
      <c r="AQ82" s="366"/>
      <c r="AS82" s="365"/>
      <c r="AT82" s="6"/>
      <c r="AU82" s="6"/>
      <c r="AV82" s="366"/>
      <c r="AX82" s="365"/>
      <c r="AY82" s="6"/>
      <c r="AZ82" s="6"/>
      <c r="BA82" s="366"/>
      <c r="BC82" s="417"/>
      <c r="BD82" s="66"/>
      <c r="BE82" s="66"/>
      <c r="BF82" s="892"/>
      <c r="BH82" s="417"/>
      <c r="BI82" s="66"/>
      <c r="BJ82" s="66"/>
      <c r="BK82" s="892"/>
      <c r="BM82" s="417"/>
      <c r="BN82" s="66"/>
      <c r="BO82" s="66"/>
      <c r="BP82" s="892"/>
      <c r="BR82" s="759"/>
    </row>
    <row r="83" spans="1:74" s="2" customFormat="1">
      <c r="A83" s="1523"/>
      <c r="C83" s="535" t="s">
        <v>284</v>
      </c>
      <c r="E83" s="365"/>
      <c r="F83" s="6"/>
      <c r="G83" s="6"/>
      <c r="H83" s="366"/>
      <c r="I83" s="37"/>
      <c r="J83" s="365"/>
      <c r="K83" s="6"/>
      <c r="L83" s="6"/>
      <c r="M83" s="366"/>
      <c r="O83" s="365"/>
      <c r="P83" s="6"/>
      <c r="Q83" s="6"/>
      <c r="R83" s="366"/>
      <c r="T83" s="392"/>
      <c r="U83" s="341"/>
      <c r="V83" s="341"/>
      <c r="W83" s="393"/>
      <c r="X83" s="296"/>
      <c r="Y83" s="392">
        <f>'Market Prices'!S79</f>
        <v>10613.332343739214</v>
      </c>
      <c r="Z83" s="341">
        <f>'Market Prices'!T79</f>
        <v>9814.6604717116315</v>
      </c>
      <c r="AA83" s="341">
        <f>'Market Prices'!U79</f>
        <v>15217.027511328975</v>
      </c>
      <c r="AB83" s="393">
        <f>'Market Prices'!V79</f>
        <v>11622.060695219723</v>
      </c>
      <c r="AC83" s="296">
        <f>AVERAGE(Y83:AB83)</f>
        <v>11816.770255499887</v>
      </c>
      <c r="AD83" s="392">
        <f>'Market Prices'!W79</f>
        <v>8339.8677320762581</v>
      </c>
      <c r="AE83" s="341">
        <f>'Market Prices'!X79</f>
        <v>12089.696865123291</v>
      </c>
      <c r="AF83" s="341">
        <f>'Market Prices'!Y79</f>
        <v>17008.913404698229</v>
      </c>
      <c r="AG83" s="393">
        <f>'Market Prices'!Z79</f>
        <v>14242.244323975263</v>
      </c>
      <c r="AH83" s="296">
        <f>AVERAGE(AD83:AG83)</f>
        <v>12920.180581468259</v>
      </c>
      <c r="AI83" s="392">
        <f>'Market Prices'!AA79</f>
        <v>8245.126379457306</v>
      </c>
      <c r="AJ83" s="341">
        <f>'Market Prices'!AB79</f>
        <v>23636.495062483507</v>
      </c>
      <c r="AK83" s="341">
        <f>'Market Prices'!AC79</f>
        <v>29559.964278835214</v>
      </c>
      <c r="AL83" s="393">
        <f>'Market Prices'!AD79</f>
        <v>26840.274598772085</v>
      </c>
      <c r="AM83" s="296">
        <f>AVERAGE(AI83:AL83)</f>
        <v>22070.465079887028</v>
      </c>
      <c r="AN83" s="392">
        <f>'Market Prices'!AE79</f>
        <v>16770.720038090938</v>
      </c>
      <c r="AO83" s="341">
        <f>'Market Prices'!AF79</f>
        <v>22601.852674604575</v>
      </c>
      <c r="AP83" s="341">
        <f>'Market Prices'!AG79</f>
        <v>34191.352496551095</v>
      </c>
      <c r="AQ83" s="393">
        <f>'Market Prices'!AH79</f>
        <v>12233.948471734455</v>
      </c>
      <c r="AR83" s="296">
        <f>AVERAGE(AN83:AQ83)</f>
        <v>21449.468420245266</v>
      </c>
      <c r="AS83" s="392">
        <f>'Market Prices'!AI79</f>
        <v>9237.5699548947559</v>
      </c>
      <c r="AT83" s="341">
        <f>'Market Prices'!AJ79</f>
        <v>13374.181331245492</v>
      </c>
      <c r="AU83" s="341">
        <f>'Market Prices'!AK79</f>
        <v>19942.594548815701</v>
      </c>
      <c r="AV83" s="393">
        <f>'Market Prices'!AL79</f>
        <v>12811.212946664498</v>
      </c>
      <c r="AW83" s="296">
        <f>AVERAGE(AS83:AV83)</f>
        <v>13841.389695405112</v>
      </c>
      <c r="AX83" s="392">
        <f>'Market Prices'!AM79</f>
        <v>5561.1264063691815</v>
      </c>
      <c r="AY83" s="341">
        <f>'Market Prices'!AN79</f>
        <v>16904.797713941942</v>
      </c>
      <c r="AZ83" s="341">
        <f>'Market Prices'!AO79</f>
        <v>15195.195195195192</v>
      </c>
      <c r="BA83" s="393">
        <f>'Market Prices'!AP79</f>
        <v>14065.797641216635</v>
      </c>
      <c r="BB83" s="296">
        <f>AVERAGE(AX83:BA83)</f>
        <v>12931.729239180739</v>
      </c>
      <c r="BC83" s="394">
        <f>'Market Prices'!AQ79</f>
        <v>14527.253857531297</v>
      </c>
      <c r="BD83" s="342">
        <f>'Market Prices'!AR79</f>
        <v>19603.903225075555</v>
      </c>
      <c r="BE83" s="342">
        <f>'Market Prices'!AS79</f>
        <v>17640.554959788038</v>
      </c>
      <c r="BF83" s="395">
        <f>'Market Prices'!AT79</f>
        <v>7417.7739790369633</v>
      </c>
      <c r="BG83" s="296">
        <f>AVERAGE(BC83:BF83)</f>
        <v>14797.371505357962</v>
      </c>
      <c r="BH83" s="394">
        <f>'Market Prices'!AU79</f>
        <v>14642.155761170308</v>
      </c>
      <c r="BI83" s="342">
        <f>'Market Prices'!AV79</f>
        <v>19758.958393891811</v>
      </c>
      <c r="BJ83" s="342">
        <f>'Market Prices'!AW79</f>
        <v>17780.081216161496</v>
      </c>
      <c r="BK83" s="395">
        <f>'Market Prices'!AX79</f>
        <v>7476.4441419813102</v>
      </c>
      <c r="BL83" s="296">
        <f>AVERAGE(BH83:BK83)</f>
        <v>14914.40987830123</v>
      </c>
      <c r="BM83" s="394">
        <f>'Market Prices'!AY79</f>
        <v>14513.506709443927</v>
      </c>
      <c r="BN83" s="342">
        <f>'Market Prices'!AZ79</f>
        <v>19585.352040979196</v>
      </c>
      <c r="BO83" s="342">
        <f>'Market Prices'!BA79</f>
        <v>17623.861693204144</v>
      </c>
      <c r="BP83" s="395">
        <f>'Market Prices'!BB79</f>
        <v>7410.7545355572447</v>
      </c>
      <c r="BQ83" s="296">
        <f>AVERAGE(BM83:BP83)</f>
        <v>14783.368744796129</v>
      </c>
      <c r="BR83" s="1749"/>
      <c r="BS83" s="591"/>
      <c r="BT83" s="591"/>
      <c r="BU83" s="591"/>
      <c r="BV83" s="591"/>
    </row>
    <row r="84" spans="1:74" s="2" customFormat="1" ht="12" customHeight="1">
      <c r="A84" s="1523"/>
      <c r="C84" s="535" t="s">
        <v>285</v>
      </c>
      <c r="E84" s="365"/>
      <c r="F84" s="6"/>
      <c r="G84" s="6"/>
      <c r="H84" s="366"/>
      <c r="I84" s="37"/>
      <c r="J84" s="365"/>
      <c r="K84" s="6"/>
      <c r="L84" s="6"/>
      <c r="M84" s="366"/>
      <c r="O84" s="365"/>
      <c r="P84" s="6"/>
      <c r="Q84" s="6"/>
      <c r="R84" s="366"/>
      <c r="T84" s="392"/>
      <c r="U84" s="341"/>
      <c r="V84" s="341"/>
      <c r="W84" s="393"/>
      <c r="X84" s="296"/>
      <c r="Y84" s="392">
        <f>+'Market Prices'!S97</f>
        <v>8283.8886860413586</v>
      </c>
      <c r="Z84" s="341">
        <f>+'Market Prices'!T97</f>
        <v>6843.1719383213203</v>
      </c>
      <c r="AA84" s="341">
        <f>+'Market Prices'!U97</f>
        <v>7359.8377490323146</v>
      </c>
      <c r="AB84" s="393">
        <f>+'Market Prices'!V97</f>
        <v>7354.2240723278701</v>
      </c>
      <c r="AC84" s="296">
        <f>AVERAGE(Y84:AB84)</f>
        <v>7460.2806114307159</v>
      </c>
      <c r="AD84" s="392">
        <f>+'Market Prices'!W97</f>
        <v>5887.49512865822</v>
      </c>
      <c r="AE84" s="341">
        <f>+'Market Prices'!X97</f>
        <v>7342.5870896590586</v>
      </c>
      <c r="AF84" s="341">
        <f>+'Market Prices'!Y97</f>
        <v>9428.2420655372098</v>
      </c>
      <c r="AG84" s="393">
        <f>+'Market Prices'!Z97</f>
        <v>7903.1028409842911</v>
      </c>
      <c r="AH84" s="296">
        <f>AVERAGE(AD84:AG84)</f>
        <v>7640.3567812096953</v>
      </c>
      <c r="AI84" s="392">
        <f>+'Market Prices'!AA97</f>
        <v>5838.4228171684554</v>
      </c>
      <c r="AJ84" s="341">
        <f>+'Market Prices'!AB97</f>
        <v>11231.838014387387</v>
      </c>
      <c r="AK84" s="341">
        <f>+'Market Prices'!AC97</f>
        <v>14895.865292939685</v>
      </c>
      <c r="AL84" s="393">
        <f>+'Market Prices'!AD97</f>
        <v>11088.680104153016</v>
      </c>
      <c r="AM84" s="296">
        <f>AVERAGE(AI84:AL84)</f>
        <v>10763.701557162136</v>
      </c>
      <c r="AN84" s="392">
        <f>+'Market Prices'!AE97</f>
        <v>7430.0572431015753</v>
      </c>
      <c r="AO84" s="341">
        <f>+'Market Prices'!AF97</f>
        <v>9854.2125554743252</v>
      </c>
      <c r="AP84" s="341">
        <f>+'Market Prices'!AG97</f>
        <v>14312.880773121604</v>
      </c>
      <c r="AQ84" s="393">
        <f>+'Market Prices'!AH97</f>
        <v>7721.1693236924348</v>
      </c>
      <c r="AR84" s="296">
        <f>AVERAGE(AN84:AQ84)</f>
        <v>9829.5799738474852</v>
      </c>
      <c r="AS84" s="392">
        <f>+'Market Prices'!AI97</f>
        <v>6476.9106982314634</v>
      </c>
      <c r="AT84" s="341">
        <f>+'Market Prices'!AJ97</f>
        <v>5766.6546578633643</v>
      </c>
      <c r="AU84" s="341">
        <f>+'Market Prices'!AK97</f>
        <v>9936.1248110884608</v>
      </c>
      <c r="AV84" s="393">
        <f>+'Market Prices'!AL97</f>
        <v>7145.8747184646672</v>
      </c>
      <c r="AW84" s="296">
        <f>AVERAGE(AS84:AV84)</f>
        <v>7331.3912214119891</v>
      </c>
      <c r="AX84" s="392">
        <f>+'Market Prices'!AM97</f>
        <v>4993.9723459738043</v>
      </c>
      <c r="AY84" s="341">
        <f>+'Market Prices'!AN97</f>
        <v>14859.377349977438</v>
      </c>
      <c r="AZ84" s="341">
        <f>+'Market Prices'!AO97</f>
        <v>13198.198198198197</v>
      </c>
      <c r="BA84" s="393">
        <f>+'Market Prices'!AP97</f>
        <v>12321.539416511485</v>
      </c>
      <c r="BB84" s="296">
        <f>AVERAGE(AX84:BA84)</f>
        <v>11343.27182766523</v>
      </c>
      <c r="BC84" s="394">
        <f>+'Market Prices'!AQ97</f>
        <v>13766.147964572425</v>
      </c>
      <c r="BD84" s="342">
        <f>+'Market Prices'!AR97</f>
        <v>17987.083179969206</v>
      </c>
      <c r="BE84" s="342">
        <f>+'Market Prices'!AS97</f>
        <v>15264.015012002199</v>
      </c>
      <c r="BF84" s="395">
        <f>+'Market Prices'!AT97</f>
        <v>6334.5447057720257</v>
      </c>
      <c r="BG84" s="296">
        <f>AVERAGE(BC84:BF84)</f>
        <v>13337.947715578963</v>
      </c>
      <c r="BH84" s="394">
        <f>+'Market Prices'!AU97</f>
        <v>13835.817936941603</v>
      </c>
      <c r="BI84" s="342">
        <f>+'Market Prices'!AV97</f>
        <v>18078.115151394733</v>
      </c>
      <c r="BJ84" s="342">
        <f>+'Market Prices'!AW97</f>
        <v>15341.265634824622</v>
      </c>
      <c r="BK84" s="395">
        <f>+'Market Prices'!AX97</f>
        <v>6366.603605310097</v>
      </c>
      <c r="BL84" s="296">
        <f>AVERAGE(BH84:BK84)</f>
        <v>13405.450582117764</v>
      </c>
      <c r="BM84" s="394">
        <f>+'Market Prices'!AY97</f>
        <v>13642.039241588413</v>
      </c>
      <c r="BN84" s="342">
        <f>+'Market Prices'!AZ97</f>
        <v>17824.920610642024</v>
      </c>
      <c r="BO84" s="342">
        <f>+'Market Prices'!BA97</f>
        <v>15126.402266910129</v>
      </c>
      <c r="BP84" s="395">
        <f>+'Market Prices'!BB97</f>
        <v>6277.4356106103478</v>
      </c>
      <c r="BQ84" s="296">
        <f>AVERAGE(BM84:BP84)</f>
        <v>13217.69943243773</v>
      </c>
      <c r="BR84" s="1749"/>
      <c r="BS84" s="591"/>
      <c r="BT84" s="591"/>
      <c r="BU84" s="591"/>
      <c r="BV84" s="591"/>
    </row>
    <row r="85" spans="1:74" s="2" customFormat="1">
      <c r="A85" s="1523"/>
      <c r="C85" s="535"/>
      <c r="E85" s="365"/>
      <c r="F85" s="6"/>
      <c r="G85" s="6"/>
      <c r="H85" s="366"/>
      <c r="I85" s="37"/>
      <c r="J85" s="365"/>
      <c r="K85" s="6"/>
      <c r="L85" s="6"/>
      <c r="M85" s="366"/>
      <c r="O85" s="365"/>
      <c r="P85" s="6"/>
      <c r="Q85" s="6"/>
      <c r="R85" s="366"/>
      <c r="T85" s="365"/>
      <c r="U85" s="6"/>
      <c r="V85" s="6"/>
      <c r="W85" s="366"/>
      <c r="Y85" s="365"/>
      <c r="Z85" s="6"/>
      <c r="AA85" s="6"/>
      <c r="AB85" s="366"/>
      <c r="AD85" s="365"/>
      <c r="AE85" s="6"/>
      <c r="AF85" s="6"/>
      <c r="AG85" s="366"/>
      <c r="AI85" s="365"/>
      <c r="AJ85" s="6"/>
      <c r="AK85" s="6"/>
      <c r="AL85" s="366"/>
      <c r="AN85" s="365"/>
      <c r="AO85" s="6"/>
      <c r="AP85" s="6"/>
      <c r="AQ85" s="366"/>
      <c r="AS85" s="365"/>
      <c r="AT85" s="6"/>
      <c r="AU85" s="6"/>
      <c r="AV85" s="366"/>
      <c r="AX85" s="365"/>
      <c r="AY85" s="6"/>
      <c r="AZ85" s="6"/>
      <c r="BA85" s="366"/>
      <c r="BC85" s="365"/>
      <c r="BD85" s="6"/>
      <c r="BE85" s="6"/>
      <c r="BF85" s="366"/>
      <c r="BH85" s="365"/>
      <c r="BI85" s="6"/>
      <c r="BJ85" s="6"/>
      <c r="BK85" s="366"/>
      <c r="BM85" s="365"/>
      <c r="BN85" s="6"/>
      <c r="BO85" s="6"/>
      <c r="BP85" s="366"/>
      <c r="BR85" s="759"/>
    </row>
    <row r="86" spans="1:74" s="2" customFormat="1">
      <c r="A86" s="1523"/>
      <c r="C86" s="535" t="s">
        <v>461</v>
      </c>
      <c r="E86" s="365"/>
      <c r="F86" s="6"/>
      <c r="G86" s="6"/>
      <c r="H86" s="366"/>
      <c r="I86" s="37"/>
      <c r="J86" s="365"/>
      <c r="K86" s="6"/>
      <c r="L86" s="6"/>
      <c r="M86" s="366"/>
      <c r="O86" s="365"/>
      <c r="P86" s="6"/>
      <c r="Q86" s="6"/>
      <c r="R86" s="366"/>
      <c r="T86" s="392"/>
      <c r="U86" s="341"/>
      <c r="V86" s="341"/>
      <c r="W86" s="393"/>
      <c r="X86" s="296"/>
      <c r="Y86" s="392">
        <f>'Market Prices'!S82</f>
        <v>9769.8876086014934</v>
      </c>
      <c r="Z86" s="341">
        <f>'Market Prices'!T82</f>
        <v>10989.280048611789</v>
      </c>
      <c r="AA86" s="341">
        <f>'Market Prices'!U82</f>
        <v>13580.3682962901</v>
      </c>
      <c r="AB86" s="393">
        <f>'Market Prices'!V82</f>
        <v>10104.935635805112</v>
      </c>
      <c r="AC86" s="296">
        <f>AVERAGE(Y86:AB86)</f>
        <v>11111.117897327124</v>
      </c>
      <c r="AD86" s="392">
        <f>'Market Prices'!W82</f>
        <v>8947.0994834564881</v>
      </c>
      <c r="AE86" s="341">
        <f>'Market Prices'!X82</f>
        <v>13598.639044134061</v>
      </c>
      <c r="AF86" s="341">
        <f>'Market Prices'!Y82</f>
        <v>16362.499285784888</v>
      </c>
      <c r="AG86" s="393">
        <f>'Market Prices'!Z82</f>
        <v>14636.185295017334</v>
      </c>
      <c r="AH86" s="296">
        <f>AVERAGE(AD86:AG86)</f>
        <v>13386.105777098193</v>
      </c>
      <c r="AI86" s="392">
        <f>'Market Prices'!AA82</f>
        <v>8819.9510291713868</v>
      </c>
      <c r="AJ86" s="341">
        <f>'Market Prices'!AB82</f>
        <v>24123.141529550368</v>
      </c>
      <c r="AK86" s="341">
        <f>'Market Prices'!AC82</f>
        <v>28747.430408517044</v>
      </c>
      <c r="AL86" s="393">
        <f>'Market Prices'!AD82</f>
        <v>24735.597244755765</v>
      </c>
      <c r="AM86" s="296">
        <f>AVERAGE(AI86:AL86)</f>
        <v>21606.530052998642</v>
      </c>
      <c r="AN86" s="392">
        <f>'Market Prices'!AE82</f>
        <v>16416.865442427312</v>
      </c>
      <c r="AO86" s="341">
        <f>'Market Prices'!AF82</f>
        <v>20663.424419465664</v>
      </c>
      <c r="AP86" s="341">
        <f>'Market Prices'!AG82</f>
        <v>28889.206582791372</v>
      </c>
      <c r="AQ86" s="393">
        <f>'Market Prices'!AH82</f>
        <v>14896.780177793647</v>
      </c>
      <c r="AR86" s="296">
        <f>AVERAGE(AN86:AQ86)</f>
        <v>20216.569155619502</v>
      </c>
      <c r="AS86" s="392">
        <f>'Market Prices'!AI82</f>
        <v>10739.7501298603</v>
      </c>
      <c r="AT86" s="341">
        <f>'Market Prices'!AJ82</f>
        <v>13045.335901964805</v>
      </c>
      <c r="AU86" s="341">
        <f>'Market Prices'!AK82</f>
        <v>20361.658997618648</v>
      </c>
      <c r="AV86" s="393">
        <f>'Market Prices'!AL82</f>
        <v>13616.365420376185</v>
      </c>
      <c r="AW86" s="296">
        <f>AVERAGE(AS86:AV86)</f>
        <v>14440.777612454986</v>
      </c>
      <c r="AX86" s="392">
        <f>'Market Prices'!AM82</f>
        <v>7345.4940065431902</v>
      </c>
      <c r="AY86" s="341">
        <f>'Market Prices'!AN82</f>
        <v>15566.250563994585</v>
      </c>
      <c r="AZ86" s="341">
        <f>'Market Prices'!AO82</f>
        <v>16621.62162162162</v>
      </c>
      <c r="BA86" s="393">
        <f>'Market Prices'!AP82</f>
        <v>12917.442582247049</v>
      </c>
      <c r="BB86" s="296">
        <f>AVERAGE(AX86:BA86)</f>
        <v>13112.702193601612</v>
      </c>
      <c r="BC86" s="392">
        <f>'Market Prices'!AQ82</f>
        <v>11104.548723888633</v>
      </c>
      <c r="BD86" s="341">
        <f>'Market Prices'!AR82</f>
        <v>16674.490418195121</v>
      </c>
      <c r="BE86" s="341">
        <f>'Market Prices'!AS82</f>
        <v>17885.095700846545</v>
      </c>
      <c r="BF86" s="393">
        <f>'Market Prices'!AT82</f>
        <v>10165.322792411107</v>
      </c>
      <c r="BG86" s="296">
        <f>AVERAGE(BC86:BF86)</f>
        <v>13957.364408835352</v>
      </c>
      <c r="BH86" s="392">
        <f>'Market Prices'!AU82</f>
        <v>11252.137629199777</v>
      </c>
      <c r="BI86" s="341">
        <f>'Market Prices'!AV82</f>
        <v>16896.108590048279</v>
      </c>
      <c r="BJ86" s="341">
        <f>'Market Prices'!AW82</f>
        <v>18122.803847436458</v>
      </c>
      <c r="BK86" s="393">
        <f>'Market Prices'!AX82</f>
        <v>10300.428585574848</v>
      </c>
      <c r="BL86" s="296">
        <f>AVERAGE(BH86:BK86)</f>
        <v>14142.869663064841</v>
      </c>
      <c r="BM86" s="392">
        <f>'Market Prices'!AY82</f>
        <v>14319.999999999998</v>
      </c>
      <c r="BN86" s="341">
        <f>'Market Prices'!AZ82</f>
        <v>14319.999999999998</v>
      </c>
      <c r="BO86" s="341">
        <f>'Market Prices'!BA82</f>
        <v>14319.999999999998</v>
      </c>
      <c r="BP86" s="393">
        <f>'Market Prices'!BB82</f>
        <v>14319.999999999998</v>
      </c>
      <c r="BQ86" s="296">
        <f>AVERAGE(BM86:BP86)</f>
        <v>14319.999999999998</v>
      </c>
      <c r="BR86" s="1749"/>
      <c r="BS86" s="602"/>
      <c r="BT86" s="602"/>
      <c r="BU86" s="309"/>
      <c r="BV86" s="309"/>
    </row>
    <row r="87" spans="1:74" s="2" customFormat="1">
      <c r="A87" s="1523"/>
      <c r="C87" s="535" t="s">
        <v>462</v>
      </c>
      <c r="E87" s="365"/>
      <c r="F87" s="6"/>
      <c r="G87" s="6"/>
      <c r="H87" s="366"/>
      <c r="I87" s="37"/>
      <c r="J87" s="365"/>
      <c r="K87" s="6"/>
      <c r="L87" s="6"/>
      <c r="M87" s="366"/>
      <c r="O87" s="365"/>
      <c r="P87" s="6"/>
      <c r="Q87" s="6"/>
      <c r="R87" s="366"/>
      <c r="T87" s="392"/>
      <c r="U87" s="341"/>
      <c r="V87" s="341"/>
      <c r="W87" s="393"/>
      <c r="X87" s="296"/>
      <c r="Y87" s="392">
        <f>+'Market Prices'!S100</f>
        <v>7789.8114136442509</v>
      </c>
      <c r="Z87" s="341">
        <f>+'Market Prices'!T100</f>
        <v>7147.248796830625</v>
      </c>
      <c r="AA87" s="341">
        <f>+'Market Prices'!U100</f>
        <v>8031.1736003835267</v>
      </c>
      <c r="AB87" s="393">
        <f>+'Market Prices'!V100</f>
        <v>7795.107694833674</v>
      </c>
      <c r="AC87" s="296">
        <f>AVERAGE(Y87:AB87)</f>
        <v>7690.8353764230187</v>
      </c>
      <c r="AD87" s="392">
        <f>+'Market Prices'!W100</f>
        <v>6166.530696296164</v>
      </c>
      <c r="AE87" s="341">
        <f>+'Market Prices'!X100</f>
        <v>8263.5632022788723</v>
      </c>
      <c r="AF87" s="341">
        <f>+'Market Prices'!Y100</f>
        <v>10837.129084616699</v>
      </c>
      <c r="AG87" s="393">
        <f>+'Market Prices'!Z100</f>
        <v>10859.130824743526</v>
      </c>
      <c r="AH87" s="296">
        <f>AVERAGE(AD87:AG87)</f>
        <v>9031.5884519838146</v>
      </c>
      <c r="AI87" s="392">
        <f>+'Market Prices'!AA100</f>
        <v>6858.1083928038697</v>
      </c>
      <c r="AJ87" s="341">
        <f>+'Market Prices'!AB100</f>
        <v>15422.985685691838</v>
      </c>
      <c r="AK87" s="341">
        <f>+'Market Prices'!AC100</f>
        <v>16917.689223633119</v>
      </c>
      <c r="AL87" s="393">
        <f>+'Market Prices'!AD100</f>
        <v>17146.191788467313</v>
      </c>
      <c r="AM87" s="296">
        <f>AVERAGE(AI87:AL87)</f>
        <v>14086.243772649035</v>
      </c>
      <c r="AN87" s="392">
        <f>+'Market Prices'!AE100</f>
        <v>13082.44971352325</v>
      </c>
      <c r="AO87" s="341">
        <f>+'Market Prices'!AF100</f>
        <v>13437.831424583155</v>
      </c>
      <c r="AP87" s="341">
        <f>+'Market Prices'!AG100</f>
        <v>16998.184607495699</v>
      </c>
      <c r="AQ87" s="393">
        <f>+'Market Prices'!AH100</f>
        <v>11310.225430871806</v>
      </c>
      <c r="AR87" s="296">
        <f>AVERAGE(AN87:AQ87)</f>
        <v>13707.172794118478</v>
      </c>
      <c r="AS87" s="392">
        <f>+'Market Prices'!AI100</f>
        <v>9046.2979187077945</v>
      </c>
      <c r="AT87" s="341">
        <f>+'Market Prices'!AJ100</f>
        <v>8797.2641070890259</v>
      </c>
      <c r="AU87" s="341">
        <f>+'Market Prices'!AK100</f>
        <v>12592.415236425988</v>
      </c>
      <c r="AV87" s="393">
        <f>+'Market Prices'!AL100</f>
        <v>10428.152314932511</v>
      </c>
      <c r="AW87" s="296">
        <f>AVERAGE(AS87:AV87)</f>
        <v>10216.032394288828</v>
      </c>
      <c r="AX87" s="392">
        <f>+'Market Prices'!AM100</f>
        <v>6682.4698912828535</v>
      </c>
      <c r="AY87" s="341">
        <f>+'Market Prices'!AN100</f>
        <v>11257.331929613474</v>
      </c>
      <c r="AZ87" s="341">
        <f>+'Market Prices'!AO100</f>
        <v>11163.663663663663</v>
      </c>
      <c r="BA87" s="393">
        <f>+'Market Prices'!AP100</f>
        <v>9565.4872749844817</v>
      </c>
      <c r="BB87" s="296">
        <f>AVERAGE(AX87:BA87)</f>
        <v>9667.2381898861167</v>
      </c>
      <c r="BC87" s="392">
        <f>+'Market Prices'!AQ100</f>
        <v>8968.4071460360283</v>
      </c>
      <c r="BD87" s="341">
        <f>+'Market Prices'!AR100</f>
        <v>11591.660811253709</v>
      </c>
      <c r="BE87" s="341">
        <f>+'Market Prices'!AS100</f>
        <v>11437.093284386061</v>
      </c>
      <c r="BF87" s="393">
        <f>+'Market Prices'!AT100</f>
        <v>8324.117177218186</v>
      </c>
      <c r="BG87" s="296">
        <f>AVERAGE(BC87:BF87)</f>
        <v>10080.319604723496</v>
      </c>
      <c r="BH87" s="392">
        <f>+'Market Prices'!AU100</f>
        <v>9005.6896599988304</v>
      </c>
      <c r="BI87" s="341">
        <f>+'Market Prices'!AV100</f>
        <v>11639.848437998402</v>
      </c>
      <c r="BJ87" s="341">
        <f>+'Market Prices'!AW100</f>
        <v>11484.6383593504</v>
      </c>
      <c r="BK87" s="393">
        <f>+'Market Prices'!AX100</f>
        <v>8358.7213170430405</v>
      </c>
      <c r="BL87" s="296">
        <f>AVERAGE(BH87:BK87)</f>
        <v>10122.224443597668</v>
      </c>
      <c r="BM87" s="392">
        <f>+'Market Prices'!AY100</f>
        <v>10475.535039141012</v>
      </c>
      <c r="BN87" s="341">
        <f>+'Market Prices'!AZ100</f>
        <v>10475.535039141012</v>
      </c>
      <c r="BO87" s="341">
        <f>+'Market Prices'!BA100</f>
        <v>10475.535039141012</v>
      </c>
      <c r="BP87" s="393">
        <f>+'Market Prices'!BB100</f>
        <v>10475.535039141012</v>
      </c>
      <c r="BQ87" s="296">
        <f>AVERAGE(BM87:BP87)</f>
        <v>10475.535039141012</v>
      </c>
      <c r="BR87" s="1749"/>
    </row>
    <row r="88" spans="1:74" s="2" customFormat="1">
      <c r="A88" s="1523"/>
      <c r="C88" s="535"/>
      <c r="E88" s="365"/>
      <c r="F88" s="6"/>
      <c r="G88" s="6"/>
      <c r="H88" s="366"/>
      <c r="I88" s="37"/>
      <c r="J88" s="365"/>
      <c r="K88" s="6"/>
      <c r="L88" s="6"/>
      <c r="M88" s="366"/>
      <c r="O88" s="365"/>
      <c r="P88" s="6"/>
      <c r="Q88" s="6"/>
      <c r="R88" s="366"/>
      <c r="T88" s="392"/>
      <c r="U88" s="341"/>
      <c r="V88" s="341"/>
      <c r="W88" s="393"/>
      <c r="X88" s="296"/>
      <c r="Y88" s="392"/>
      <c r="Z88" s="341"/>
      <c r="AA88" s="341"/>
      <c r="AB88" s="393"/>
      <c r="AC88" s="296"/>
      <c r="AD88" s="392"/>
      <c r="AE88" s="341"/>
      <c r="AF88" s="341"/>
      <c r="AG88" s="393"/>
      <c r="AH88" s="296"/>
      <c r="AI88" s="392"/>
      <c r="AJ88" s="341"/>
      <c r="AK88" s="341"/>
      <c r="AL88" s="393"/>
      <c r="AM88" s="296"/>
      <c r="AN88" s="392"/>
      <c r="AO88" s="341"/>
      <c r="AP88" s="341"/>
      <c r="AQ88" s="393"/>
      <c r="AR88" s="296"/>
      <c r="AS88" s="392"/>
      <c r="AT88" s="341"/>
      <c r="AU88" s="341"/>
      <c r="AV88" s="393"/>
      <c r="AW88" s="296"/>
      <c r="AX88" s="392"/>
      <c r="AY88" s="341"/>
      <c r="AZ88" s="341"/>
      <c r="BA88" s="393"/>
      <c r="BB88" s="296"/>
      <c r="BC88" s="392"/>
      <c r="BD88" s="341"/>
      <c r="BE88" s="341"/>
      <c r="BF88" s="393"/>
      <c r="BG88" s="296"/>
      <c r="BH88" s="392"/>
      <c r="BI88" s="341"/>
      <c r="BJ88" s="341"/>
      <c r="BK88" s="393"/>
      <c r="BL88" s="296"/>
      <c r="BM88" s="392"/>
      <c r="BN88" s="341"/>
      <c r="BO88" s="341"/>
      <c r="BP88" s="393"/>
      <c r="BQ88" s="296"/>
      <c r="BR88" s="1749"/>
    </row>
    <row r="89" spans="1:74" s="2" customFormat="1">
      <c r="A89" s="1523"/>
      <c r="C89" s="535" t="s">
        <v>706</v>
      </c>
      <c r="E89" s="365"/>
      <c r="F89" s="6"/>
      <c r="G89" s="6"/>
      <c r="H89" s="366"/>
      <c r="I89" s="37"/>
      <c r="J89" s="365"/>
      <c r="K89" s="6"/>
      <c r="L89" s="6"/>
      <c r="M89" s="366"/>
      <c r="O89" s="365"/>
      <c r="P89" s="6"/>
      <c r="Q89" s="6"/>
      <c r="R89" s="366"/>
      <c r="T89" s="392"/>
      <c r="U89" s="341"/>
      <c r="V89" s="341"/>
      <c r="W89" s="393"/>
      <c r="X89" s="296"/>
      <c r="Y89" s="392">
        <f>'Market Prices'!S83</f>
        <v>9911.8076792134689</v>
      </c>
      <c r="Z89" s="341">
        <f>'Market Prices'!T83</f>
        <v>11384.147247720264</v>
      </c>
      <c r="AA89" s="341">
        <f>'Market Prices'!U83</f>
        <v>15573.185234756584</v>
      </c>
      <c r="AB89" s="393">
        <f>'Market Prices'!V83</f>
        <v>10607.460008072527</v>
      </c>
      <c r="AC89" s="296">
        <f>AVERAGE(Y89:AB89)</f>
        <v>11869.150042440711</v>
      </c>
      <c r="AD89" s="392">
        <f>'Market Prices'!W83</f>
        <v>10425.452124530333</v>
      </c>
      <c r="AE89" s="341">
        <f>'Market Prices'!X83</f>
        <v>14513.982866861383</v>
      </c>
      <c r="AF89" s="341">
        <f>'Market Prices'!Y83</f>
        <v>17923.159637116962</v>
      </c>
      <c r="AG89" s="393">
        <f>'Market Prices'!Z83</f>
        <v>17808.177795314739</v>
      </c>
      <c r="AH89" s="296">
        <f>AVERAGE(AD89:AG89)</f>
        <v>15167.693105955856</v>
      </c>
      <c r="AI89" s="392">
        <f>'Market Prices'!AA83</f>
        <v>10435.739406819961</v>
      </c>
      <c r="AJ89" s="341">
        <f>'Market Prices'!AB83</f>
        <v>22688.465601410513</v>
      </c>
      <c r="AK89" s="341">
        <f>'Market Prices'!AC83</f>
        <v>29063.334258348081</v>
      </c>
      <c r="AL89" s="393">
        <f>'Market Prices'!AD83</f>
        <v>23298.162468780309</v>
      </c>
      <c r="AM89" s="296">
        <f>AVERAGE(AI89:AL89)</f>
        <v>21371.425433839719</v>
      </c>
      <c r="AN89" s="392">
        <f>'Market Prices'!AE83</f>
        <v>17051.205582715174</v>
      </c>
      <c r="AO89" s="341">
        <f>'Market Prices'!AF83</f>
        <v>18139.264256659353</v>
      </c>
      <c r="AP89" s="341">
        <f>'Market Prices'!AG83</f>
        <v>30127.615946596885</v>
      </c>
      <c r="AQ89" s="393">
        <f>'Market Prices'!AH83</f>
        <v>12908.049102170644</v>
      </c>
      <c r="AR89" s="296">
        <f>AVERAGE(AN89:AQ89)</f>
        <v>19556.533722035514</v>
      </c>
      <c r="AS89" s="392">
        <f>'Market Prices'!AI83</f>
        <v>11111.448318537523</v>
      </c>
      <c r="AT89" s="341">
        <f>'Market Prices'!AJ83</f>
        <v>12879.867308086643</v>
      </c>
      <c r="AU89" s="341">
        <f>'Market Prices'!AK83</f>
        <v>19709.573082387014</v>
      </c>
      <c r="AV89" s="393">
        <f>'Market Prices'!AL83</f>
        <v>14197.025620468919</v>
      </c>
      <c r="AW89" s="296">
        <f>AVERAGE(AS89:AV89)</f>
        <v>14474.478582370026</v>
      </c>
      <c r="AX89" s="392">
        <f>'Market Prices'!AM83</f>
        <v>7552.144985638347</v>
      </c>
      <c r="AY89" s="341">
        <f>'Market Prices'!AN83</f>
        <v>15508.196721311475</v>
      </c>
      <c r="AZ89" s="341">
        <f>'Market Prices'!AO83</f>
        <v>17145.420420420422</v>
      </c>
      <c r="BA89" s="393">
        <f>'Market Prices'!AP83</f>
        <v>12891.744258224702</v>
      </c>
      <c r="BB89" s="296">
        <f>AVERAGE(AX89:BA89)</f>
        <v>13274.376596398735</v>
      </c>
      <c r="BC89" s="392">
        <f>'Market Prices'!AQ83</f>
        <v>12752.248157113403</v>
      </c>
      <c r="BD89" s="341">
        <f>'Market Prices'!AR83</f>
        <v>17021.585855808447</v>
      </c>
      <c r="BE89" s="341">
        <f>'Market Prices'!AS83</f>
        <v>18914.044155281495</v>
      </c>
      <c r="BF89" s="393">
        <f>'Market Prices'!AT83</f>
        <v>9489.5496195419528</v>
      </c>
      <c r="BG89" s="296">
        <f>AVERAGE(BC89:BF89)</f>
        <v>14544.356946936325</v>
      </c>
      <c r="BH89" s="392">
        <f>'Market Prices'!AU83</f>
        <v>12943.493840954505</v>
      </c>
      <c r="BI89" s="341">
        <f>'Market Prices'!AV83</f>
        <v>17276.858870177937</v>
      </c>
      <c r="BJ89" s="341">
        <f>'Market Prices'!AW83</f>
        <v>19197.698399153764</v>
      </c>
      <c r="BK89" s="393">
        <f>'Market Prices'!AX83</f>
        <v>9631.864557580624</v>
      </c>
      <c r="BL89" s="296">
        <f>AVERAGE(BH89:BK89)</f>
        <v>14762.478916966707</v>
      </c>
      <c r="BM89" s="392">
        <f>'Market Prices'!AY83</f>
        <v>14408.571428571429</v>
      </c>
      <c r="BN89" s="341">
        <f>'Market Prices'!AZ83</f>
        <v>14408.571428571429</v>
      </c>
      <c r="BO89" s="341">
        <f>'Market Prices'!BA83</f>
        <v>14408.571428571429</v>
      </c>
      <c r="BP89" s="393">
        <f>'Market Prices'!BB83</f>
        <v>14408.571428571429</v>
      </c>
      <c r="BQ89" s="296">
        <f>AVERAGE(BM89:BP89)</f>
        <v>14408.571428571429</v>
      </c>
      <c r="BR89" s="1749"/>
      <c r="BS89" s="602"/>
      <c r="BT89" s="602"/>
      <c r="BU89" s="309"/>
      <c r="BV89" s="309"/>
    </row>
    <row r="90" spans="1:74" s="2" customFormat="1">
      <c r="A90" s="1523"/>
      <c r="C90" s="535" t="s">
        <v>248</v>
      </c>
      <c r="E90" s="365"/>
      <c r="F90" s="6"/>
      <c r="G90" s="6"/>
      <c r="H90" s="366"/>
      <c r="I90" s="37"/>
      <c r="J90" s="365"/>
      <c r="K90" s="6"/>
      <c r="L90" s="6"/>
      <c r="M90" s="366"/>
      <c r="O90" s="365"/>
      <c r="P90" s="6"/>
      <c r="Q90" s="6"/>
      <c r="R90" s="366"/>
      <c r="T90" s="392"/>
      <c r="U90" s="341"/>
      <c r="V90" s="341"/>
      <c r="W90" s="393"/>
      <c r="X90" s="296"/>
      <c r="Y90" s="392">
        <f>+'Market Prices'!S101</f>
        <v>8039.5762260747151</v>
      </c>
      <c r="Z90" s="341">
        <f>+'Market Prices'!T101</f>
        <v>7560.6867566728806</v>
      </c>
      <c r="AA90" s="341">
        <f>+'Market Prices'!U101</f>
        <v>8465.7345865797197</v>
      </c>
      <c r="AB90" s="393">
        <f>+'Market Prices'!V101</f>
        <v>8094.5011996556996</v>
      </c>
      <c r="AC90" s="296">
        <f>AVERAGE(Y90:AB90)</f>
        <v>8040.124692245754</v>
      </c>
      <c r="AD90" s="392">
        <f>+'Market Prices'!W101</f>
        <v>7151.6799340099105</v>
      </c>
      <c r="AE90" s="341">
        <f>+'Market Prices'!X101</f>
        <v>8251.2040516581637</v>
      </c>
      <c r="AF90" s="341">
        <f>+'Market Prices'!Y101</f>
        <v>10479.170149283662</v>
      </c>
      <c r="AG90" s="393">
        <f>+'Market Prices'!Z101</f>
        <v>13653.53156496323</v>
      </c>
      <c r="AH90" s="296">
        <f>AVERAGE(AD90:AG90)</f>
        <v>9883.8964249787423</v>
      </c>
      <c r="AI90" s="392">
        <f>+'Market Prices'!AA101</f>
        <v>8207.0387690658226</v>
      </c>
      <c r="AJ90" s="341">
        <f>+'Market Prices'!AB101</f>
        <v>15499.45605967582</v>
      </c>
      <c r="AK90" s="341">
        <f>+'Market Prices'!AC101</f>
        <v>15178.412461854665</v>
      </c>
      <c r="AL90" s="393">
        <f>+'Market Prices'!AD101</f>
        <v>19658.072019603624</v>
      </c>
      <c r="AM90" s="296">
        <f>AVERAGE(AI90:AL90)</f>
        <v>14635.744827549981</v>
      </c>
      <c r="AN90" s="392">
        <f>+'Market Prices'!AE101</f>
        <v>13822.547494014379</v>
      </c>
      <c r="AO90" s="341">
        <f>+'Market Prices'!AF101</f>
        <v>12166.262278237393</v>
      </c>
      <c r="AP90" s="341">
        <f>+'Market Prices'!AG101</f>
        <v>15635.007649191331</v>
      </c>
      <c r="AQ90" s="393">
        <f>+'Market Prices'!AH101</f>
        <v>9544.6541456185332</v>
      </c>
      <c r="AR90" s="296">
        <f>AVERAGE(AN90:AQ90)</f>
        <v>12792.117891765411</v>
      </c>
      <c r="AS90" s="392">
        <f>+'Market Prices'!AI101</f>
        <v>9801.7076446894607</v>
      </c>
      <c r="AT90" s="341">
        <f>+'Market Prices'!AJ101</f>
        <v>8644.1370259993801</v>
      </c>
      <c r="AU90" s="341">
        <f>+'Market Prices'!AK101</f>
        <v>11004.438339609598</v>
      </c>
      <c r="AV90" s="393">
        <f>+'Market Prices'!AL101</f>
        <v>12310.44340491018</v>
      </c>
      <c r="AW90" s="296">
        <f>AVERAGE(AS90:AV90)</f>
        <v>10440.181603802155</v>
      </c>
      <c r="AX90" s="392">
        <f>+'Market Prices'!AM101</f>
        <v>7116.8692303849139</v>
      </c>
      <c r="AY90" s="341">
        <f>+'Market Prices'!AN101</f>
        <v>11351.481425778313</v>
      </c>
      <c r="AZ90" s="341">
        <f>+'Market Prices'!AO101</f>
        <v>11381.381381381379</v>
      </c>
      <c r="BA90" s="393">
        <f>+'Market Prices'!AP101</f>
        <v>9497.1446306641828</v>
      </c>
      <c r="BB90" s="296">
        <f>AVERAGE(AX90:BA90)</f>
        <v>9836.719167052197</v>
      </c>
      <c r="BC90" s="392">
        <f>+'Market Prices'!AQ101</f>
        <v>10240.121890620401</v>
      </c>
      <c r="BD90" s="341">
        <f>+'Market Prices'!AR101</f>
        <v>11655.324608823219</v>
      </c>
      <c r="BE90" s="341">
        <f>+'Market Prices'!AS101</f>
        <v>11808.620980409776</v>
      </c>
      <c r="BF90" s="393">
        <f>+'Market Prices'!AT101</f>
        <v>8077.2747597348434</v>
      </c>
      <c r="BG90" s="296">
        <f>AVERAGE(BC90:BF90)</f>
        <v>10445.335559897059</v>
      </c>
      <c r="BH90" s="392">
        <f>+'Market Prices'!AU101</f>
        <v>10309.484579678321</v>
      </c>
      <c r="BI90" s="341">
        <f>+'Market Prices'!AV101</f>
        <v>11734.273342573297</v>
      </c>
      <c r="BJ90" s="341">
        <f>+'Market Prices'!AW101</f>
        <v>11888.608085447777</v>
      </c>
      <c r="BK90" s="393">
        <f>+'Market Prices'!AX101</f>
        <v>8131.9871453469759</v>
      </c>
      <c r="BL90" s="296">
        <f>AVERAGE(BH90:BK90)</f>
        <v>10516.088288261593</v>
      </c>
      <c r="BM90" s="392">
        <f>+'Market Prices'!AY101</f>
        <v>10764.111330967613</v>
      </c>
      <c r="BN90" s="341">
        <f>+'Market Prices'!AZ101</f>
        <v>10764.111330967613</v>
      </c>
      <c r="BO90" s="341">
        <f>+'Market Prices'!BA101</f>
        <v>10764.111330967613</v>
      </c>
      <c r="BP90" s="393">
        <f>+'Market Prices'!BB101</f>
        <v>10764.111330967613</v>
      </c>
      <c r="BQ90" s="296">
        <f>AVERAGE(BM90:BP90)</f>
        <v>10764.111330967613</v>
      </c>
      <c r="BR90" s="1749"/>
    </row>
    <row r="91" spans="1:74" s="2" customFormat="1">
      <c r="A91" s="1523"/>
      <c r="C91" s="535"/>
      <c r="E91" s="365"/>
      <c r="F91" s="6"/>
      <c r="G91" s="6"/>
      <c r="H91" s="366"/>
      <c r="I91" s="37"/>
      <c r="J91" s="365"/>
      <c r="K91" s="6"/>
      <c r="L91" s="6"/>
      <c r="M91" s="366"/>
      <c r="O91" s="365"/>
      <c r="P91" s="6"/>
      <c r="Q91" s="6"/>
      <c r="R91" s="366"/>
      <c r="T91" s="392"/>
      <c r="U91" s="341"/>
      <c r="V91" s="341"/>
      <c r="W91" s="393"/>
      <c r="X91" s="296"/>
      <c r="Y91" s="392"/>
      <c r="Z91" s="341"/>
      <c r="AA91" s="341"/>
      <c r="AB91" s="393"/>
      <c r="AC91" s="296"/>
      <c r="AD91" s="392"/>
      <c r="AE91" s="341"/>
      <c r="AF91" s="341"/>
      <c r="AG91" s="393"/>
      <c r="AH91" s="296"/>
      <c r="AI91" s="392"/>
      <c r="AJ91" s="341"/>
      <c r="AK91" s="341"/>
      <c r="AL91" s="393"/>
      <c r="AM91" s="296"/>
      <c r="AN91" s="392"/>
      <c r="AO91" s="341"/>
      <c r="AP91" s="341"/>
      <c r="AQ91" s="393"/>
      <c r="AR91" s="296"/>
      <c r="AS91" s="392"/>
      <c r="AT91" s="341"/>
      <c r="AU91" s="341"/>
      <c r="AV91" s="393"/>
      <c r="AW91" s="296"/>
      <c r="AX91" s="392"/>
      <c r="AY91" s="341"/>
      <c r="AZ91" s="341"/>
      <c r="BA91" s="393"/>
      <c r="BB91" s="296"/>
      <c r="BC91" s="392"/>
      <c r="BD91" s="341"/>
      <c r="BE91" s="341"/>
      <c r="BF91" s="393"/>
      <c r="BG91" s="296"/>
      <c r="BH91" s="392"/>
      <c r="BI91" s="341"/>
      <c r="BJ91" s="341"/>
      <c r="BK91" s="393"/>
      <c r="BL91" s="296"/>
      <c r="BM91" s="392"/>
      <c r="BN91" s="341"/>
      <c r="BO91" s="341"/>
      <c r="BP91" s="393"/>
      <c r="BQ91" s="296"/>
      <c r="BR91" s="1749"/>
    </row>
    <row r="92" spans="1:74" s="2" customFormat="1">
      <c r="A92" s="1523"/>
      <c r="C92" s="757" t="s">
        <v>440</v>
      </c>
      <c r="E92" s="365"/>
      <c r="F92" s="6"/>
      <c r="G92" s="6"/>
      <c r="H92" s="366"/>
      <c r="I92" s="37"/>
      <c r="J92" s="365"/>
      <c r="K92" s="6"/>
      <c r="L92" s="6"/>
      <c r="M92" s="366"/>
      <c r="O92" s="365"/>
      <c r="P92" s="6"/>
      <c r="Q92" s="6"/>
      <c r="R92" s="366"/>
      <c r="T92" s="365"/>
      <c r="U92" s="6"/>
      <c r="V92" s="6"/>
      <c r="W92" s="366"/>
      <c r="Y92" s="365"/>
      <c r="Z92" s="6"/>
      <c r="AA92" s="6"/>
      <c r="AB92" s="366"/>
      <c r="AD92" s="365"/>
      <c r="AE92" s="6"/>
      <c r="AF92" s="6"/>
      <c r="AG92" s="366"/>
      <c r="AI92" s="365"/>
      <c r="AJ92" s="6"/>
      <c r="AK92" s="6"/>
      <c r="AL92" s="366"/>
      <c r="AN92" s="365"/>
      <c r="AO92" s="6"/>
      <c r="AP92" s="6"/>
      <c r="AQ92" s="366"/>
      <c r="AS92" s="365"/>
      <c r="AT92" s="6"/>
      <c r="AU92" s="6"/>
      <c r="AV92" s="366"/>
      <c r="AX92" s="365"/>
      <c r="AY92" s="6"/>
      <c r="AZ92" s="6"/>
      <c r="BA92" s="366"/>
      <c r="BC92" s="365"/>
      <c r="BD92" s="6"/>
      <c r="BE92" s="6"/>
      <c r="BF92" s="366"/>
      <c r="BH92" s="365"/>
      <c r="BI92" s="6"/>
      <c r="BJ92" s="6"/>
      <c r="BK92" s="366"/>
      <c r="BM92" s="365"/>
      <c r="BN92" s="6"/>
      <c r="BO92" s="6"/>
      <c r="BP92" s="366"/>
      <c r="BR92" s="759"/>
    </row>
    <row r="93" spans="1:74" s="2" customFormat="1">
      <c r="A93" s="1523"/>
      <c r="C93" s="759" t="s">
        <v>831</v>
      </c>
      <c r="E93" s="365"/>
      <c r="F93" s="6"/>
      <c r="G93" s="6"/>
      <c r="H93" s="366"/>
      <c r="I93" s="37"/>
      <c r="J93" s="365"/>
      <c r="K93" s="6"/>
      <c r="L93" s="6"/>
      <c r="M93" s="366"/>
      <c r="O93" s="365"/>
      <c r="P93" s="6"/>
      <c r="Q93" s="6"/>
      <c r="R93" s="366"/>
      <c r="S93" s="604"/>
      <c r="T93" s="763"/>
      <c r="U93" s="764"/>
      <c r="V93" s="764"/>
      <c r="W93" s="765"/>
      <c r="X93" s="727"/>
      <c r="Y93" s="728">
        <f>'Market Prices'!S122</f>
        <v>185</v>
      </c>
      <c r="Z93" s="729">
        <f>'Market Prices'!T122</f>
        <v>205</v>
      </c>
      <c r="AA93" s="729">
        <f>'Market Prices'!U122</f>
        <v>245</v>
      </c>
      <c r="AB93" s="730">
        <f>'Market Prices'!V122</f>
        <v>245</v>
      </c>
      <c r="AC93" s="727">
        <f>AVERAGE(Y93:AB93)</f>
        <v>220</v>
      </c>
      <c r="AD93" s="728">
        <f>'Market Prices'!W122</f>
        <v>245</v>
      </c>
      <c r="AE93" s="729">
        <f>'Market Prices'!X122</f>
        <v>238.33333333333334</v>
      </c>
      <c r="AF93" s="729">
        <f>'Market Prices'!Y122</f>
        <v>225</v>
      </c>
      <c r="AG93" s="730">
        <f>'Market Prices'!Z122</f>
        <v>225</v>
      </c>
      <c r="AH93" s="727">
        <f>AVERAGE(AD93:AG93)</f>
        <v>233.33333333333334</v>
      </c>
      <c r="AI93" s="728">
        <f>'Market Prices'!AA122</f>
        <v>225</v>
      </c>
      <c r="AJ93" s="729">
        <f>'Market Prices'!AB122</f>
        <v>205.82</v>
      </c>
      <c r="AK93" s="729">
        <f>'Market Prices'!AC122</f>
        <v>167.46</v>
      </c>
      <c r="AL93" s="730">
        <f>'Market Prices'!AD122</f>
        <v>167.46</v>
      </c>
      <c r="AM93" s="727">
        <f>AVERAGE(AI93:AL93)</f>
        <v>191.435</v>
      </c>
      <c r="AN93" s="1227">
        <f>'Market Prices'!AE122</f>
        <v>167.46</v>
      </c>
      <c r="AO93" s="1228">
        <f>'Market Prices'!AF122</f>
        <v>184.64</v>
      </c>
      <c r="AP93" s="1228">
        <f>'Market Prices'!AG122</f>
        <v>219</v>
      </c>
      <c r="AQ93" s="1229">
        <f>'Market Prices'!AH122</f>
        <v>219</v>
      </c>
      <c r="AR93" s="727">
        <f>AVERAGE(AN93:AQ93)</f>
        <v>197.52500000000001</v>
      </c>
      <c r="AS93" s="1227">
        <f>'Market Prices'!AI122</f>
        <v>219</v>
      </c>
      <c r="AT93" s="1228">
        <f>'Market Prices'!AJ122</f>
        <v>217.66666666666666</v>
      </c>
      <c r="AU93" s="1228">
        <f>'Market Prices'!AK122</f>
        <v>215</v>
      </c>
      <c r="AV93" s="1229">
        <f>'Market Prices'!AL122</f>
        <v>215</v>
      </c>
      <c r="AW93" s="727">
        <f>AVERAGE(AS93:AV93)</f>
        <v>216.66666666666666</v>
      </c>
      <c r="AX93" s="1227">
        <f>'Market Prices'!AM122</f>
        <v>215</v>
      </c>
      <c r="AY93" s="1228">
        <f>'Market Prices'!AN122</f>
        <v>218.4733333333333</v>
      </c>
      <c r="AZ93" s="1228">
        <f>'Market Prices'!AO122</f>
        <v>225.42</v>
      </c>
      <c r="BA93" s="1229">
        <f>'Market Prices'!AP122</f>
        <v>225.42</v>
      </c>
      <c r="BB93" s="727">
        <f>AVERAGE(AX93:BA93)</f>
        <v>221.07833333333332</v>
      </c>
      <c r="BC93" s="1227">
        <f>'Market Prices'!AQ122</f>
        <v>225.42</v>
      </c>
      <c r="BD93" s="1228">
        <f>'Market Prices'!AR122</f>
        <v>190.27999999999997</v>
      </c>
      <c r="BE93" s="1228">
        <f>'Market Prices'!AS122</f>
        <v>120</v>
      </c>
      <c r="BF93" s="1229">
        <f>'Market Prices'!AT122</f>
        <v>120</v>
      </c>
      <c r="BG93" s="727">
        <f>AVERAGE(BC93:BF93)</f>
        <v>163.92499999999998</v>
      </c>
      <c r="BH93" s="1227">
        <f>'Market Prices'!AU122</f>
        <v>120</v>
      </c>
      <c r="BI93" s="1228">
        <f>'Market Prices'!AV122</f>
        <v>142.62333333333333</v>
      </c>
      <c r="BJ93" s="1228">
        <f>'Market Prices'!AW122</f>
        <v>187.87</v>
      </c>
      <c r="BK93" s="1229">
        <f>'Market Prices'!AX122</f>
        <v>187.87</v>
      </c>
      <c r="BL93" s="727">
        <f>AVERAGE(BH93:BK93)</f>
        <v>159.59083333333334</v>
      </c>
      <c r="BM93" s="1227">
        <f t="shared" ref="BM93:BP95" si="121">+BN93</f>
        <v>225</v>
      </c>
      <c r="BN93" s="1228">
        <f>+BO93</f>
        <v>225</v>
      </c>
      <c r="BO93" s="1228">
        <f t="shared" si="121"/>
        <v>225</v>
      </c>
      <c r="BP93" s="1229">
        <f t="shared" si="121"/>
        <v>225</v>
      </c>
      <c r="BQ93" s="1751">
        <f>Valuation!BX31</f>
        <v>225</v>
      </c>
      <c r="BR93" s="1357"/>
    </row>
    <row r="94" spans="1:74" s="2" customFormat="1">
      <c r="A94" s="1523"/>
      <c r="C94" s="535" t="s">
        <v>988</v>
      </c>
      <c r="E94" s="365"/>
      <c r="F94" s="6"/>
      <c r="G94" s="6"/>
      <c r="H94" s="366"/>
      <c r="I94" s="37"/>
      <c r="J94" s="365"/>
      <c r="K94" s="6"/>
      <c r="L94" s="6"/>
      <c r="M94" s="366"/>
      <c r="O94" s="365"/>
      <c r="P94" s="6"/>
      <c r="Q94" s="6"/>
      <c r="R94" s="366"/>
      <c r="S94" s="604"/>
      <c r="T94" s="763"/>
      <c r="U94" s="764"/>
      <c r="V94" s="764"/>
      <c r="W94" s="765"/>
      <c r="X94" s="727"/>
      <c r="Y94" s="728">
        <f>'Market Prices'!S119</f>
        <v>139.72999999999999</v>
      </c>
      <c r="Z94" s="729">
        <f>'Market Prices'!T119</f>
        <v>174.82</v>
      </c>
      <c r="AA94" s="729">
        <f>'Market Prices'!U119</f>
        <v>245</v>
      </c>
      <c r="AB94" s="730">
        <f>'Market Prices'!V119</f>
        <v>245</v>
      </c>
      <c r="AC94" s="727">
        <f>AVERAGE(Y94:AB94)</f>
        <v>201.13749999999999</v>
      </c>
      <c r="AD94" s="728">
        <f>'Market Prices'!W119</f>
        <v>245</v>
      </c>
      <c r="AE94" s="729">
        <f>'Market Prices'!X119</f>
        <v>208.83333333333334</v>
      </c>
      <c r="AF94" s="729">
        <f>'Market Prices'!Y119</f>
        <v>136.5</v>
      </c>
      <c r="AG94" s="730">
        <f>'Market Prices'!Z119</f>
        <v>136.5</v>
      </c>
      <c r="AH94" s="727">
        <f>AVERAGE(AD94:AG94)</f>
        <v>181.70833333333334</v>
      </c>
      <c r="AI94" s="728">
        <f>'Market Prices'!AA119</f>
        <v>136.5</v>
      </c>
      <c r="AJ94" s="729">
        <f>'Market Prices'!AB119</f>
        <v>146.82</v>
      </c>
      <c r="AK94" s="729">
        <f>'Market Prices'!AC119</f>
        <v>167.46</v>
      </c>
      <c r="AL94" s="730">
        <f>'Market Prices'!AD119</f>
        <v>167.46</v>
      </c>
      <c r="AM94" s="727">
        <f>AVERAGE(AI94:AL94)</f>
        <v>154.56</v>
      </c>
      <c r="AN94" s="1227">
        <f>'Market Prices'!AE119</f>
        <v>167.46</v>
      </c>
      <c r="AO94" s="1228">
        <f>'Market Prices'!AF119</f>
        <v>151.35</v>
      </c>
      <c r="AP94" s="1228">
        <f>'Market Prices'!AG119</f>
        <v>119.13</v>
      </c>
      <c r="AQ94" s="1229">
        <f>'Market Prices'!AH119</f>
        <v>119.13</v>
      </c>
      <c r="AR94" s="727">
        <f>AVERAGE(AN94:AQ94)</f>
        <v>139.26749999999998</v>
      </c>
      <c r="AS94" s="1227">
        <f>'Market Prices'!AI119</f>
        <v>119.13</v>
      </c>
      <c r="AT94" s="1228">
        <f>'Market Prices'!AJ119</f>
        <v>119.41999999999999</v>
      </c>
      <c r="AU94" s="1228">
        <f>'Market Prices'!AK119</f>
        <v>120</v>
      </c>
      <c r="AV94" s="1229">
        <f>'Market Prices'!AL119</f>
        <v>120</v>
      </c>
      <c r="AW94" s="727">
        <f>AVERAGE(AS94:AV94)</f>
        <v>119.63749999999999</v>
      </c>
      <c r="AX94" s="1227">
        <f>'Market Prices'!AM119</f>
        <v>120</v>
      </c>
      <c r="AY94" s="1228">
        <f>'Market Prices'!AN119</f>
        <v>155.13999999999999</v>
      </c>
      <c r="AZ94" s="1228">
        <f>'Market Prices'!AO119</f>
        <v>225.42</v>
      </c>
      <c r="BA94" s="1229">
        <f>'Market Prices'!AP119</f>
        <v>225.42</v>
      </c>
      <c r="BB94" s="727">
        <f>AVERAGE(AX94:BA94)</f>
        <v>181.49499999999998</v>
      </c>
      <c r="BC94" s="1227">
        <f>'Market Prices'!AQ119</f>
        <v>225.42</v>
      </c>
      <c r="BD94" s="1228">
        <f>'Market Prices'!AR119</f>
        <v>190.27999999999997</v>
      </c>
      <c r="BE94" s="1228">
        <f>'Market Prices'!AS119</f>
        <v>120</v>
      </c>
      <c r="BF94" s="1229">
        <f>'Market Prices'!AT119</f>
        <v>120</v>
      </c>
      <c r="BG94" s="727">
        <f>AVERAGE(BC94:BF94)</f>
        <v>163.92499999999998</v>
      </c>
      <c r="BH94" s="1227">
        <f>'Market Prices'!AU119</f>
        <v>120</v>
      </c>
      <c r="BI94" s="1228">
        <f>'Market Prices'!AV119</f>
        <v>142.62333333333333</v>
      </c>
      <c r="BJ94" s="1228">
        <f>'Market Prices'!AW119</f>
        <v>187.87</v>
      </c>
      <c r="BK94" s="1229">
        <f>'Market Prices'!AX119</f>
        <v>187.87</v>
      </c>
      <c r="BL94" s="727">
        <f>AVERAGE(BH94:BK94)</f>
        <v>159.59083333333334</v>
      </c>
      <c r="BM94" s="1227">
        <f t="shared" si="121"/>
        <v>225</v>
      </c>
      <c r="BN94" s="1228">
        <f t="shared" si="121"/>
        <v>225</v>
      </c>
      <c r="BO94" s="1228">
        <f t="shared" si="121"/>
        <v>225</v>
      </c>
      <c r="BP94" s="1229">
        <f t="shared" si="121"/>
        <v>225</v>
      </c>
      <c r="BQ94" s="1751">
        <f>Valuation!BX30</f>
        <v>225</v>
      </c>
      <c r="BR94" s="1357"/>
    </row>
    <row r="95" spans="1:74" s="2" customFormat="1">
      <c r="A95" s="1523"/>
      <c r="C95" s="535" t="s">
        <v>830</v>
      </c>
      <c r="E95" s="365"/>
      <c r="F95" s="6"/>
      <c r="G95" s="6"/>
      <c r="H95" s="366"/>
      <c r="I95" s="37"/>
      <c r="J95" s="365"/>
      <c r="K95" s="6"/>
      <c r="L95" s="6"/>
      <c r="M95" s="366"/>
      <c r="O95" s="365"/>
      <c r="P95" s="6"/>
      <c r="Q95" s="6"/>
      <c r="R95" s="366"/>
      <c r="S95" s="604"/>
      <c r="T95" s="763"/>
      <c r="U95" s="764"/>
      <c r="V95" s="764"/>
      <c r="W95" s="765"/>
      <c r="X95" s="727"/>
      <c r="Y95" s="728">
        <f>'Market Prices'!S117</f>
        <v>133.37</v>
      </c>
      <c r="Z95" s="729">
        <f>'Market Prices'!T117</f>
        <v>164.29666666666665</v>
      </c>
      <c r="AA95" s="729">
        <f>'Market Prices'!U117</f>
        <v>226.15</v>
      </c>
      <c r="AB95" s="730">
        <f>'Market Prices'!V117</f>
        <v>226.15</v>
      </c>
      <c r="AC95" s="727">
        <f>AVERAGE(Y95:AB95)</f>
        <v>187.49166666666665</v>
      </c>
      <c r="AD95" s="728">
        <f>'Market Prices'!W117</f>
        <v>226.15</v>
      </c>
      <c r="AE95" s="729">
        <f>'Market Prices'!X117</f>
        <v>196.26666666666665</v>
      </c>
      <c r="AF95" s="729">
        <f>'Market Prices'!Y117</f>
        <v>136.5</v>
      </c>
      <c r="AG95" s="730">
        <f>'Market Prices'!Z117</f>
        <v>136.5</v>
      </c>
      <c r="AH95" s="727">
        <f>AVERAGE(AD95:AG95)</f>
        <v>173.85416666666666</v>
      </c>
      <c r="AI95" s="728">
        <f>'Market Prices'!AA117</f>
        <v>136.5</v>
      </c>
      <c r="AJ95" s="729">
        <f>'Market Prices'!AB117</f>
        <v>146.82</v>
      </c>
      <c r="AK95" s="729">
        <f>'Market Prices'!AC117</f>
        <v>167.46</v>
      </c>
      <c r="AL95" s="730">
        <f>'Market Prices'!AD117</f>
        <v>167.46</v>
      </c>
      <c r="AM95" s="727">
        <f>AVERAGE(AI95:AL95)</f>
        <v>154.56</v>
      </c>
      <c r="AN95" s="1227">
        <f>'Market Prices'!AE117</f>
        <v>167.46</v>
      </c>
      <c r="AO95" s="1228">
        <f>'Market Prices'!AF117</f>
        <v>151.35</v>
      </c>
      <c r="AP95" s="1228">
        <f>'Market Prices'!AG117</f>
        <v>119.13</v>
      </c>
      <c r="AQ95" s="1229">
        <f>'Market Prices'!AH117</f>
        <v>119.13</v>
      </c>
      <c r="AR95" s="727">
        <f>AVERAGE(AN95:AQ95)</f>
        <v>139.26749999999998</v>
      </c>
      <c r="AS95" s="1227">
        <f>'Market Prices'!AI117</f>
        <v>119.13</v>
      </c>
      <c r="AT95" s="1228">
        <f>'Market Prices'!AJ117</f>
        <v>119.41999999999999</v>
      </c>
      <c r="AU95" s="1228">
        <f>'Market Prices'!AK117</f>
        <v>120</v>
      </c>
      <c r="AV95" s="1229">
        <f>'Market Prices'!AL117</f>
        <v>120</v>
      </c>
      <c r="AW95" s="727">
        <f>AVERAGE(AS95:AV95)</f>
        <v>119.63749999999999</v>
      </c>
      <c r="AX95" s="1227">
        <f>'Market Prices'!AM117</f>
        <v>120</v>
      </c>
      <c r="AY95" s="1228">
        <f>'Market Prices'!AN117</f>
        <v>134.92333333333335</v>
      </c>
      <c r="AZ95" s="1228">
        <f>'Market Prices'!AO117</f>
        <v>164.77</v>
      </c>
      <c r="BA95" s="1229">
        <f>'Market Prices'!AP117</f>
        <v>164.77</v>
      </c>
      <c r="BB95" s="727">
        <f>AVERAGE(AX95:BA95)</f>
        <v>146.11583333333334</v>
      </c>
      <c r="BC95" s="1227">
        <f>'Market Prices'!AQ117</f>
        <v>164.77</v>
      </c>
      <c r="BD95" s="1228">
        <f>'Market Prices'!AR117</f>
        <v>143.18</v>
      </c>
      <c r="BE95" s="1228">
        <f>'Market Prices'!AS117</f>
        <v>100</v>
      </c>
      <c r="BF95" s="1229">
        <f>'Market Prices'!AT117</f>
        <v>100</v>
      </c>
      <c r="BG95" s="727">
        <f>AVERAGE(BC95:BF95)</f>
        <v>126.98750000000001</v>
      </c>
      <c r="BH95" s="1227">
        <f>'Market Prices'!AU117</f>
        <v>100</v>
      </c>
      <c r="BI95" s="1228">
        <f>'Market Prices'!AV117</f>
        <v>100</v>
      </c>
      <c r="BJ95" s="1228">
        <f>'Market Prices'!AW117</f>
        <v>86.04</v>
      </c>
      <c r="BK95" s="1229">
        <f>'Market Prices'!AX117</f>
        <v>86.04</v>
      </c>
      <c r="BL95" s="727">
        <f>AVERAGE(BH95:BK95)</f>
        <v>93.02000000000001</v>
      </c>
      <c r="BM95" s="1227">
        <f t="shared" si="121"/>
        <v>150</v>
      </c>
      <c r="BN95" s="1228">
        <f t="shared" si="121"/>
        <v>150</v>
      </c>
      <c r="BO95" s="1228">
        <f t="shared" si="121"/>
        <v>150</v>
      </c>
      <c r="BP95" s="1229">
        <f t="shared" si="121"/>
        <v>150</v>
      </c>
      <c r="BQ95" s="1751">
        <f>Valuation!BX29</f>
        <v>150</v>
      </c>
      <c r="BR95" s="1357"/>
    </row>
    <row r="96" spans="1:74" s="2" customFormat="1">
      <c r="A96" s="1523"/>
      <c r="C96" s="759" t="s">
        <v>373</v>
      </c>
      <c r="E96" s="365"/>
      <c r="F96" s="6"/>
      <c r="G96" s="6"/>
      <c r="H96" s="366"/>
      <c r="I96" s="37"/>
      <c r="J96" s="365"/>
      <c r="K96" s="6"/>
      <c r="L96" s="6"/>
      <c r="M96" s="366"/>
      <c r="O96" s="365"/>
      <c r="P96" s="6"/>
      <c r="Q96" s="6"/>
      <c r="R96" s="366"/>
      <c r="S96" s="604"/>
      <c r="T96" s="763"/>
      <c r="U96" s="764"/>
      <c r="V96" s="764"/>
      <c r="W96" s="765"/>
      <c r="X96" s="727"/>
      <c r="Y96" s="728">
        <f>'Market Prices'!S123</f>
        <v>27</v>
      </c>
      <c r="Z96" s="729">
        <f>'Market Prices'!T123</f>
        <v>101</v>
      </c>
      <c r="AA96" s="729">
        <f>'Market Prices'!U123</f>
        <v>138</v>
      </c>
      <c r="AB96" s="730">
        <f>'Market Prices'!V123</f>
        <v>108.66666666666667</v>
      </c>
      <c r="AC96" s="727">
        <f>AVERAGE(Y96:AB96)</f>
        <v>93.666666666666671</v>
      </c>
      <c r="AD96" s="728">
        <f>'Market Prices'!W123</f>
        <v>94</v>
      </c>
      <c r="AE96" s="729">
        <f>'Market Prices'!X123</f>
        <v>144</v>
      </c>
      <c r="AF96" s="729">
        <f>'Market Prices'!Y123</f>
        <v>169</v>
      </c>
      <c r="AG96" s="730">
        <f>'Market Prices'!Z123</f>
        <v>108.38812785388127</v>
      </c>
      <c r="AH96" s="727">
        <f>AVERAGE(AD96:AG96)</f>
        <v>128.84703196347033</v>
      </c>
      <c r="AI96" s="728">
        <f>'Market Prices'!AA123</f>
        <v>78.082191780821915</v>
      </c>
      <c r="AJ96" s="729">
        <f>'Market Prices'!AB123</f>
        <v>103.83561643835614</v>
      </c>
      <c r="AK96" s="729">
        <f>'Market Prices'!AC123</f>
        <v>116.71232876712327</v>
      </c>
      <c r="AL96" s="730">
        <f>'Market Prices'!AD123</f>
        <v>63.452054794520535</v>
      </c>
      <c r="AM96" s="727">
        <f>AVERAGE(AI96:AL96)</f>
        <v>90.520547945205465</v>
      </c>
      <c r="AN96" s="728">
        <f>'Market Prices'!AE123</f>
        <v>36.821917808219183</v>
      </c>
      <c r="AO96" s="729">
        <f>'Market Prices'!AF123</f>
        <v>91.61643835616438</v>
      </c>
      <c r="AP96" s="729">
        <f>'Market Prices'!AG123</f>
        <v>119.01369863013699</v>
      </c>
      <c r="AQ96" s="730">
        <f>'Market Prices'!AH123</f>
        <v>56.109589041095887</v>
      </c>
      <c r="AR96" s="727">
        <f>AVERAGE(AN96:AQ96)</f>
        <v>75.890410958904113</v>
      </c>
      <c r="AS96" s="728">
        <f>'Market Prices'!AI123</f>
        <v>24.657534246575342</v>
      </c>
      <c r="AT96" s="729">
        <f>'Market Prices'!AJ123</f>
        <v>101.36986301369862</v>
      </c>
      <c r="AU96" s="729">
        <f>'Market Prices'!AK123</f>
        <v>139.72602739726028</v>
      </c>
      <c r="AV96" s="730">
        <f>'Market Prices'!AL123</f>
        <v>75.06849315068493</v>
      </c>
      <c r="AW96" s="727">
        <f>AVERAGE(AS96:AV96)</f>
        <v>85.205479452054789</v>
      </c>
      <c r="AX96" s="728">
        <f>'Market Prices'!AM123</f>
        <v>42.739726027397268</v>
      </c>
      <c r="AY96" s="729">
        <f>'Market Prices'!AN123</f>
        <v>123.83561643835615</v>
      </c>
      <c r="AZ96" s="729">
        <f>'Market Prices'!AO123</f>
        <v>164.38356164383561</v>
      </c>
      <c r="BA96" s="730">
        <f>'Market Prices'!AP123</f>
        <v>83.287671232876704</v>
      </c>
      <c r="BB96" s="727">
        <f>AVERAGE(AX96:BA96)</f>
        <v>103.56164383561642</v>
      </c>
      <c r="BC96" s="728">
        <f>'Market Prices'!AQ123</f>
        <v>42.739726027397268</v>
      </c>
      <c r="BD96" s="729">
        <f>'Market Prices'!AR123</f>
        <v>123.83561643835615</v>
      </c>
      <c r="BE96" s="729">
        <f>'Market Prices'!AS123</f>
        <v>164.38356164383561</v>
      </c>
      <c r="BF96" s="730">
        <f>'Market Prices'!AT123</f>
        <v>83.287671232876704</v>
      </c>
      <c r="BG96" s="727">
        <f>AVERAGE(BC96:BF96)</f>
        <v>103.56164383561642</v>
      </c>
      <c r="BH96" s="728">
        <f>'Market Prices'!AU123</f>
        <v>42.739726027397268</v>
      </c>
      <c r="BI96" s="729">
        <f>'Market Prices'!AV123</f>
        <v>123.83561643835615</v>
      </c>
      <c r="BJ96" s="729">
        <f>'Market Prices'!AW123</f>
        <v>164.38356164383561</v>
      </c>
      <c r="BK96" s="730">
        <f>'Market Prices'!AX123</f>
        <v>83.287671232876704</v>
      </c>
      <c r="BL96" s="727">
        <f>AVERAGE(BH96:BK96)</f>
        <v>103.56164383561642</v>
      </c>
      <c r="BM96" s="728">
        <f>'Market Prices'!AY123</f>
        <v>42.739726027397268</v>
      </c>
      <c r="BN96" s="729">
        <f>'Market Prices'!AZ123</f>
        <v>123.83561643835615</v>
      </c>
      <c r="BO96" s="729">
        <f>'Market Prices'!BA123</f>
        <v>164.38356164383561</v>
      </c>
      <c r="BP96" s="730">
        <f>'Market Prices'!BB123</f>
        <v>83.287671232876704</v>
      </c>
      <c r="BQ96" s="727">
        <f>AVERAGE(BM96:BP96)</f>
        <v>103.56164383561642</v>
      </c>
      <c r="BR96" s="1358"/>
    </row>
    <row r="97" spans="1:116" s="2" customFormat="1">
      <c r="A97" s="1523"/>
      <c r="C97" s="759" t="s">
        <v>511</v>
      </c>
      <c r="E97" s="365"/>
      <c r="F97" s="6"/>
      <c r="G97" s="6"/>
      <c r="H97" s="366"/>
      <c r="I97" s="37"/>
      <c r="J97" s="365"/>
      <c r="K97" s="6"/>
      <c r="L97" s="6"/>
      <c r="M97" s="366"/>
      <c r="O97" s="365"/>
      <c r="P97" s="6"/>
      <c r="Q97" s="6"/>
      <c r="R97" s="366"/>
      <c r="S97" s="604"/>
      <c r="T97" s="763"/>
      <c r="U97" s="764"/>
      <c r="V97" s="764"/>
      <c r="W97" s="765"/>
      <c r="X97" s="727"/>
      <c r="Y97" s="728">
        <f>'Market Prices'!S127</f>
        <v>83.34</v>
      </c>
      <c r="Z97" s="729">
        <f>'Market Prices'!T127</f>
        <v>83.13333333333334</v>
      </c>
      <c r="AA97" s="729">
        <f>'Market Prices'!U127</f>
        <v>82.72</v>
      </c>
      <c r="AB97" s="730">
        <f>'Market Prices'!V127</f>
        <v>82.72</v>
      </c>
      <c r="AC97" s="727">
        <f>AVERAGE(Y97:AB97)</f>
        <v>82.978333333333339</v>
      </c>
      <c r="AD97" s="728">
        <f>'Market Prices'!W127</f>
        <v>82.72</v>
      </c>
      <c r="AE97" s="729">
        <f>'Market Prices'!X127</f>
        <v>86.433333333333337</v>
      </c>
      <c r="AF97" s="729">
        <f>'Market Prices'!Y127</f>
        <v>93.86</v>
      </c>
      <c r="AG97" s="730">
        <f>'Market Prices'!Z127</f>
        <v>93.86</v>
      </c>
      <c r="AH97" s="727">
        <f>AVERAGE(AD97:AG97)</f>
        <v>89.218333333333334</v>
      </c>
      <c r="AI97" s="728">
        <f>'Market Prices'!AA127</f>
        <v>93.86</v>
      </c>
      <c r="AJ97" s="729">
        <f>'Market Prices'!AB127</f>
        <v>96.874703196347028</v>
      </c>
      <c r="AK97" s="729">
        <f>'Market Prices'!AC127</f>
        <v>102.9041095890411</v>
      </c>
      <c r="AL97" s="730">
        <f>'Market Prices'!AD127</f>
        <v>102.9041095890411</v>
      </c>
      <c r="AM97" s="727">
        <f>AVERAGE(AI97:AL97)</f>
        <v>99.13573059360732</v>
      </c>
      <c r="AN97" s="728">
        <f>'Market Prices'!AE127</f>
        <v>103</v>
      </c>
      <c r="AO97" s="729">
        <f>'Market Prices'!AF127</f>
        <v>98.89</v>
      </c>
      <c r="AP97" s="729">
        <f>'Market Prices'!AG127</f>
        <v>94.78</v>
      </c>
      <c r="AQ97" s="730">
        <f>'Market Prices'!AH127</f>
        <v>94.78</v>
      </c>
      <c r="AR97" s="727">
        <f>AVERAGE(AN97:AQ97)</f>
        <v>97.862499999999983</v>
      </c>
      <c r="AS97" s="728">
        <f>'Market Prices'!AI127</f>
        <v>94.78</v>
      </c>
      <c r="AT97" s="729">
        <f>'Market Prices'!AJ127</f>
        <v>140.17296803652968</v>
      </c>
      <c r="AU97" s="729">
        <f>'Market Prices'!AK127</f>
        <v>230.95890410958907</v>
      </c>
      <c r="AV97" s="730">
        <f>'Market Prices'!AL127</f>
        <v>230.95890410958907</v>
      </c>
      <c r="AW97" s="727">
        <f>AVERAGE(AS97:AV97)</f>
        <v>174.21769406392696</v>
      </c>
      <c r="AX97" s="728">
        <f>'Market Prices'!AM127</f>
        <v>230.95890410958907</v>
      </c>
      <c r="AY97" s="729">
        <f>'Market Prices'!AN127</f>
        <v>258.63013698630141</v>
      </c>
      <c r="AZ97" s="729">
        <f>'Market Prices'!AO127</f>
        <v>313.97260273972609</v>
      </c>
      <c r="BA97" s="730">
        <f>'Market Prices'!AP127</f>
        <v>313.97260273972609</v>
      </c>
      <c r="BB97" s="727">
        <f>AVERAGE(AX97:BA97)</f>
        <v>279.38356164383566</v>
      </c>
      <c r="BC97" s="728">
        <f>'Market Prices'!AQ127</f>
        <v>313.97260273972609</v>
      </c>
      <c r="BD97" s="729">
        <f>'Market Prices'!AR127</f>
        <v>286.35616438356169</v>
      </c>
      <c r="BE97" s="729">
        <f>'Market Prices'!AS127</f>
        <v>231.12328767123287</v>
      </c>
      <c r="BF97" s="730">
        <f>'Market Prices'!AT127</f>
        <v>231.12328767123287</v>
      </c>
      <c r="BG97" s="727">
        <f>AVERAGE(BC97:BF97)</f>
        <v>265.64383561643837</v>
      </c>
      <c r="BH97" s="728">
        <f>'Market Prices'!AU127</f>
        <v>231.12328767123287</v>
      </c>
      <c r="BI97" s="729">
        <f>'Market Prices'!AV127</f>
        <v>212.13150684931506</v>
      </c>
      <c r="BJ97" s="729">
        <f>'Market Prices'!AW127</f>
        <v>174.14794520547943</v>
      </c>
      <c r="BK97" s="730">
        <f>'Market Prices'!AX127</f>
        <v>174.14794520547943</v>
      </c>
      <c r="BL97" s="727">
        <f>AVERAGE(BH97:BK97)</f>
        <v>197.8876712328767</v>
      </c>
      <c r="BM97" s="728">
        <f>+BN97</f>
        <v>200</v>
      </c>
      <c r="BN97" s="729">
        <f>+BO97</f>
        <v>200</v>
      </c>
      <c r="BO97" s="729">
        <f>+BP97</f>
        <v>200</v>
      </c>
      <c r="BP97" s="730">
        <f>+BQ97</f>
        <v>200</v>
      </c>
      <c r="BQ97" s="1751">
        <f>Valuation!BX32</f>
        <v>200</v>
      </c>
      <c r="BR97" s="1357"/>
    </row>
    <row r="98" spans="1:116" s="2" customFormat="1">
      <c r="A98" s="1523"/>
      <c r="C98" s="759"/>
      <c r="E98" s="365"/>
      <c r="F98" s="6"/>
      <c r="G98" s="6"/>
      <c r="H98" s="366"/>
      <c r="I98" s="37"/>
      <c r="J98" s="365"/>
      <c r="K98" s="6"/>
      <c r="L98" s="6"/>
      <c r="M98" s="366"/>
      <c r="O98" s="365"/>
      <c r="P98" s="6"/>
      <c r="Q98" s="6"/>
      <c r="R98" s="366"/>
      <c r="S98" s="604"/>
      <c r="T98" s="605"/>
      <c r="U98" s="606"/>
      <c r="V98" s="606"/>
      <c r="W98" s="607"/>
      <c r="X98" s="604"/>
      <c r="Y98" s="605"/>
      <c r="Z98" s="606"/>
      <c r="AA98" s="606"/>
      <c r="AB98" s="607"/>
      <c r="AC98" s="604"/>
      <c r="AD98" s="605"/>
      <c r="AE98" s="606"/>
      <c r="AF98" s="606"/>
      <c r="AG98" s="607"/>
      <c r="AH98" s="604"/>
      <c r="AI98" s="605"/>
      <c r="AJ98" s="606"/>
      <c r="AK98" s="606"/>
      <c r="AL98" s="607"/>
      <c r="AM98" s="604"/>
      <c r="AN98" s="605"/>
      <c r="AO98" s="606"/>
      <c r="AP98" s="606"/>
      <c r="AQ98" s="607"/>
      <c r="AR98" s="604"/>
      <c r="AS98" s="605"/>
      <c r="AT98" s="606"/>
      <c r="AU98" s="606"/>
      <c r="AV98" s="607"/>
      <c r="AW98" s="604"/>
      <c r="AX98" s="605"/>
      <c r="AY98" s="606"/>
      <c r="AZ98" s="606"/>
      <c r="BA98" s="607"/>
      <c r="BB98" s="604"/>
      <c r="BC98" s="605"/>
      <c r="BD98" s="606"/>
      <c r="BE98" s="606"/>
      <c r="BF98" s="607"/>
      <c r="BG98" s="604"/>
      <c r="BH98" s="605"/>
      <c r="BI98" s="606"/>
      <c r="BJ98" s="606"/>
      <c r="BK98" s="607"/>
      <c r="BL98" s="604"/>
      <c r="BM98" s="605"/>
      <c r="BN98" s="606"/>
      <c r="BO98" s="606"/>
      <c r="BP98" s="607"/>
      <c r="BQ98" s="604"/>
      <c r="BR98" s="1750"/>
      <c r="BS98" s="260"/>
    </row>
    <row r="99" spans="1:116" s="2" customFormat="1">
      <c r="A99" s="1523"/>
      <c r="C99" s="757" t="s">
        <v>225</v>
      </c>
      <c r="D99" s="37"/>
      <c r="E99" s="365"/>
      <c r="F99" s="6"/>
      <c r="G99" s="6"/>
      <c r="H99" s="366"/>
      <c r="J99" s="365"/>
      <c r="K99" s="6"/>
      <c r="L99" s="6"/>
      <c r="M99" s="366"/>
      <c r="N99" s="32"/>
      <c r="O99" s="365"/>
      <c r="P99" s="6"/>
      <c r="Q99" s="6"/>
      <c r="R99" s="366"/>
      <c r="T99" s="365"/>
      <c r="U99" s="6"/>
      <c r="V99" s="6"/>
      <c r="W99" s="366"/>
      <c r="Y99" s="365"/>
      <c r="Z99" s="6"/>
      <c r="AA99" s="6"/>
      <c r="AB99" s="366"/>
      <c r="AD99" s="365"/>
      <c r="AE99" s="6"/>
      <c r="AF99" s="6"/>
      <c r="AG99" s="366"/>
      <c r="AI99" s="365"/>
      <c r="AJ99" s="6"/>
      <c r="AK99" s="6"/>
      <c r="AL99" s="366"/>
      <c r="AN99" s="365"/>
      <c r="AO99" s="6"/>
      <c r="AP99" s="6"/>
      <c r="AQ99" s="366"/>
      <c r="AS99" s="365"/>
      <c r="AT99" s="6"/>
      <c r="AU99" s="6"/>
      <c r="AV99" s="366"/>
      <c r="AX99" s="365"/>
      <c r="AY99" s="6"/>
      <c r="AZ99" s="6"/>
      <c r="BA99" s="366"/>
      <c r="BC99" s="365"/>
      <c r="BD99" s="6"/>
      <c r="BE99" s="6"/>
      <c r="BF99" s="366"/>
      <c r="BH99" s="365"/>
      <c r="BI99" s="6"/>
      <c r="BJ99" s="6"/>
      <c r="BK99" s="366"/>
      <c r="BM99" s="365"/>
      <c r="BN99" s="6"/>
      <c r="BO99" s="6"/>
      <c r="BP99" s="366"/>
      <c r="BR99" s="759"/>
    </row>
    <row r="100" spans="1:116" s="2" customFormat="1">
      <c r="A100" s="1523"/>
      <c r="C100" s="759" t="s">
        <v>204</v>
      </c>
      <c r="D100" s="37"/>
      <c r="E100" s="365"/>
      <c r="F100" s="6"/>
      <c r="G100" s="6"/>
      <c r="H100" s="366"/>
      <c r="J100" s="365"/>
      <c r="K100" s="6"/>
      <c r="L100" s="6"/>
      <c r="M100" s="366"/>
      <c r="O100" s="365"/>
      <c r="P100" s="6"/>
      <c r="Q100" s="6"/>
      <c r="R100" s="366"/>
      <c r="S100" s="604"/>
      <c r="T100" s="612"/>
      <c r="U100" s="613"/>
      <c r="V100" s="613"/>
      <c r="W100" s="614"/>
      <c r="X100" s="615"/>
      <c r="Y100" s="612">
        <f>'Market Prices'!S9</f>
        <v>66.511538461538478</v>
      </c>
      <c r="Z100" s="613">
        <f>'Market Prices'!T9</f>
        <v>66.914615384615374</v>
      </c>
      <c r="AA100" s="613">
        <f>'Market Prices'!U9</f>
        <v>64.0053846153846</v>
      </c>
      <c r="AB100" s="614">
        <f>'Market Prices'!V9</f>
        <v>62.446153846153841</v>
      </c>
      <c r="AC100" s="615">
        <f>AVERAGE(Y100:AB100)</f>
        <v>64.969423076923078</v>
      </c>
      <c r="AD100" s="612">
        <f>'Market Prices'!W9</f>
        <v>63.813846153846164</v>
      </c>
      <c r="AE100" s="613">
        <f>'Market Prices'!X9</f>
        <v>60.582307692307708</v>
      </c>
      <c r="AF100" s="613">
        <f>'Market Prices'!Y9</f>
        <v>57.336923076923085</v>
      </c>
      <c r="AG100" s="614">
        <f>'Market Prices'!Z9</f>
        <v>56.106923076923081</v>
      </c>
      <c r="AH100" s="615">
        <f>AVERAGE(AD100:AG100)</f>
        <v>59.460000000000008</v>
      </c>
      <c r="AI100" s="612">
        <f>'Market Prices'!AA9</f>
        <v>53.513846153846139</v>
      </c>
      <c r="AJ100" s="613">
        <f>'Market Prices'!AB9</f>
        <v>52.858461538461547</v>
      </c>
      <c r="AK100" s="613">
        <f>'Market Prices'!AC9</f>
        <v>50.784615384615385</v>
      </c>
      <c r="AL100" s="614">
        <f>'Market Prices'!AD9</f>
        <v>46.303846153846159</v>
      </c>
      <c r="AM100" s="731">
        <f>AVERAGE(AI100:AL100)</f>
        <v>50.865192307692311</v>
      </c>
      <c r="AN100" s="612">
        <f>'Market Prices'!AE9</f>
        <v>42.380769230769232</v>
      </c>
      <c r="AO100" s="613">
        <f>'Market Prices'!AF9</f>
        <v>41.192307692307693</v>
      </c>
      <c r="AP100" s="613">
        <f>'Market Prices'!AG9</f>
        <v>40.928571428571438</v>
      </c>
      <c r="AQ100" s="614">
        <f>'Market Prices'!AH9</f>
        <v>44.896153846153844</v>
      </c>
      <c r="AR100" s="731">
        <f>AVERAGE(AN100:AQ100)</f>
        <v>42.349450549450552</v>
      </c>
      <c r="AS100" s="612">
        <f>'Market Prices'!AI9</f>
        <v>50.057692307692314</v>
      </c>
      <c r="AT100" s="613">
        <f>'Market Prices'!AJ9</f>
        <v>52.46153846153846</v>
      </c>
      <c r="AU100" s="613">
        <f>'Market Prices'!AK9</f>
        <v>52.98846153846155</v>
      </c>
      <c r="AV100" s="614">
        <f>'Market Prices'!AL9</f>
        <v>58.261538461538478</v>
      </c>
      <c r="AW100" s="731">
        <f>AVERAGE(AS100:AV100)</f>
        <v>53.442307692307693</v>
      </c>
      <c r="AX100" s="612">
        <f>'Market Prices'!AM9</f>
        <v>60.850000000000009</v>
      </c>
      <c r="AY100" s="613">
        <f>'Market Prices'!AN9</f>
        <v>49</v>
      </c>
      <c r="AZ100" s="613">
        <f>'Market Prices'!AO9</f>
        <v>49</v>
      </c>
      <c r="BA100" s="614">
        <f>'Market Prices'!AP9</f>
        <v>49</v>
      </c>
      <c r="BB100" s="731">
        <f>AVERAGE(AX100:BA100)</f>
        <v>51.962500000000006</v>
      </c>
      <c r="BC100" s="612">
        <f>'Market Prices'!AQ9</f>
        <v>48.154286333412259</v>
      </c>
      <c r="BD100" s="613">
        <f>'Market Prices'!AR9</f>
        <v>48.154286333412259</v>
      </c>
      <c r="BE100" s="613">
        <f>'Market Prices'!AS9</f>
        <v>48.154286333412259</v>
      </c>
      <c r="BF100" s="614">
        <f>'Market Prices'!AT9</f>
        <v>55.537140999763238</v>
      </c>
      <c r="BG100" s="731">
        <f>AVERAGE(BC100:BF100)</f>
        <v>50.000000000000007</v>
      </c>
      <c r="BH100" s="612">
        <f>'Market Prices'!AU9</f>
        <v>48.154286333412259</v>
      </c>
      <c r="BI100" s="613">
        <f>'Market Prices'!AV9</f>
        <v>48.154286333412259</v>
      </c>
      <c r="BJ100" s="613">
        <f>'Market Prices'!AW9</f>
        <v>48.154286333412259</v>
      </c>
      <c r="BK100" s="614">
        <f>'Market Prices'!AX9</f>
        <v>55.537140999763238</v>
      </c>
      <c r="BL100" s="731">
        <f>AVERAGE(BH100:BK100)</f>
        <v>50.000000000000007</v>
      </c>
      <c r="BM100" s="612">
        <f>'Market Prices'!AY9</f>
        <v>48.154286333412259</v>
      </c>
      <c r="BN100" s="613">
        <f>'Market Prices'!AZ9</f>
        <v>48.154286333412259</v>
      </c>
      <c r="BO100" s="613">
        <f>'Market Prices'!BA9</f>
        <v>48.154286333412259</v>
      </c>
      <c r="BP100" s="614">
        <f>'Market Prices'!BB9</f>
        <v>55.537140999763238</v>
      </c>
      <c r="BQ100" s="731">
        <f>AVERAGE(BM100:BP100)</f>
        <v>50.000000000000007</v>
      </c>
      <c r="BR100" s="1359"/>
    </row>
    <row r="101" spans="1:116" s="2" customFormat="1">
      <c r="A101" s="1523"/>
      <c r="C101" s="1195" t="s">
        <v>2</v>
      </c>
      <c r="D101" s="37"/>
      <c r="E101" s="365"/>
      <c r="F101" s="6"/>
      <c r="G101" s="6"/>
      <c r="H101" s="366"/>
      <c r="J101" s="365"/>
      <c r="K101" s="6"/>
      <c r="L101" s="6"/>
      <c r="M101" s="366"/>
      <c r="O101" s="365"/>
      <c r="P101" s="6"/>
      <c r="Q101" s="6"/>
      <c r="R101" s="366"/>
      <c r="S101" s="604"/>
      <c r="T101" s="612"/>
      <c r="U101" s="613"/>
      <c r="V101" s="613"/>
      <c r="W101" s="614"/>
      <c r="X101" s="615"/>
      <c r="Y101" s="612">
        <f>'Market Prices'!S73</f>
        <v>15</v>
      </c>
      <c r="Z101" s="613">
        <f>'Market Prices'!T73</f>
        <v>15</v>
      </c>
      <c r="AA101" s="613">
        <f>'Market Prices'!U73</f>
        <v>15</v>
      </c>
      <c r="AB101" s="614">
        <f>'Market Prices'!V73</f>
        <v>15</v>
      </c>
      <c r="AC101" s="615">
        <f>AVERAGE(Y101:AB101)</f>
        <v>15</v>
      </c>
      <c r="AD101" s="612">
        <f>'Market Prices'!W73</f>
        <v>15</v>
      </c>
      <c r="AE101" s="613">
        <f>'Market Prices'!X73</f>
        <v>15</v>
      </c>
      <c r="AF101" s="613">
        <f>'Market Prices'!Y73</f>
        <v>15</v>
      </c>
      <c r="AG101" s="614">
        <f>'Market Prices'!Z73</f>
        <v>15</v>
      </c>
      <c r="AH101" s="615">
        <f>AVERAGE(AD101:AG101)</f>
        <v>15</v>
      </c>
      <c r="AI101" s="612">
        <f>'Market Prices'!AA73</f>
        <v>15</v>
      </c>
      <c r="AJ101" s="613">
        <f>'Market Prices'!AB73</f>
        <v>15</v>
      </c>
      <c r="AK101" s="613">
        <f>'Market Prices'!AC73</f>
        <v>15</v>
      </c>
      <c r="AL101" s="614">
        <f>'Market Prices'!AD73</f>
        <v>15</v>
      </c>
      <c r="AM101" s="731">
        <f>AVERAGE(AI101:AL101)</f>
        <v>15</v>
      </c>
      <c r="AN101" s="612">
        <f>'Market Prices'!AE73</f>
        <v>15</v>
      </c>
      <c r="AO101" s="613">
        <f>'Market Prices'!AF73</f>
        <v>15</v>
      </c>
      <c r="AP101" s="613">
        <f>'Market Prices'!AG73</f>
        <v>15</v>
      </c>
      <c r="AQ101" s="614">
        <f>'Market Prices'!AH73</f>
        <v>15</v>
      </c>
      <c r="AR101" s="731">
        <f>AVERAGE(AN101:AQ101)</f>
        <v>15</v>
      </c>
      <c r="AS101" s="612">
        <f>'Market Prices'!AI73</f>
        <v>15</v>
      </c>
      <c r="AT101" s="613">
        <f>'Market Prices'!AJ73</f>
        <v>15</v>
      </c>
      <c r="AU101" s="613">
        <f>'Market Prices'!AK73</f>
        <v>15</v>
      </c>
      <c r="AV101" s="614">
        <f>'Market Prices'!AL73</f>
        <v>15</v>
      </c>
      <c r="AW101" s="731">
        <f>AVERAGE(AS101:AV101)</f>
        <v>15</v>
      </c>
      <c r="AX101" s="612">
        <f>'Market Prices'!AM73</f>
        <v>15</v>
      </c>
      <c r="AY101" s="613">
        <f>'Market Prices'!AN73</f>
        <v>15</v>
      </c>
      <c r="AZ101" s="613">
        <f>'Market Prices'!AO73</f>
        <v>15</v>
      </c>
      <c r="BA101" s="614">
        <f>'Market Prices'!AP73</f>
        <v>15</v>
      </c>
      <c r="BB101" s="731">
        <f>AVERAGE(AX101:BA101)</f>
        <v>15</v>
      </c>
      <c r="BC101" s="612">
        <f>'Market Prices'!AQ73</f>
        <v>15</v>
      </c>
      <c r="BD101" s="613">
        <f>'Market Prices'!AR73</f>
        <v>15</v>
      </c>
      <c r="BE101" s="613">
        <f>'Market Prices'!AS73</f>
        <v>15</v>
      </c>
      <c r="BF101" s="614">
        <f>'Market Prices'!AT73</f>
        <v>15</v>
      </c>
      <c r="BG101" s="731">
        <f>AVERAGE(BC101:BF101)</f>
        <v>15</v>
      </c>
      <c r="BH101" s="612">
        <f>'Market Prices'!AU73</f>
        <v>15</v>
      </c>
      <c r="BI101" s="613">
        <f>'Market Prices'!AV73</f>
        <v>15</v>
      </c>
      <c r="BJ101" s="613">
        <f>'Market Prices'!AW73</f>
        <v>15</v>
      </c>
      <c r="BK101" s="614">
        <f>'Market Prices'!AX73</f>
        <v>15</v>
      </c>
      <c r="BL101" s="731">
        <f>AVERAGE(BH101:BK101)</f>
        <v>15</v>
      </c>
      <c r="BM101" s="612">
        <f>'Market Prices'!AY73</f>
        <v>15</v>
      </c>
      <c r="BN101" s="613">
        <f>'Market Prices'!AZ73</f>
        <v>15</v>
      </c>
      <c r="BO101" s="613">
        <f>'Market Prices'!BA73</f>
        <v>15</v>
      </c>
      <c r="BP101" s="614">
        <f>'Market Prices'!BB73</f>
        <v>15</v>
      </c>
      <c r="BQ101" s="731">
        <f>AVERAGE(BM101:BP101)</f>
        <v>15</v>
      </c>
      <c r="BR101" s="1359"/>
    </row>
    <row r="102" spans="1:116" s="49" customFormat="1">
      <c r="C102" s="1199" t="s">
        <v>441</v>
      </c>
      <c r="E102" s="663"/>
      <c r="F102" s="468"/>
      <c r="G102" s="468"/>
      <c r="H102" s="664"/>
      <c r="I102" s="1200"/>
      <c r="J102" s="663"/>
      <c r="K102" s="468"/>
      <c r="L102" s="468"/>
      <c r="M102" s="664"/>
      <c r="O102" s="663"/>
      <c r="P102" s="468"/>
      <c r="Q102" s="468"/>
      <c r="R102" s="664"/>
      <c r="T102" s="616"/>
      <c r="U102" s="617"/>
      <c r="V102" s="617"/>
      <c r="W102" s="618"/>
      <c r="X102" s="619"/>
      <c r="Y102" s="616">
        <f>+Y101+Y100</f>
        <v>81.511538461538478</v>
      </c>
      <c r="Z102" s="617">
        <f>+Z101+Z100</f>
        <v>81.914615384615374</v>
      </c>
      <c r="AA102" s="617">
        <f>+AA101+AA100</f>
        <v>79.0053846153846</v>
      </c>
      <c r="AB102" s="618">
        <f>+AB101+AB100</f>
        <v>77.446153846153834</v>
      </c>
      <c r="AC102" s="619">
        <f>AVERAGE(Y102:AB102)</f>
        <v>79.969423076923078</v>
      </c>
      <c r="AD102" s="616">
        <f>+AD101+AD100</f>
        <v>78.813846153846157</v>
      </c>
      <c r="AE102" s="617">
        <f>+AE101+AE100</f>
        <v>75.582307692307708</v>
      </c>
      <c r="AF102" s="617">
        <f>+AF101+AF100</f>
        <v>72.336923076923085</v>
      </c>
      <c r="AG102" s="618">
        <f>+AG101+AG100</f>
        <v>71.106923076923081</v>
      </c>
      <c r="AH102" s="619">
        <f>AVERAGE(AD102:AG102)</f>
        <v>74.460000000000008</v>
      </c>
      <c r="AI102" s="616">
        <f>+AI101+AI100</f>
        <v>68.513846153846146</v>
      </c>
      <c r="AJ102" s="617">
        <f>+AJ101+AJ100</f>
        <v>67.85846153846154</v>
      </c>
      <c r="AK102" s="617">
        <f>+AK101+AK100</f>
        <v>65.784615384615392</v>
      </c>
      <c r="AL102" s="618">
        <f>+AL101+AL100</f>
        <v>61.303846153846159</v>
      </c>
      <c r="AM102" s="619">
        <f>AVERAGE(AI102:AL102)</f>
        <v>65.865192307692311</v>
      </c>
      <c r="AN102" s="616">
        <f>+AN101+AN100</f>
        <v>57.380769230769232</v>
      </c>
      <c r="AO102" s="617">
        <f>+AO101+AO100</f>
        <v>56.192307692307693</v>
      </c>
      <c r="AP102" s="617">
        <f>+AP101+AP100</f>
        <v>55.928571428571438</v>
      </c>
      <c r="AQ102" s="618">
        <f>+AQ101+AQ100</f>
        <v>59.896153846153844</v>
      </c>
      <c r="AR102" s="619">
        <f>AVERAGE(AN102:AQ102)</f>
        <v>57.349450549450552</v>
      </c>
      <c r="AS102" s="616">
        <f>+AS101+AS100</f>
        <v>65.057692307692321</v>
      </c>
      <c r="AT102" s="617">
        <f>+AT101+AT100</f>
        <v>67.461538461538453</v>
      </c>
      <c r="AU102" s="617">
        <f>+AU101+AU100</f>
        <v>67.98846153846155</v>
      </c>
      <c r="AV102" s="618">
        <f>+AV101+AV100</f>
        <v>73.261538461538478</v>
      </c>
      <c r="AW102" s="619">
        <f>AVERAGE(AS102:AV102)</f>
        <v>68.442307692307693</v>
      </c>
      <c r="AX102" s="616">
        <f>+AX101+AX100</f>
        <v>75.850000000000009</v>
      </c>
      <c r="AY102" s="617">
        <f>+AY101+AY100</f>
        <v>64</v>
      </c>
      <c r="AZ102" s="617">
        <f>+AZ101+AZ100</f>
        <v>64</v>
      </c>
      <c r="BA102" s="618">
        <f>+BA101+BA100</f>
        <v>64</v>
      </c>
      <c r="BB102" s="619">
        <f>AVERAGE(AX102:BA102)</f>
        <v>66.962500000000006</v>
      </c>
      <c r="BC102" s="616">
        <f>+BC101+BC100</f>
        <v>63.154286333412259</v>
      </c>
      <c r="BD102" s="617">
        <f>+BD101+BD100</f>
        <v>63.154286333412259</v>
      </c>
      <c r="BE102" s="617">
        <f>+BE101+BE100</f>
        <v>63.154286333412259</v>
      </c>
      <c r="BF102" s="618">
        <f>+BF101+BF100</f>
        <v>70.537140999763238</v>
      </c>
      <c r="BG102" s="619">
        <f>AVERAGE(BC102:BF102)</f>
        <v>65</v>
      </c>
      <c r="BH102" s="616">
        <f>+BH101+BH100</f>
        <v>63.154286333412259</v>
      </c>
      <c r="BI102" s="617">
        <f>+BI101+BI100</f>
        <v>63.154286333412259</v>
      </c>
      <c r="BJ102" s="617">
        <f>+BJ101+BJ100</f>
        <v>63.154286333412259</v>
      </c>
      <c r="BK102" s="618">
        <f>+BK101+BK100</f>
        <v>70.537140999763238</v>
      </c>
      <c r="BL102" s="619">
        <f>AVERAGE(BH102:BK102)</f>
        <v>65</v>
      </c>
      <c r="BM102" s="616">
        <f>+BM101+BM100</f>
        <v>63.154286333412259</v>
      </c>
      <c r="BN102" s="617">
        <f>+BN101+BN100</f>
        <v>63.154286333412259</v>
      </c>
      <c r="BO102" s="617">
        <f>+BO101+BO100</f>
        <v>63.154286333412259</v>
      </c>
      <c r="BP102" s="618">
        <f>+BP101+BP100</f>
        <v>70.537140999763238</v>
      </c>
      <c r="BQ102" s="619">
        <f>AVERAGE(BM102:BP102)</f>
        <v>65</v>
      </c>
      <c r="BR102" s="1361"/>
    </row>
    <row r="103" spans="1:116" s="2" customFormat="1">
      <c r="A103" s="1523"/>
      <c r="C103" s="759"/>
      <c r="E103" s="365"/>
      <c r="F103" s="6"/>
      <c r="G103" s="6"/>
      <c r="H103" s="366"/>
      <c r="I103" s="1194"/>
      <c r="J103" s="365"/>
      <c r="K103" s="6"/>
      <c r="L103" s="6"/>
      <c r="M103" s="366"/>
      <c r="O103" s="365"/>
      <c r="P103" s="6"/>
      <c r="Q103" s="6"/>
      <c r="R103" s="366"/>
      <c r="T103" s="612"/>
      <c r="U103" s="613"/>
      <c r="V103" s="613"/>
      <c r="W103" s="614"/>
      <c r="X103" s="615"/>
      <c r="Y103" s="612"/>
      <c r="Z103" s="613"/>
      <c r="AA103" s="613"/>
      <c r="AB103" s="614"/>
      <c r="AC103" s="615"/>
      <c r="AD103" s="612"/>
      <c r="AE103" s="613"/>
      <c r="AF103" s="613"/>
      <c r="AG103" s="614"/>
      <c r="AH103" s="615"/>
      <c r="AI103" s="612"/>
      <c r="AJ103" s="613"/>
      <c r="AK103" s="613"/>
      <c r="AL103" s="614"/>
      <c r="AM103" s="615"/>
      <c r="AN103" s="612"/>
      <c r="AO103" s="613"/>
      <c r="AP103" s="613"/>
      <c r="AQ103" s="614"/>
      <c r="AR103" s="615"/>
      <c r="AS103" s="612"/>
      <c r="AT103" s="613"/>
      <c r="AU103" s="613"/>
      <c r="AV103" s="614"/>
      <c r="AW103" s="615"/>
      <c r="AX103" s="612"/>
      <c r="AY103" s="613"/>
      <c r="AZ103" s="613"/>
      <c r="BA103" s="614"/>
      <c r="BB103" s="615"/>
      <c r="BC103" s="612"/>
      <c r="BD103" s="613"/>
      <c r="BE103" s="613"/>
      <c r="BF103" s="614"/>
      <c r="BG103" s="615"/>
      <c r="BH103" s="612"/>
      <c r="BI103" s="613"/>
      <c r="BJ103" s="613"/>
      <c r="BK103" s="614"/>
      <c r="BL103" s="615"/>
      <c r="BM103" s="612"/>
      <c r="BN103" s="613"/>
      <c r="BO103" s="613"/>
      <c r="BP103" s="614"/>
      <c r="BQ103" s="615"/>
      <c r="BR103" s="1359"/>
    </row>
    <row r="104" spans="1:116" s="2" customFormat="1">
      <c r="A104" s="1523"/>
      <c r="C104" s="759" t="s">
        <v>4</v>
      </c>
      <c r="D104" s="37"/>
      <c r="E104" s="365"/>
      <c r="F104" s="6"/>
      <c r="G104" s="6"/>
      <c r="H104" s="366"/>
      <c r="J104" s="365"/>
      <c r="K104" s="6"/>
      <c r="L104" s="6"/>
      <c r="M104" s="366"/>
      <c r="O104" s="365"/>
      <c r="P104" s="6"/>
      <c r="Q104" s="6"/>
      <c r="R104" s="366"/>
      <c r="S104" s="604"/>
      <c r="T104" s="612"/>
      <c r="U104" s="613"/>
      <c r="V104" s="613"/>
      <c r="W104" s="614"/>
      <c r="X104" s="615"/>
      <c r="Y104" s="612">
        <f>'Market Prices'!S11</f>
        <v>62.246153846153859</v>
      </c>
      <c r="Z104" s="613">
        <f>'Market Prices'!T11</f>
        <v>64.961538461538467</v>
      </c>
      <c r="AA104" s="613">
        <f>'Market Prices'!U11</f>
        <v>68.230769230769226</v>
      </c>
      <c r="AB104" s="614">
        <f>'Market Prices'!V11</f>
        <v>68.615384615384613</v>
      </c>
      <c r="AC104" s="615">
        <f>AVERAGE(Y104:AB104)</f>
        <v>66.013461538461542</v>
      </c>
      <c r="AD104" s="612">
        <f>'Market Prices'!W11</f>
        <v>68.453846153846143</v>
      </c>
      <c r="AE104" s="613">
        <f>'Market Prices'!X11</f>
        <v>67.120769230769227</v>
      </c>
      <c r="AF104" s="613">
        <f>'Market Prices'!Y11</f>
        <v>63.607692307692297</v>
      </c>
      <c r="AG104" s="614">
        <f>'Market Prices'!Z11</f>
        <v>53.301576923076922</v>
      </c>
      <c r="AH104" s="615">
        <f>AVERAGE(AD104:AG104)</f>
        <v>63.120971153846142</v>
      </c>
      <c r="AI104" s="612">
        <f>'Market Prices'!AA11</f>
        <v>50.83815384615383</v>
      </c>
      <c r="AJ104" s="613">
        <f>'Market Prices'!AB11</f>
        <v>50.215538461538465</v>
      </c>
      <c r="AK104" s="613">
        <f>'Market Prices'!AC11</f>
        <v>48.245384615384616</v>
      </c>
      <c r="AL104" s="614">
        <f>'Market Prices'!AD11</f>
        <v>43.988653846153852</v>
      </c>
      <c r="AM104" s="731">
        <f>AVERAGE(AI104:AL104)</f>
        <v>48.321932692307691</v>
      </c>
      <c r="AN104" s="612">
        <f>'Market Prices'!AE11</f>
        <v>40.261730769230766</v>
      </c>
      <c r="AO104" s="613">
        <f>'Market Prices'!AF11</f>
        <v>39.132692307692309</v>
      </c>
      <c r="AP104" s="613">
        <f>'Market Prices'!AG11</f>
        <v>38.882142857142867</v>
      </c>
      <c r="AQ104" s="614">
        <f>'Market Prices'!AH11</f>
        <v>42.651346153846148</v>
      </c>
      <c r="AR104" s="731">
        <f>AVERAGE(AN104:AQ104)</f>
        <v>40.231978021978023</v>
      </c>
      <c r="AS104" s="612">
        <f>'Market Prices'!AI11</f>
        <v>47.554807692307698</v>
      </c>
      <c r="AT104" s="613">
        <f>'Market Prices'!AJ11</f>
        <v>49.838461538461537</v>
      </c>
      <c r="AU104" s="613">
        <f>'Market Prices'!AK11</f>
        <v>50.339038461538472</v>
      </c>
      <c r="AV104" s="614">
        <f>'Market Prices'!AL11</f>
        <v>55.348461538461549</v>
      </c>
      <c r="AW104" s="731">
        <f>AVERAGE(AS104:AV104)</f>
        <v>50.770192307692312</v>
      </c>
      <c r="AX104" s="612">
        <f>'Market Prices'!AM11</f>
        <v>57.807500000000005</v>
      </c>
      <c r="AY104" s="613">
        <f>'Market Prices'!AN11</f>
        <v>46.55</v>
      </c>
      <c r="AZ104" s="613">
        <f>'Market Prices'!AO11</f>
        <v>46.55</v>
      </c>
      <c r="BA104" s="614">
        <f>'Market Prices'!AP11</f>
        <v>46.55</v>
      </c>
      <c r="BB104" s="731">
        <f>AVERAGE(AX104:BA104)</f>
        <v>49.364374999999995</v>
      </c>
      <c r="BC104" s="612">
        <f>'Market Prices'!AQ11</f>
        <v>45.746572016741645</v>
      </c>
      <c r="BD104" s="613">
        <f>'Market Prices'!AR11</f>
        <v>45.746572016741645</v>
      </c>
      <c r="BE104" s="613">
        <f>'Market Prices'!AS11</f>
        <v>45.746572016741645</v>
      </c>
      <c r="BF104" s="614">
        <f>'Market Prices'!AT11</f>
        <v>52.760283949775072</v>
      </c>
      <c r="BG104" s="731">
        <f>AVERAGE(BC104:BF104)</f>
        <v>47.5</v>
      </c>
      <c r="BH104" s="612">
        <f>'Market Prices'!AU11</f>
        <v>45.746572016741645</v>
      </c>
      <c r="BI104" s="613">
        <f>'Market Prices'!AV11</f>
        <v>45.746572016741645</v>
      </c>
      <c r="BJ104" s="613">
        <f>'Market Prices'!AW11</f>
        <v>45.746572016741645</v>
      </c>
      <c r="BK104" s="614">
        <f>'Market Prices'!AX11</f>
        <v>52.760283949775072</v>
      </c>
      <c r="BL104" s="731">
        <f>AVERAGE(BH104:BK104)</f>
        <v>47.5</v>
      </c>
      <c r="BM104" s="612">
        <f>'Market Prices'!AY11</f>
        <v>45.746572016741645</v>
      </c>
      <c r="BN104" s="613">
        <f>'Market Prices'!AZ11</f>
        <v>45.746572016741645</v>
      </c>
      <c r="BO104" s="613">
        <f>'Market Prices'!BA11</f>
        <v>45.746572016741645</v>
      </c>
      <c r="BP104" s="614">
        <f>'Market Prices'!BB11</f>
        <v>52.760283949775072</v>
      </c>
      <c r="BQ104" s="731">
        <f>AVERAGE(BM104:BP104)</f>
        <v>47.5</v>
      </c>
      <c r="BR104" s="1359"/>
    </row>
    <row r="105" spans="1:116">
      <c r="A105" s="1523"/>
      <c r="B105" s="2"/>
      <c r="C105" s="1195" t="s">
        <v>3</v>
      </c>
      <c r="D105" s="2"/>
      <c r="E105" s="789"/>
      <c r="F105" s="329"/>
      <c r="G105" s="329"/>
      <c r="H105" s="790"/>
      <c r="I105" s="33"/>
      <c r="J105" s="386"/>
      <c r="K105" s="316"/>
      <c r="L105" s="316"/>
      <c r="M105" s="387"/>
      <c r="N105" s="32"/>
      <c r="O105" s="1196"/>
      <c r="P105" s="1197"/>
      <c r="Q105" s="1197"/>
      <c r="R105" s="1198"/>
      <c r="S105" s="998"/>
      <c r="T105" s="1196"/>
      <c r="U105" s="1197"/>
      <c r="V105" s="1197"/>
      <c r="W105" s="1198"/>
      <c r="X105" s="998"/>
      <c r="Y105" s="1196">
        <f>+Y101</f>
        <v>15</v>
      </c>
      <c r="Z105" s="1197">
        <f>+Z101</f>
        <v>15</v>
      </c>
      <c r="AA105" s="1197">
        <f>+AA101</f>
        <v>15</v>
      </c>
      <c r="AB105" s="1198">
        <f>+AB101</f>
        <v>15</v>
      </c>
      <c r="AC105" s="998">
        <f>AVERAGE(Y105:AB105)</f>
        <v>15</v>
      </c>
      <c r="AD105" s="1196">
        <f>+AD101</f>
        <v>15</v>
      </c>
      <c r="AE105" s="1197">
        <f>+AE101</f>
        <v>15</v>
      </c>
      <c r="AF105" s="1197">
        <f>+AF101</f>
        <v>15</v>
      </c>
      <c r="AG105" s="1198">
        <f>+AG101</f>
        <v>15</v>
      </c>
      <c r="AH105" s="998">
        <f>AVERAGE(AD105:AG105)</f>
        <v>15</v>
      </c>
      <c r="AI105" s="1196">
        <f>+AI101</f>
        <v>15</v>
      </c>
      <c r="AJ105" s="1197">
        <f>+AJ101</f>
        <v>15</v>
      </c>
      <c r="AK105" s="1197">
        <f>+AK101</f>
        <v>15</v>
      </c>
      <c r="AL105" s="1198">
        <f>+AL101</f>
        <v>15</v>
      </c>
      <c r="AM105" s="998">
        <f>AVERAGE(AI105:AL105)</f>
        <v>15</v>
      </c>
      <c r="AN105" s="1196">
        <f>+AN101</f>
        <v>15</v>
      </c>
      <c r="AO105" s="1197">
        <f>+AO101</f>
        <v>15</v>
      </c>
      <c r="AP105" s="1197">
        <f>+AP101</f>
        <v>15</v>
      </c>
      <c r="AQ105" s="1198">
        <f>+AQ101</f>
        <v>15</v>
      </c>
      <c r="AR105" s="998">
        <f>AVERAGE(AN105:AQ105)</f>
        <v>15</v>
      </c>
      <c r="AS105" s="1196">
        <f>+AS101</f>
        <v>15</v>
      </c>
      <c r="AT105" s="1197">
        <f>+AT101</f>
        <v>15</v>
      </c>
      <c r="AU105" s="1197">
        <f>+AU101</f>
        <v>15</v>
      </c>
      <c r="AV105" s="1198">
        <f>+AV101</f>
        <v>15</v>
      </c>
      <c r="AW105" s="998">
        <f>AVERAGE(AS105:AV105)</f>
        <v>15</v>
      </c>
      <c r="AX105" s="1196">
        <f>+AX101</f>
        <v>15</v>
      </c>
      <c r="AY105" s="1197">
        <f>+AY101</f>
        <v>15</v>
      </c>
      <c r="AZ105" s="1197">
        <f>+AZ101</f>
        <v>15</v>
      </c>
      <c r="BA105" s="1198">
        <f>+BA101</f>
        <v>15</v>
      </c>
      <c r="BB105" s="998">
        <f>AVERAGE(AX105:BA105)</f>
        <v>15</v>
      </c>
      <c r="BC105" s="1196">
        <f>+BC101</f>
        <v>15</v>
      </c>
      <c r="BD105" s="1197">
        <f>+BD101</f>
        <v>15</v>
      </c>
      <c r="BE105" s="1197">
        <f>+BE101</f>
        <v>15</v>
      </c>
      <c r="BF105" s="1198">
        <f>+BF101</f>
        <v>15</v>
      </c>
      <c r="BG105" s="998">
        <f>AVERAGE(BC105:BF105)</f>
        <v>15</v>
      </c>
      <c r="BH105" s="1196">
        <f>+BH101</f>
        <v>15</v>
      </c>
      <c r="BI105" s="1197">
        <f>+BI101</f>
        <v>15</v>
      </c>
      <c r="BJ105" s="1197">
        <f>+BJ101</f>
        <v>15</v>
      </c>
      <c r="BK105" s="1198">
        <f>+BK101</f>
        <v>15</v>
      </c>
      <c r="BL105" s="998">
        <f>AVERAGE(BH105:BK105)</f>
        <v>15</v>
      </c>
      <c r="BM105" s="1196">
        <f>+BM101</f>
        <v>15</v>
      </c>
      <c r="BN105" s="1197">
        <f>+BN101</f>
        <v>15</v>
      </c>
      <c r="BO105" s="1197">
        <f>+BO101</f>
        <v>15</v>
      </c>
      <c r="BP105" s="1198">
        <f>+BP101</f>
        <v>15</v>
      </c>
      <c r="BQ105" s="998">
        <f>AVERAGE(BM105:BP105)</f>
        <v>15</v>
      </c>
      <c r="BR105" s="1360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</row>
    <row r="106" spans="1:116" s="49" customFormat="1">
      <c r="C106" s="1199" t="s">
        <v>243</v>
      </c>
      <c r="E106" s="663"/>
      <c r="F106" s="468"/>
      <c r="G106" s="468"/>
      <c r="H106" s="664"/>
      <c r="I106" s="1200"/>
      <c r="J106" s="663"/>
      <c r="K106" s="468"/>
      <c r="L106" s="468"/>
      <c r="M106" s="664"/>
      <c r="O106" s="663"/>
      <c r="P106" s="468"/>
      <c r="Q106" s="468"/>
      <c r="R106" s="664"/>
      <c r="T106" s="616"/>
      <c r="U106" s="617"/>
      <c r="V106" s="617"/>
      <c r="W106" s="618"/>
      <c r="X106" s="619"/>
      <c r="Y106" s="616">
        <f>+Y105+Y104</f>
        <v>77.246153846153859</v>
      </c>
      <c r="Z106" s="617">
        <f>+Z105+Z104</f>
        <v>79.961538461538467</v>
      </c>
      <c r="AA106" s="617">
        <f>+AA105+AA104</f>
        <v>83.230769230769226</v>
      </c>
      <c r="AB106" s="618">
        <f>+AB105+AB104</f>
        <v>83.615384615384613</v>
      </c>
      <c r="AC106" s="619">
        <f>AVERAGE(Y106:AB106)</f>
        <v>81.013461538461542</v>
      </c>
      <c r="AD106" s="616">
        <f>+AD105+AD104</f>
        <v>83.453846153846143</v>
      </c>
      <c r="AE106" s="617">
        <f>+AE105+AE104</f>
        <v>82.120769230769227</v>
      </c>
      <c r="AF106" s="617">
        <f>+AF105+AF104</f>
        <v>78.607692307692304</v>
      </c>
      <c r="AG106" s="618">
        <f>+AG105+AG104</f>
        <v>68.301576923076922</v>
      </c>
      <c r="AH106" s="619">
        <f>AVERAGE(AD106:AG106)</f>
        <v>78.120971153846142</v>
      </c>
      <c r="AI106" s="616">
        <f>+AI105+AI104</f>
        <v>65.83815384615383</v>
      </c>
      <c r="AJ106" s="617">
        <f>+AJ105+AJ104</f>
        <v>65.215538461538472</v>
      </c>
      <c r="AK106" s="617">
        <f>+AK105+AK104</f>
        <v>63.245384615384616</v>
      </c>
      <c r="AL106" s="618">
        <f>+AL105+AL104</f>
        <v>58.988653846153852</v>
      </c>
      <c r="AM106" s="619">
        <f>AVERAGE(AI106:AL106)</f>
        <v>63.321932692307691</v>
      </c>
      <c r="AN106" s="616">
        <f>+AN105+AN104</f>
        <v>55.261730769230766</v>
      </c>
      <c r="AO106" s="617">
        <f>+AO105+AO104</f>
        <v>54.132692307692309</v>
      </c>
      <c r="AP106" s="617">
        <f>+AP105+AP104</f>
        <v>53.882142857142867</v>
      </c>
      <c r="AQ106" s="618">
        <f>+AQ105+AQ104</f>
        <v>57.651346153846148</v>
      </c>
      <c r="AR106" s="619">
        <f>AVERAGE(AN106:AQ106)</f>
        <v>55.231978021978023</v>
      </c>
      <c r="AS106" s="616">
        <f>+AS105+AS104</f>
        <v>62.554807692307698</v>
      </c>
      <c r="AT106" s="617">
        <f>+AT105+AT104</f>
        <v>64.83846153846153</v>
      </c>
      <c r="AU106" s="617">
        <f>+AU105+AU104</f>
        <v>65.339038461538479</v>
      </c>
      <c r="AV106" s="618">
        <f>+AV105+AV104</f>
        <v>70.348461538461549</v>
      </c>
      <c r="AW106" s="619">
        <f>AVERAGE(AS106:AV106)</f>
        <v>65.770192307692312</v>
      </c>
      <c r="AX106" s="616">
        <f>+AX105+AX104</f>
        <v>72.807500000000005</v>
      </c>
      <c r="AY106" s="617">
        <f>+AY105+AY104</f>
        <v>61.55</v>
      </c>
      <c r="AZ106" s="617">
        <f>+AZ105+AZ104</f>
        <v>61.55</v>
      </c>
      <c r="BA106" s="618">
        <f>+BA105+BA104</f>
        <v>61.55</v>
      </c>
      <c r="BB106" s="619">
        <f>AVERAGE(AX106:BA106)</f>
        <v>64.36437500000001</v>
      </c>
      <c r="BC106" s="616">
        <f>+BC105+BC104</f>
        <v>60.746572016741645</v>
      </c>
      <c r="BD106" s="617">
        <f>+BD105+BD104</f>
        <v>60.746572016741645</v>
      </c>
      <c r="BE106" s="617">
        <f>+BE105+BE104</f>
        <v>60.746572016741645</v>
      </c>
      <c r="BF106" s="618">
        <f>+BF105+BF104</f>
        <v>67.760283949775072</v>
      </c>
      <c r="BG106" s="619">
        <f>AVERAGE(BC106:BF106)</f>
        <v>62.5</v>
      </c>
      <c r="BH106" s="616">
        <f>+BH105+BH104</f>
        <v>60.746572016741645</v>
      </c>
      <c r="BI106" s="617">
        <f>+BI105+BI104</f>
        <v>60.746572016741645</v>
      </c>
      <c r="BJ106" s="617">
        <f>+BJ105+BJ104</f>
        <v>60.746572016741645</v>
      </c>
      <c r="BK106" s="618">
        <f>+BK105+BK104</f>
        <v>67.760283949775072</v>
      </c>
      <c r="BL106" s="619">
        <f>AVERAGE(BH106:BK106)</f>
        <v>62.5</v>
      </c>
      <c r="BM106" s="616">
        <f>+BM105+BM104</f>
        <v>60.746572016741645</v>
      </c>
      <c r="BN106" s="617">
        <f>+BN105+BN104</f>
        <v>60.746572016741645</v>
      </c>
      <c r="BO106" s="617">
        <f>+BO105+BO104</f>
        <v>60.746572016741645</v>
      </c>
      <c r="BP106" s="618">
        <f>+BP105+BP104</f>
        <v>67.760283949775072</v>
      </c>
      <c r="BQ106" s="619">
        <f>AVERAGE(BM106:BP106)</f>
        <v>62.5</v>
      </c>
      <c r="BR106" s="1361"/>
    </row>
    <row r="107" spans="1:116" s="2" customFormat="1">
      <c r="A107" s="1523"/>
      <c r="C107" s="759"/>
      <c r="E107" s="365"/>
      <c r="F107" s="6"/>
      <c r="G107" s="6"/>
      <c r="H107" s="366"/>
      <c r="J107" s="365"/>
      <c r="K107" s="6"/>
      <c r="L107" s="6"/>
      <c r="M107" s="366"/>
      <c r="O107" s="365"/>
      <c r="P107" s="6"/>
      <c r="Q107" s="6"/>
      <c r="R107" s="366"/>
      <c r="T107" s="598"/>
      <c r="U107" s="599"/>
      <c r="V107" s="599"/>
      <c r="W107" s="600"/>
      <c r="X107" s="615"/>
      <c r="Y107" s="612"/>
      <c r="Z107" s="613"/>
      <c r="AA107" s="613"/>
      <c r="AB107" s="614"/>
      <c r="AC107" s="615"/>
      <c r="AD107" s="612"/>
      <c r="AE107" s="613"/>
      <c r="AF107" s="613"/>
      <c r="AG107" s="614"/>
      <c r="AH107" s="615"/>
      <c r="AI107" s="612"/>
      <c r="AJ107" s="613"/>
      <c r="AK107" s="613"/>
      <c r="AL107" s="614"/>
      <c r="AM107" s="615"/>
      <c r="AN107" s="612"/>
      <c r="AO107" s="613"/>
      <c r="AP107" s="613"/>
      <c r="AQ107" s="614"/>
      <c r="AR107" s="615"/>
      <c r="AS107" s="612"/>
      <c r="AT107" s="613"/>
      <c r="AU107" s="613"/>
      <c r="AV107" s="614"/>
      <c r="AW107" s="615"/>
      <c r="AX107" s="612"/>
      <c r="AY107" s="613"/>
      <c r="AZ107" s="613"/>
      <c r="BA107" s="614"/>
      <c r="BB107" s="615"/>
      <c r="BC107" s="612"/>
      <c r="BD107" s="613"/>
      <c r="BE107" s="613"/>
      <c r="BF107" s="614"/>
      <c r="BG107" s="615"/>
      <c r="BH107" s="612"/>
      <c r="BI107" s="613"/>
      <c r="BJ107" s="613"/>
      <c r="BK107" s="614"/>
      <c r="BL107" s="615"/>
      <c r="BM107" s="612"/>
      <c r="BN107" s="613"/>
      <c r="BO107" s="613"/>
      <c r="BP107" s="614"/>
      <c r="BQ107" s="615"/>
      <c r="BR107" s="1359"/>
    </row>
    <row r="108" spans="1:116" s="2" customFormat="1">
      <c r="A108" s="1523"/>
      <c r="C108" s="757" t="s">
        <v>983</v>
      </c>
      <c r="D108" s="1544"/>
      <c r="E108" s="1545"/>
      <c r="F108" s="1546"/>
      <c r="G108" s="1546"/>
      <c r="H108" s="1548"/>
      <c r="I108" s="1562"/>
      <c r="J108" s="1545"/>
      <c r="K108" s="1546"/>
      <c r="L108" s="1546"/>
      <c r="M108" s="1548"/>
      <c r="N108" s="1544"/>
      <c r="O108" s="1550"/>
      <c r="P108" s="1551"/>
      <c r="Q108" s="1551"/>
      <c r="R108" s="1552"/>
      <c r="S108" s="1553"/>
      <c r="T108" s="1554"/>
      <c r="U108" s="1555"/>
      <c r="V108" s="1555"/>
      <c r="W108" s="1556"/>
      <c r="X108" s="1553"/>
      <c r="Y108" s="1554"/>
      <c r="Z108" s="1555"/>
      <c r="AA108" s="1555"/>
      <c r="AB108" s="1556"/>
      <c r="AC108" s="1553"/>
      <c r="AD108" s="1554"/>
      <c r="AE108" s="1555"/>
      <c r="AF108" s="1555"/>
      <c r="AG108" s="1556"/>
      <c r="AH108" s="1553"/>
      <c r="AI108" s="1554"/>
      <c r="AJ108" s="1555"/>
      <c r="AK108" s="1555"/>
      <c r="AL108" s="1556"/>
      <c r="AM108" s="1553"/>
      <c r="AN108" s="1554"/>
      <c r="AO108" s="1555"/>
      <c r="AP108" s="1555"/>
      <c r="AQ108" s="1556"/>
      <c r="AR108" s="1553"/>
      <c r="AS108" s="1557"/>
      <c r="AT108" s="1558"/>
      <c r="AU108" s="1558"/>
      <c r="AV108" s="1559"/>
      <c r="AW108" s="1563"/>
      <c r="AX108" s="1557"/>
      <c r="AY108" s="1558"/>
      <c r="AZ108" s="1558"/>
      <c r="BA108" s="1559"/>
      <c r="BB108" s="1563"/>
      <c r="BC108" s="1557"/>
      <c r="BD108" s="1558"/>
      <c r="BE108" s="1558"/>
      <c r="BF108" s="614"/>
      <c r="BG108" s="1563"/>
      <c r="BH108" s="612"/>
      <c r="BI108" s="613"/>
      <c r="BJ108" s="613"/>
      <c r="BK108" s="614"/>
      <c r="BL108" s="1563"/>
      <c r="BM108" s="612"/>
      <c r="BN108" s="613"/>
      <c r="BO108" s="613"/>
      <c r="BP108" s="614"/>
      <c r="BQ108" s="1563"/>
      <c r="BR108" s="1359"/>
    </row>
    <row r="109" spans="1:116" s="2" customFormat="1">
      <c r="A109" s="1523"/>
      <c r="C109" s="1560" t="s">
        <v>978</v>
      </c>
      <c r="D109" s="1544"/>
      <c r="E109" s="1545"/>
      <c r="F109" s="1546"/>
      <c r="G109" s="1546"/>
      <c r="H109" s="1548"/>
      <c r="I109" s="1562"/>
      <c r="J109" s="1545"/>
      <c r="K109" s="1546"/>
      <c r="L109" s="1546"/>
      <c r="M109" s="1548"/>
      <c r="N109" s="1544"/>
      <c r="O109" s="1554">
        <v>110</v>
      </c>
      <c r="P109" s="1555">
        <v>117.79</v>
      </c>
      <c r="Q109" s="1555">
        <v>133.37</v>
      </c>
      <c r="R109" s="1556">
        <v>133.37</v>
      </c>
      <c r="S109" s="1553"/>
      <c r="T109" s="1554"/>
      <c r="U109" s="1555"/>
      <c r="V109" s="1555"/>
      <c r="W109" s="1556"/>
      <c r="X109" s="1553"/>
      <c r="Y109" s="1554"/>
      <c r="Z109" s="1555"/>
      <c r="AA109" s="1555"/>
      <c r="AB109" s="1556"/>
      <c r="AC109" s="1553"/>
      <c r="AD109" s="1564"/>
      <c r="AE109" s="1555"/>
      <c r="AF109" s="1555"/>
      <c r="AG109" s="1556"/>
      <c r="AH109" s="1553"/>
      <c r="AI109" s="1564">
        <v>5</v>
      </c>
      <c r="AJ109" s="1555">
        <f>AI109</f>
        <v>5</v>
      </c>
      <c r="AK109" s="1555">
        <f>AJ109</f>
        <v>5</v>
      </c>
      <c r="AL109" s="1556">
        <f>AK109</f>
        <v>5</v>
      </c>
      <c r="AM109" s="1553">
        <f>AVERAGE(AI109:AL109)</f>
        <v>5</v>
      </c>
      <c r="AN109" s="1554">
        <f>AL109</f>
        <v>5</v>
      </c>
      <c r="AO109" s="1555">
        <f>AN109</f>
        <v>5</v>
      </c>
      <c r="AP109" s="1555">
        <f>AO109</f>
        <v>5</v>
      </c>
      <c r="AQ109" s="1556">
        <f>AP109</f>
        <v>5</v>
      </c>
      <c r="AR109" s="1553">
        <f>AVERAGE(AN109:AQ109)</f>
        <v>5</v>
      </c>
      <c r="AS109" s="1554">
        <f>AQ109</f>
        <v>5</v>
      </c>
      <c r="AT109" s="1555">
        <f>AS109</f>
        <v>5</v>
      </c>
      <c r="AU109" s="1555">
        <f>AT109</f>
        <v>5</v>
      </c>
      <c r="AV109" s="1556">
        <f>AU109</f>
        <v>5</v>
      </c>
      <c r="AW109" s="1553">
        <f>AVERAGE(AS109:AV109)</f>
        <v>5</v>
      </c>
      <c r="AX109" s="1554">
        <f>AS109</f>
        <v>5</v>
      </c>
      <c r="AY109" s="1555">
        <f>AT109</f>
        <v>5</v>
      </c>
      <c r="AZ109" s="1555">
        <f>AU109</f>
        <v>5</v>
      </c>
      <c r="BA109" s="1556">
        <f>AV109</f>
        <v>5</v>
      </c>
      <c r="BB109" s="1553">
        <f>AVERAGE(AX109:BA109)</f>
        <v>5</v>
      </c>
      <c r="BC109" s="1554">
        <f>AX109</f>
        <v>5</v>
      </c>
      <c r="BD109" s="1555">
        <f>AY109</f>
        <v>5</v>
      </c>
      <c r="BE109" s="1555">
        <f>AY109</f>
        <v>5</v>
      </c>
      <c r="BF109" s="614">
        <f>BA109</f>
        <v>5</v>
      </c>
      <c r="BG109" s="1553">
        <f>AVERAGE(BC109:BF109)</f>
        <v>5</v>
      </c>
      <c r="BH109" s="612">
        <f>BC109</f>
        <v>5</v>
      </c>
      <c r="BI109" s="1555">
        <f>BD109</f>
        <v>5</v>
      </c>
      <c r="BJ109" s="1555">
        <f>BE109</f>
        <v>5</v>
      </c>
      <c r="BK109" s="1556">
        <f>BF109</f>
        <v>5</v>
      </c>
      <c r="BL109" s="1553">
        <f>AVERAGE(BH109:BK109)</f>
        <v>5</v>
      </c>
      <c r="BM109" s="612">
        <f>BH109</f>
        <v>5</v>
      </c>
      <c r="BN109" s="1555">
        <f>BI109</f>
        <v>5</v>
      </c>
      <c r="BO109" s="1555">
        <f>BJ109</f>
        <v>5</v>
      </c>
      <c r="BP109" s="1556">
        <f>BK109</f>
        <v>5</v>
      </c>
      <c r="BQ109" s="1553">
        <f>AVERAGE(BM109:BP109)</f>
        <v>5</v>
      </c>
      <c r="BR109" s="1359"/>
    </row>
    <row r="110" spans="1:116" s="2" customFormat="1">
      <c r="A110" s="1523"/>
      <c r="C110" s="1560" t="s">
        <v>985</v>
      </c>
      <c r="D110" s="1544"/>
      <c r="E110" s="1545"/>
      <c r="F110" s="1546"/>
      <c r="G110" s="1546"/>
      <c r="H110" s="1548"/>
      <c r="I110" s="1562">
        <v>1.1000000000000001</v>
      </c>
      <c r="J110" s="1545"/>
      <c r="K110" s="1546"/>
      <c r="L110" s="1546"/>
      <c r="M110" s="1548"/>
      <c r="N110" s="1544"/>
      <c r="O110" s="1554"/>
      <c r="P110" s="1555"/>
      <c r="Q110" s="1555"/>
      <c r="R110" s="1556"/>
      <c r="S110" s="1553"/>
      <c r="T110" s="1554"/>
      <c r="U110" s="1555"/>
      <c r="V110" s="1555"/>
      <c r="W110" s="1556"/>
      <c r="X110" s="1553"/>
      <c r="Y110" s="1554"/>
      <c r="Z110" s="1555"/>
      <c r="AA110" s="1555"/>
      <c r="AB110" s="1556"/>
      <c r="AC110" s="1553"/>
      <c r="AD110" s="1554"/>
      <c r="AE110" s="1555"/>
      <c r="AF110" s="1555"/>
      <c r="AG110" s="1556"/>
      <c r="AH110" s="1553"/>
      <c r="AI110" s="1554">
        <f t="shared" ref="AI110:BJ110" si="122">AI109*$I$110</f>
        <v>5.5</v>
      </c>
      <c r="AJ110" s="1555">
        <f t="shared" si="122"/>
        <v>5.5</v>
      </c>
      <c r="AK110" s="1555">
        <f t="shared" si="122"/>
        <v>5.5</v>
      </c>
      <c r="AL110" s="1556">
        <f t="shared" si="122"/>
        <v>5.5</v>
      </c>
      <c r="AM110" s="1553">
        <f t="shared" si="122"/>
        <v>5.5</v>
      </c>
      <c r="AN110" s="1554">
        <f t="shared" si="122"/>
        <v>5.5</v>
      </c>
      <c r="AO110" s="1555">
        <f t="shared" si="122"/>
        <v>5.5</v>
      </c>
      <c r="AP110" s="1555">
        <f t="shared" si="122"/>
        <v>5.5</v>
      </c>
      <c r="AQ110" s="1556">
        <f t="shared" si="122"/>
        <v>5.5</v>
      </c>
      <c r="AR110" s="1553">
        <f t="shared" si="122"/>
        <v>5.5</v>
      </c>
      <c r="AS110" s="1554">
        <f t="shared" si="122"/>
        <v>5.5</v>
      </c>
      <c r="AT110" s="1555">
        <f t="shared" si="122"/>
        <v>5.5</v>
      </c>
      <c r="AU110" s="1555">
        <f t="shared" si="122"/>
        <v>5.5</v>
      </c>
      <c r="AV110" s="1556">
        <f t="shared" si="122"/>
        <v>5.5</v>
      </c>
      <c r="AW110" s="1553">
        <f t="shared" si="122"/>
        <v>5.5</v>
      </c>
      <c r="AX110" s="1554">
        <f t="shared" si="122"/>
        <v>5.5</v>
      </c>
      <c r="AY110" s="1555">
        <f t="shared" si="122"/>
        <v>5.5</v>
      </c>
      <c r="AZ110" s="1555">
        <f>AZ109*$I$110</f>
        <v>5.5</v>
      </c>
      <c r="BA110" s="1556">
        <f t="shared" si="122"/>
        <v>5.5</v>
      </c>
      <c r="BB110" s="1553">
        <f t="shared" si="122"/>
        <v>5.5</v>
      </c>
      <c r="BC110" s="1554">
        <f t="shared" si="122"/>
        <v>5.5</v>
      </c>
      <c r="BD110" s="1555">
        <f t="shared" si="122"/>
        <v>5.5</v>
      </c>
      <c r="BE110" s="1555">
        <f t="shared" si="122"/>
        <v>5.5</v>
      </c>
      <c r="BF110" s="614">
        <f t="shared" si="122"/>
        <v>5.5</v>
      </c>
      <c r="BG110" s="1553">
        <f t="shared" si="122"/>
        <v>5.5</v>
      </c>
      <c r="BH110" s="612">
        <f t="shared" si="122"/>
        <v>5.5</v>
      </c>
      <c r="BI110" s="1555">
        <f t="shared" si="122"/>
        <v>5.5</v>
      </c>
      <c r="BJ110" s="1555">
        <f t="shared" si="122"/>
        <v>5.5</v>
      </c>
      <c r="BK110" s="1556">
        <f t="shared" ref="BK110:BQ110" si="123">BK109*$I$110</f>
        <v>5.5</v>
      </c>
      <c r="BL110" s="1553">
        <f t="shared" si="123"/>
        <v>5.5</v>
      </c>
      <c r="BM110" s="612">
        <f t="shared" si="123"/>
        <v>5.5</v>
      </c>
      <c r="BN110" s="1555">
        <f t="shared" si="123"/>
        <v>5.5</v>
      </c>
      <c r="BO110" s="1555">
        <f t="shared" si="123"/>
        <v>5.5</v>
      </c>
      <c r="BP110" s="1556">
        <f t="shared" si="123"/>
        <v>5.5</v>
      </c>
      <c r="BQ110" s="1553">
        <f t="shared" si="123"/>
        <v>5.5</v>
      </c>
      <c r="BR110" s="1359"/>
    </row>
    <row r="111" spans="1:116" s="2" customFormat="1">
      <c r="A111" s="1523"/>
      <c r="C111" s="1560" t="s">
        <v>984</v>
      </c>
      <c r="D111" s="1544"/>
      <c r="E111" s="1545"/>
      <c r="F111" s="1546"/>
      <c r="G111" s="1546"/>
      <c r="H111" s="1548"/>
      <c r="I111" s="1562">
        <v>0.4</v>
      </c>
      <c r="J111" s="1545"/>
      <c r="K111" s="1546"/>
      <c r="L111" s="1546"/>
      <c r="M111" s="1548"/>
      <c r="N111" s="1544"/>
      <c r="O111" s="1554"/>
      <c r="P111" s="1555"/>
      <c r="Q111" s="1555"/>
      <c r="R111" s="1556"/>
      <c r="S111" s="1553"/>
      <c r="T111" s="1554"/>
      <c r="U111" s="1555"/>
      <c r="V111" s="1555"/>
      <c r="W111" s="1556"/>
      <c r="X111" s="1553"/>
      <c r="Y111" s="1554"/>
      <c r="Z111" s="1555"/>
      <c r="AA111" s="1555"/>
      <c r="AB111" s="1556"/>
      <c r="AC111" s="1553"/>
      <c r="AD111" s="1554"/>
      <c r="AE111" s="1555"/>
      <c r="AF111" s="1555"/>
      <c r="AG111" s="1556"/>
      <c r="AH111" s="1553"/>
      <c r="AI111" s="1554">
        <f t="shared" ref="AI111:BJ111" si="124">AI109*$I$111</f>
        <v>2</v>
      </c>
      <c r="AJ111" s="1555">
        <f t="shared" si="124"/>
        <v>2</v>
      </c>
      <c r="AK111" s="1555">
        <f t="shared" si="124"/>
        <v>2</v>
      </c>
      <c r="AL111" s="1556">
        <f t="shared" si="124"/>
        <v>2</v>
      </c>
      <c r="AM111" s="1553">
        <f t="shared" si="124"/>
        <v>2</v>
      </c>
      <c r="AN111" s="1554">
        <f t="shared" si="124"/>
        <v>2</v>
      </c>
      <c r="AO111" s="1555">
        <f t="shared" si="124"/>
        <v>2</v>
      </c>
      <c r="AP111" s="1555">
        <f t="shared" si="124"/>
        <v>2</v>
      </c>
      <c r="AQ111" s="1556">
        <f t="shared" si="124"/>
        <v>2</v>
      </c>
      <c r="AR111" s="1553">
        <f t="shared" si="124"/>
        <v>2</v>
      </c>
      <c r="AS111" s="1554">
        <f t="shared" si="124"/>
        <v>2</v>
      </c>
      <c r="AT111" s="1555">
        <f t="shared" si="124"/>
        <v>2</v>
      </c>
      <c r="AU111" s="1555">
        <f t="shared" si="124"/>
        <v>2</v>
      </c>
      <c r="AV111" s="1556">
        <f t="shared" si="124"/>
        <v>2</v>
      </c>
      <c r="AW111" s="1553">
        <f t="shared" si="124"/>
        <v>2</v>
      </c>
      <c r="AX111" s="1554">
        <f t="shared" si="124"/>
        <v>2</v>
      </c>
      <c r="AY111" s="1555">
        <f t="shared" si="124"/>
        <v>2</v>
      </c>
      <c r="AZ111" s="1555">
        <f>AZ109*$I$111</f>
        <v>2</v>
      </c>
      <c r="BA111" s="1556">
        <f t="shared" si="124"/>
        <v>2</v>
      </c>
      <c r="BB111" s="1553">
        <f t="shared" si="124"/>
        <v>2</v>
      </c>
      <c r="BC111" s="1554">
        <f t="shared" si="124"/>
        <v>2</v>
      </c>
      <c r="BD111" s="1555">
        <f t="shared" si="124"/>
        <v>2</v>
      </c>
      <c r="BE111" s="1555">
        <f t="shared" si="124"/>
        <v>2</v>
      </c>
      <c r="BF111" s="614">
        <f t="shared" si="124"/>
        <v>2</v>
      </c>
      <c r="BG111" s="1553">
        <f t="shared" si="124"/>
        <v>2</v>
      </c>
      <c r="BH111" s="612">
        <f t="shared" si="124"/>
        <v>2</v>
      </c>
      <c r="BI111" s="1555">
        <f t="shared" si="124"/>
        <v>2</v>
      </c>
      <c r="BJ111" s="1555">
        <f t="shared" si="124"/>
        <v>2</v>
      </c>
      <c r="BK111" s="1556">
        <f t="shared" ref="BK111:BQ111" si="125">BK109*$I$111</f>
        <v>2</v>
      </c>
      <c r="BL111" s="1553">
        <f t="shared" si="125"/>
        <v>2</v>
      </c>
      <c r="BM111" s="612">
        <f t="shared" si="125"/>
        <v>2</v>
      </c>
      <c r="BN111" s="1555">
        <f t="shared" si="125"/>
        <v>2</v>
      </c>
      <c r="BO111" s="1555">
        <f t="shared" si="125"/>
        <v>2</v>
      </c>
      <c r="BP111" s="1556">
        <f t="shared" si="125"/>
        <v>2</v>
      </c>
      <c r="BQ111" s="1553">
        <f t="shared" si="125"/>
        <v>2</v>
      </c>
      <c r="BR111" s="1359"/>
    </row>
    <row r="112" spans="1:116" s="2" customFormat="1">
      <c r="A112" s="1523"/>
      <c r="C112" s="1560" t="s">
        <v>979</v>
      </c>
      <c r="D112" s="1544"/>
      <c r="E112" s="1545"/>
      <c r="F112" s="1546"/>
      <c r="G112" s="1546"/>
      <c r="H112" s="1546"/>
      <c r="I112" s="1561">
        <v>0.6</v>
      </c>
      <c r="J112" s="6"/>
      <c r="K112" s="6"/>
      <c r="L112" s="6"/>
      <c r="M112" s="366"/>
      <c r="O112" s="365"/>
      <c r="P112" s="6"/>
      <c r="Q112" s="6"/>
      <c r="R112" s="366"/>
      <c r="T112" s="598"/>
      <c r="U112" s="599"/>
      <c r="V112" s="599"/>
      <c r="W112" s="600"/>
      <c r="X112" s="615"/>
      <c r="Y112" s="612"/>
      <c r="Z112" s="613"/>
      <c r="AA112" s="613"/>
      <c r="AB112" s="614"/>
      <c r="AC112" s="615"/>
      <c r="AD112" s="612"/>
      <c r="AE112" s="613"/>
      <c r="AF112" s="613"/>
      <c r="AG112" s="614"/>
      <c r="AH112" s="615"/>
      <c r="AI112" s="612">
        <f t="shared" ref="AI112:BJ112" si="126">AI109*$I$112</f>
        <v>3</v>
      </c>
      <c r="AJ112" s="613">
        <f t="shared" si="126"/>
        <v>3</v>
      </c>
      <c r="AK112" s="613">
        <f t="shared" si="126"/>
        <v>3</v>
      </c>
      <c r="AL112" s="614">
        <f t="shared" si="126"/>
        <v>3</v>
      </c>
      <c r="AM112" s="615">
        <f t="shared" si="126"/>
        <v>3</v>
      </c>
      <c r="AN112" s="612">
        <f t="shared" si="126"/>
        <v>3</v>
      </c>
      <c r="AO112" s="613">
        <f t="shared" si="126"/>
        <v>3</v>
      </c>
      <c r="AP112" s="613">
        <f t="shared" si="126"/>
        <v>3</v>
      </c>
      <c r="AQ112" s="614">
        <f t="shared" si="126"/>
        <v>3</v>
      </c>
      <c r="AR112" s="615">
        <f t="shared" si="126"/>
        <v>3</v>
      </c>
      <c r="AS112" s="612">
        <f t="shared" si="126"/>
        <v>3</v>
      </c>
      <c r="AT112" s="613">
        <f t="shared" si="126"/>
        <v>3</v>
      </c>
      <c r="AU112" s="613">
        <f t="shared" si="126"/>
        <v>3</v>
      </c>
      <c r="AV112" s="614">
        <f t="shared" si="126"/>
        <v>3</v>
      </c>
      <c r="AW112" s="615">
        <f t="shared" si="126"/>
        <v>3</v>
      </c>
      <c r="AX112" s="612">
        <f t="shared" si="126"/>
        <v>3</v>
      </c>
      <c r="AY112" s="613">
        <f t="shared" si="126"/>
        <v>3</v>
      </c>
      <c r="AZ112" s="613">
        <f>AZ109*$I$112</f>
        <v>3</v>
      </c>
      <c r="BA112" s="614">
        <f t="shared" si="126"/>
        <v>3</v>
      </c>
      <c r="BB112" s="615">
        <f t="shared" si="126"/>
        <v>3</v>
      </c>
      <c r="BC112" s="612">
        <f t="shared" si="126"/>
        <v>3</v>
      </c>
      <c r="BD112" s="613">
        <f t="shared" si="126"/>
        <v>3</v>
      </c>
      <c r="BE112" s="613">
        <f t="shared" si="126"/>
        <v>3</v>
      </c>
      <c r="BF112" s="614">
        <f t="shared" si="126"/>
        <v>3</v>
      </c>
      <c r="BG112" s="615">
        <f t="shared" si="126"/>
        <v>3</v>
      </c>
      <c r="BH112" s="612">
        <f t="shared" si="126"/>
        <v>3</v>
      </c>
      <c r="BI112" s="613">
        <f t="shared" si="126"/>
        <v>3</v>
      </c>
      <c r="BJ112" s="613">
        <f t="shared" si="126"/>
        <v>3</v>
      </c>
      <c r="BK112" s="1556">
        <f t="shared" ref="BK112:BQ112" si="127">BK109*$I$112</f>
        <v>3</v>
      </c>
      <c r="BL112" s="615">
        <f t="shared" si="127"/>
        <v>3</v>
      </c>
      <c r="BM112" s="612">
        <f t="shared" si="127"/>
        <v>3</v>
      </c>
      <c r="BN112" s="613">
        <f t="shared" si="127"/>
        <v>3</v>
      </c>
      <c r="BO112" s="613">
        <f t="shared" si="127"/>
        <v>3</v>
      </c>
      <c r="BP112" s="1556">
        <f t="shared" si="127"/>
        <v>3</v>
      </c>
      <c r="BQ112" s="615">
        <f t="shared" si="127"/>
        <v>3</v>
      </c>
      <c r="BR112" s="1359"/>
    </row>
    <row r="113" spans="1:70" s="2" customFormat="1">
      <c r="A113" s="1523"/>
      <c r="C113" s="759"/>
      <c r="E113" s="365"/>
      <c r="F113" s="6"/>
      <c r="G113" s="6"/>
      <c r="H113" s="6"/>
      <c r="J113" s="6"/>
      <c r="K113" s="6"/>
      <c r="L113" s="6"/>
      <c r="M113" s="366"/>
      <c r="O113" s="365"/>
      <c r="P113" s="6"/>
      <c r="Q113" s="6"/>
      <c r="R113" s="366"/>
      <c r="T113" s="598"/>
      <c r="U113" s="599"/>
      <c r="V113" s="599"/>
      <c r="W113" s="600"/>
      <c r="X113" s="615"/>
      <c r="Y113" s="612"/>
      <c r="Z113" s="613"/>
      <c r="AA113" s="613"/>
      <c r="AB113" s="614"/>
      <c r="AC113" s="615"/>
      <c r="AD113" s="612"/>
      <c r="AE113" s="613"/>
      <c r="AF113" s="613"/>
      <c r="AG113" s="614"/>
      <c r="AH113" s="615"/>
      <c r="AI113" s="612"/>
      <c r="AJ113" s="613"/>
      <c r="AK113" s="613"/>
      <c r="AL113" s="614"/>
      <c r="AM113" s="615"/>
      <c r="AN113" s="612"/>
      <c r="AO113" s="613"/>
      <c r="AP113" s="613"/>
      <c r="AQ113" s="614"/>
      <c r="AR113" s="615"/>
      <c r="AS113" s="612"/>
      <c r="AT113" s="613"/>
      <c r="AU113" s="613"/>
      <c r="AV113" s="614"/>
      <c r="AW113" s="615"/>
      <c r="AX113" s="612"/>
      <c r="AY113" s="613"/>
      <c r="AZ113" s="613"/>
      <c r="BA113" s="614"/>
      <c r="BB113" s="615"/>
      <c r="BC113" s="612"/>
      <c r="BD113" s="613"/>
      <c r="BE113" s="613"/>
      <c r="BF113" s="614"/>
      <c r="BG113" s="615"/>
      <c r="BH113" s="612"/>
      <c r="BI113" s="613"/>
      <c r="BJ113" s="613"/>
      <c r="BK113" s="614"/>
      <c r="BL113" s="615"/>
      <c r="BM113" s="612"/>
      <c r="BN113" s="613"/>
      <c r="BO113" s="613"/>
      <c r="BP113" s="614"/>
      <c r="BQ113" s="615"/>
      <c r="BR113" s="1359"/>
    </row>
    <row r="114" spans="1:70" s="2" customFormat="1">
      <c r="A114" s="1523"/>
      <c r="C114" s="757" t="s">
        <v>977</v>
      </c>
      <c r="D114" s="1544"/>
      <c r="E114" s="1545"/>
      <c r="F114" s="1546"/>
      <c r="G114" s="1546"/>
      <c r="H114" s="1546"/>
      <c r="I114" s="1547"/>
      <c r="J114" s="1546"/>
      <c r="K114" s="1546"/>
      <c r="L114" s="1546"/>
      <c r="M114" s="1548"/>
      <c r="N114" s="1549"/>
      <c r="O114" s="1545"/>
      <c r="P114" s="1546"/>
      <c r="Q114" s="1546"/>
      <c r="R114" s="1548"/>
      <c r="S114" s="1544"/>
      <c r="T114" s="1550"/>
      <c r="U114" s="1551"/>
      <c r="V114" s="1551"/>
      <c r="W114" s="1552"/>
      <c r="X114" s="1553"/>
      <c r="Y114" s="1554"/>
      <c r="Z114" s="1555"/>
      <c r="AA114" s="1555"/>
      <c r="AB114" s="1556"/>
      <c r="AC114" s="1553"/>
      <c r="AD114" s="1554"/>
      <c r="AE114" s="1555"/>
      <c r="AF114" s="1555"/>
      <c r="AG114" s="1556"/>
      <c r="AH114" s="1553"/>
      <c r="AI114" s="1554"/>
      <c r="AJ114" s="1555"/>
      <c r="AK114" s="1555"/>
      <c r="AL114" s="1556"/>
      <c r="AM114" s="1553"/>
      <c r="AN114" s="1554"/>
      <c r="AO114" s="1555"/>
      <c r="AP114" s="1555"/>
      <c r="AQ114" s="1556"/>
      <c r="AR114" s="1553"/>
      <c r="AS114" s="1554"/>
      <c r="AT114" s="1555"/>
      <c r="AU114" s="1555"/>
      <c r="AV114" s="1556"/>
      <c r="AW114" s="1553"/>
      <c r="AX114" s="1557"/>
      <c r="AY114" s="1558"/>
      <c r="AZ114" s="1558"/>
      <c r="BA114" s="1559"/>
      <c r="BB114" s="1553"/>
      <c r="BC114" s="1557"/>
      <c r="BD114" s="1558"/>
      <c r="BE114" s="1558"/>
      <c r="BF114" s="1559"/>
      <c r="BG114" s="1553"/>
      <c r="BH114" s="1557"/>
      <c r="BI114" s="1558"/>
      <c r="BJ114" s="1558"/>
      <c r="BK114" s="1559"/>
      <c r="BL114" s="1553"/>
      <c r="BM114" s="1557"/>
      <c r="BN114" s="1558"/>
      <c r="BO114" s="1558"/>
      <c r="BP114" s="1559"/>
      <c r="BQ114" s="1553"/>
      <c r="BR114" s="1359"/>
    </row>
    <row r="115" spans="1:70" s="2" customFormat="1">
      <c r="A115" s="1523"/>
      <c r="C115" s="1560" t="s">
        <v>978</v>
      </c>
      <c r="D115" s="1544"/>
      <c r="E115" s="1545"/>
      <c r="F115" s="1546"/>
      <c r="G115" s="1546"/>
      <c r="H115" s="1546"/>
      <c r="I115" s="1547"/>
      <c r="J115" s="1546"/>
      <c r="K115" s="1546"/>
      <c r="L115" s="1546"/>
      <c r="M115" s="1548"/>
      <c r="N115" s="1549"/>
      <c r="O115" s="1545"/>
      <c r="P115" s="1546"/>
      <c r="Q115" s="1546"/>
      <c r="R115" s="1548"/>
      <c r="S115" s="1544"/>
      <c r="T115" s="1550"/>
      <c r="U115" s="1551"/>
      <c r="V115" s="1551"/>
      <c r="W115" s="1552"/>
      <c r="X115" s="1553"/>
      <c r="Y115" s="1554"/>
      <c r="Z115" s="1555"/>
      <c r="AA115" s="1555"/>
      <c r="AB115" s="1556"/>
      <c r="AC115" s="1553"/>
      <c r="AD115" s="1554"/>
      <c r="AE115" s="1555"/>
      <c r="AF115" s="1555"/>
      <c r="AG115" s="1556"/>
      <c r="AH115" s="1553"/>
      <c r="AI115" s="1554"/>
      <c r="AJ115" s="1555"/>
      <c r="AK115" s="1555"/>
      <c r="AL115" s="1556"/>
      <c r="AM115" s="1553"/>
      <c r="AN115" s="1554"/>
      <c r="AO115" s="1555"/>
      <c r="AP115" s="1555"/>
      <c r="AQ115" s="1556"/>
      <c r="AR115" s="1553"/>
      <c r="AS115" s="1554"/>
      <c r="AT115" s="1555"/>
      <c r="AU115" s="1555"/>
      <c r="AV115" s="1556"/>
      <c r="AW115" s="1553"/>
      <c r="AX115" s="1557"/>
      <c r="AY115" s="1558"/>
      <c r="AZ115" s="1558"/>
      <c r="BA115" s="1559"/>
      <c r="BB115" s="1553"/>
      <c r="BC115" s="1557">
        <f>BD115</f>
        <v>0</v>
      </c>
      <c r="BD115" s="1558">
        <f>BE115</f>
        <v>0</v>
      </c>
      <c r="BE115" s="1558">
        <f>BF115</f>
        <v>0</v>
      </c>
      <c r="BF115" s="1559">
        <f>BG115</f>
        <v>0</v>
      </c>
      <c r="BG115" s="1553">
        <f>BH115</f>
        <v>0</v>
      </c>
      <c r="BH115" s="1557">
        <f>+BI115</f>
        <v>0</v>
      </c>
      <c r="BI115" s="1558">
        <f>+BJ115</f>
        <v>0</v>
      </c>
      <c r="BJ115" s="1558">
        <f>+BK115</f>
        <v>0</v>
      </c>
      <c r="BK115" s="1559">
        <f>+BL115</f>
        <v>0</v>
      </c>
      <c r="BL115" s="1553">
        <f>BM115</f>
        <v>0</v>
      </c>
      <c r="BM115" s="1557">
        <f>+BN115</f>
        <v>0</v>
      </c>
      <c r="BN115" s="1558">
        <f>+BO115</f>
        <v>0</v>
      </c>
      <c r="BO115" s="1558">
        <f>+BP115</f>
        <v>0</v>
      </c>
      <c r="BP115" s="1559">
        <f>+BQ115</f>
        <v>0</v>
      </c>
      <c r="BQ115" s="1752">
        <f>Valuation!BX34</f>
        <v>0</v>
      </c>
      <c r="BR115" s="1359"/>
    </row>
    <row r="116" spans="1:70" s="2" customFormat="1">
      <c r="A116" s="1523"/>
      <c r="C116" s="1560" t="s">
        <v>979</v>
      </c>
      <c r="D116" s="1544"/>
      <c r="E116" s="1545"/>
      <c r="F116" s="1546"/>
      <c r="G116" s="1546"/>
      <c r="H116" s="1546"/>
      <c r="I116" s="1561">
        <v>0.6</v>
      </c>
      <c r="J116" s="1546"/>
      <c r="K116" s="1546"/>
      <c r="L116" s="1546"/>
      <c r="M116" s="1548"/>
      <c r="N116" s="1549" t="s">
        <v>980</v>
      </c>
      <c r="O116" s="1545"/>
      <c r="P116" s="1546"/>
      <c r="Q116" s="1546"/>
      <c r="R116" s="1548"/>
      <c r="S116" s="1544"/>
      <c r="T116" s="1550"/>
      <c r="U116" s="1551"/>
      <c r="V116" s="1551"/>
      <c r="W116" s="1552"/>
      <c r="X116" s="1553"/>
      <c r="Y116" s="1554"/>
      <c r="Z116" s="1555"/>
      <c r="AA116" s="1555"/>
      <c r="AB116" s="1556"/>
      <c r="AC116" s="1553"/>
      <c r="AD116" s="1554"/>
      <c r="AE116" s="1555"/>
      <c r="AF116" s="1555"/>
      <c r="AG116" s="1556"/>
      <c r="AH116" s="1553"/>
      <c r="AI116" s="1554"/>
      <c r="AJ116" s="1555"/>
      <c r="AK116" s="1555"/>
      <c r="AL116" s="1556"/>
      <c r="AM116" s="1553"/>
      <c r="AN116" s="1554"/>
      <c r="AO116" s="1555"/>
      <c r="AP116" s="1555"/>
      <c r="AQ116" s="1556"/>
      <c r="AR116" s="1553"/>
      <c r="AS116" s="1554"/>
      <c r="AT116" s="1555"/>
      <c r="AU116" s="1555"/>
      <c r="AV116" s="1556"/>
      <c r="AW116" s="1553"/>
      <c r="AX116" s="1557"/>
      <c r="AY116" s="1558"/>
      <c r="AZ116" s="1558"/>
      <c r="BA116" s="1559"/>
      <c r="BB116" s="1553"/>
      <c r="BC116" s="1557">
        <f t="shared" ref="BC116:BJ118" si="128">BC$115*$I116</f>
        <v>0</v>
      </c>
      <c r="BD116" s="1558">
        <f t="shared" si="128"/>
        <v>0</v>
      </c>
      <c r="BE116" s="1558">
        <f t="shared" si="128"/>
        <v>0</v>
      </c>
      <c r="BF116" s="1559">
        <f t="shared" si="128"/>
        <v>0</v>
      </c>
      <c r="BG116" s="1553">
        <f t="shared" si="128"/>
        <v>0</v>
      </c>
      <c r="BH116" s="1557">
        <f t="shared" si="128"/>
        <v>0</v>
      </c>
      <c r="BI116" s="1558">
        <f t="shared" si="128"/>
        <v>0</v>
      </c>
      <c r="BJ116" s="1558">
        <f t="shared" si="128"/>
        <v>0</v>
      </c>
      <c r="BK116" s="1559">
        <f>BK$115*$I116</f>
        <v>0</v>
      </c>
      <c r="BL116" s="1553">
        <f t="shared" ref="BL116:BO118" si="129">BL$115*$I116</f>
        <v>0</v>
      </c>
      <c r="BM116" s="1557">
        <f t="shared" si="129"/>
        <v>0</v>
      </c>
      <c r="BN116" s="1558">
        <f t="shared" si="129"/>
        <v>0</v>
      </c>
      <c r="BO116" s="1558">
        <f t="shared" si="129"/>
        <v>0</v>
      </c>
      <c r="BP116" s="1559">
        <f>BP$115*$I116</f>
        <v>0</v>
      </c>
      <c r="BQ116" s="1553">
        <f>AVERAGE(BM116:BP116)</f>
        <v>0</v>
      </c>
      <c r="BR116" s="1359"/>
    </row>
    <row r="117" spans="1:70" s="2" customFormat="1">
      <c r="A117" s="1523"/>
      <c r="C117" s="1560" t="s">
        <v>981</v>
      </c>
      <c r="D117" s="1544"/>
      <c r="E117" s="1545"/>
      <c r="F117" s="1546"/>
      <c r="G117" s="1546"/>
      <c r="H117" s="1546"/>
      <c r="I117" s="1561">
        <v>0.4</v>
      </c>
      <c r="J117" s="1546"/>
      <c r="K117" s="1546"/>
      <c r="L117" s="1546"/>
      <c r="M117" s="1548"/>
      <c r="N117" s="1549"/>
      <c r="O117" s="1545"/>
      <c r="P117" s="1546"/>
      <c r="Q117" s="1546"/>
      <c r="R117" s="1548"/>
      <c r="S117" s="1544"/>
      <c r="T117" s="1550"/>
      <c r="U117" s="1551"/>
      <c r="V117" s="1551"/>
      <c r="W117" s="1552"/>
      <c r="X117" s="1553"/>
      <c r="Y117" s="1554"/>
      <c r="Z117" s="1555"/>
      <c r="AA117" s="1555"/>
      <c r="AB117" s="1556"/>
      <c r="AC117" s="1553"/>
      <c r="AD117" s="1554"/>
      <c r="AE117" s="1555"/>
      <c r="AF117" s="1555"/>
      <c r="AG117" s="1556"/>
      <c r="AH117" s="1553"/>
      <c r="AI117" s="1554"/>
      <c r="AJ117" s="1555"/>
      <c r="AK117" s="1555"/>
      <c r="AL117" s="1556"/>
      <c r="AM117" s="1553"/>
      <c r="AN117" s="1554"/>
      <c r="AO117" s="1555"/>
      <c r="AP117" s="1555"/>
      <c r="AQ117" s="1556"/>
      <c r="AR117" s="1553"/>
      <c r="AS117" s="1554"/>
      <c r="AT117" s="1555"/>
      <c r="AU117" s="1555"/>
      <c r="AV117" s="1556"/>
      <c r="AW117" s="1553"/>
      <c r="AX117" s="1557"/>
      <c r="AY117" s="1558"/>
      <c r="AZ117" s="1558"/>
      <c r="BA117" s="1559"/>
      <c r="BB117" s="1553"/>
      <c r="BC117" s="1557">
        <f t="shared" si="128"/>
        <v>0</v>
      </c>
      <c r="BD117" s="1558">
        <f t="shared" si="128"/>
        <v>0</v>
      </c>
      <c r="BE117" s="1558">
        <f t="shared" si="128"/>
        <v>0</v>
      </c>
      <c r="BF117" s="1559">
        <f t="shared" si="128"/>
        <v>0</v>
      </c>
      <c r="BG117" s="1553">
        <f t="shared" si="128"/>
        <v>0</v>
      </c>
      <c r="BH117" s="1557">
        <f t="shared" si="128"/>
        <v>0</v>
      </c>
      <c r="BI117" s="1558">
        <f t="shared" si="128"/>
        <v>0</v>
      </c>
      <c r="BJ117" s="1558">
        <f t="shared" si="128"/>
        <v>0</v>
      </c>
      <c r="BK117" s="1559">
        <f>BK$115*$I117</f>
        <v>0</v>
      </c>
      <c r="BL117" s="1553">
        <f t="shared" si="129"/>
        <v>0</v>
      </c>
      <c r="BM117" s="1557">
        <f t="shared" si="129"/>
        <v>0</v>
      </c>
      <c r="BN117" s="1558">
        <f t="shared" si="129"/>
        <v>0</v>
      </c>
      <c r="BO117" s="1558">
        <f t="shared" si="129"/>
        <v>0</v>
      </c>
      <c r="BP117" s="1559">
        <f>BP$115*$I117</f>
        <v>0</v>
      </c>
      <c r="BQ117" s="1553">
        <f>AVERAGE(BM117:BP117)</f>
        <v>0</v>
      </c>
      <c r="BR117" s="1359"/>
    </row>
    <row r="118" spans="1:70" s="2" customFormat="1">
      <c r="A118" s="1523"/>
      <c r="C118" s="1560" t="s">
        <v>982</v>
      </c>
      <c r="D118" s="1544"/>
      <c r="E118" s="1545"/>
      <c r="F118" s="1546"/>
      <c r="G118" s="1546"/>
      <c r="H118" s="1546"/>
      <c r="I118" s="1561">
        <v>1.1000000000000001</v>
      </c>
      <c r="J118" s="1546"/>
      <c r="K118" s="1546"/>
      <c r="L118" s="1546"/>
      <c r="M118" s="1548"/>
      <c r="N118" s="1549"/>
      <c r="O118" s="1545"/>
      <c r="P118" s="1546"/>
      <c r="Q118" s="1546"/>
      <c r="R118" s="1548"/>
      <c r="S118" s="1544"/>
      <c r="T118" s="1550"/>
      <c r="U118" s="1551"/>
      <c r="V118" s="1551"/>
      <c r="W118" s="1552"/>
      <c r="X118" s="1553"/>
      <c r="Y118" s="1554"/>
      <c r="Z118" s="1555"/>
      <c r="AA118" s="1555"/>
      <c r="AB118" s="1556"/>
      <c r="AC118" s="1553"/>
      <c r="AD118" s="1554"/>
      <c r="AE118" s="1555"/>
      <c r="AF118" s="1555"/>
      <c r="AG118" s="1556"/>
      <c r="AH118" s="1553"/>
      <c r="AI118" s="1554"/>
      <c r="AJ118" s="1555"/>
      <c r="AK118" s="1555"/>
      <c r="AL118" s="1556"/>
      <c r="AM118" s="1553"/>
      <c r="AN118" s="1554"/>
      <c r="AO118" s="1555"/>
      <c r="AP118" s="1555"/>
      <c r="AQ118" s="1556"/>
      <c r="AR118" s="1553"/>
      <c r="AS118" s="1554"/>
      <c r="AT118" s="1555"/>
      <c r="AU118" s="1555"/>
      <c r="AV118" s="1556"/>
      <c r="AW118" s="1553"/>
      <c r="AX118" s="1557"/>
      <c r="AY118" s="1558"/>
      <c r="AZ118" s="1558"/>
      <c r="BA118" s="1559"/>
      <c r="BB118" s="1553"/>
      <c r="BC118" s="1557">
        <f t="shared" si="128"/>
        <v>0</v>
      </c>
      <c r="BD118" s="1558">
        <f t="shared" si="128"/>
        <v>0</v>
      </c>
      <c r="BE118" s="1558">
        <f t="shared" si="128"/>
        <v>0</v>
      </c>
      <c r="BF118" s="1559">
        <f t="shared" si="128"/>
        <v>0</v>
      </c>
      <c r="BG118" s="1553">
        <f t="shared" si="128"/>
        <v>0</v>
      </c>
      <c r="BH118" s="1557">
        <f t="shared" si="128"/>
        <v>0</v>
      </c>
      <c r="BI118" s="1558">
        <f t="shared" si="128"/>
        <v>0</v>
      </c>
      <c r="BJ118" s="1558">
        <f t="shared" si="128"/>
        <v>0</v>
      </c>
      <c r="BK118" s="1559">
        <f>BK$115*$I118</f>
        <v>0</v>
      </c>
      <c r="BL118" s="1553">
        <f t="shared" si="129"/>
        <v>0</v>
      </c>
      <c r="BM118" s="1557">
        <f t="shared" si="129"/>
        <v>0</v>
      </c>
      <c r="BN118" s="1558">
        <f t="shared" si="129"/>
        <v>0</v>
      </c>
      <c r="BO118" s="1558">
        <f t="shared" si="129"/>
        <v>0</v>
      </c>
      <c r="BP118" s="1559">
        <f>BP$115*$I118</f>
        <v>0</v>
      </c>
      <c r="BQ118" s="1553">
        <f>AVERAGE(BM118:BP118)</f>
        <v>0</v>
      </c>
      <c r="BR118" s="1359"/>
    </row>
    <row r="119" spans="1:70" s="2" customFormat="1">
      <c r="C119" s="760"/>
      <c r="D119" s="536"/>
      <c r="E119" s="716"/>
      <c r="F119" s="714"/>
      <c r="G119" s="714"/>
      <c r="H119" s="715"/>
      <c r="I119" s="761"/>
      <c r="J119" s="716"/>
      <c r="K119" s="714"/>
      <c r="L119" s="714"/>
      <c r="M119" s="715"/>
      <c r="N119" s="536"/>
      <c r="O119" s="716"/>
      <c r="P119" s="714"/>
      <c r="Q119" s="714"/>
      <c r="R119" s="715"/>
      <c r="S119" s="536"/>
      <c r="T119" s="716"/>
      <c r="U119" s="714"/>
      <c r="V119" s="714"/>
      <c r="W119" s="715"/>
      <c r="X119" s="536"/>
      <c r="Y119" s="716"/>
      <c r="Z119" s="714"/>
      <c r="AA119" s="714"/>
      <c r="AB119" s="715"/>
      <c r="AC119" s="536"/>
      <c r="AD119" s="716"/>
      <c r="AE119" s="714"/>
      <c r="AF119" s="714"/>
      <c r="AG119" s="715"/>
      <c r="AH119" s="536"/>
      <c r="AI119" s="716"/>
      <c r="AJ119" s="714"/>
      <c r="AK119" s="714"/>
      <c r="AL119" s="715"/>
      <c r="AM119" s="536"/>
      <c r="AN119" s="716"/>
      <c r="AO119" s="714"/>
      <c r="AP119" s="714"/>
      <c r="AQ119" s="715"/>
      <c r="AR119" s="536"/>
      <c r="AS119" s="716"/>
      <c r="AT119" s="714"/>
      <c r="AU119" s="714"/>
      <c r="AV119" s="715"/>
      <c r="AW119" s="536"/>
      <c r="AX119" s="716"/>
      <c r="AY119" s="714"/>
      <c r="AZ119" s="714"/>
      <c r="BA119" s="715"/>
      <c r="BB119" s="536"/>
      <c r="BC119" s="716"/>
      <c r="BD119" s="714"/>
      <c r="BE119" s="714"/>
      <c r="BF119" s="715"/>
      <c r="BG119" s="536"/>
      <c r="BH119" s="716"/>
      <c r="BI119" s="714"/>
      <c r="BJ119" s="714"/>
      <c r="BK119" s="715"/>
      <c r="BL119" s="536"/>
      <c r="BM119" s="716"/>
      <c r="BN119" s="714"/>
      <c r="BO119" s="714"/>
      <c r="BP119" s="715"/>
      <c r="BQ119" s="536"/>
      <c r="BR119" s="759"/>
    </row>
    <row r="120" spans="1:70" s="2" customFormat="1" ht="13.5" customHeight="1">
      <c r="E120" s="365"/>
      <c r="F120" s="6"/>
      <c r="G120" s="6"/>
      <c r="H120" s="366"/>
      <c r="I120" s="37"/>
      <c r="J120" s="365"/>
      <c r="K120" s="6"/>
      <c r="L120" s="6"/>
      <c r="M120" s="366"/>
      <c r="O120" s="365"/>
      <c r="P120" s="6"/>
      <c r="Q120" s="6"/>
      <c r="R120" s="366"/>
      <c r="T120" s="365"/>
      <c r="U120" s="6"/>
      <c r="V120" s="6"/>
      <c r="W120" s="366"/>
      <c r="Y120" s="1571"/>
      <c r="Z120" s="435"/>
      <c r="AA120" s="435"/>
      <c r="AB120" s="436"/>
      <c r="AC120" s="437"/>
      <c r="AD120" s="434"/>
      <c r="AE120" s="435"/>
      <c r="AF120" s="435"/>
      <c r="AG120" s="436"/>
      <c r="AH120" s="437"/>
      <c r="AI120" s="434"/>
      <c r="AJ120" s="435"/>
      <c r="AK120" s="435"/>
      <c r="AL120" s="436"/>
      <c r="AM120" s="437"/>
      <c r="AN120" s="434"/>
      <c r="AO120" s="435"/>
      <c r="AP120" s="435"/>
      <c r="AQ120" s="436"/>
      <c r="AR120" s="437"/>
      <c r="AS120" s="434"/>
      <c r="AT120" s="435"/>
      <c r="AU120" s="435"/>
      <c r="AV120" s="436"/>
      <c r="AW120" s="437"/>
      <c r="AX120" s="434"/>
      <c r="AY120" s="435"/>
      <c r="AZ120" s="435"/>
      <c r="BA120" s="436"/>
      <c r="BB120" s="437"/>
      <c r="BC120" s="434"/>
      <c r="BD120" s="435"/>
      <c r="BE120" s="435"/>
      <c r="BF120" s="436"/>
      <c r="BG120" s="437"/>
      <c r="BH120" s="434"/>
      <c r="BI120" s="435"/>
      <c r="BJ120" s="435"/>
      <c r="BK120" s="436"/>
      <c r="BL120" s="437"/>
      <c r="BM120" s="434"/>
      <c r="BN120" s="435"/>
      <c r="BO120" s="435"/>
      <c r="BP120" s="436"/>
      <c r="BQ120" s="437"/>
    </row>
    <row r="121" spans="1:70" s="2" customFormat="1" ht="13.5" customHeight="1">
      <c r="E121" s="365"/>
      <c r="F121" s="6"/>
      <c r="G121" s="6"/>
      <c r="H121" s="366"/>
      <c r="I121" s="37"/>
      <c r="J121" s="365"/>
      <c r="K121" s="6"/>
      <c r="L121" s="6"/>
      <c r="M121" s="366"/>
      <c r="O121" s="365"/>
      <c r="P121" s="6"/>
      <c r="Q121" s="6"/>
      <c r="R121" s="366"/>
      <c r="T121" s="365"/>
      <c r="U121" s="6"/>
      <c r="V121" s="6"/>
      <c r="W121" s="366"/>
      <c r="Y121" s="1571"/>
      <c r="Z121" s="331"/>
      <c r="AA121" s="331"/>
      <c r="AB121" s="371"/>
      <c r="AC121" s="288"/>
      <c r="AD121" s="1571"/>
      <c r="AE121" s="331"/>
      <c r="AF121" s="331"/>
      <c r="AG121" s="371"/>
      <c r="AH121" s="288"/>
      <c r="AI121" s="1571"/>
      <c r="AJ121" s="331"/>
      <c r="AK121" s="331"/>
      <c r="AL121" s="371"/>
      <c r="AM121" s="288"/>
      <c r="AN121" s="1571"/>
      <c r="AO121" s="331"/>
      <c r="AP121" s="331"/>
      <c r="AQ121" s="371"/>
      <c r="AR121" s="288"/>
      <c r="AS121" s="1571"/>
      <c r="AT121" s="331"/>
      <c r="AU121" s="331"/>
      <c r="AV121" s="371"/>
      <c r="AW121" s="288"/>
      <c r="AX121" s="1571"/>
      <c r="AY121" s="331"/>
      <c r="AZ121" s="331"/>
      <c r="BA121" s="371"/>
      <c r="BB121" s="288"/>
      <c r="BC121" s="1571"/>
      <c r="BD121" s="331"/>
      <c r="BE121" s="331"/>
      <c r="BF121" s="371"/>
      <c r="BG121" s="288"/>
      <c r="BH121" s="1571"/>
      <c r="BI121" s="331"/>
      <c r="BJ121" s="331"/>
      <c r="BK121" s="371"/>
      <c r="BL121" s="288"/>
      <c r="BM121" s="1571"/>
      <c r="BN121" s="331"/>
      <c r="BO121" s="331"/>
      <c r="BP121" s="371"/>
      <c r="BQ121" s="288"/>
    </row>
    <row r="122" spans="1:70" s="2" customFormat="1">
      <c r="B122" s="105" t="s">
        <v>218</v>
      </c>
      <c r="C122" s="19"/>
      <c r="D122" s="277"/>
      <c r="E122" s="365"/>
      <c r="F122" s="6"/>
      <c r="G122" s="6"/>
      <c r="H122" s="366"/>
      <c r="J122" s="365"/>
      <c r="K122" s="6"/>
      <c r="L122" s="6"/>
      <c r="M122" s="366"/>
      <c r="O122" s="365"/>
      <c r="P122" s="6"/>
      <c r="Q122" s="6"/>
      <c r="R122" s="366"/>
      <c r="T122" s="407"/>
      <c r="U122" s="349"/>
      <c r="V122" s="349"/>
      <c r="W122" s="408"/>
      <c r="X122" s="608"/>
      <c r="Y122" s="407"/>
      <c r="Z122" s="349"/>
      <c r="AA122" s="349"/>
      <c r="AB122" s="408"/>
      <c r="AC122" s="608"/>
      <c r="AD122" s="407"/>
      <c r="AE122" s="349"/>
      <c r="AF122" s="349"/>
      <c r="AG122" s="408"/>
      <c r="AH122" s="608"/>
      <c r="AI122" s="407"/>
      <c r="AJ122" s="349"/>
      <c r="AK122" s="349"/>
      <c r="AL122" s="408"/>
      <c r="AM122" s="608"/>
      <c r="AN122" s="407"/>
      <c r="AO122" s="349"/>
      <c r="AP122" s="349"/>
      <c r="AQ122" s="408"/>
      <c r="AR122" s="608"/>
      <c r="AS122" s="407"/>
      <c r="AT122" s="349"/>
      <c r="AU122" s="349"/>
      <c r="AV122" s="408"/>
      <c r="AW122" s="608"/>
      <c r="AX122" s="407"/>
      <c r="AY122" s="349"/>
      <c r="AZ122" s="349"/>
      <c r="BA122" s="408"/>
      <c r="BB122" s="608"/>
      <c r="BC122" s="407"/>
      <c r="BD122" s="349"/>
      <c r="BE122" s="349"/>
      <c r="BF122" s="408"/>
      <c r="BG122" s="608"/>
      <c r="BH122" s="407"/>
      <c r="BI122" s="349"/>
      <c r="BJ122" s="349"/>
      <c r="BK122" s="408"/>
      <c r="BL122" s="608"/>
      <c r="BM122" s="407"/>
      <c r="BN122" s="349"/>
      <c r="BO122" s="349"/>
      <c r="BP122" s="408"/>
      <c r="BQ122" s="608"/>
    </row>
    <row r="123" spans="1:70" s="2" customFormat="1">
      <c r="A123" s="1523"/>
      <c r="C123" s="565" t="str">
        <f>Power!C220</f>
        <v>NJ CC (Bergen, Linden &amp; Sewaren 7)</v>
      </c>
      <c r="D123" s="37"/>
      <c r="E123" s="365"/>
      <c r="F123" s="6"/>
      <c r="G123" s="6"/>
      <c r="H123" s="366"/>
      <c r="J123" s="365"/>
      <c r="K123" s="6"/>
      <c r="L123" s="6"/>
      <c r="M123" s="366"/>
      <c r="O123" s="365"/>
      <c r="P123" s="6"/>
      <c r="Q123" s="6"/>
      <c r="R123" s="366"/>
      <c r="T123" s="394"/>
      <c r="U123" s="342"/>
      <c r="V123" s="342"/>
      <c r="W123" s="395"/>
      <c r="X123" s="77"/>
      <c r="Y123" s="394">
        <f>Power!Y238</f>
        <v>42.243718851692023</v>
      </c>
      <c r="Z123" s="342">
        <f>Power!Z238</f>
        <v>42.792398496804267</v>
      </c>
      <c r="AA123" s="342">
        <f>Power!AA238</f>
        <v>76.038401203883126</v>
      </c>
      <c r="AB123" s="395">
        <f>Power!AB238</f>
        <v>35.962346160370686</v>
      </c>
      <c r="AC123" s="77">
        <f t="shared" ref="AC123:AC137" si="130">SUM(Y123:AB123)</f>
        <v>197.03686471275009</v>
      </c>
      <c r="AD123" s="394">
        <f>Power!AD238</f>
        <v>112.50734168041691</v>
      </c>
      <c r="AE123" s="342">
        <f>Power!AE238</f>
        <v>67.372425349391264</v>
      </c>
      <c r="AF123" s="342">
        <f>Power!AF238</f>
        <v>73.620979209666828</v>
      </c>
      <c r="AG123" s="395">
        <f>Power!AG238</f>
        <v>92.396544868631537</v>
      </c>
      <c r="AH123" s="77">
        <f t="shared" ref="AH123:AH137" si="131">SUM(AD123:AG123)</f>
        <v>345.89729110810651</v>
      </c>
      <c r="AI123" s="394">
        <f>Power!AI238</f>
        <v>65.810210695603843</v>
      </c>
      <c r="AJ123" s="342">
        <f>Power!AJ238</f>
        <v>91.384356322297819</v>
      </c>
      <c r="AK123" s="342">
        <f>Power!AK238</f>
        <v>110.31176435791872</v>
      </c>
      <c r="AL123" s="395">
        <f>Power!AL238</f>
        <v>79.923789579417644</v>
      </c>
      <c r="AM123" s="77">
        <f t="shared" ref="AM123:AM137" si="132">SUM(AI123:AL123)</f>
        <v>347.43012095523801</v>
      </c>
      <c r="AN123" s="394">
        <f>Power!AN238</f>
        <v>64.088430681964695</v>
      </c>
      <c r="AO123" s="342">
        <f>Power!AO238</f>
        <v>50.857488108303734</v>
      </c>
      <c r="AP123" s="342">
        <f>Power!AP238</f>
        <v>103.75175793303202</v>
      </c>
      <c r="AQ123" s="395">
        <f>Power!AQ238</f>
        <v>39.060251351708914</v>
      </c>
      <c r="AR123" s="77">
        <f t="shared" ref="AR123:AR137" si="133">SUM(AN123:AQ123)</f>
        <v>257.75792807500937</v>
      </c>
      <c r="AS123" s="394">
        <f>Power!AS238</f>
        <v>36.764371349636633</v>
      </c>
      <c r="AT123" s="342">
        <f>Power!AT238</f>
        <v>39.244956578964619</v>
      </c>
      <c r="AU123" s="342">
        <f>Power!AU238</f>
        <v>70.500174646687071</v>
      </c>
      <c r="AV123" s="395">
        <f>Power!AV238</f>
        <v>67.019907517059622</v>
      </c>
      <c r="AW123" s="77">
        <f t="shared" ref="AW123:AW130" si="134">SUM(AS123:AV123)</f>
        <v>213.52941009234792</v>
      </c>
      <c r="AX123" s="394">
        <f>Power!AX238</f>
        <v>5.3722950343402829</v>
      </c>
      <c r="AY123" s="342">
        <f>Power!AY238</f>
        <v>56.048140668469252</v>
      </c>
      <c r="AZ123" s="342">
        <f>Power!AZ238</f>
        <v>80.100467517922311</v>
      </c>
      <c r="BA123" s="395">
        <f>Power!BA238</f>
        <v>46.223374125221568</v>
      </c>
      <c r="BB123" s="77">
        <f t="shared" ref="BB123:BB130" si="135">SUM(AX123:BA123)</f>
        <v>187.74427734595341</v>
      </c>
      <c r="BC123" s="394">
        <f>Power!BC238</f>
        <v>65.864578541473435</v>
      </c>
      <c r="BD123" s="342">
        <f>Power!BD238</f>
        <v>50.465538005214036</v>
      </c>
      <c r="BE123" s="342">
        <f>Power!BE238</f>
        <v>57.886454782445526</v>
      </c>
      <c r="BF123" s="395">
        <f>Power!BF238</f>
        <v>26.136371504730647</v>
      </c>
      <c r="BG123" s="77">
        <f t="shared" ref="BG123:BG130" si="136">SUM(BC123:BF123)</f>
        <v>200.35294283386364</v>
      </c>
      <c r="BH123" s="394">
        <f>Power!BH238</f>
        <v>68.190444200928638</v>
      </c>
      <c r="BI123" s="342">
        <f>Power!BI238</f>
        <v>51.771724081178988</v>
      </c>
      <c r="BJ123" s="342">
        <f>Power!BJ238</f>
        <v>59.268096138815807</v>
      </c>
      <c r="BK123" s="395">
        <f>Power!BK238</f>
        <v>27.857032321873191</v>
      </c>
      <c r="BL123" s="77">
        <f t="shared" ref="BL123:BL137" si="137">SUM(BH123:BK123)</f>
        <v>207.08729674279664</v>
      </c>
      <c r="BM123" s="394">
        <f>Power!BM238</f>
        <v>72.311810802541601</v>
      </c>
      <c r="BN123" s="342">
        <f>Power!BN238</f>
        <v>46.985980206512153</v>
      </c>
      <c r="BO123" s="342">
        <f>Power!BO238</f>
        <v>45.599750180332904</v>
      </c>
      <c r="BP123" s="395">
        <f>Power!BP238</f>
        <v>71.320471849322345</v>
      </c>
      <c r="BQ123" s="77">
        <f t="shared" ref="BQ123:BQ135" si="138">SUM(BM123:BP123)</f>
        <v>236.21801303870899</v>
      </c>
    </row>
    <row r="124" spans="1:70" s="2" customFormat="1">
      <c r="A124" s="1523"/>
      <c r="C124" s="565" t="str">
        <f>Power!C240</f>
        <v>NJ Coal (Hudson &amp; Mercer)</v>
      </c>
      <c r="D124" s="37"/>
      <c r="E124" s="365"/>
      <c r="F124" s="6"/>
      <c r="G124" s="6"/>
      <c r="H124" s="366"/>
      <c r="J124" s="365"/>
      <c r="K124" s="6"/>
      <c r="L124" s="6"/>
      <c r="M124" s="366"/>
      <c r="O124" s="365"/>
      <c r="P124" s="6"/>
      <c r="Q124" s="6"/>
      <c r="R124" s="366"/>
      <c r="T124" s="394"/>
      <c r="U124" s="342"/>
      <c r="V124" s="342"/>
      <c r="W124" s="395"/>
      <c r="X124" s="77"/>
      <c r="Y124" s="394">
        <f>Power!Y258</f>
        <v>0.2539143253949474</v>
      </c>
      <c r="Z124" s="342">
        <f>Power!Z258</f>
        <v>0.85121570389069223</v>
      </c>
      <c r="AA124" s="342">
        <f>Power!AA258</f>
        <v>2.1520243020858132</v>
      </c>
      <c r="AB124" s="395">
        <f>Power!AB258</f>
        <v>0.47561410665817849</v>
      </c>
      <c r="AC124" s="77">
        <f t="shared" si="130"/>
        <v>3.7327684380296313</v>
      </c>
      <c r="AD124" s="394">
        <f>Power!AD258</f>
        <v>19.785178008917441</v>
      </c>
      <c r="AE124" s="342">
        <f>Power!AE258</f>
        <v>2.2066462179616524</v>
      </c>
      <c r="AF124" s="342">
        <f>Power!AF258</f>
        <v>1.257016381933231</v>
      </c>
      <c r="AG124" s="395">
        <f>Power!AG258</f>
        <v>2.1488529123306623</v>
      </c>
      <c r="AH124" s="77">
        <f t="shared" si="131"/>
        <v>25.397693521142983</v>
      </c>
      <c r="AI124" s="394">
        <f>Power!AI258</f>
        <v>38.781081116503017</v>
      </c>
      <c r="AJ124" s="342">
        <f>Power!AJ258</f>
        <v>0.3961779824079299</v>
      </c>
      <c r="AK124" s="342">
        <f>Power!AK258</f>
        <v>0.9605081019663233</v>
      </c>
      <c r="AL124" s="395">
        <f>Power!AL258</f>
        <v>-8.3659819733349572E-2</v>
      </c>
      <c r="AM124" s="77">
        <f t="shared" si="132"/>
        <v>40.054107381143922</v>
      </c>
      <c r="AN124" s="394">
        <f>Power!AN258</f>
        <v>0.3531453513539633</v>
      </c>
      <c r="AO124" s="342">
        <f>Power!AO258</f>
        <v>8.3755165901837625E-2</v>
      </c>
      <c r="AP124" s="342">
        <f>Power!AP258</f>
        <v>-53.266909623000423</v>
      </c>
      <c r="AQ124" s="395">
        <f>Power!AQ258</f>
        <v>-0.15352101469678425</v>
      </c>
      <c r="AR124" s="77">
        <f t="shared" si="133"/>
        <v>-52.983530120441408</v>
      </c>
      <c r="AS124" s="394">
        <f>Power!AS258</f>
        <v>9.9765862458894183E-2</v>
      </c>
      <c r="AT124" s="342">
        <f>Power!AT258</f>
        <v>-0.18419098388629873</v>
      </c>
      <c r="AU124" s="342">
        <f>Power!AU258</f>
        <v>0</v>
      </c>
      <c r="AV124" s="395">
        <f>Power!AV258</f>
        <v>0</v>
      </c>
      <c r="AW124" s="77">
        <f t="shared" si="134"/>
        <v>-8.4425121427404548E-2</v>
      </c>
      <c r="AX124" s="394">
        <f>Power!AX258</f>
        <v>0</v>
      </c>
      <c r="AY124" s="342">
        <f>Power!AY258</f>
        <v>0</v>
      </c>
      <c r="AZ124" s="342">
        <f>Power!AZ258</f>
        <v>0</v>
      </c>
      <c r="BA124" s="395">
        <f>Power!BA258</f>
        <v>0</v>
      </c>
      <c r="BB124" s="77">
        <f t="shared" si="135"/>
        <v>0</v>
      </c>
      <c r="BC124" s="394">
        <f>Power!BC258</f>
        <v>0</v>
      </c>
      <c r="BD124" s="342">
        <f>Power!BD258</f>
        <v>0</v>
      </c>
      <c r="BE124" s="342">
        <f>Power!BE258</f>
        <v>0</v>
      </c>
      <c r="BF124" s="395">
        <f>Power!BF258</f>
        <v>0</v>
      </c>
      <c r="BG124" s="77">
        <f t="shared" si="136"/>
        <v>0</v>
      </c>
      <c r="BH124" s="394">
        <f>Power!BH258</f>
        <v>0</v>
      </c>
      <c r="BI124" s="342">
        <f>Power!BI258</f>
        <v>0</v>
      </c>
      <c r="BJ124" s="342">
        <f>Power!BJ258</f>
        <v>0</v>
      </c>
      <c r="BK124" s="395">
        <f>Power!BK258</f>
        <v>0</v>
      </c>
      <c r="BL124" s="77">
        <f t="shared" si="137"/>
        <v>0</v>
      </c>
      <c r="BM124" s="394">
        <f>Power!BM258</f>
        <v>0</v>
      </c>
      <c r="BN124" s="342">
        <f>Power!BN258</f>
        <v>0</v>
      </c>
      <c r="BO124" s="342">
        <f>Power!BO258</f>
        <v>0</v>
      </c>
      <c r="BP124" s="395">
        <f>Power!BP258</f>
        <v>0</v>
      </c>
      <c r="BQ124" s="77">
        <f t="shared" si="138"/>
        <v>0</v>
      </c>
    </row>
    <row r="125" spans="1:70" s="2" customFormat="1">
      <c r="A125" s="1523"/>
      <c r="C125" s="565" t="str">
        <f>Power!C260</f>
        <v>NJ Gas Peakers</v>
      </c>
      <c r="D125" s="37"/>
      <c r="E125" s="365"/>
      <c r="F125" s="6"/>
      <c r="G125" s="6"/>
      <c r="H125" s="366"/>
      <c r="J125" s="365"/>
      <c r="K125" s="6"/>
      <c r="L125" s="6"/>
      <c r="M125" s="366"/>
      <c r="O125" s="365"/>
      <c r="P125" s="6"/>
      <c r="Q125" s="6"/>
      <c r="R125" s="366"/>
      <c r="T125" s="394"/>
      <c r="U125" s="342"/>
      <c r="V125" s="342"/>
      <c r="W125" s="395"/>
      <c r="X125" s="77"/>
      <c r="Y125" s="394">
        <f>Power!Y271</f>
        <v>0</v>
      </c>
      <c r="Z125" s="342">
        <f>Power!Z271</f>
        <v>0</v>
      </c>
      <c r="AA125" s="342">
        <f>Power!AA271</f>
        <v>3.0903464765781763</v>
      </c>
      <c r="AB125" s="395">
        <f>Power!AB271</f>
        <v>0</v>
      </c>
      <c r="AC125" s="77">
        <f t="shared" si="130"/>
        <v>3.0903464765781763</v>
      </c>
      <c r="AD125" s="394">
        <f>Power!AD271</f>
        <v>0</v>
      </c>
      <c r="AE125" s="342">
        <f>Power!AE271</f>
        <v>2.3973824197656768</v>
      </c>
      <c r="AF125" s="342">
        <f>Power!AF271</f>
        <v>4.3265891522066831</v>
      </c>
      <c r="AG125" s="395">
        <f>Power!AG271</f>
        <v>3.8715549593548992</v>
      </c>
      <c r="AH125" s="77">
        <f t="shared" si="131"/>
        <v>10.595526531327259</v>
      </c>
      <c r="AI125" s="394">
        <f>Power!AI271</f>
        <v>0</v>
      </c>
      <c r="AJ125" s="342">
        <f>Power!AJ271</f>
        <v>3.6204400245612831</v>
      </c>
      <c r="AK125" s="342">
        <f>Power!AK271</f>
        <v>2.7562069594166321</v>
      </c>
      <c r="AL125" s="395">
        <f>Power!AL271</f>
        <v>1.6173341066767457</v>
      </c>
      <c r="AM125" s="77">
        <f t="shared" si="132"/>
        <v>7.9939810906546604</v>
      </c>
      <c r="AN125" s="394">
        <f>Power!AN271</f>
        <v>0.68916913868637764</v>
      </c>
      <c r="AO125" s="342">
        <f>Power!AO271</f>
        <v>1.3214151794541786</v>
      </c>
      <c r="AP125" s="342">
        <f>Power!AP271</f>
        <v>3.2835414818747104</v>
      </c>
      <c r="AQ125" s="395">
        <f>Power!AQ271</f>
        <v>0</v>
      </c>
      <c r="AR125" s="77">
        <f t="shared" si="133"/>
        <v>5.2941258000152667</v>
      </c>
      <c r="AS125" s="394">
        <f>Power!AS271</f>
        <v>0</v>
      </c>
      <c r="AT125" s="342">
        <f>Power!AT271</f>
        <v>0</v>
      </c>
      <c r="AU125" s="342">
        <f>Power!AU271</f>
        <v>1.3640638005681636</v>
      </c>
      <c r="AV125" s="395">
        <f>Power!AV271</f>
        <v>0</v>
      </c>
      <c r="AW125" s="77">
        <f t="shared" si="134"/>
        <v>1.3640638005681636</v>
      </c>
      <c r="AX125" s="394">
        <f>Power!AX271</f>
        <v>0</v>
      </c>
      <c r="AY125" s="342">
        <f>Power!AY271</f>
        <v>0.80776525293749923</v>
      </c>
      <c r="AZ125" s="342">
        <f>Power!AZ271</f>
        <v>0.95709648018749993</v>
      </c>
      <c r="BA125" s="395">
        <f>Power!BA271</f>
        <v>0</v>
      </c>
      <c r="BB125" s="77">
        <f t="shared" si="135"/>
        <v>1.7648617331249992</v>
      </c>
      <c r="BC125" s="394">
        <f>Power!BC271</f>
        <v>0</v>
      </c>
      <c r="BD125" s="342">
        <f>Power!BD271</f>
        <v>1.239589937445396</v>
      </c>
      <c r="BE125" s="342">
        <f>Power!BE271</f>
        <v>1.9143507223139831</v>
      </c>
      <c r="BF125" s="395">
        <f>Power!BF271</f>
        <v>0</v>
      </c>
      <c r="BG125" s="77">
        <f t="shared" si="136"/>
        <v>3.1539406597593791</v>
      </c>
      <c r="BH125" s="394">
        <f>Power!BH271</f>
        <v>0</v>
      </c>
      <c r="BI125" s="342">
        <f>Power!BI271</f>
        <v>1.2332582687351552</v>
      </c>
      <c r="BJ125" s="342">
        <f>Power!BJ271</f>
        <v>1.9094390042349212</v>
      </c>
      <c r="BK125" s="395">
        <f>Power!BK271</f>
        <v>0</v>
      </c>
      <c r="BL125" s="77">
        <f t="shared" si="137"/>
        <v>3.1426972729700764</v>
      </c>
      <c r="BM125" s="394">
        <f>Power!BM271</f>
        <v>0</v>
      </c>
      <c r="BN125" s="342">
        <f>Power!BN271</f>
        <v>1.2256658465089716</v>
      </c>
      <c r="BO125" s="342">
        <f>Power!BO271</f>
        <v>1.3622566315726523</v>
      </c>
      <c r="BP125" s="395">
        <f>Power!BP271</f>
        <v>0</v>
      </c>
      <c r="BQ125" s="77">
        <f t="shared" si="138"/>
        <v>2.5879224780816239</v>
      </c>
    </row>
    <row r="126" spans="1:70" s="2" customFormat="1">
      <c r="A126" s="1523"/>
      <c r="C126" s="565" t="str">
        <f>Power!C273</f>
        <v>NJ Oil Peakers</v>
      </c>
      <c r="D126" s="37"/>
      <c r="E126" s="365"/>
      <c r="F126" s="6"/>
      <c r="G126" s="6"/>
      <c r="H126" s="366"/>
      <c r="J126" s="365"/>
      <c r="K126" s="6"/>
      <c r="L126" s="6"/>
      <c r="M126" s="366"/>
      <c r="O126" s="365"/>
      <c r="P126" s="6"/>
      <c r="Q126" s="6"/>
      <c r="R126" s="366"/>
      <c r="T126" s="394"/>
      <c r="U126" s="342"/>
      <c r="V126" s="342"/>
      <c r="W126" s="395"/>
      <c r="X126" s="77"/>
      <c r="Y126" s="394">
        <f>Power!Y285</f>
        <v>3.3533453375</v>
      </c>
      <c r="Z126" s="342">
        <f>Power!Z285</f>
        <v>4.1954614749999992</v>
      </c>
      <c r="AA126" s="342">
        <f>Power!AA285</f>
        <v>5.8796937500000004</v>
      </c>
      <c r="AB126" s="395">
        <f>Power!AB285</f>
        <v>5.8796937500000004</v>
      </c>
      <c r="AC126" s="77">
        <f t="shared" si="130"/>
        <v>19.3081943125</v>
      </c>
      <c r="AD126" s="394">
        <f>Power!AD285</f>
        <v>5.8796937500000004</v>
      </c>
      <c r="AE126" s="342">
        <f>Power!AE285</f>
        <v>5.0117389583333338</v>
      </c>
      <c r="AF126" s="342">
        <f>Power!AF285</f>
        <v>3.2758293749999998</v>
      </c>
      <c r="AG126" s="395">
        <f>Power!AG285</f>
        <v>3.2758293749999998</v>
      </c>
      <c r="AH126" s="77">
        <f t="shared" si="131"/>
        <v>17.443091458333335</v>
      </c>
      <c r="AI126" s="394">
        <f>Power!AI285</f>
        <v>3.2758293749999998</v>
      </c>
      <c r="AJ126" s="342">
        <f>Power!AJ285</f>
        <v>3.5234964749999995</v>
      </c>
      <c r="AK126" s="342">
        <f>Power!AK285</f>
        <v>0</v>
      </c>
      <c r="AL126" s="395">
        <f>Power!AL285</f>
        <v>0</v>
      </c>
      <c r="AM126" s="77">
        <f t="shared" si="132"/>
        <v>6.7993258499999989</v>
      </c>
      <c r="AN126" s="394">
        <f>Power!AN285</f>
        <v>0</v>
      </c>
      <c r="AO126" s="342">
        <f>Power!AO285</f>
        <v>0</v>
      </c>
      <c r="AP126" s="342">
        <f>Power!AP285</f>
        <v>0</v>
      </c>
      <c r="AQ126" s="395">
        <f>Power!AQ285</f>
        <v>0</v>
      </c>
      <c r="AR126" s="77">
        <f t="shared" si="133"/>
        <v>0</v>
      </c>
      <c r="AS126" s="394">
        <f>Power!AS285</f>
        <v>0</v>
      </c>
      <c r="AT126" s="342">
        <f>Power!AT285</f>
        <v>0</v>
      </c>
      <c r="AU126" s="342">
        <f>Power!AU285</f>
        <v>0</v>
      </c>
      <c r="AV126" s="395">
        <f>Power!AV285</f>
        <v>0</v>
      </c>
      <c r="AW126" s="77">
        <f t="shared" si="134"/>
        <v>0</v>
      </c>
      <c r="AX126" s="394">
        <f>Power!AX285</f>
        <v>0</v>
      </c>
      <c r="AY126" s="342">
        <f>Power!AY285</f>
        <v>0</v>
      </c>
      <c r="AZ126" s="342">
        <f>Power!AZ285</f>
        <v>0</v>
      </c>
      <c r="BA126" s="395">
        <f>Power!BA285</f>
        <v>0</v>
      </c>
      <c r="BB126" s="77">
        <f t="shared" si="135"/>
        <v>0</v>
      </c>
      <c r="BC126" s="394">
        <f>Power!BC285</f>
        <v>0</v>
      </c>
      <c r="BD126" s="342">
        <f>Power!BD285</f>
        <v>0</v>
      </c>
      <c r="BE126" s="342">
        <f>Power!BE285</f>
        <v>0</v>
      </c>
      <c r="BF126" s="395">
        <f>Power!BF285</f>
        <v>0</v>
      </c>
      <c r="BG126" s="77">
        <f t="shared" si="136"/>
        <v>0</v>
      </c>
      <c r="BH126" s="394">
        <f>Power!BH285</f>
        <v>0</v>
      </c>
      <c r="BI126" s="342">
        <f>Power!BI285</f>
        <v>0</v>
      </c>
      <c r="BJ126" s="342">
        <f>Power!BJ285</f>
        <v>0</v>
      </c>
      <c r="BK126" s="395">
        <f>Power!BK285</f>
        <v>0</v>
      </c>
      <c r="BL126" s="77">
        <f t="shared" si="137"/>
        <v>0</v>
      </c>
      <c r="BM126" s="394">
        <f>Power!BM285</f>
        <v>0</v>
      </c>
      <c r="BN126" s="342">
        <f>Power!BN285</f>
        <v>0</v>
      </c>
      <c r="BO126" s="342">
        <f>Power!BO285</f>
        <v>0</v>
      </c>
      <c r="BP126" s="395">
        <f>Power!BP285</f>
        <v>0</v>
      </c>
      <c r="BQ126" s="77">
        <f t="shared" si="138"/>
        <v>0</v>
      </c>
    </row>
    <row r="127" spans="1:70" s="2" customFormat="1">
      <c r="A127" s="1523"/>
      <c r="C127" s="565" t="str">
        <f>Power!C287</f>
        <v>NJ/PA Nuclear (Hope Creek, Salem, and Peach Bottom)</v>
      </c>
      <c r="D127" s="37"/>
      <c r="E127" s="365"/>
      <c r="F127" s="6"/>
      <c r="G127" s="6"/>
      <c r="H127" s="366"/>
      <c r="J127" s="365"/>
      <c r="K127" s="6"/>
      <c r="L127" s="6"/>
      <c r="M127" s="366"/>
      <c r="O127" s="365"/>
      <c r="P127" s="6"/>
      <c r="Q127" s="6"/>
      <c r="R127" s="366"/>
      <c r="T127" s="394"/>
      <c r="U127" s="342"/>
      <c r="V127" s="342"/>
      <c r="W127" s="395"/>
      <c r="X127" s="77"/>
      <c r="Y127" s="394">
        <f>Power!Y298</f>
        <v>226.54358593286199</v>
      </c>
      <c r="Z127" s="342">
        <f>Power!Z298</f>
        <v>230.02623399991322</v>
      </c>
      <c r="AA127" s="342">
        <f>Power!AA298</f>
        <v>253.32163549385453</v>
      </c>
      <c r="AB127" s="395">
        <f>Power!AB298</f>
        <v>215.82175922610904</v>
      </c>
      <c r="AC127" s="77">
        <f t="shared" si="130"/>
        <v>925.71321465273877</v>
      </c>
      <c r="AD127" s="394">
        <f>Power!AD298</f>
        <v>768.9528140680801</v>
      </c>
      <c r="AE127" s="342">
        <f>Power!AE298</f>
        <v>255.60096365337023</v>
      </c>
      <c r="AF127" s="342">
        <f>Power!AF298</f>
        <v>209.16401655223194</v>
      </c>
      <c r="AG127" s="395">
        <f>Power!AG298</f>
        <v>171.75658662303528</v>
      </c>
      <c r="AH127" s="77">
        <f t="shared" si="131"/>
        <v>1405.4743808967175</v>
      </c>
      <c r="AI127" s="394">
        <f>Power!AI298</f>
        <v>389.16650033069703</v>
      </c>
      <c r="AJ127" s="342">
        <f>Power!AJ298</f>
        <v>165.16331187995112</v>
      </c>
      <c r="AK127" s="342">
        <f>Power!AK298</f>
        <v>166.59948489699525</v>
      </c>
      <c r="AL127" s="395">
        <f>Power!AL298</f>
        <v>128.47063329996342</v>
      </c>
      <c r="AM127" s="77">
        <f t="shared" si="132"/>
        <v>849.3999304076068</v>
      </c>
      <c r="AN127" s="394">
        <f>Power!AN298</f>
        <v>151.73098723024086</v>
      </c>
      <c r="AO127" s="342">
        <f>Power!AO298</f>
        <v>104.20272441620183</v>
      </c>
      <c r="AP127" s="342">
        <f>Power!AP298</f>
        <v>173.95927499861136</v>
      </c>
      <c r="AQ127" s="395">
        <f>Power!AQ298</f>
        <v>131.97942613525521</v>
      </c>
      <c r="AR127" s="77">
        <f t="shared" si="133"/>
        <v>561.87241278030933</v>
      </c>
      <c r="AS127" s="394">
        <f>Power!AS298</f>
        <v>181.99571381108336</v>
      </c>
      <c r="AT127" s="342">
        <f>Power!AT298</f>
        <v>129.75911399501751</v>
      </c>
      <c r="AU127" s="342">
        <f>Power!AU298</f>
        <v>145.05581902814612</v>
      </c>
      <c r="AV127" s="395">
        <f>Power!AV298</f>
        <v>221.33302198166865</v>
      </c>
      <c r="AW127" s="77">
        <f t="shared" si="134"/>
        <v>678.14366881591559</v>
      </c>
      <c r="AX127" s="394">
        <f>Power!AX298</f>
        <v>310.49743530690137</v>
      </c>
      <c r="AY127" s="342">
        <f>Power!AY298</f>
        <v>147.67568406661499</v>
      </c>
      <c r="AZ127" s="342">
        <f>Power!AZ298</f>
        <v>181.96161077891566</v>
      </c>
      <c r="BA127" s="395">
        <f>Power!BA298</f>
        <v>170.90392045119683</v>
      </c>
      <c r="BB127" s="77">
        <f t="shared" si="135"/>
        <v>811.03865060362887</v>
      </c>
      <c r="BC127" s="394">
        <f>Power!BC298</f>
        <v>261.49044720163238</v>
      </c>
      <c r="BD127" s="342">
        <f>Power!BD298</f>
        <v>118.56668118077329</v>
      </c>
      <c r="BE127" s="342">
        <f>Power!BE298</f>
        <v>131.81601075974783</v>
      </c>
      <c r="BF127" s="395">
        <f>Power!BF298</f>
        <v>199.01339759284036</v>
      </c>
      <c r="BG127" s="77">
        <f t="shared" si="136"/>
        <v>710.8865367349938</v>
      </c>
      <c r="BH127" s="394">
        <f>Power!BH298</f>
        <v>259.46611999244766</v>
      </c>
      <c r="BI127" s="342">
        <f>Power!BI298</f>
        <v>117.34366125700302</v>
      </c>
      <c r="BJ127" s="342">
        <f>Power!BJ298</f>
        <v>130.57114215381341</v>
      </c>
      <c r="BK127" s="395">
        <f>Power!BK298</f>
        <v>197.23904149277223</v>
      </c>
      <c r="BL127" s="77">
        <f t="shared" si="137"/>
        <v>704.61996489603632</v>
      </c>
      <c r="BM127" s="394">
        <f>Power!BM298</f>
        <v>179.96067691306692</v>
      </c>
      <c r="BN127" s="342">
        <f>Power!BN298</f>
        <v>157.58718735090184</v>
      </c>
      <c r="BO127" s="342">
        <f>Power!BO298</f>
        <v>157.58718735090184</v>
      </c>
      <c r="BP127" s="395">
        <f>Power!BP298</f>
        <v>179.96067691306692</v>
      </c>
      <c r="BQ127" s="77">
        <f t="shared" si="138"/>
        <v>675.09572852793758</v>
      </c>
    </row>
    <row r="128" spans="1:70" s="2" customFormat="1">
      <c r="A128" s="1523"/>
      <c r="C128" s="565" t="str">
        <f>Power!C300</f>
        <v>NJ Hydro (Yards Creek)</v>
      </c>
      <c r="D128" s="37"/>
      <c r="E128" s="365"/>
      <c r="F128" s="6"/>
      <c r="G128" s="6"/>
      <c r="H128" s="366"/>
      <c r="J128" s="365"/>
      <c r="K128" s="6"/>
      <c r="L128" s="6"/>
      <c r="M128" s="366"/>
      <c r="O128" s="365"/>
      <c r="P128" s="6"/>
      <c r="Q128" s="6"/>
      <c r="R128" s="366"/>
      <c r="T128" s="394"/>
      <c r="U128" s="342"/>
      <c r="V128" s="342"/>
      <c r="W128" s="395"/>
      <c r="X128" s="77"/>
      <c r="Y128" s="394">
        <f>Power!Y311</f>
        <v>-3.8879304317908314E-2</v>
      </c>
      <c r="Z128" s="342">
        <f>Power!Z311</f>
        <v>0.52625158517423598</v>
      </c>
      <c r="AA128" s="342">
        <f>Power!AA311</f>
        <v>1.1622968407223606</v>
      </c>
      <c r="AB128" s="395">
        <f>Power!AB311</f>
        <v>0.12787700509562638</v>
      </c>
      <c r="AC128" s="77">
        <f t="shared" si="130"/>
        <v>1.7775461266743147</v>
      </c>
      <c r="AD128" s="394">
        <f>Power!AD311</f>
        <v>1.2392393094789442</v>
      </c>
      <c r="AE128" s="342">
        <f>Power!AE311</f>
        <v>1.0244951319035991</v>
      </c>
      <c r="AF128" s="342">
        <f>Power!AF311</f>
        <v>0.80173922346033999</v>
      </c>
      <c r="AG128" s="395">
        <f>Power!AG311</f>
        <v>0.13433258086779354</v>
      </c>
      <c r="AH128" s="77">
        <f t="shared" si="131"/>
        <v>3.1998062457106768</v>
      </c>
      <c r="AI128" s="394">
        <f>Power!AI311</f>
        <v>7.4952504714615564E-2</v>
      </c>
      <c r="AJ128" s="342">
        <f>Power!AJ311</f>
        <v>0.35334950892042061</v>
      </c>
      <c r="AK128" s="342">
        <f>Power!AK311</f>
        <v>0.91008399585958522</v>
      </c>
      <c r="AL128" s="395">
        <f>Power!AL311</f>
        <v>-0.10796504202451063</v>
      </c>
      <c r="AM128" s="77">
        <f t="shared" si="132"/>
        <v>1.2304209674701108</v>
      </c>
      <c r="AN128" s="394">
        <f>Power!AN311</f>
        <v>-2.734464695398886E-2</v>
      </c>
      <c r="AO128" s="342">
        <f>Power!AO311</f>
        <v>0.30480023210467899</v>
      </c>
      <c r="AP128" s="342">
        <f>Power!AP311</f>
        <v>0.93720317847721102</v>
      </c>
      <c r="AQ128" s="395">
        <f>Power!AQ311</f>
        <v>0.14339054701166498</v>
      </c>
      <c r="AR128" s="77">
        <f t="shared" si="133"/>
        <v>1.3580493106395661</v>
      </c>
      <c r="AS128" s="394">
        <f>Power!AS311</f>
        <v>-0.22430465577607439</v>
      </c>
      <c r="AT128" s="342">
        <f>Power!AT311</f>
        <v>0.34275380059206495</v>
      </c>
      <c r="AU128" s="342">
        <f>Power!AU311</f>
        <v>0.68183820475190293</v>
      </c>
      <c r="AV128" s="395">
        <f>Power!AV311</f>
        <v>-0.21520550612942513</v>
      </c>
      <c r="AW128" s="77">
        <f t="shared" si="134"/>
        <v>0.58508184343846836</v>
      </c>
      <c r="AX128" s="394">
        <f>Power!AX311</f>
        <v>-0.57878657272738199</v>
      </c>
      <c r="AY128" s="342">
        <f>Power!AY311</f>
        <v>0.19204109999999952</v>
      </c>
      <c r="AZ128" s="342">
        <f>Power!AZ311</f>
        <v>0.42570315000000036</v>
      </c>
      <c r="BA128" s="395">
        <f>Power!BA311</f>
        <v>0.17998788749999983</v>
      </c>
      <c r="BB128" s="77">
        <f t="shared" si="135"/>
        <v>0.21894556477261773</v>
      </c>
      <c r="BC128" s="394">
        <f>Power!BC311</f>
        <v>-1.1479088991727338E-2</v>
      </c>
      <c r="BD128" s="342">
        <f>Power!BD311</f>
        <v>0.28678160775028139</v>
      </c>
      <c r="BE128" s="342">
        <f>Power!BE311</f>
        <v>0.48975314483790622</v>
      </c>
      <c r="BF128" s="395">
        <f>Power!BF311</f>
        <v>-0.15302457611397946</v>
      </c>
      <c r="BG128" s="77">
        <f t="shared" si="136"/>
        <v>0.61203108748248081</v>
      </c>
      <c r="BH128" s="394">
        <f>Power!BH311</f>
        <v>1.336234259358493E-2</v>
      </c>
      <c r="BI128" s="342">
        <f>Power!BI311</f>
        <v>0.3003804233381695</v>
      </c>
      <c r="BJ128" s="342">
        <f>Power!BJ311</f>
        <v>0.50351284425268061</v>
      </c>
      <c r="BK128" s="395">
        <f>Power!BK311</f>
        <v>-0.13231394770195415</v>
      </c>
      <c r="BL128" s="77">
        <f t="shared" si="137"/>
        <v>0.6849416624824809</v>
      </c>
      <c r="BM128" s="394">
        <f>Power!BM311</f>
        <v>0.15660124950356957</v>
      </c>
      <c r="BN128" s="342">
        <f>Power!BN311</f>
        <v>0.15660124950356957</v>
      </c>
      <c r="BO128" s="342">
        <f>Power!BO311</f>
        <v>0.15660124950356957</v>
      </c>
      <c r="BP128" s="395">
        <f>Power!BP311</f>
        <v>0.15660124950356957</v>
      </c>
      <c r="BQ128" s="77">
        <f t="shared" si="138"/>
        <v>0.62640499801427829</v>
      </c>
    </row>
    <row r="129" spans="1:71" s="2" customFormat="1">
      <c r="A129" s="1523"/>
      <c r="C129" s="565" t="str">
        <f>Power!C314</f>
        <v>PA Coal (Keystone &amp; Conemaugh)</v>
      </c>
      <c r="D129" s="37"/>
      <c r="E129" s="365"/>
      <c r="F129" s="6"/>
      <c r="G129" s="6"/>
      <c r="H129" s="366"/>
      <c r="J129" s="365"/>
      <c r="K129" s="6"/>
      <c r="L129" s="6"/>
      <c r="M129" s="366"/>
      <c r="O129" s="365"/>
      <c r="P129" s="6"/>
      <c r="Q129" s="6"/>
      <c r="R129" s="366"/>
      <c r="T129" s="394"/>
      <c r="U129" s="342"/>
      <c r="V129" s="342"/>
      <c r="W129" s="395"/>
      <c r="X129" s="77"/>
      <c r="Y129" s="394">
        <f>Power!Y325</f>
        <v>6.6287862237758972</v>
      </c>
      <c r="Z129" s="342">
        <f>Power!Z325</f>
        <v>4.7836890649221573</v>
      </c>
      <c r="AA129" s="342">
        <f>Power!AA325</f>
        <v>3.8836789667566975</v>
      </c>
      <c r="AB129" s="395">
        <f>Power!AB325</f>
        <v>0.65783174721400428</v>
      </c>
      <c r="AC129" s="77">
        <f t="shared" si="130"/>
        <v>15.953986002668756</v>
      </c>
      <c r="AD129" s="394">
        <f>Power!AD325</f>
        <v>74.776384157598699</v>
      </c>
      <c r="AE129" s="342">
        <f>Power!AE325</f>
        <v>7.2852876594772624</v>
      </c>
      <c r="AF129" s="342">
        <f>Power!AF325</f>
        <v>1.6112119547536281</v>
      </c>
      <c r="AG129" s="395">
        <f>Power!AG325</f>
        <v>7.9926040507953573</v>
      </c>
      <c r="AH129" s="77">
        <f t="shared" si="131"/>
        <v>91.665487822624954</v>
      </c>
      <c r="AI129" s="394">
        <f>Power!AI325</f>
        <v>36.799345834830277</v>
      </c>
      <c r="AJ129" s="342">
        <f>Power!AJ325</f>
        <v>5.6593382624866777</v>
      </c>
      <c r="AK129" s="342">
        <f>Power!AK325</f>
        <v>5.6900701887546106</v>
      </c>
      <c r="AL129" s="395">
        <f>Power!AL325</f>
        <v>2.703076290465301</v>
      </c>
      <c r="AM129" s="77">
        <f t="shared" si="132"/>
        <v>50.851830576536869</v>
      </c>
      <c r="AN129" s="394">
        <f>Power!AN325</f>
        <v>4.7979359255085576</v>
      </c>
      <c r="AO129" s="342">
        <f>Power!AO325</f>
        <v>4.2245181843084616</v>
      </c>
      <c r="AP129" s="342">
        <f>Power!AP325</f>
        <v>10.013904921215232</v>
      </c>
      <c r="AQ129" s="395">
        <f>Power!AQ325</f>
        <v>6.2564576447523237</v>
      </c>
      <c r="AR129" s="77">
        <f t="shared" si="133"/>
        <v>25.292816675784575</v>
      </c>
      <c r="AS129" s="394">
        <f>Power!AS325</f>
        <v>4.2410914502970272</v>
      </c>
      <c r="AT129" s="342">
        <f>Power!AT325</f>
        <v>0.22233224274028629</v>
      </c>
      <c r="AU129" s="342">
        <f>Power!AU325</f>
        <v>1.4351760112430654</v>
      </c>
      <c r="AV129" s="395">
        <f>Power!AV325</f>
        <v>4.3825960201115919</v>
      </c>
      <c r="AW129" s="77">
        <f t="shared" si="134"/>
        <v>10.281195724391971</v>
      </c>
      <c r="AX129" s="394">
        <f>Power!AX325</f>
        <v>19.268292175084632</v>
      </c>
      <c r="AY129" s="342">
        <f>Power!AY325</f>
        <v>4.7643871209999951</v>
      </c>
      <c r="AZ129" s="342">
        <f>Power!AZ325</f>
        <v>6.0701093589999964</v>
      </c>
      <c r="BA129" s="395">
        <f>Power!BA325</f>
        <v>5.3500495499999978</v>
      </c>
      <c r="BB129" s="77">
        <f t="shared" si="135"/>
        <v>35.452838205084618</v>
      </c>
      <c r="BC129" s="394">
        <f>Power!BC325</f>
        <v>13.770484468721811</v>
      </c>
      <c r="BD129" s="342">
        <f>Power!BD325</f>
        <v>-0.47408702724503371</v>
      </c>
      <c r="BE129" s="342">
        <f>Power!BE325</f>
        <v>0.88539712355480304</v>
      </c>
      <c r="BF129" s="395">
        <f>Power!BF325</f>
        <v>8.7593409304101826</v>
      </c>
      <c r="BG129" s="77">
        <f t="shared" si="136"/>
        <v>22.941135495441763</v>
      </c>
      <c r="BH129" s="394">
        <f>Power!BH325</f>
        <v>13.472326104551911</v>
      </c>
      <c r="BI129" s="342">
        <f>Power!BI325</f>
        <v>-0.66789342559258458</v>
      </c>
      <c r="BJ129" s="342">
        <f>Power!BJ325</f>
        <v>0.68899312536902357</v>
      </c>
      <c r="BK129" s="395">
        <f>Power!BK325</f>
        <v>8.4689721435148329</v>
      </c>
      <c r="BL129" s="77">
        <f t="shared" si="137"/>
        <v>21.962397947843183</v>
      </c>
      <c r="BM129" s="394">
        <f>Power!BM325</f>
        <v>6.7526223427256369</v>
      </c>
      <c r="BN129" s="342">
        <f>Power!BN325</f>
        <v>6.7526223427256369</v>
      </c>
      <c r="BO129" s="342">
        <f>Power!BO325</f>
        <v>6.7526223427256369</v>
      </c>
      <c r="BP129" s="395">
        <f>Power!BP325</f>
        <v>3.1271434662855313</v>
      </c>
      <c r="BQ129" s="77">
        <f t="shared" si="138"/>
        <v>23.385010494462442</v>
      </c>
    </row>
    <row r="130" spans="1:71" s="2" customFormat="1">
      <c r="A130" s="1523"/>
      <c r="C130" s="565" t="str">
        <f>Power!C340</f>
        <v>CT Oil Peakers (New Haven &amp; Bridgeport)</v>
      </c>
      <c r="D130" s="37"/>
      <c r="E130" s="365"/>
      <c r="F130" s="6"/>
      <c r="G130" s="6"/>
      <c r="H130" s="366"/>
      <c r="J130" s="365"/>
      <c r="K130" s="6"/>
      <c r="L130" s="6"/>
      <c r="M130" s="366"/>
      <c r="O130" s="365"/>
      <c r="P130" s="6"/>
      <c r="Q130" s="6"/>
      <c r="R130" s="366"/>
      <c r="T130" s="394"/>
      <c r="U130" s="342"/>
      <c r="V130" s="342"/>
      <c r="W130" s="395"/>
      <c r="X130" s="77"/>
      <c r="Y130" s="394">
        <f>Power!Y351</f>
        <v>0</v>
      </c>
      <c r="Z130" s="342">
        <f>Power!Z351</f>
        <v>0</v>
      </c>
      <c r="AA130" s="342">
        <f>Power!AA351</f>
        <v>0</v>
      </c>
      <c r="AB130" s="395">
        <f>Power!AB351</f>
        <v>0</v>
      </c>
      <c r="AC130" s="77">
        <f t="shared" si="130"/>
        <v>0</v>
      </c>
      <c r="AD130" s="394">
        <f>Power!AD351</f>
        <v>0</v>
      </c>
      <c r="AE130" s="342">
        <f>Power!AE351</f>
        <v>0</v>
      </c>
      <c r="AF130" s="342">
        <f>Power!AF351</f>
        <v>0</v>
      </c>
      <c r="AG130" s="395">
        <f>Power!AG351</f>
        <v>0</v>
      </c>
      <c r="AH130" s="77">
        <f t="shared" si="131"/>
        <v>0</v>
      </c>
      <c r="AI130" s="394">
        <f>Power!AI351</f>
        <v>0</v>
      </c>
      <c r="AJ130" s="342">
        <f>Power!AJ351</f>
        <v>0</v>
      </c>
      <c r="AK130" s="342">
        <f>Power!AK351</f>
        <v>0</v>
      </c>
      <c r="AL130" s="395">
        <f>Power!AL351</f>
        <v>0</v>
      </c>
      <c r="AM130" s="77">
        <f t="shared" si="132"/>
        <v>0</v>
      </c>
      <c r="AN130" s="394">
        <f>Power!AN351</f>
        <v>0</v>
      </c>
      <c r="AO130" s="342">
        <f>Power!AO351</f>
        <v>0</v>
      </c>
      <c r="AP130" s="342">
        <f>Power!AP351</f>
        <v>0</v>
      </c>
      <c r="AQ130" s="395">
        <f>Power!AQ351</f>
        <v>0</v>
      </c>
      <c r="AR130" s="77">
        <f t="shared" si="133"/>
        <v>0</v>
      </c>
      <c r="AS130" s="394">
        <f>Power!AS351</f>
        <v>0</v>
      </c>
      <c r="AT130" s="342">
        <f>Power!AT351</f>
        <v>0</v>
      </c>
      <c r="AU130" s="342">
        <f>Power!AU351</f>
        <v>0</v>
      </c>
      <c r="AV130" s="395">
        <f>Power!AV351</f>
        <v>0</v>
      </c>
      <c r="AW130" s="77">
        <f t="shared" si="134"/>
        <v>0</v>
      </c>
      <c r="AX130" s="394">
        <f>Power!AX351</f>
        <v>0</v>
      </c>
      <c r="AY130" s="342">
        <f>Power!AY351</f>
        <v>0</v>
      </c>
      <c r="AZ130" s="342">
        <f>Power!AZ351</f>
        <v>0</v>
      </c>
      <c r="BA130" s="395">
        <f>Power!BA351</f>
        <v>0</v>
      </c>
      <c r="BB130" s="77">
        <f t="shared" si="135"/>
        <v>0</v>
      </c>
      <c r="BC130" s="394">
        <f>Power!BC351</f>
        <v>0</v>
      </c>
      <c r="BD130" s="342">
        <f>Power!BD351</f>
        <v>0</v>
      </c>
      <c r="BE130" s="342">
        <f>Power!BE351</f>
        <v>0</v>
      </c>
      <c r="BF130" s="395">
        <f>Power!BF351</f>
        <v>0</v>
      </c>
      <c r="BG130" s="77">
        <f t="shared" si="136"/>
        <v>0</v>
      </c>
      <c r="BH130" s="394">
        <f>Power!BH351</f>
        <v>0</v>
      </c>
      <c r="BI130" s="342">
        <f>Power!BI351</f>
        <v>0</v>
      </c>
      <c r="BJ130" s="342">
        <f>Power!BJ351</f>
        <v>0</v>
      </c>
      <c r="BK130" s="395">
        <f>Power!BK351</f>
        <v>0</v>
      </c>
      <c r="BL130" s="77">
        <f t="shared" si="137"/>
        <v>0</v>
      </c>
      <c r="BM130" s="394">
        <f>Power!BM351</f>
        <v>0</v>
      </c>
      <c r="BN130" s="342">
        <f>Power!BN351</f>
        <v>0</v>
      </c>
      <c r="BO130" s="342">
        <f>Power!BO351</f>
        <v>0</v>
      </c>
      <c r="BP130" s="395">
        <f>Power!BP351</f>
        <v>0</v>
      </c>
      <c r="BQ130" s="77">
        <f t="shared" si="138"/>
        <v>0</v>
      </c>
    </row>
    <row r="131" spans="1:71" s="2" customFormat="1">
      <c r="A131" s="1523"/>
      <c r="C131" s="565" t="str">
        <f>Power!C327</f>
        <v>CT Gas Peaker (New Haven)</v>
      </c>
      <c r="D131" s="37"/>
      <c r="E131" s="365"/>
      <c r="F131" s="6"/>
      <c r="G131" s="6"/>
      <c r="H131" s="366"/>
      <c r="J131" s="365"/>
      <c r="K131" s="6"/>
      <c r="L131" s="6"/>
      <c r="M131" s="366"/>
      <c r="O131" s="365"/>
      <c r="P131" s="6"/>
      <c r="Q131" s="6"/>
      <c r="R131" s="366"/>
      <c r="T131" s="394"/>
      <c r="U131" s="342"/>
      <c r="V131" s="342"/>
      <c r="W131" s="395"/>
      <c r="X131" s="77"/>
      <c r="Y131" s="394">
        <f>Power!Y338</f>
        <v>0</v>
      </c>
      <c r="Z131" s="342">
        <f>Power!Z338</f>
        <v>0</v>
      </c>
      <c r="AA131" s="342">
        <f>Power!AA338</f>
        <v>0.69603909184570467</v>
      </c>
      <c r="AB131" s="395">
        <f>Power!AB338</f>
        <v>1.105984710644532</v>
      </c>
      <c r="AC131" s="77">
        <f>SUM(Y131:AB131)</f>
        <v>1.8020238024902366</v>
      </c>
      <c r="AD131" s="394">
        <f>Power!AD338</f>
        <v>0</v>
      </c>
      <c r="AE131" s="342">
        <f>Power!AE338</f>
        <v>0</v>
      </c>
      <c r="AF131" s="342">
        <f>Power!AF338</f>
        <v>0.724768074316406</v>
      </c>
      <c r="AG131" s="395">
        <f>Power!AG338</f>
        <v>0.68846326376953026</v>
      </c>
      <c r="AH131" s="77">
        <f>SUM(AD131:AG131)</f>
        <v>1.4132313380859363</v>
      </c>
      <c r="AI131" s="394">
        <f>Power!AI338</f>
        <v>0</v>
      </c>
      <c r="AJ131" s="342">
        <f>Power!AJ338</f>
        <v>0</v>
      </c>
      <c r="AK131" s="342">
        <f>Power!AK338</f>
        <v>0.86409427031249919</v>
      </c>
      <c r="AL131" s="395">
        <f>Power!AL338</f>
        <v>0.50890759167131638</v>
      </c>
      <c r="AM131" s="77">
        <f>SUM(AI131:AL131)</f>
        <v>1.3730018619838156</v>
      </c>
      <c r="AN131" s="394">
        <f>Power!AN338</f>
        <v>0</v>
      </c>
      <c r="AO131" s="342">
        <f>Power!AO338</f>
        <v>0.34467105410156251</v>
      </c>
      <c r="AP131" s="342">
        <f>Power!AP338</f>
        <v>1.1903762964843745</v>
      </c>
      <c r="AQ131" s="395">
        <f>Power!AQ338</f>
        <v>0.25082561081989274</v>
      </c>
      <c r="AR131" s="77">
        <f>SUM(AN131:AQ131)</f>
        <v>1.7858729614058297</v>
      </c>
      <c r="AS131" s="394">
        <f>Power!AS338</f>
        <v>0</v>
      </c>
      <c r="AT131" s="342">
        <f>Power!AT338</f>
        <v>0</v>
      </c>
      <c r="AU131" s="342">
        <f>Power!AU338</f>
        <v>0</v>
      </c>
      <c r="AV131" s="395">
        <f>Power!AV338</f>
        <v>0.51957141386328631</v>
      </c>
      <c r="AW131" s="77">
        <f t="shared" ref="AW131:AW137" si="139">SUM(AS131:AV131)</f>
        <v>0.51957141386328631</v>
      </c>
      <c r="AX131" s="394">
        <f>Power!AX338</f>
        <v>0</v>
      </c>
      <c r="AY131" s="342">
        <f>Power!AY338</f>
        <v>0</v>
      </c>
      <c r="AZ131" s="342">
        <f>Power!AZ338</f>
        <v>0.16536324999999952</v>
      </c>
      <c r="BA131" s="395">
        <f>Power!BA338</f>
        <v>0.10320375000000004</v>
      </c>
      <c r="BB131" s="77">
        <f t="shared" ref="BB131:BB137" si="140">SUM(AX131:BA131)</f>
        <v>0.26856699999999956</v>
      </c>
      <c r="BC131" s="394">
        <f>Power!BC338</f>
        <v>1.1896400526316295</v>
      </c>
      <c r="BD131" s="342">
        <f>Power!BD338</f>
        <v>0.52877680964460616</v>
      </c>
      <c r="BE131" s="342">
        <f>Power!BE338</f>
        <v>0.98386766030451844</v>
      </c>
      <c r="BF131" s="395">
        <f>Power!BF338</f>
        <v>0</v>
      </c>
      <c r="BG131" s="77">
        <f t="shared" ref="BG131:BG137" si="141">SUM(BC131:BF131)</f>
        <v>2.7022845225807544</v>
      </c>
      <c r="BH131" s="394">
        <f>Power!BH338</f>
        <v>1.1257664634778459</v>
      </c>
      <c r="BI131" s="342">
        <f>Power!BI338</f>
        <v>0.50278795619459227</v>
      </c>
      <c r="BJ131" s="342">
        <f>Power!BJ338</f>
        <v>0.95921436605756671</v>
      </c>
      <c r="BK131" s="395">
        <f>Power!BK338</f>
        <v>0</v>
      </c>
      <c r="BL131" s="77">
        <f t="shared" si="137"/>
        <v>2.5877687857300051</v>
      </c>
      <c r="BM131" s="394">
        <f>Power!BM338</f>
        <v>0.97562360366684286</v>
      </c>
      <c r="BN131" s="342">
        <f>Power!BN338</f>
        <v>0.52192995275121024</v>
      </c>
      <c r="BO131" s="342">
        <f>Power!BO338</f>
        <v>1.0002684994789381</v>
      </c>
      <c r="BP131" s="395">
        <f>Power!BP338</f>
        <v>0</v>
      </c>
      <c r="BQ131" s="77">
        <f t="shared" si="138"/>
        <v>2.4978220558969912</v>
      </c>
    </row>
    <row r="132" spans="1:71" s="2" customFormat="1">
      <c r="A132" s="1523"/>
      <c r="C132" s="565" t="str">
        <f>Power!C353</f>
        <v>CT Coal (Bridgeport)</v>
      </c>
      <c r="D132" s="37"/>
      <c r="E132" s="365"/>
      <c r="F132" s="6"/>
      <c r="G132" s="6"/>
      <c r="H132" s="366"/>
      <c r="J132" s="365"/>
      <c r="K132" s="6"/>
      <c r="L132" s="6"/>
      <c r="M132" s="366"/>
      <c r="O132" s="365"/>
      <c r="P132" s="6"/>
      <c r="Q132" s="6"/>
      <c r="R132" s="366"/>
      <c r="T132" s="394"/>
      <c r="U132" s="342"/>
      <c r="V132" s="342"/>
      <c r="W132" s="395"/>
      <c r="X132" s="77"/>
      <c r="Y132" s="394">
        <f>Power!Y364</f>
        <v>8.2215810382234373</v>
      </c>
      <c r="Z132" s="342">
        <f>Power!Z364</f>
        <v>0.68874761796273987</v>
      </c>
      <c r="AA132" s="342">
        <f>Power!AA364</f>
        <v>2.5970535841271056</v>
      </c>
      <c r="AB132" s="395">
        <f>Power!AB364</f>
        <v>4.8007835183383403</v>
      </c>
      <c r="AC132" s="77">
        <f t="shared" si="130"/>
        <v>16.308165758651626</v>
      </c>
      <c r="AD132" s="394">
        <f>Power!AD364</f>
        <v>21.460456601511005</v>
      </c>
      <c r="AE132" s="342">
        <f>Power!AE364</f>
        <v>1.097797323258713</v>
      </c>
      <c r="AF132" s="342">
        <f>Power!AF364</f>
        <v>0.86637657210035623</v>
      </c>
      <c r="AG132" s="395">
        <f>Power!AG364</f>
        <v>2.0925927831941111</v>
      </c>
      <c r="AH132" s="77">
        <f t="shared" si="131"/>
        <v>25.517223280064186</v>
      </c>
      <c r="AI132" s="394">
        <f>Power!AI364</f>
        <v>19.286230650483517</v>
      </c>
      <c r="AJ132" s="342">
        <f>Power!AJ364</f>
        <v>-1.8551744988912269</v>
      </c>
      <c r="AK132" s="342">
        <f>Power!AK364</f>
        <v>0.67156926559615204</v>
      </c>
      <c r="AL132" s="395">
        <f>Power!AL364</f>
        <v>-0.51782075872896893</v>
      </c>
      <c r="AM132" s="77">
        <f t="shared" si="132"/>
        <v>17.584804658459472</v>
      </c>
      <c r="AN132" s="394">
        <f>Power!AN364</f>
        <v>-0.64936260301532656</v>
      </c>
      <c r="AO132" s="342">
        <f>Power!AO364</f>
        <v>-0.90402721332331559</v>
      </c>
      <c r="AP132" s="342">
        <f>Power!AP364</f>
        <v>1.5544785863169626</v>
      </c>
      <c r="AQ132" s="395">
        <f>Power!AQ364</f>
        <v>0.54233111801282163</v>
      </c>
      <c r="AR132" s="77">
        <f t="shared" si="133"/>
        <v>0.54341988799114205</v>
      </c>
      <c r="AS132" s="394">
        <f>Power!AS364</f>
        <v>-0.67945587109075145</v>
      </c>
      <c r="AT132" s="342">
        <f>Power!AT364</f>
        <v>-0.99509210425329986</v>
      </c>
      <c r="AU132" s="342">
        <f>Power!AU364</f>
        <v>-1.3053615439972557</v>
      </c>
      <c r="AV132" s="395">
        <f>Power!AV364</f>
        <v>1.7482537389377262</v>
      </c>
      <c r="AW132" s="77">
        <f t="shared" si="139"/>
        <v>-1.2316557804035808</v>
      </c>
      <c r="AX132" s="394">
        <f>Power!AX364</f>
        <v>3.189395075214847</v>
      </c>
      <c r="AY132" s="342">
        <f>Power!AY364</f>
        <v>-0.8136069000000008</v>
      </c>
      <c r="AZ132" s="342">
        <f>Power!AZ364</f>
        <v>-0.35507930000000076</v>
      </c>
      <c r="BA132" s="395">
        <f>Power!BA364</f>
        <v>0.81360689999999991</v>
      </c>
      <c r="BB132" s="77">
        <f t="shared" si="140"/>
        <v>2.8343157752148453</v>
      </c>
      <c r="BC132" s="394">
        <f>Power!BC364</f>
        <v>6.0596606002544755</v>
      </c>
      <c r="BD132" s="342">
        <f>Power!BD364</f>
        <v>-0.91912492934850931</v>
      </c>
      <c r="BE132" s="342">
        <f>Power!BE364</f>
        <v>-3.7624952676037715E-2</v>
      </c>
      <c r="BF132" s="395">
        <f>Power!BF364</f>
        <v>-0.36945201827466523</v>
      </c>
      <c r="BG132" s="77">
        <f t="shared" si="141"/>
        <v>4.7334586999552632</v>
      </c>
      <c r="BH132" s="394">
        <f>Power!BH364</f>
        <v>6.0596606002544755</v>
      </c>
      <c r="BI132" s="342">
        <f>Power!BI364</f>
        <v>-0.91912492934850842</v>
      </c>
      <c r="BJ132" s="342">
        <f>Power!BJ364</f>
        <v>-3.7624952676036827E-2</v>
      </c>
      <c r="BK132" s="395">
        <f>Power!BK364</f>
        <v>-0.36945201827466523</v>
      </c>
      <c r="BL132" s="77">
        <f t="shared" si="137"/>
        <v>4.733458699955265</v>
      </c>
      <c r="BM132" s="394">
        <f>Power!BM364</f>
        <v>5.5005821406974524</v>
      </c>
      <c r="BN132" s="342">
        <f>Power!BN364</f>
        <v>-0.51332095972841429</v>
      </c>
      <c r="BO132" s="342">
        <f>Power!BO364</f>
        <v>0.34344046112627069</v>
      </c>
      <c r="BP132" s="395">
        <f>Power!BP364</f>
        <v>-0.81795674770897353</v>
      </c>
      <c r="BQ132" s="77">
        <f t="shared" si="138"/>
        <v>4.5127448943863353</v>
      </c>
    </row>
    <row r="133" spans="1:71" s="2" customFormat="1">
      <c r="A133" s="1523"/>
      <c r="C133" s="565" t="s">
        <v>1021</v>
      </c>
      <c r="D133" s="37"/>
      <c r="E133" s="365"/>
      <c r="F133" s="6"/>
      <c r="G133" s="6"/>
      <c r="H133" s="366"/>
      <c r="J133" s="365"/>
      <c r="K133" s="6"/>
      <c r="L133" s="6"/>
      <c r="M133" s="366"/>
      <c r="O133" s="365"/>
      <c r="P133" s="6"/>
      <c r="Q133" s="6"/>
      <c r="R133" s="366"/>
      <c r="T133" s="394"/>
      <c r="U133" s="342"/>
      <c r="V133" s="342"/>
      <c r="W133" s="395"/>
      <c r="X133" s="77"/>
      <c r="Y133" s="394">
        <f>Y384</f>
        <v>0</v>
      </c>
      <c r="Z133" s="342">
        <f>Z384</f>
        <v>0</v>
      </c>
      <c r="AA133" s="342">
        <f>AA384</f>
        <v>0</v>
      </c>
      <c r="AB133" s="395">
        <f>AB384</f>
        <v>0</v>
      </c>
      <c r="AC133" s="77">
        <f t="shared" si="130"/>
        <v>0</v>
      </c>
      <c r="AD133" s="394">
        <f>AD384</f>
        <v>0</v>
      </c>
      <c r="AE133" s="342">
        <f>AE384</f>
        <v>0</v>
      </c>
      <c r="AF133" s="342">
        <f>AF384</f>
        <v>0</v>
      </c>
      <c r="AG133" s="395">
        <f>AG384</f>
        <v>0</v>
      </c>
      <c r="AH133" s="77">
        <f t="shared" si="131"/>
        <v>0</v>
      </c>
      <c r="AI133" s="394">
        <f>AI384</f>
        <v>0</v>
      </c>
      <c r="AJ133" s="342">
        <f>AJ384</f>
        <v>0</v>
      </c>
      <c r="AK133" s="342">
        <f>AK384</f>
        <v>0</v>
      </c>
      <c r="AL133" s="395">
        <f>AL384</f>
        <v>0</v>
      </c>
      <c r="AM133" s="77">
        <f t="shared" si="132"/>
        <v>0</v>
      </c>
      <c r="AN133" s="394">
        <f>AN384</f>
        <v>0</v>
      </c>
      <c r="AO133" s="342">
        <f>AO384</f>
        <v>0</v>
      </c>
      <c r="AP133" s="342">
        <f>AP384</f>
        <v>0</v>
      </c>
      <c r="AQ133" s="395">
        <f>AQ384</f>
        <v>0</v>
      </c>
      <c r="AR133" s="77">
        <f t="shared" si="133"/>
        <v>0</v>
      </c>
      <c r="AS133" s="394">
        <f>AS384</f>
        <v>0</v>
      </c>
      <c r="AT133" s="342">
        <f>AT384</f>
        <v>0</v>
      </c>
      <c r="AU133" s="342">
        <f>AU384</f>
        <v>0</v>
      </c>
      <c r="AV133" s="395">
        <f>AV384</f>
        <v>0</v>
      </c>
      <c r="AW133" s="77">
        <f t="shared" si="139"/>
        <v>0</v>
      </c>
      <c r="AX133" s="394">
        <f>AX384</f>
        <v>0</v>
      </c>
      <c r="AY133" s="342">
        <f>AY384</f>
        <v>0</v>
      </c>
      <c r="AZ133" s="342">
        <f>AZ384</f>
        <v>0</v>
      </c>
      <c r="BA133" s="395">
        <f>BA384</f>
        <v>0</v>
      </c>
      <c r="BB133" s="77">
        <f t="shared" si="140"/>
        <v>0</v>
      </c>
      <c r="BC133" s="394">
        <f>BC384</f>
        <v>0</v>
      </c>
      <c r="BD133" s="342">
        <f>BD384</f>
        <v>3.701167074177925</v>
      </c>
      <c r="BE133" s="342">
        <f>BE384</f>
        <v>14.574796016361804</v>
      </c>
      <c r="BF133" s="395">
        <f>BF384</f>
        <v>3.8481517353411192</v>
      </c>
      <c r="BG133" s="77">
        <f t="shared" si="141"/>
        <v>22.124114825880849</v>
      </c>
      <c r="BH133" s="394">
        <f>BH384</f>
        <v>27.344651290261439</v>
      </c>
      <c r="BI133" s="342">
        <f>BI384</f>
        <v>10.933688216385072</v>
      </c>
      <c r="BJ133" s="342">
        <f>BJ384</f>
        <v>14.411794639011232</v>
      </c>
      <c r="BK133" s="395">
        <f>BK384</f>
        <v>3.4466492974264646</v>
      </c>
      <c r="BL133" s="77">
        <f t="shared" si="137"/>
        <v>56.136783443084212</v>
      </c>
      <c r="BM133" s="394">
        <f>BM384</f>
        <v>25.540808248494614</v>
      </c>
      <c r="BN133" s="342">
        <f>BN384</f>
        <v>11.734839226907809</v>
      </c>
      <c r="BO133" s="342">
        <f>BO384</f>
        <v>15.262210482459192</v>
      </c>
      <c r="BP133" s="395">
        <f>BP384</f>
        <v>2.6140721005902883</v>
      </c>
      <c r="BQ133" s="77">
        <f t="shared" si="138"/>
        <v>55.15193005845191</v>
      </c>
    </row>
    <row r="134" spans="1:71" s="2" customFormat="1">
      <c r="A134" s="1523"/>
      <c r="C134" s="565" t="str">
        <f>Power!C386</f>
        <v>NY CC (Bethlehem)</v>
      </c>
      <c r="D134" s="37"/>
      <c r="E134" s="365"/>
      <c r="F134" s="6"/>
      <c r="G134" s="6"/>
      <c r="H134" s="366"/>
      <c r="J134" s="365"/>
      <c r="K134" s="6"/>
      <c r="L134" s="6"/>
      <c r="M134" s="366"/>
      <c r="O134" s="365"/>
      <c r="P134" s="6"/>
      <c r="Q134" s="6"/>
      <c r="R134" s="366"/>
      <c r="T134" s="394"/>
      <c r="U134" s="342"/>
      <c r="V134" s="342"/>
      <c r="W134" s="395"/>
      <c r="X134" s="77"/>
      <c r="Y134" s="394">
        <f>Power!Y404</f>
        <v>0</v>
      </c>
      <c r="Z134" s="342">
        <f>Power!Z404</f>
        <v>6.0891722915624946</v>
      </c>
      <c r="AA134" s="342">
        <f>Power!AA404</f>
        <v>19.136104584433603</v>
      </c>
      <c r="AB134" s="395">
        <f>Power!AB404</f>
        <v>10.320035006777346</v>
      </c>
      <c r="AC134" s="77">
        <f t="shared" si="130"/>
        <v>35.545311882773447</v>
      </c>
      <c r="AD134" s="394">
        <f>Power!AD404</f>
        <v>0</v>
      </c>
      <c r="AE134" s="342">
        <f>Power!AE404</f>
        <v>12.601240957265627</v>
      </c>
      <c r="AF134" s="342">
        <f>Power!AF404</f>
        <v>19.363198318777194</v>
      </c>
      <c r="AG134" s="395">
        <f>Power!AG404</f>
        <v>11.408619923613276</v>
      </c>
      <c r="AH134" s="77">
        <f t="shared" si="131"/>
        <v>43.373059199656097</v>
      </c>
      <c r="AI134" s="394">
        <f>Power!AI404</f>
        <v>5.1334625061290211</v>
      </c>
      <c r="AJ134" s="342">
        <f>Power!AJ404</f>
        <v>13.190653532285172</v>
      </c>
      <c r="AK134" s="342">
        <f>Power!AK404</f>
        <v>16.638011122382419</v>
      </c>
      <c r="AL134" s="395">
        <f>Power!AL404</f>
        <v>13.624612875351565</v>
      </c>
      <c r="AM134" s="77">
        <f t="shared" si="132"/>
        <v>48.586740036148178</v>
      </c>
      <c r="AN134" s="394">
        <f>Power!AN404</f>
        <v>8.9281918090621701</v>
      </c>
      <c r="AO134" s="342">
        <f>Power!AO404</f>
        <v>16.035875986343143</v>
      </c>
      <c r="AP134" s="342">
        <f>Power!AP404</f>
        <v>23.336098070403359</v>
      </c>
      <c r="AQ134" s="395">
        <f>Power!AQ404</f>
        <v>2.9105345315322531</v>
      </c>
      <c r="AR134" s="77">
        <f t="shared" si="133"/>
        <v>51.210700397340929</v>
      </c>
      <c r="AS134" s="394">
        <f>Power!AS404</f>
        <v>1.4507380687046414</v>
      </c>
      <c r="AT134" s="342">
        <f>Power!AT404</f>
        <v>8.5473174912890535</v>
      </c>
      <c r="AU134" s="342">
        <f>Power!AU404</f>
        <v>11.91957623233929</v>
      </c>
      <c r="AV134" s="395">
        <f>Power!AV404</f>
        <v>7.5668710677803546</v>
      </c>
      <c r="AW134" s="77">
        <f t="shared" si="139"/>
        <v>29.484502860113338</v>
      </c>
      <c r="AX134" s="394">
        <f>Power!AX404</f>
        <v>0</v>
      </c>
      <c r="AY134" s="342">
        <f>Power!AY404</f>
        <v>19.184903729199984</v>
      </c>
      <c r="AZ134" s="342">
        <f>Power!AZ404</f>
        <v>14.413274048249992</v>
      </c>
      <c r="BA134" s="395">
        <f>Power!BA404</f>
        <v>14.470579139499996</v>
      </c>
      <c r="BB134" s="77">
        <f t="shared" si="140"/>
        <v>48.068756916949972</v>
      </c>
      <c r="BC134" s="394">
        <f>Power!BC404</f>
        <v>27.903275641655021</v>
      </c>
      <c r="BD134" s="342">
        <f>Power!BD404</f>
        <v>22.645846149180123</v>
      </c>
      <c r="BE134" s="342">
        <f>Power!BE404</f>
        <v>18.875440501914781</v>
      </c>
      <c r="BF134" s="395">
        <f>Power!BF404</f>
        <v>0</v>
      </c>
      <c r="BG134" s="77">
        <f t="shared" si="141"/>
        <v>69.424562292749926</v>
      </c>
      <c r="BH134" s="394">
        <f>Power!BH404</f>
        <v>26.796219679031324</v>
      </c>
      <c r="BI134" s="342">
        <f>Power!BI404</f>
        <v>22.000301580343777</v>
      </c>
      <c r="BJ134" s="342">
        <f>Power!BJ404</f>
        <v>18.285765067311523</v>
      </c>
      <c r="BK134" s="395">
        <f>Power!BK404</f>
        <v>0</v>
      </c>
      <c r="BL134" s="77">
        <f t="shared" si="137"/>
        <v>67.082286326686614</v>
      </c>
      <c r="BM134" s="394">
        <f>Power!BM404</f>
        <v>24.228852193009963</v>
      </c>
      <c r="BN134" s="342">
        <f>Power!BN404</f>
        <v>23.709713932973745</v>
      </c>
      <c r="BO134" s="342">
        <f>Power!BO404</f>
        <v>19.200689129973483</v>
      </c>
      <c r="BP134" s="395">
        <f>Power!BP404</f>
        <v>0</v>
      </c>
      <c r="BQ134" s="77">
        <f t="shared" si="138"/>
        <v>67.139255255957195</v>
      </c>
    </row>
    <row r="135" spans="1:71" s="2" customFormat="1">
      <c r="A135" s="1523"/>
      <c r="C135" s="565" t="s">
        <v>986</v>
      </c>
      <c r="D135" s="37"/>
      <c r="E135" s="365"/>
      <c r="F135" s="6"/>
      <c r="G135" s="6"/>
      <c r="H135" s="366"/>
      <c r="J135" s="365"/>
      <c r="K135" s="6"/>
      <c r="L135" s="6"/>
      <c r="M135" s="366"/>
      <c r="O135" s="365"/>
      <c r="P135" s="6"/>
      <c r="Q135" s="6"/>
      <c r="R135" s="366"/>
      <c r="T135" s="394"/>
      <c r="U135" s="342"/>
      <c r="V135" s="342"/>
      <c r="W135" s="395"/>
      <c r="X135" s="77"/>
      <c r="Y135" s="394">
        <f>Y424</f>
        <v>0</v>
      </c>
      <c r="Z135" s="342">
        <f>Z424</f>
        <v>0</v>
      </c>
      <c r="AA135" s="342">
        <f>AA424</f>
        <v>0</v>
      </c>
      <c r="AB135" s="395">
        <f>AB424</f>
        <v>0</v>
      </c>
      <c r="AC135" s="77">
        <f>SUM(Y135:AB135)</f>
        <v>0</v>
      </c>
      <c r="AD135" s="394">
        <f>AD424</f>
        <v>0</v>
      </c>
      <c r="AE135" s="342">
        <f>AE424</f>
        <v>0</v>
      </c>
      <c r="AF135" s="342">
        <f>AF424</f>
        <v>0</v>
      </c>
      <c r="AG135" s="395">
        <f>AG424</f>
        <v>0</v>
      </c>
      <c r="AH135" s="77">
        <f>SUM(AD135:AG135)</f>
        <v>0</v>
      </c>
      <c r="AI135" s="394">
        <f>AI424</f>
        <v>0</v>
      </c>
      <c r="AJ135" s="342">
        <f>AJ424</f>
        <v>0</v>
      </c>
      <c r="AK135" s="342">
        <f>AK424</f>
        <v>0</v>
      </c>
      <c r="AL135" s="395">
        <f>AL424</f>
        <v>0</v>
      </c>
      <c r="AM135" s="77">
        <f>SUM(AI135:AL135)</f>
        <v>0</v>
      </c>
      <c r="AN135" s="394">
        <f>AN424</f>
        <v>0</v>
      </c>
      <c r="AO135" s="342">
        <f>AO424</f>
        <v>0</v>
      </c>
      <c r="AP135" s="342">
        <f>AP424</f>
        <v>0</v>
      </c>
      <c r="AQ135" s="395">
        <f>AQ424</f>
        <v>0</v>
      </c>
      <c r="AR135" s="77">
        <f>SUM(AN135:AQ135)</f>
        <v>0</v>
      </c>
      <c r="AS135" s="394">
        <f>AS424</f>
        <v>0</v>
      </c>
      <c r="AT135" s="342">
        <f>AT424</f>
        <v>0</v>
      </c>
      <c r="AU135" s="342">
        <f>AU424</f>
        <v>0</v>
      </c>
      <c r="AV135" s="395">
        <f>AV424</f>
        <v>0</v>
      </c>
      <c r="AW135" s="77">
        <f t="shared" si="139"/>
        <v>0</v>
      </c>
      <c r="AX135" s="394">
        <f>AX424</f>
        <v>0</v>
      </c>
      <c r="AY135" s="342">
        <f>AY424</f>
        <v>17.315161260874998</v>
      </c>
      <c r="AZ135" s="342">
        <f>AZ424</f>
        <v>20.235575590625</v>
      </c>
      <c r="BA135" s="395">
        <f>BA424</f>
        <v>13.531373211874993</v>
      </c>
      <c r="BB135" s="77">
        <f t="shared" si="140"/>
        <v>51.082110063374991</v>
      </c>
      <c r="BC135" s="394">
        <f>BC424</f>
        <v>20.24394868268628</v>
      </c>
      <c r="BD135" s="342">
        <f>BD424</f>
        <v>15.78442796997151</v>
      </c>
      <c r="BE135" s="342">
        <f>BE424</f>
        <v>18.742690150679739</v>
      </c>
      <c r="BF135" s="395">
        <f>BF424</f>
        <v>7.4811752537724772</v>
      </c>
      <c r="BG135" s="77">
        <f t="shared" si="141"/>
        <v>62.25224205711001</v>
      </c>
      <c r="BH135" s="394">
        <f>BH424</f>
        <v>20.55461856887996</v>
      </c>
      <c r="BI135" s="342">
        <f>BI424</f>
        <v>15.921014788868344</v>
      </c>
      <c r="BJ135" s="342">
        <f>BJ424</f>
        <v>18.877413791119491</v>
      </c>
      <c r="BK135" s="395">
        <f>BK424</f>
        <v>7.8507993575452133</v>
      </c>
      <c r="BL135" s="77">
        <f t="shared" si="137"/>
        <v>63.203846506413015</v>
      </c>
      <c r="BM135" s="394">
        <f>BM424</f>
        <v>16.971857481569877</v>
      </c>
      <c r="BN135" s="342">
        <f>BN424</f>
        <v>16.971857481569877</v>
      </c>
      <c r="BO135" s="342">
        <f>BO424</f>
        <v>16.971857481569877</v>
      </c>
      <c r="BP135" s="395">
        <f>BP424</f>
        <v>16.971857481569877</v>
      </c>
      <c r="BQ135" s="77">
        <f t="shared" si="138"/>
        <v>67.887429926279509</v>
      </c>
    </row>
    <row r="136" spans="1:71" s="2" customFormat="1">
      <c r="A136" s="1523"/>
      <c r="C136" s="565" t="s">
        <v>664</v>
      </c>
      <c r="D136" s="37"/>
      <c r="E136" s="365"/>
      <c r="F136" s="6"/>
      <c r="G136" s="6"/>
      <c r="H136" s="366"/>
      <c r="J136" s="365"/>
      <c r="K136" s="6"/>
      <c r="L136" s="6"/>
      <c r="M136" s="366"/>
      <c r="O136" s="365"/>
      <c r="P136" s="6"/>
      <c r="Q136" s="6"/>
      <c r="R136" s="366"/>
      <c r="T136" s="394"/>
      <c r="U136" s="342"/>
      <c r="V136" s="342"/>
      <c r="W136" s="395"/>
      <c r="X136" s="77"/>
      <c r="Y136" s="1567">
        <f>SUMPRODUCT(Y93:Y97,Y191:Y195)*365/4/1000000</f>
        <v>152.00811899999999</v>
      </c>
      <c r="Z136" s="342">
        <f>SUMPRODUCT(Z93:Z97,Z191:Z195)*365/4/1000000</f>
        <v>182.95264745</v>
      </c>
      <c r="AA136" s="342">
        <f>SUMPRODUCT(AA93:AA97,AA191:AA195)*365/4/1000000</f>
        <v>237.18436935000003</v>
      </c>
      <c r="AB136" s="395">
        <f>SUMPRODUCT(AB93:AB97,AB191:AB195)*365/4/1000000</f>
        <v>235.16080935000002</v>
      </c>
      <c r="AC136" s="77">
        <f>SUM(Y136:AB136)</f>
        <v>807.30594515000007</v>
      </c>
      <c r="AD136" s="394">
        <f>SUMPRODUCT(AD93:AD97,AD191:AD195)*365/4/1000000</f>
        <v>234.14902935000003</v>
      </c>
      <c r="AE136" s="342">
        <f>SUMPRODUCT(AE93:AE97,AE191:AE195)*365/4/1000000</f>
        <v>216.94287824999998</v>
      </c>
      <c r="AF136" s="342">
        <f>SUMPRODUCT(AF93:AF97,AF191:AF195)*365/4/1000000</f>
        <v>178.21556430000001</v>
      </c>
      <c r="AG136" s="395">
        <f>SUMPRODUCT(AG93:AG97,AG191:AG195)*365/4/1000000</f>
        <v>174.03425430000004</v>
      </c>
      <c r="AH136" s="77">
        <f>SUM(AD136:AG136)</f>
        <v>803.34172620000004</v>
      </c>
      <c r="AI136" s="394">
        <f>SUMPRODUCT(AI93:AI97,AI191:AI195)*365/4/1000000</f>
        <v>171.94359930000002</v>
      </c>
      <c r="AJ136" s="342">
        <f>SUMPRODUCT(AJ93:AJ97,AJ191:AJ195)*365/4/1000000</f>
        <v>174.45298185249999</v>
      </c>
      <c r="AK136" s="342">
        <f>SUMPRODUCT(AK93:AK97,AK191:AK195)*365/4/1000000</f>
        <v>152.98725282749999</v>
      </c>
      <c r="AL136" s="395">
        <f>SUMPRODUCT(AL93:AL97,AL191:AL195)*365/4/1000000</f>
        <v>149.31309282749999</v>
      </c>
      <c r="AM136" s="77">
        <f>SUM(AI136:AL136)</f>
        <v>648.69692680749995</v>
      </c>
      <c r="AN136" s="394">
        <f>SUMPRODUCT(AN93:AN97,AN191:AN195)*365/4/1000000</f>
        <v>147.48457032749999</v>
      </c>
      <c r="AO136" s="342">
        <f>SUMPRODUCT(AO93:AO97,AO191:AO195)*365/4/1000000+AO152</f>
        <v>152.41641232499995</v>
      </c>
      <c r="AP136" s="342">
        <f>SUMPRODUCT(AP93:AP97,AP191:AP195)*365/4/1000000+AP152</f>
        <v>153.43400939999998</v>
      </c>
      <c r="AQ136" s="395">
        <f>SUMPRODUCT(AQ93:AQ97,AQ191:AQ195)*365/4/1000000+AQ152</f>
        <v>149.09456940000001</v>
      </c>
      <c r="AR136" s="77">
        <f>SUM(AN136:AQ136)</f>
        <v>602.42956145249991</v>
      </c>
      <c r="AS136" s="394">
        <f>SUMPRODUCT(AS93:AS97,AS191:AS195)*365/4/1000000+AS152</f>
        <v>146.9248494</v>
      </c>
      <c r="AT136" s="342">
        <f>SUMPRODUCT(AT93:AT97,AT191:AT195)*365/4/1000000+AT152</f>
        <v>157.59307791250001</v>
      </c>
      <c r="AU136" s="342">
        <f>SUMPRODUCT(AU93:AU97,AU191:AU195)*365/4/1000000+AU152</f>
        <v>171.29818143750003</v>
      </c>
      <c r="AV136" s="395">
        <f>SUMPRODUCT(AV93:AV97,AV191:AV195)*365/4/1000000+AV152</f>
        <v>166.49558143750005</v>
      </c>
      <c r="AW136" s="77">
        <f t="shared" si="139"/>
        <v>642.31169018750006</v>
      </c>
      <c r="AX136" s="394">
        <f>SUMPRODUCT(AX93:AX97,AX191:AX195)*365/4/1000000+AX152</f>
        <v>164.09428143750003</v>
      </c>
      <c r="AY136" s="342">
        <f>SUMPRODUCT(AY93:AY97,AY191:AY195)*365/4/1000000+AY152</f>
        <v>170.10741954166664</v>
      </c>
      <c r="AZ136" s="342">
        <f>SUMPRODUCT(AZ93:AZ97,AZ191:AZ195)*365/4/1000000+AZ152</f>
        <v>214.94992097458328</v>
      </c>
      <c r="BA136" s="395">
        <f>(BA93*BA191+BA95*BA193+BA94*BA192+BA96*BA194+BA97*BA195)*365/4/1000000+BA152</f>
        <v>203.94366982437504</v>
      </c>
      <c r="BB136" s="77">
        <f t="shared" si="140"/>
        <v>753.0952917781251</v>
      </c>
      <c r="BC136" s="394">
        <f>(BC93*BC191+BC95*BC193+BC94*BC192+BC96*BC194+BC97*BC195)*365/4/1000000+BC152+BC157</f>
        <v>200.93186982437501</v>
      </c>
      <c r="BD136" s="342">
        <f>(BD93*BD191+BD95*BD193+BD94*BD192+BD96*BD194+BD97*BD195)*365/4/1000000+BD152+BD157</f>
        <v>183.954687481875</v>
      </c>
      <c r="BE136" s="342">
        <f>(BE93*BE191+BE95*BE193+BE94*BE192+BE96*BE194+BE97*BE195)*365/4/1000000+BE152+BE157</f>
        <v>137.23991687499998</v>
      </c>
      <c r="BF136" s="395">
        <f>(BF93*BF191+BF95*BF193+BF94*BF192+BF96*BF194+BF97*BF195)*365/4/1000000+BF152+BF157</f>
        <v>131.21631687499999</v>
      </c>
      <c r="BG136" s="77">
        <f t="shared" si="141"/>
        <v>653.34279105624989</v>
      </c>
      <c r="BH136" s="394">
        <f>SUMPRODUCT(BH93:BH97,BH191:BH195)*365/4/1000000+BH152+BH157</f>
        <v>128.20451687499997</v>
      </c>
      <c r="BI136" s="342">
        <f>SUMPRODUCT(BI93:BI97,BI191:BI195)*365/4/1000000+BI152+BI157</f>
        <v>143.63134267144096</v>
      </c>
      <c r="BJ136" s="342">
        <f>SUMPRODUCT(BJ93:BJ97,BJ191:BJ195)*365/4/1000000+BJ152+BJ157</f>
        <v>161.48638271515625</v>
      </c>
      <c r="BK136" s="395">
        <f>SUMPRODUCT(BK93:BK97,BK191:BK195)*365/4/1000000+BK152+BK157</f>
        <v>158.25037896515627</v>
      </c>
      <c r="BL136" s="77">
        <f>SUM(BH136:BK136)</f>
        <v>591.57262122675343</v>
      </c>
      <c r="BM136" s="394">
        <f>SUMPRODUCT(BM93:BM97,BM191:BM195)*365/4/1000000+BM152+BM157</f>
        <v>185.504115796875</v>
      </c>
      <c r="BN136" s="342">
        <f>SUMPRODUCT(BN93:BN97,BN191:BN195)*365/4/1000000+BN152+BN157</f>
        <v>191.56215225187501</v>
      </c>
      <c r="BO136" s="342">
        <f>SUMPRODUCT(BO93:BO97,BO191:BO195)*365/4/1000000+BO152+BO157</f>
        <v>194.64282516187501</v>
      </c>
      <c r="BP136" s="395">
        <f>SUMPRODUCT(BP93:BP97,BP191:BP195)*365/4/1000000+BP152+BP157</f>
        <v>188.61922516187502</v>
      </c>
      <c r="BQ136" s="77">
        <f>SUM(BM136:BP136)</f>
        <v>760.32831837250001</v>
      </c>
      <c r="BR136" s="437"/>
      <c r="BS136" s="437"/>
    </row>
    <row r="137" spans="1:71" s="2" customFormat="1">
      <c r="A137" s="1523"/>
      <c r="C137" s="565" t="s">
        <v>697</v>
      </c>
      <c r="D137" s="37"/>
      <c r="E137" s="365"/>
      <c r="F137" s="6"/>
      <c r="G137" s="6"/>
      <c r="H137" s="366"/>
      <c r="J137" s="365"/>
      <c r="K137" s="6"/>
      <c r="L137" s="6"/>
      <c r="M137" s="366"/>
      <c r="O137" s="365"/>
      <c r="P137" s="6"/>
      <c r="Q137" s="6"/>
      <c r="R137" s="366"/>
      <c r="T137" s="394"/>
      <c r="U137" s="342"/>
      <c r="V137" s="342"/>
      <c r="W137" s="395"/>
      <c r="X137" s="77"/>
      <c r="Y137" s="394">
        <f>+Power!Y214</f>
        <v>0</v>
      </c>
      <c r="Z137" s="342">
        <f>+Power!Z214</f>
        <v>0</v>
      </c>
      <c r="AA137" s="342">
        <f>+Power!AA214</f>
        <v>0</v>
      </c>
      <c r="AB137" s="395">
        <f>+Power!AB214</f>
        <v>0</v>
      </c>
      <c r="AC137" s="77">
        <f t="shared" si="130"/>
        <v>0</v>
      </c>
      <c r="AD137" s="394">
        <f>+Power!AD214</f>
        <v>-710.58340943824146</v>
      </c>
      <c r="AE137" s="342">
        <f>+Power!AE214</f>
        <v>48.749360282509947</v>
      </c>
      <c r="AF137" s="342">
        <f>+Power!AF214</f>
        <v>120.34197612361014</v>
      </c>
      <c r="AG137" s="395">
        <f>+Power!AG214</f>
        <v>45.817788930130746</v>
      </c>
      <c r="AH137" s="77">
        <f t="shared" si="131"/>
        <v>-495.67428410199057</v>
      </c>
      <c r="AI137" s="394">
        <f>+Power!AI214</f>
        <v>-36.04491882469695</v>
      </c>
      <c r="AJ137" s="342">
        <f>+Power!AJ214</f>
        <v>132.68458612535284</v>
      </c>
      <c r="AK137" s="342">
        <f>+Power!AK214</f>
        <v>194.95859741481911</v>
      </c>
      <c r="AL137" s="395">
        <f>+Power!AL214</f>
        <v>160.78327754659119</v>
      </c>
      <c r="AM137" s="77">
        <f t="shared" si="132"/>
        <v>452.3815422620662</v>
      </c>
      <c r="AN137" s="394">
        <f>+Power!AN214</f>
        <v>266.48449318733759</v>
      </c>
      <c r="AO137" s="342">
        <f>+Power!AO214</f>
        <v>163.61531440405082</v>
      </c>
      <c r="AP137" s="342">
        <f>+Power!AP214</f>
        <v>106.89012157445026</v>
      </c>
      <c r="AQ137" s="395">
        <f>+Power!AQ214</f>
        <v>171.47226127068583</v>
      </c>
      <c r="AR137" s="77">
        <f t="shared" si="133"/>
        <v>708.46219043652457</v>
      </c>
      <c r="AS137" s="394">
        <f>+Power!AS214</f>
        <v>86.881570074717786</v>
      </c>
      <c r="AT137" s="342">
        <f>+Power!AT214</f>
        <v>126.65499035193903</v>
      </c>
      <c r="AU137" s="342">
        <f>+Power!AU214</f>
        <v>124.80341426200201</v>
      </c>
      <c r="AV137" s="395">
        <f>+Power!AV214</f>
        <v>27.713792934494474</v>
      </c>
      <c r="AW137" s="77">
        <f t="shared" si="139"/>
        <v>366.05376762315325</v>
      </c>
      <c r="AX137" s="394">
        <f>+Power!AX214</f>
        <v>-17.353269533682397</v>
      </c>
      <c r="AY137" s="342">
        <f>+Power!AY214</f>
        <v>-11.574452631734619</v>
      </c>
      <c r="AZ137" s="342">
        <f>+Power!AZ214</f>
        <v>-11.578352680122958</v>
      </c>
      <c r="BA137" s="395">
        <f>+Power!BA214</f>
        <v>-4.876075564530657</v>
      </c>
      <c r="BB137" s="77">
        <f t="shared" si="140"/>
        <v>-45.382150410070629</v>
      </c>
      <c r="BC137" s="394">
        <f>+Power!BC214</f>
        <v>-71.112996898945823</v>
      </c>
      <c r="BD137" s="342">
        <f>+Power!BD214</f>
        <v>78.132340399798522</v>
      </c>
      <c r="BE137" s="342">
        <f>+Power!BE214</f>
        <v>58.837760780684157</v>
      </c>
      <c r="BF137" s="395">
        <f>+Power!BF214</f>
        <v>4.5164070288184313</v>
      </c>
      <c r="BG137" s="77">
        <f t="shared" si="141"/>
        <v>70.373511310355298</v>
      </c>
      <c r="BH137" s="394">
        <f>+Power!BH214</f>
        <v>-16.101211768621013</v>
      </c>
      <c r="BI137" s="342">
        <f>+Power!BI214</f>
        <v>58.947260542573581</v>
      </c>
      <c r="BJ137" s="342">
        <f>+Power!BJ214</f>
        <v>49.911565159804397</v>
      </c>
      <c r="BK137" s="395">
        <f>+Power!BK214</f>
        <v>21.121425158401259</v>
      </c>
      <c r="BL137" s="77">
        <f t="shared" si="137"/>
        <v>113.87903909215822</v>
      </c>
      <c r="BM137" s="394">
        <f>+Power!BM214</f>
        <v>27.5</v>
      </c>
      <c r="BN137" s="342">
        <f>+Power!BN214</f>
        <v>27.5</v>
      </c>
      <c r="BO137" s="342">
        <f>+Power!BO214</f>
        <v>27.5</v>
      </c>
      <c r="BP137" s="395">
        <f>+Power!BP214</f>
        <v>27.5</v>
      </c>
      <c r="BQ137" s="77">
        <f>SUM(BM137:BP137)</f>
        <v>110</v>
      </c>
    </row>
    <row r="138" spans="1:71" s="2" customFormat="1">
      <c r="A138" s="1523"/>
      <c r="C138" s="565" t="s">
        <v>1025</v>
      </c>
      <c r="D138" s="37"/>
      <c r="E138" s="365"/>
      <c r="F138" s="6"/>
      <c r="G138" s="6"/>
      <c r="H138" s="366"/>
      <c r="J138" s="365"/>
      <c r="K138" s="6"/>
      <c r="L138" s="6"/>
      <c r="M138" s="366"/>
      <c r="O138" s="365"/>
      <c r="P138" s="6"/>
      <c r="Q138" s="6"/>
      <c r="R138" s="366"/>
      <c r="T138" s="394"/>
      <c r="U138" s="342"/>
      <c r="V138" s="342"/>
      <c r="W138" s="395"/>
      <c r="X138" s="77"/>
      <c r="Y138" s="394">
        <f>AC138/4</f>
        <v>0</v>
      </c>
      <c r="Z138" s="342">
        <f t="shared" ref="Z138:AB139" si="142">Y138</f>
        <v>0</v>
      </c>
      <c r="AA138" s="342">
        <f t="shared" si="142"/>
        <v>0</v>
      </c>
      <c r="AB138" s="395">
        <f t="shared" si="142"/>
        <v>0</v>
      </c>
      <c r="AC138" s="1617">
        <v>0</v>
      </c>
      <c r="AD138" s="394">
        <f>AH138/4</f>
        <v>0</v>
      </c>
      <c r="AE138" s="342">
        <f t="shared" ref="AE138:AG139" si="143">AD138</f>
        <v>0</v>
      </c>
      <c r="AF138" s="342">
        <f t="shared" si="143"/>
        <v>0</v>
      </c>
      <c r="AG138" s="395">
        <f t="shared" si="143"/>
        <v>0</v>
      </c>
      <c r="AH138" s="1617">
        <v>0</v>
      </c>
      <c r="AI138" s="394">
        <f>AM138/4</f>
        <v>0</v>
      </c>
      <c r="AJ138" s="342">
        <f t="shared" ref="AJ138:AL139" si="144">AI138</f>
        <v>0</v>
      </c>
      <c r="AK138" s="342">
        <f t="shared" si="144"/>
        <v>0</v>
      </c>
      <c r="AL138" s="395">
        <f t="shared" si="144"/>
        <v>0</v>
      </c>
      <c r="AM138" s="1617">
        <v>0</v>
      </c>
      <c r="AN138" s="394">
        <f>AR138/4</f>
        <v>12.5</v>
      </c>
      <c r="AO138" s="342">
        <f t="shared" ref="AO138:AQ139" si="145">AN138</f>
        <v>12.5</v>
      </c>
      <c r="AP138" s="342">
        <f t="shared" si="145"/>
        <v>12.5</v>
      </c>
      <c r="AQ138" s="395">
        <f t="shared" si="145"/>
        <v>12.5</v>
      </c>
      <c r="AR138" s="1617">
        <v>50</v>
      </c>
      <c r="AS138" s="394">
        <f>AW138/4</f>
        <v>12.687499999999998</v>
      </c>
      <c r="AT138" s="342">
        <f t="shared" ref="AT138:AV139" si="146">AS138</f>
        <v>12.687499999999998</v>
      </c>
      <c r="AU138" s="342">
        <f t="shared" si="146"/>
        <v>12.687499999999998</v>
      </c>
      <c r="AV138" s="395">
        <f t="shared" si="146"/>
        <v>12.687499999999998</v>
      </c>
      <c r="AW138" s="1617">
        <f>AR138*1.015</f>
        <v>50.749999999999993</v>
      </c>
      <c r="AX138" s="394">
        <f>BB138/4</f>
        <v>12.877812499999997</v>
      </c>
      <c r="AY138" s="342">
        <f>AX138</f>
        <v>12.877812499999997</v>
      </c>
      <c r="AZ138" s="342">
        <f>AY138</f>
        <v>12.877812499999997</v>
      </c>
      <c r="BA138" s="395">
        <f>AY138</f>
        <v>12.877812499999997</v>
      </c>
      <c r="BB138" s="1617">
        <f>AW138*1.015</f>
        <v>51.51124999999999</v>
      </c>
      <c r="BC138" s="394">
        <f>BG138/4</f>
        <v>13.070979687499996</v>
      </c>
      <c r="BD138" s="342">
        <f t="shared" ref="BD138:BF139" si="147">BC138</f>
        <v>13.070979687499996</v>
      </c>
      <c r="BE138" s="342">
        <f t="shared" si="147"/>
        <v>13.070979687499996</v>
      </c>
      <c r="BF138" s="395">
        <f t="shared" si="147"/>
        <v>13.070979687499996</v>
      </c>
      <c r="BG138" s="1617">
        <f>BB138*1.015</f>
        <v>52.283918749999984</v>
      </c>
      <c r="BH138" s="394">
        <f>BL138/4</f>
        <v>13.267044382812495</v>
      </c>
      <c r="BI138" s="342">
        <f t="shared" ref="BI138:BK139" si="148">BH138</f>
        <v>13.267044382812495</v>
      </c>
      <c r="BJ138" s="342">
        <f t="shared" si="148"/>
        <v>13.267044382812495</v>
      </c>
      <c r="BK138" s="395">
        <f t="shared" si="148"/>
        <v>13.267044382812495</v>
      </c>
      <c r="BL138" s="1617">
        <f>BG138*1.015</f>
        <v>53.068177531249979</v>
      </c>
      <c r="BM138" s="394">
        <f>BQ138/4</f>
        <v>13.466050048554681</v>
      </c>
      <c r="BN138" s="342">
        <f t="shared" ref="BN138:BP139" si="149">BM138</f>
        <v>13.466050048554681</v>
      </c>
      <c r="BO138" s="342">
        <f t="shared" si="149"/>
        <v>13.466050048554681</v>
      </c>
      <c r="BP138" s="395">
        <f t="shared" si="149"/>
        <v>13.466050048554681</v>
      </c>
      <c r="BQ138" s="1617">
        <f>BL138*1.015</f>
        <v>53.864200194218725</v>
      </c>
    </row>
    <row r="139" spans="1:71" s="2" customFormat="1">
      <c r="A139" s="1523"/>
      <c r="C139" s="565" t="s">
        <v>1024</v>
      </c>
      <c r="D139" s="37"/>
      <c r="E139" s="365"/>
      <c r="F139" s="6"/>
      <c r="G139" s="6"/>
      <c r="H139" s="366"/>
      <c r="J139" s="365"/>
      <c r="K139" s="6"/>
      <c r="L139" s="6"/>
      <c r="M139" s="366"/>
      <c r="O139" s="365"/>
      <c r="P139" s="6"/>
      <c r="Q139" s="6"/>
      <c r="R139" s="366"/>
      <c r="T139" s="394"/>
      <c r="U139" s="342"/>
      <c r="V139" s="342"/>
      <c r="W139" s="395"/>
      <c r="X139" s="77"/>
      <c r="Y139" s="394">
        <f>AC139/4</f>
        <v>0</v>
      </c>
      <c r="Z139" s="342">
        <f t="shared" si="142"/>
        <v>0</v>
      </c>
      <c r="AA139" s="342">
        <f t="shared" si="142"/>
        <v>0</v>
      </c>
      <c r="AB139" s="395">
        <f t="shared" si="142"/>
        <v>0</v>
      </c>
      <c r="AC139" s="1617">
        <v>0</v>
      </c>
      <c r="AD139" s="394">
        <f>AH139/4</f>
        <v>0</v>
      </c>
      <c r="AE139" s="342">
        <f t="shared" si="143"/>
        <v>0</v>
      </c>
      <c r="AF139" s="342">
        <f t="shared" si="143"/>
        <v>0</v>
      </c>
      <c r="AG139" s="395">
        <f t="shared" si="143"/>
        <v>0</v>
      </c>
      <c r="AH139" s="1617">
        <v>0</v>
      </c>
      <c r="AI139" s="394">
        <f>AM139/4</f>
        <v>0</v>
      </c>
      <c r="AJ139" s="342">
        <f t="shared" si="144"/>
        <v>0</v>
      </c>
      <c r="AK139" s="342">
        <f t="shared" si="144"/>
        <v>0</v>
      </c>
      <c r="AL139" s="395">
        <f t="shared" si="144"/>
        <v>0</v>
      </c>
      <c r="AM139" s="1617">
        <v>0</v>
      </c>
      <c r="AN139" s="394">
        <f>AR139/4</f>
        <v>43.75</v>
      </c>
      <c r="AO139" s="342">
        <f t="shared" si="145"/>
        <v>43.75</v>
      </c>
      <c r="AP139" s="342">
        <f t="shared" si="145"/>
        <v>43.75</v>
      </c>
      <c r="AQ139" s="395">
        <f t="shared" si="145"/>
        <v>43.75</v>
      </c>
      <c r="AR139" s="1617">
        <v>175</v>
      </c>
      <c r="AS139" s="394">
        <f>AW139/4</f>
        <v>43.75</v>
      </c>
      <c r="AT139" s="342">
        <f t="shared" si="146"/>
        <v>43.75</v>
      </c>
      <c r="AU139" s="342">
        <f t="shared" si="146"/>
        <v>43.75</v>
      </c>
      <c r="AV139" s="395">
        <f t="shared" si="146"/>
        <v>43.75</v>
      </c>
      <c r="AW139" s="1617">
        <f>AR139</f>
        <v>175</v>
      </c>
      <c r="AX139" s="394">
        <f>BB139/4</f>
        <v>43.75</v>
      </c>
      <c r="AY139" s="342">
        <f>AX139</f>
        <v>43.75</v>
      </c>
      <c r="AZ139" s="342">
        <f>AY139</f>
        <v>43.75</v>
      </c>
      <c r="BA139" s="395">
        <f>AY139</f>
        <v>43.75</v>
      </c>
      <c r="BB139" s="1617">
        <f>AW139</f>
        <v>175</v>
      </c>
      <c r="BC139" s="394">
        <f>BG139/4</f>
        <v>43.75</v>
      </c>
      <c r="BD139" s="342">
        <f t="shared" si="147"/>
        <v>43.75</v>
      </c>
      <c r="BE139" s="342">
        <f t="shared" si="147"/>
        <v>43.75</v>
      </c>
      <c r="BF139" s="395">
        <f t="shared" si="147"/>
        <v>43.75</v>
      </c>
      <c r="BG139" s="1617">
        <f>BB139</f>
        <v>175</v>
      </c>
      <c r="BH139" s="394">
        <f>BL139/4</f>
        <v>43.75</v>
      </c>
      <c r="BI139" s="342">
        <f t="shared" si="148"/>
        <v>43.75</v>
      </c>
      <c r="BJ139" s="342">
        <f t="shared" si="148"/>
        <v>43.75</v>
      </c>
      <c r="BK139" s="395">
        <f t="shared" si="148"/>
        <v>43.75</v>
      </c>
      <c r="BL139" s="1617">
        <f>BG139</f>
        <v>175</v>
      </c>
      <c r="BM139" s="394">
        <f>BQ139/4</f>
        <v>43.75</v>
      </c>
      <c r="BN139" s="342">
        <f t="shared" si="149"/>
        <v>43.75</v>
      </c>
      <c r="BO139" s="342">
        <f t="shared" si="149"/>
        <v>43.75</v>
      </c>
      <c r="BP139" s="395">
        <f t="shared" si="149"/>
        <v>43.75</v>
      </c>
      <c r="BQ139" s="1617">
        <f>BL139</f>
        <v>175</v>
      </c>
    </row>
    <row r="140" spans="1:71" s="2" customFormat="1">
      <c r="A140" s="1523"/>
      <c r="C140" s="610" t="s">
        <v>236</v>
      </c>
      <c r="D140" s="37"/>
      <c r="E140" s="365"/>
      <c r="F140" s="6"/>
      <c r="G140" s="6"/>
      <c r="H140" s="366"/>
      <c r="J140" s="365"/>
      <c r="K140" s="6"/>
      <c r="L140" s="6"/>
      <c r="M140" s="366"/>
      <c r="O140" s="365"/>
      <c r="P140" s="6"/>
      <c r="Q140" s="6"/>
      <c r="R140" s="366"/>
      <c r="T140" s="396"/>
      <c r="U140" s="343"/>
      <c r="V140" s="343"/>
      <c r="W140" s="397"/>
      <c r="X140" s="297"/>
      <c r="Y140" s="396">
        <f>SUM(Y123:Y139)</f>
        <v>439.2141714051304</v>
      </c>
      <c r="Z140" s="343">
        <f t="shared" ref="Z140:BL140" si="150">SUM(Z123:Z139)</f>
        <v>472.90581768522975</v>
      </c>
      <c r="AA140" s="343">
        <f t="shared" si="150"/>
        <v>605.14164364428711</v>
      </c>
      <c r="AB140" s="397">
        <f t="shared" si="150"/>
        <v>510.31273458120774</v>
      </c>
      <c r="AC140" s="297">
        <f t="shared" si="150"/>
        <v>2027.5743673158549</v>
      </c>
      <c r="AD140" s="396">
        <f t="shared" si="150"/>
        <v>528.16672748776182</v>
      </c>
      <c r="AE140" s="343">
        <f t="shared" si="150"/>
        <v>620.29021620323738</v>
      </c>
      <c r="AF140" s="343">
        <f t="shared" si="150"/>
        <v>613.56926523805669</v>
      </c>
      <c r="AG140" s="397">
        <f t="shared" si="150"/>
        <v>515.61802457072326</v>
      </c>
      <c r="AH140" s="297">
        <f t="shared" si="150"/>
        <v>2277.6442334997791</v>
      </c>
      <c r="AI140" s="396">
        <f t="shared" si="150"/>
        <v>694.22629348926432</v>
      </c>
      <c r="AJ140" s="343">
        <f t="shared" si="150"/>
        <v>588.57351746687209</v>
      </c>
      <c r="AK140" s="343">
        <f t="shared" si="150"/>
        <v>653.34764340152117</v>
      </c>
      <c r="AL140" s="397">
        <f t="shared" si="150"/>
        <v>536.23527849715038</v>
      </c>
      <c r="AM140" s="297">
        <f t="shared" si="150"/>
        <v>2472.3827328548077</v>
      </c>
      <c r="AN140" s="396">
        <f t="shared" si="150"/>
        <v>700.13021640168495</v>
      </c>
      <c r="AO140" s="343">
        <f t="shared" si="150"/>
        <v>548.75294784244693</v>
      </c>
      <c r="AP140" s="343">
        <f t="shared" si="150"/>
        <v>581.33385681786513</v>
      </c>
      <c r="AQ140" s="397">
        <f t="shared" si="150"/>
        <v>557.80652659508212</v>
      </c>
      <c r="AR140" s="297">
        <f t="shared" si="150"/>
        <v>2388.0235476570792</v>
      </c>
      <c r="AS140" s="396">
        <f t="shared" si="150"/>
        <v>513.89183949003154</v>
      </c>
      <c r="AT140" s="343">
        <f t="shared" si="150"/>
        <v>517.62275928490294</v>
      </c>
      <c r="AU140" s="343">
        <f t="shared" si="150"/>
        <v>582.19038207924041</v>
      </c>
      <c r="AV140" s="397">
        <f t="shared" si="150"/>
        <v>553.00189060528623</v>
      </c>
      <c r="AW140" s="297">
        <f t="shared" si="150"/>
        <v>2166.7068714594611</v>
      </c>
      <c r="AX140" s="396">
        <f t="shared" si="150"/>
        <v>541.11745542263134</v>
      </c>
      <c r="AY140" s="343">
        <f t="shared" si="150"/>
        <v>460.33525570902873</v>
      </c>
      <c r="AZ140" s="343">
        <f>SUM(AZ123:AZ139)</f>
        <v>563.97350166936076</v>
      </c>
      <c r="BA140" s="397">
        <f t="shared" si="150"/>
        <v>507.27150177513778</v>
      </c>
      <c r="BB140" s="297">
        <f t="shared" si="150"/>
        <v>2072.6977145761589</v>
      </c>
      <c r="BC140" s="396">
        <f t="shared" si="150"/>
        <v>583.15040871299232</v>
      </c>
      <c r="BD140" s="343">
        <f t="shared" si="150"/>
        <v>530.73360434673714</v>
      </c>
      <c r="BE140" s="343">
        <f t="shared" si="150"/>
        <v>499.02979325266904</v>
      </c>
      <c r="BF140" s="397">
        <f t="shared" si="150"/>
        <v>437.26966401402456</v>
      </c>
      <c r="BG140" s="297">
        <f t="shared" si="150"/>
        <v>2050.183470326423</v>
      </c>
      <c r="BH140" s="396">
        <f t="shared" si="150"/>
        <v>592.14351873161831</v>
      </c>
      <c r="BI140" s="343">
        <f t="shared" si="150"/>
        <v>478.01544581393313</v>
      </c>
      <c r="BJ140" s="343">
        <f t="shared" si="150"/>
        <v>513.85273843508276</v>
      </c>
      <c r="BK140" s="397">
        <f t="shared" si="150"/>
        <v>480.74957715352537</v>
      </c>
      <c r="BL140" s="297">
        <f t="shared" si="150"/>
        <v>2064.7612801341597</v>
      </c>
      <c r="BM140" s="396">
        <f>SUM(BM123:BM139)</f>
        <v>602.6196008207063</v>
      </c>
      <c r="BN140" s="343">
        <f>SUM(BN123:BN139)</f>
        <v>541.41127893105613</v>
      </c>
      <c r="BO140" s="343">
        <f>SUM(BO123:BO139)</f>
        <v>543.59575902007407</v>
      </c>
      <c r="BP140" s="397">
        <f>SUM(BP123:BP139)</f>
        <v>546.66814152305926</v>
      </c>
      <c r="BQ140" s="297">
        <f>SUM(BQ123:BQ139)</f>
        <v>2234.2947802948956</v>
      </c>
      <c r="BS140" s="1618"/>
    </row>
    <row r="141" spans="1:71" s="2" customFormat="1">
      <c r="A141" s="1523"/>
      <c r="B141" s="290"/>
      <c r="C141" s="745" t="s">
        <v>237</v>
      </c>
      <c r="D141" s="290"/>
      <c r="E141" s="746"/>
      <c r="F141" s="532"/>
      <c r="G141" s="532"/>
      <c r="H141" s="747"/>
      <c r="I141" s="290"/>
      <c r="J141" s="746"/>
      <c r="K141" s="532"/>
      <c r="L141" s="532"/>
      <c r="M141" s="747"/>
      <c r="N141" s="290"/>
      <c r="O141" s="746"/>
      <c r="P141" s="532"/>
      <c r="Q141" s="532"/>
      <c r="R141" s="747"/>
      <c r="S141" s="290"/>
      <c r="T141" s="748"/>
      <c r="U141" s="749"/>
      <c r="V141" s="749"/>
      <c r="W141" s="750"/>
      <c r="X141" s="751"/>
      <c r="Y141" s="748">
        <f t="shared" ref="Y141:AR141" si="151">+Y140-Y137</f>
        <v>439.2141714051304</v>
      </c>
      <c r="Z141" s="749">
        <f t="shared" si="151"/>
        <v>472.90581768522975</v>
      </c>
      <c r="AA141" s="749">
        <f t="shared" si="151"/>
        <v>605.14164364428711</v>
      </c>
      <c r="AB141" s="750">
        <f t="shared" si="151"/>
        <v>510.31273458120774</v>
      </c>
      <c r="AC141" s="751">
        <f>+AC140-AC137</f>
        <v>2027.5743673158549</v>
      </c>
      <c r="AD141" s="748">
        <f>+AD140-AD137</f>
        <v>1238.7501369260033</v>
      </c>
      <c r="AE141" s="749">
        <f>+AE140-AE137</f>
        <v>571.54085592072738</v>
      </c>
      <c r="AF141" s="749">
        <f t="shared" si="151"/>
        <v>493.22728911444653</v>
      </c>
      <c r="AG141" s="750">
        <f t="shared" si="151"/>
        <v>469.80023564059252</v>
      </c>
      <c r="AH141" s="751">
        <f>+AH140-AH137</f>
        <v>2773.3185176017696</v>
      </c>
      <c r="AI141" s="748">
        <f t="shared" si="151"/>
        <v>730.27121231396131</v>
      </c>
      <c r="AJ141" s="749">
        <f t="shared" si="151"/>
        <v>455.88893134151925</v>
      </c>
      <c r="AK141" s="749">
        <f t="shared" si="151"/>
        <v>458.38904598670206</v>
      </c>
      <c r="AL141" s="750">
        <f t="shared" si="151"/>
        <v>375.45200095055918</v>
      </c>
      <c r="AM141" s="751">
        <f t="shared" si="151"/>
        <v>2020.0011905927415</v>
      </c>
      <c r="AN141" s="748">
        <f t="shared" si="151"/>
        <v>433.64572321434736</v>
      </c>
      <c r="AO141" s="749">
        <f t="shared" si="151"/>
        <v>385.13763343839611</v>
      </c>
      <c r="AP141" s="749">
        <f t="shared" si="151"/>
        <v>474.44373524341484</v>
      </c>
      <c r="AQ141" s="750">
        <f t="shared" si="151"/>
        <v>386.33426532439626</v>
      </c>
      <c r="AR141" s="751">
        <f t="shared" si="151"/>
        <v>1679.5613572205548</v>
      </c>
      <c r="AS141" s="748">
        <f t="shared" ref="AS141:BB141" si="152">+AS140-AS137</f>
        <v>427.01026941531376</v>
      </c>
      <c r="AT141" s="749">
        <f t="shared" si="152"/>
        <v>390.96776893296391</v>
      </c>
      <c r="AU141" s="749">
        <f t="shared" si="152"/>
        <v>457.38696781723843</v>
      </c>
      <c r="AV141" s="750">
        <f t="shared" si="152"/>
        <v>525.28809767079179</v>
      </c>
      <c r="AW141" s="751">
        <f t="shared" si="152"/>
        <v>1800.6531038363078</v>
      </c>
      <c r="AX141" s="748">
        <f>+AX140-AX137</f>
        <v>558.47072495631369</v>
      </c>
      <c r="AY141" s="749">
        <f>+AY140-AY137</f>
        <v>471.90970834076336</v>
      </c>
      <c r="AZ141" s="749">
        <f>+AZ140-AZ137</f>
        <v>575.55185434948373</v>
      </c>
      <c r="BA141" s="750">
        <f>+BA140-BA137</f>
        <v>512.14757733966849</v>
      </c>
      <c r="BB141" s="751">
        <f t="shared" si="152"/>
        <v>2118.0798649862295</v>
      </c>
      <c r="BC141" s="748">
        <f t="shared" ref="BC141:BL141" si="153">+BC140-BC137</f>
        <v>654.2634056119382</v>
      </c>
      <c r="BD141" s="749">
        <f t="shared" si="153"/>
        <v>452.60126394693862</v>
      </c>
      <c r="BE141" s="749">
        <f t="shared" si="153"/>
        <v>440.19203247198487</v>
      </c>
      <c r="BF141" s="750">
        <f t="shared" si="153"/>
        <v>432.75325698520612</v>
      </c>
      <c r="BG141" s="751">
        <f t="shared" si="153"/>
        <v>1979.8099590160678</v>
      </c>
      <c r="BH141" s="748">
        <f t="shared" si="153"/>
        <v>608.24473050023937</v>
      </c>
      <c r="BI141" s="749">
        <f t="shared" si="153"/>
        <v>419.06818527135954</v>
      </c>
      <c r="BJ141" s="749">
        <f t="shared" si="153"/>
        <v>463.94117327527835</v>
      </c>
      <c r="BK141" s="750">
        <f t="shared" si="153"/>
        <v>459.62815199512409</v>
      </c>
      <c r="BL141" s="751">
        <f t="shared" si="153"/>
        <v>1950.8822410420016</v>
      </c>
      <c r="BM141" s="748">
        <f>+BM140-BM137</f>
        <v>575.1196008207063</v>
      </c>
      <c r="BN141" s="749">
        <f>+BN140-BN137</f>
        <v>513.91127893105613</v>
      </c>
      <c r="BO141" s="749">
        <f>+BO140-BO137</f>
        <v>516.09575902007407</v>
      </c>
      <c r="BP141" s="750">
        <f>+BP140-BP137</f>
        <v>519.16814152305926</v>
      </c>
      <c r="BQ141" s="751">
        <f>+BQ140-BQ137</f>
        <v>2124.2947802948956</v>
      </c>
      <c r="BS141" s="437"/>
    </row>
    <row r="142" spans="1:71" s="2" customFormat="1">
      <c r="A142" s="1523"/>
      <c r="C142" s="37"/>
      <c r="D142" s="37"/>
      <c r="E142" s="627"/>
      <c r="F142" s="628"/>
      <c r="G142" s="628"/>
      <c r="H142" s="629"/>
      <c r="I142" s="630"/>
      <c r="J142" s="627"/>
      <c r="K142" s="628"/>
      <c r="L142" s="628"/>
      <c r="M142" s="629"/>
      <c r="N142" s="630"/>
      <c r="O142" s="627"/>
      <c r="P142" s="628"/>
      <c r="Q142" s="628"/>
      <c r="R142" s="629"/>
      <c r="S142" s="630"/>
      <c r="T142" s="627"/>
      <c r="U142" s="628"/>
      <c r="V142" s="628"/>
      <c r="W142" s="629"/>
      <c r="X142" s="77"/>
      <c r="Y142" s="627"/>
      <c r="Z142" s="628"/>
      <c r="AA142" s="628"/>
      <c r="AB142" s="629"/>
      <c r="AC142" s="77"/>
      <c r="AD142" s="627"/>
      <c r="AE142" s="628"/>
      <c r="AF142" s="628"/>
      <c r="AG142" s="629"/>
      <c r="AH142" s="77"/>
      <c r="AI142" s="627"/>
      <c r="AJ142" s="628"/>
      <c r="AK142" s="628"/>
      <c r="AL142" s="629"/>
      <c r="AM142" s="77"/>
      <c r="AN142" s="627"/>
      <c r="AO142" s="628"/>
      <c r="AP142" s="628"/>
      <c r="AQ142" s="629"/>
      <c r="AR142" s="77"/>
      <c r="AS142" s="627"/>
      <c r="AT142" s="628"/>
      <c r="AU142" s="628"/>
      <c r="AV142" s="629"/>
      <c r="AW142" s="77"/>
      <c r="AX142" s="627"/>
      <c r="AY142" s="628"/>
      <c r="AZ142" s="628"/>
      <c r="BA142" s="629"/>
      <c r="BB142" s="77"/>
      <c r="BC142" s="627"/>
      <c r="BD142" s="628"/>
      <c r="BE142" s="628"/>
      <c r="BF142" s="629"/>
      <c r="BG142" s="77"/>
      <c r="BH142" s="627"/>
      <c r="BI142" s="628"/>
      <c r="BJ142" s="628"/>
      <c r="BK142" s="629"/>
      <c r="BL142" s="77"/>
      <c r="BM142" s="627"/>
      <c r="BN142" s="628"/>
      <c r="BO142" s="628"/>
      <c r="BP142" s="629"/>
      <c r="BQ142" s="77"/>
      <c r="BS142" s="437"/>
    </row>
    <row r="143" spans="1:71" s="2" customFormat="1">
      <c r="A143" s="1523"/>
      <c r="C143" s="49" t="s">
        <v>718</v>
      </c>
      <c r="D143" s="37"/>
      <c r="E143" s="627"/>
      <c r="F143" s="628"/>
      <c r="G143" s="628"/>
      <c r="H143" s="629"/>
      <c r="I143" s="630"/>
      <c r="J143" s="627"/>
      <c r="K143" s="628"/>
      <c r="L143" s="628"/>
      <c r="M143" s="629"/>
      <c r="N143" s="630"/>
      <c r="O143" s="627"/>
      <c r="P143" s="628"/>
      <c r="Q143" s="628"/>
      <c r="R143" s="629"/>
      <c r="S143" s="630"/>
      <c r="T143" s="627"/>
      <c r="U143" s="628"/>
      <c r="V143" s="628"/>
      <c r="W143" s="629"/>
      <c r="X143" s="77"/>
      <c r="Y143" s="627"/>
      <c r="Z143" s="628"/>
      <c r="AA143" s="628"/>
      <c r="AB143" s="629"/>
      <c r="AC143" s="77"/>
      <c r="AD143" s="627"/>
      <c r="AE143" s="628"/>
      <c r="AF143" s="628"/>
      <c r="AG143" s="629"/>
      <c r="AH143" s="77"/>
      <c r="AI143" s="627"/>
      <c r="AJ143" s="628"/>
      <c r="AK143" s="628"/>
      <c r="AL143" s="629"/>
      <c r="AM143" s="77"/>
      <c r="AN143" s="627"/>
      <c r="AO143" s="628"/>
      <c r="AP143" s="628"/>
      <c r="AQ143" s="629"/>
      <c r="AR143" s="77"/>
      <c r="AS143" s="627"/>
      <c r="AT143" s="628"/>
      <c r="AU143" s="628"/>
      <c r="AV143" s="629"/>
      <c r="AW143" s="77"/>
      <c r="AX143" s="627"/>
      <c r="AY143" s="628"/>
      <c r="AZ143" s="628"/>
      <c r="BA143" s="629"/>
      <c r="BB143" s="77"/>
      <c r="BC143" s="627"/>
      <c r="BD143" s="628"/>
      <c r="BE143" s="628"/>
      <c r="BF143" s="629"/>
      <c r="BG143" s="77"/>
      <c r="BH143" s="627"/>
      <c r="BI143" s="628"/>
      <c r="BJ143" s="628"/>
      <c r="BK143" s="629"/>
      <c r="BL143" s="77"/>
      <c r="BM143" s="627"/>
      <c r="BN143" s="628"/>
      <c r="BO143" s="628"/>
      <c r="BP143" s="629"/>
      <c r="BQ143" s="77"/>
    </row>
    <row r="144" spans="1:71" s="2" customFormat="1">
      <c r="A144" s="1523"/>
      <c r="C144" s="37" t="s">
        <v>717</v>
      </c>
      <c r="D144" s="37"/>
      <c r="E144" s="627"/>
      <c r="F144" s="628"/>
      <c r="G144" s="628"/>
      <c r="H144" s="629"/>
      <c r="I144" s="630"/>
      <c r="J144" s="627"/>
      <c r="K144" s="628"/>
      <c r="L144" s="628"/>
      <c r="M144" s="629"/>
      <c r="N144" s="630"/>
      <c r="O144" s="627"/>
      <c r="P144" s="628"/>
      <c r="Q144" s="628"/>
      <c r="R144" s="629"/>
      <c r="S144" s="630"/>
      <c r="T144" s="627"/>
      <c r="U144" s="628"/>
      <c r="V144" s="628"/>
      <c r="W144" s="629"/>
      <c r="X144" s="595"/>
      <c r="Y144" s="627"/>
      <c r="Z144" s="628"/>
      <c r="AA144" s="628"/>
      <c r="AB144" s="629"/>
      <c r="AC144" s="595">
        <f>SUM(AC137,AC123:AC134,AC9)/AC166*1000</f>
        <v>71.90688311284562</v>
      </c>
      <c r="AD144" s="627"/>
      <c r="AE144" s="628"/>
      <c r="AF144" s="628"/>
      <c r="AG144" s="629"/>
      <c r="AH144" s="595">
        <f>SUM(AH137,AH123:AH134,AH9)/AH166*1000</f>
        <v>84.8577164277158</v>
      </c>
      <c r="AI144" s="627"/>
      <c r="AJ144" s="628"/>
      <c r="AK144" s="628"/>
      <c r="AL144" s="629"/>
      <c r="AM144" s="595">
        <f>SUM(AM137,AM123:AM134,AM9)/AM166*1000</f>
        <v>73.699169924033569</v>
      </c>
      <c r="AN144" s="627"/>
      <c r="AO144" s="628"/>
      <c r="AP144" s="628"/>
      <c r="AQ144" s="629"/>
      <c r="AR144" s="595">
        <f>SUM(AR137,AR123:AR134,AR9)/AR166*1000</f>
        <v>66.662247436817665</v>
      </c>
      <c r="AS144" s="627"/>
      <c r="AT144" s="628"/>
      <c r="AU144" s="628"/>
      <c r="AV144" s="629"/>
      <c r="AW144" s="595">
        <f>SUM(AW137,AW123:AW134,AW9)/AW166*1000</f>
        <v>62.54881162252461</v>
      </c>
      <c r="AX144" s="627"/>
      <c r="AY144" s="628"/>
      <c r="AZ144" s="628"/>
      <c r="BA144" s="629"/>
      <c r="BB144" s="595">
        <f>SUM(BB137,BB123:BB134,BB9)/BB166*1000</f>
        <v>33.954506394317136</v>
      </c>
      <c r="BC144" s="627"/>
      <c r="BD144" s="628"/>
      <c r="BE144" s="628"/>
      <c r="BF144" s="629"/>
      <c r="BG144" s="595">
        <f>SUM(BG137,BG123:BG134,BG9)/BG166*1000</f>
        <v>34.037280525095795</v>
      </c>
      <c r="BH144" s="627"/>
      <c r="BI144" s="628"/>
      <c r="BJ144" s="628"/>
      <c r="BK144" s="629"/>
      <c r="BL144" s="595">
        <f>SUM(BL137,BL123:BL134,BL9)/BL166*1000</f>
        <v>35.125447938122491</v>
      </c>
      <c r="BM144" s="627"/>
      <c r="BN144" s="628"/>
      <c r="BO144" s="628"/>
      <c r="BP144" s="629"/>
      <c r="BQ144" s="595">
        <f>SUM(BQ137,BQ123:BQ134,BQ9)/BQ166*1000</f>
        <v>34.867050028925789</v>
      </c>
    </row>
    <row r="145" spans="1:69" s="2" customFormat="1">
      <c r="A145" s="1523"/>
      <c r="C145" s="37" t="s">
        <v>795</v>
      </c>
      <c r="D145" s="37"/>
      <c r="E145" s="627"/>
      <c r="F145" s="628"/>
      <c r="G145" s="628"/>
      <c r="H145" s="629"/>
      <c r="I145" s="630"/>
      <c r="J145" s="627"/>
      <c r="K145" s="628"/>
      <c r="L145" s="628"/>
      <c r="M145" s="629"/>
      <c r="N145" s="630"/>
      <c r="O145" s="627"/>
      <c r="P145" s="628"/>
      <c r="Q145" s="628"/>
      <c r="R145" s="629"/>
      <c r="S145" s="630"/>
      <c r="T145" s="627"/>
      <c r="U145" s="628"/>
      <c r="V145" s="628"/>
      <c r="W145" s="629"/>
      <c r="X145" s="595"/>
      <c r="Y145" s="627"/>
      <c r="Z145" s="628"/>
      <c r="AA145" s="628"/>
      <c r="AB145" s="629"/>
      <c r="AC145" s="595">
        <f>AC144/11</f>
        <v>6.5369893738950564</v>
      </c>
      <c r="AD145" s="627"/>
      <c r="AE145" s="628"/>
      <c r="AF145" s="628"/>
      <c r="AG145" s="629"/>
      <c r="AH145" s="595">
        <f>AH144/11</f>
        <v>7.7143378570650727</v>
      </c>
      <c r="AI145" s="627"/>
      <c r="AJ145" s="628"/>
      <c r="AK145" s="628"/>
      <c r="AL145" s="629"/>
      <c r="AM145" s="595">
        <f>AM144/11</f>
        <v>6.6999245385485064</v>
      </c>
      <c r="AN145" s="627"/>
      <c r="AO145" s="628"/>
      <c r="AP145" s="628"/>
      <c r="AQ145" s="629"/>
      <c r="AR145" s="595">
        <f>AR144/11</f>
        <v>6.0602043124379694</v>
      </c>
      <c r="AS145" s="627"/>
      <c r="AT145" s="628"/>
      <c r="AU145" s="628"/>
      <c r="AV145" s="629"/>
      <c r="AW145" s="595">
        <f>AW144/11</f>
        <v>5.6862556020476918</v>
      </c>
      <c r="AX145" s="627"/>
      <c r="AY145" s="628"/>
      <c r="AZ145" s="628"/>
      <c r="BA145" s="629"/>
      <c r="BB145" s="595">
        <f>BB144/11</f>
        <v>3.0867733085742852</v>
      </c>
      <c r="BC145" s="627"/>
      <c r="BD145" s="628"/>
      <c r="BE145" s="628"/>
      <c r="BF145" s="629"/>
      <c r="BG145" s="595">
        <f>BG144/11</f>
        <v>3.094298229554163</v>
      </c>
      <c r="BH145" s="627"/>
      <c r="BI145" s="628"/>
      <c r="BJ145" s="628"/>
      <c r="BK145" s="629"/>
      <c r="BL145" s="595">
        <f>BL144/11</f>
        <v>3.1932225398293173</v>
      </c>
      <c r="BM145" s="627"/>
      <c r="BN145" s="628"/>
      <c r="BO145" s="628"/>
      <c r="BP145" s="629"/>
      <c r="BQ145" s="595">
        <f>BQ144/11</f>
        <v>3.1697318208114353</v>
      </c>
    </row>
    <row r="146" spans="1:69" s="2" customFormat="1">
      <c r="A146" s="1523"/>
      <c r="C146" s="37"/>
      <c r="D146" s="37"/>
      <c r="E146" s="627"/>
      <c r="F146" s="628"/>
      <c r="G146" s="628"/>
      <c r="H146" s="629"/>
      <c r="I146" s="630"/>
      <c r="J146" s="627"/>
      <c r="K146" s="628"/>
      <c r="L146" s="628"/>
      <c r="M146" s="629"/>
      <c r="N146" s="630"/>
      <c r="O146" s="627"/>
      <c r="P146" s="628"/>
      <c r="Q146" s="628"/>
      <c r="R146" s="629"/>
      <c r="S146" s="630"/>
      <c r="T146" s="627"/>
      <c r="U146" s="628"/>
      <c r="V146" s="628"/>
      <c r="W146" s="629"/>
      <c r="X146" s="595"/>
      <c r="Y146" s="627"/>
      <c r="Z146" s="628"/>
      <c r="AA146" s="628"/>
      <c r="AB146" s="629"/>
      <c r="AC146" s="595"/>
      <c r="AD146" s="627"/>
      <c r="AE146" s="628"/>
      <c r="AF146" s="628"/>
      <c r="AG146" s="629"/>
      <c r="AH146" s="595"/>
      <c r="AI146" s="627"/>
      <c r="AJ146" s="628"/>
      <c r="AK146" s="628"/>
      <c r="AL146" s="629"/>
      <c r="AM146" s="595"/>
      <c r="AN146" s="627"/>
      <c r="AO146" s="628"/>
      <c r="AP146" s="628"/>
      <c r="AQ146" s="629"/>
      <c r="AR146" s="595"/>
      <c r="AS146" s="627"/>
      <c r="AT146" s="628"/>
      <c r="AU146" s="628"/>
      <c r="AV146" s="629"/>
      <c r="AW146" s="595"/>
      <c r="AX146" s="627"/>
      <c r="AY146" s="628"/>
      <c r="AZ146" s="628"/>
      <c r="BA146" s="629"/>
      <c r="BB146" s="595"/>
      <c r="BC146" s="627"/>
      <c r="BD146" s="628"/>
      <c r="BE146" s="628"/>
      <c r="BF146" s="629"/>
      <c r="BG146" s="595"/>
      <c r="BH146" s="627"/>
      <c r="BI146" s="628"/>
      <c r="BJ146" s="628"/>
      <c r="BK146" s="629"/>
      <c r="BL146" s="595"/>
      <c r="BM146" s="627"/>
      <c r="BN146" s="628"/>
      <c r="BO146" s="628"/>
      <c r="BP146" s="629"/>
      <c r="BQ146" s="595"/>
    </row>
    <row r="147" spans="1:69" s="2" customFormat="1">
      <c r="A147" s="1523"/>
      <c r="C147" s="37" t="s">
        <v>715</v>
      </c>
      <c r="D147" s="37"/>
      <c r="E147" s="627"/>
      <c r="F147" s="628"/>
      <c r="G147" s="628"/>
      <c r="H147" s="629"/>
      <c r="I147" s="630"/>
      <c r="J147" s="627"/>
      <c r="K147" s="628"/>
      <c r="L147" s="628"/>
      <c r="M147" s="629"/>
      <c r="N147" s="630"/>
      <c r="O147" s="627"/>
      <c r="P147" s="628"/>
      <c r="Q147" s="628"/>
      <c r="R147" s="629"/>
      <c r="S147" s="630"/>
      <c r="T147" s="627"/>
      <c r="U147" s="628"/>
      <c r="V147" s="628"/>
      <c r="W147" s="629"/>
      <c r="X147" s="998"/>
      <c r="Y147" s="627"/>
      <c r="Z147" s="628"/>
      <c r="AA147" s="628"/>
      <c r="AB147" s="629"/>
      <c r="AC147" s="998">
        <f>AC136/AC196/365*1000000</f>
        <v>182.49151072607262</v>
      </c>
      <c r="AD147" s="627"/>
      <c r="AE147" s="628"/>
      <c r="AF147" s="628"/>
      <c r="AG147" s="629"/>
      <c r="AH147" s="998">
        <f>AH136/AH196/365*1000000</f>
        <v>180.74981203153428</v>
      </c>
      <c r="AI147" s="627"/>
      <c r="AJ147" s="628"/>
      <c r="AK147" s="628"/>
      <c r="AL147" s="629"/>
      <c r="AM147" s="998">
        <f>AM136/AM196/365*1000000</f>
        <v>167.38261372466528</v>
      </c>
      <c r="AN147" s="627"/>
      <c r="AO147" s="628"/>
      <c r="AP147" s="628"/>
      <c r="AQ147" s="629"/>
      <c r="AR147" s="998">
        <f>AR136/AR196/365*1000000</f>
        <v>157.97280319918559</v>
      </c>
      <c r="AS147" s="627"/>
      <c r="AT147" s="628"/>
      <c r="AU147" s="628"/>
      <c r="AV147" s="629"/>
      <c r="AW147" s="998">
        <f>AW136/AW196/365*1000000</f>
        <v>167.92946520550035</v>
      </c>
      <c r="AX147" s="627"/>
      <c r="AY147" s="628"/>
      <c r="AZ147" s="628"/>
      <c r="BA147" s="629"/>
      <c r="BB147" s="998">
        <f>BB136/BB196/365*1000000</f>
        <v>197.72259007923788</v>
      </c>
      <c r="BC147" s="627"/>
      <c r="BD147" s="628"/>
      <c r="BE147" s="628"/>
      <c r="BF147" s="629"/>
      <c r="BG147" s="998">
        <f>BG136/BG196/365*1000000</f>
        <v>168.31210010159279</v>
      </c>
      <c r="BH147" s="627"/>
      <c r="BI147" s="628"/>
      <c r="BJ147" s="628"/>
      <c r="BK147" s="629"/>
      <c r="BL147" s="998">
        <f>BL136/BL196/365*1000000</f>
        <v>169.98070585212017</v>
      </c>
      <c r="BM147" s="627"/>
      <c r="BN147" s="628"/>
      <c r="BO147" s="628"/>
      <c r="BP147" s="629"/>
      <c r="BQ147" s="998">
        <f>BQ136/BQ196/365*1000000</f>
        <v>218.47046262604869</v>
      </c>
    </row>
    <row r="148" spans="1:69" s="2" customFormat="1">
      <c r="A148" s="1523"/>
      <c r="C148" s="37"/>
      <c r="D148" s="37"/>
      <c r="E148" s="627"/>
      <c r="F148" s="628"/>
      <c r="G148" s="628"/>
      <c r="H148" s="629"/>
      <c r="I148" s="630"/>
      <c r="J148" s="627"/>
      <c r="K148" s="628"/>
      <c r="L148" s="628"/>
      <c r="M148" s="629"/>
      <c r="N148" s="630"/>
      <c r="O148" s="627"/>
      <c r="P148" s="628"/>
      <c r="Q148" s="628"/>
      <c r="R148" s="629"/>
      <c r="S148" s="630"/>
      <c r="T148" s="627"/>
      <c r="U148" s="628"/>
      <c r="V148" s="628"/>
      <c r="W148" s="629"/>
      <c r="X148" s="998"/>
      <c r="Y148" s="627"/>
      <c r="Z148" s="628"/>
      <c r="AA148" s="628"/>
      <c r="AB148" s="629"/>
      <c r="AC148" s="998"/>
      <c r="AD148" s="627"/>
      <c r="AE148" s="628"/>
      <c r="AF148" s="628"/>
      <c r="AG148" s="629"/>
      <c r="AH148" s="998"/>
      <c r="AI148" s="627"/>
      <c r="AJ148" s="628"/>
      <c r="AK148" s="628"/>
      <c r="AL148" s="629"/>
      <c r="AM148" s="998"/>
      <c r="AN148" s="627"/>
      <c r="AO148" s="628"/>
      <c r="AP148" s="628"/>
      <c r="AQ148" s="629"/>
      <c r="AR148" s="998"/>
      <c r="AS148" s="627"/>
      <c r="AT148" s="628"/>
      <c r="AU148" s="628"/>
      <c r="AV148" s="629"/>
      <c r="AW148" s="998"/>
      <c r="AX148" s="627"/>
      <c r="AY148" s="628"/>
      <c r="AZ148" s="628"/>
      <c r="BA148" s="629"/>
      <c r="BB148" s="998"/>
      <c r="BC148" s="627"/>
      <c r="BD148" s="628"/>
      <c r="BE148" s="628"/>
      <c r="BF148" s="629"/>
      <c r="BG148" s="998"/>
      <c r="BH148" s="627"/>
      <c r="BI148" s="628"/>
      <c r="BJ148" s="628"/>
      <c r="BK148" s="629"/>
      <c r="BL148" s="998"/>
      <c r="BM148" s="627"/>
      <c r="BN148" s="628"/>
      <c r="BO148" s="628"/>
      <c r="BP148" s="629"/>
      <c r="BQ148" s="998"/>
    </row>
    <row r="149" spans="1:69" s="2" customFormat="1">
      <c r="A149" s="1523"/>
      <c r="C149" s="37" t="s">
        <v>989</v>
      </c>
      <c r="D149" s="37"/>
      <c r="E149" s="627"/>
      <c r="F149" s="628"/>
      <c r="G149" s="628"/>
      <c r="H149" s="629"/>
      <c r="I149" s="630"/>
      <c r="J149" s="627"/>
      <c r="K149" s="628"/>
      <c r="L149" s="628"/>
      <c r="M149" s="629"/>
      <c r="N149" s="630"/>
      <c r="O149" s="627"/>
      <c r="P149" s="628"/>
      <c r="Q149" s="628"/>
      <c r="R149" s="629"/>
      <c r="S149" s="630"/>
      <c r="T149" s="627"/>
      <c r="U149" s="628"/>
      <c r="V149" s="628"/>
      <c r="W149" s="629"/>
      <c r="X149" s="998"/>
      <c r="Y149" s="1575" t="s">
        <v>996</v>
      </c>
      <c r="Z149" s="1573" t="s">
        <v>996</v>
      </c>
      <c r="AA149" s="1573" t="s">
        <v>996</v>
      </c>
      <c r="AB149" s="1574" t="s">
        <v>996</v>
      </c>
      <c r="AC149" s="1576" t="str">
        <f>IFERROR(AVERAGE(Y149:AB149),"N/A")</f>
        <v>N/A</v>
      </c>
      <c r="AD149" s="1575" t="s">
        <v>996</v>
      </c>
      <c r="AE149" s="1573" t="s">
        <v>996</v>
      </c>
      <c r="AF149" s="1573" t="s">
        <v>996</v>
      </c>
      <c r="AG149" s="1574" t="s">
        <v>996</v>
      </c>
      <c r="AH149" s="1576" t="str">
        <f>IFERROR(AVERAGE(AD149:AG149),"N/A")</f>
        <v>N/A</v>
      </c>
      <c r="AI149" s="1575" t="s">
        <v>996</v>
      </c>
      <c r="AJ149" s="1573" t="s">
        <v>996</v>
      </c>
      <c r="AK149" s="1573" t="s">
        <v>996</v>
      </c>
      <c r="AL149" s="1574" t="s">
        <v>996</v>
      </c>
      <c r="AM149" s="1576" t="str">
        <f>IFERROR(AVERAGE(AI149:AL149),"N/A")</f>
        <v>N/A</v>
      </c>
      <c r="AN149" s="1575" t="s">
        <v>996</v>
      </c>
      <c r="AO149" s="342">
        <f>SUMPRODUCT(AO93:AO95,AO191:AO193)/SUM(AO191:AO193)</f>
        <v>162.44666666666666</v>
      </c>
      <c r="AP149" s="342">
        <f>SUMPRODUCT(AP93:AP95,AP191:AP193)/SUM(AP191:AP193)</f>
        <v>167.34586000034426</v>
      </c>
      <c r="AQ149" s="395">
        <f>SUMPRODUCT(AQ93:AQ95,AQ191:AQ193)/SUM(AQ191:AQ193)</f>
        <v>167.34586000034426</v>
      </c>
      <c r="AR149" s="113">
        <f>IFERROR(AVERAGE(AN149:AQ149),"N/A")</f>
        <v>165.71279555578505</v>
      </c>
      <c r="AS149" s="394">
        <f>SUMPRODUCT(AS93:AS95,AS191:AS193)/SUM(AS191:AS193)</f>
        <v>167.34586000034426</v>
      </c>
      <c r="AT149" s="342">
        <f>SUMPRODUCT(AT93:AT95,AT191:AT193)/SUM(AT191:AT193)</f>
        <v>166.85213703314798</v>
      </c>
      <c r="AU149" s="342">
        <f>SUMPRODUCT(AU93:AU95,AU191:AU193)/SUM(AU191:AU193)</f>
        <v>159.84501533874746</v>
      </c>
      <c r="AV149" s="395">
        <f>SUMPRODUCT(AV93:AV95,AV191:AV193)/SUM(AV191:AV193)</f>
        <v>159.84501533874746</v>
      </c>
      <c r="AW149" s="113">
        <f>IFERROR(AVERAGE(AS149:AV149),"N/A")</f>
        <v>163.47200692774678</v>
      </c>
      <c r="AX149" s="394">
        <f>SUMPRODUCT(AX93:AX95,AX191:AX193)/SUM(AX191:AX193)</f>
        <v>159.84501533874746</v>
      </c>
      <c r="AY149" s="342">
        <f>SUMPRODUCT(AY93:AY95,AY191:AY193)/SUM(AY191:AY193)</f>
        <v>182.81000504371923</v>
      </c>
      <c r="AZ149" s="1620" t="s">
        <v>996</v>
      </c>
      <c r="BA149" s="1621" t="s">
        <v>996</v>
      </c>
      <c r="BB149" s="113">
        <f>IFERROR(AVERAGE(AX149:BA149),"N/A")</f>
        <v>171.32751019123333</v>
      </c>
      <c r="BC149" s="1575" t="s">
        <v>996</v>
      </c>
      <c r="BD149" s="1573" t="s">
        <v>996</v>
      </c>
      <c r="BE149" s="1573" t="s">
        <v>996</v>
      </c>
      <c r="BF149" s="1574" t="s">
        <v>996</v>
      </c>
      <c r="BG149" s="1576" t="str">
        <f>IFERROR(AVERAGE(BC149:BF149),"N/A")</f>
        <v>N/A</v>
      </c>
      <c r="BH149" s="1575" t="s">
        <v>996</v>
      </c>
      <c r="BI149" s="1573" t="s">
        <v>996</v>
      </c>
      <c r="BJ149" s="1573" t="s">
        <v>996</v>
      </c>
      <c r="BK149" s="1574" t="s">
        <v>996</v>
      </c>
      <c r="BL149" s="1576" t="str">
        <f>IFERROR(AVERAGE(BH149:BK149),"N/A")</f>
        <v>N/A</v>
      </c>
      <c r="BM149" s="1575" t="s">
        <v>996</v>
      </c>
      <c r="BN149" s="1573" t="s">
        <v>996</v>
      </c>
      <c r="BO149" s="1573" t="s">
        <v>996</v>
      </c>
      <c r="BP149" s="1574" t="s">
        <v>996</v>
      </c>
      <c r="BQ149" s="1576" t="str">
        <f>IFERROR(AVERAGE(BM149:BP149),"N/A")</f>
        <v>N/A</v>
      </c>
    </row>
    <row r="150" spans="1:69" s="2" customFormat="1">
      <c r="A150" s="1523"/>
      <c r="C150" s="37" t="s">
        <v>992</v>
      </c>
      <c r="D150" s="37"/>
      <c r="E150" s="627"/>
      <c r="F150" s="628"/>
      <c r="G150" s="628"/>
      <c r="H150" s="629"/>
      <c r="I150" s="630"/>
      <c r="J150" s="627"/>
      <c r="K150" s="628"/>
      <c r="L150" s="628"/>
      <c r="M150" s="629"/>
      <c r="N150" s="630"/>
      <c r="O150" s="627"/>
      <c r="P150" s="628"/>
      <c r="Q150" s="628"/>
      <c r="R150" s="629"/>
      <c r="S150" s="630"/>
      <c r="T150" s="627"/>
      <c r="U150" s="628"/>
      <c r="V150" s="628"/>
      <c r="W150" s="629"/>
      <c r="X150" s="998"/>
      <c r="Y150" s="1575" t="s">
        <v>996</v>
      </c>
      <c r="Z150" s="1573" t="s">
        <v>996</v>
      </c>
      <c r="AA150" s="1573" t="s">
        <v>996</v>
      </c>
      <c r="AB150" s="1574" t="s">
        <v>996</v>
      </c>
      <c r="AC150" s="1576" t="str">
        <f>IFERROR(AVERAGE(Y150:AB150),"N/A")</f>
        <v>N/A</v>
      </c>
      <c r="AD150" s="1575" t="s">
        <v>996</v>
      </c>
      <c r="AE150" s="1573" t="s">
        <v>996</v>
      </c>
      <c r="AF150" s="1573" t="s">
        <v>996</v>
      </c>
      <c r="AG150" s="1574" t="s">
        <v>996</v>
      </c>
      <c r="AH150" s="1576" t="str">
        <f>IFERROR(AVERAGE(AD150:AG150),"N/A")</f>
        <v>N/A</v>
      </c>
      <c r="AI150" s="1575" t="s">
        <v>996</v>
      </c>
      <c r="AJ150" s="1573" t="s">
        <v>996</v>
      </c>
      <c r="AK150" s="1573" t="s">
        <v>996</v>
      </c>
      <c r="AL150" s="1574" t="s">
        <v>996</v>
      </c>
      <c r="AM150" s="1576" t="str">
        <f>IFERROR(AVERAGE(AI150:AL150),"N/A")</f>
        <v>N/A</v>
      </c>
      <c r="AN150" s="1575" t="s">
        <v>996</v>
      </c>
      <c r="AO150" s="1496">
        <f>1/3*172+2/3*168</f>
        <v>169.33333333333331</v>
      </c>
      <c r="AP150" s="1496">
        <v>172</v>
      </c>
      <c r="AQ150" s="1497">
        <v>172</v>
      </c>
      <c r="AR150" s="113">
        <f>IFERROR(AVERAGE(AN150:AQ150),"N/A")</f>
        <v>171.11111111111109</v>
      </c>
      <c r="AS150" s="1495">
        <v>172</v>
      </c>
      <c r="AT150" s="1496">
        <f>2/3*172+1/3*177</f>
        <v>173.66666666666666</v>
      </c>
      <c r="AU150" s="1496">
        <v>177</v>
      </c>
      <c r="AV150" s="1497">
        <v>177</v>
      </c>
      <c r="AW150" s="113">
        <f>IFERROR(AVERAGE(AS150:AV150),"N/A")</f>
        <v>174.91666666666666</v>
      </c>
      <c r="AX150" s="1495">
        <v>177</v>
      </c>
      <c r="AY150" s="1496">
        <f>2/3*177+1/3*215</f>
        <v>189.66666666666666</v>
      </c>
      <c r="AZ150" s="1620" t="s">
        <v>996</v>
      </c>
      <c r="BA150" s="1621" t="s">
        <v>996</v>
      </c>
      <c r="BB150" s="113">
        <f>IFERROR(AVERAGE(AX150:BA150),"N/A")</f>
        <v>183.33333333333331</v>
      </c>
      <c r="BC150" s="1575" t="s">
        <v>996</v>
      </c>
      <c r="BD150" s="1573" t="s">
        <v>996</v>
      </c>
      <c r="BE150" s="1573" t="s">
        <v>996</v>
      </c>
      <c r="BF150" s="1574" t="s">
        <v>996</v>
      </c>
      <c r="BG150" s="1576" t="str">
        <f>IFERROR(AVERAGE(BC150:BF150),"N/A")</f>
        <v>N/A</v>
      </c>
      <c r="BH150" s="1575" t="s">
        <v>996</v>
      </c>
      <c r="BI150" s="1573" t="s">
        <v>996</v>
      </c>
      <c r="BJ150" s="1573" t="s">
        <v>996</v>
      </c>
      <c r="BK150" s="1574" t="s">
        <v>996</v>
      </c>
      <c r="BL150" s="1576" t="str">
        <f>IFERROR(AVERAGE(BH150:BK150),"N/A")</f>
        <v>N/A</v>
      </c>
      <c r="BM150" s="1575" t="s">
        <v>996</v>
      </c>
      <c r="BN150" s="1573" t="s">
        <v>996</v>
      </c>
      <c r="BO150" s="1573" t="s">
        <v>996</v>
      </c>
      <c r="BP150" s="1574" t="s">
        <v>996</v>
      </c>
      <c r="BQ150" s="1576" t="str">
        <f>IFERROR(AVERAGE(BM150:BP150),"N/A")</f>
        <v>N/A</v>
      </c>
    </row>
    <row r="151" spans="1:69" s="2" customFormat="1">
      <c r="A151" s="1523"/>
      <c r="C151" s="37" t="s">
        <v>990</v>
      </c>
      <c r="D151" s="37"/>
      <c r="E151" s="627"/>
      <c r="F151" s="628"/>
      <c r="G151" s="628"/>
      <c r="H151" s="629"/>
      <c r="I151" s="630"/>
      <c r="J151" s="627"/>
      <c r="K151" s="628"/>
      <c r="L151" s="628"/>
      <c r="M151" s="629"/>
      <c r="N151" s="630"/>
      <c r="O151" s="627"/>
      <c r="P151" s="628"/>
      <c r="Q151" s="628"/>
      <c r="R151" s="629"/>
      <c r="S151" s="630"/>
      <c r="T151" s="627"/>
      <c r="U151" s="628"/>
      <c r="V151" s="628"/>
      <c r="W151" s="629"/>
      <c r="X151" s="998"/>
      <c r="Y151" s="1568">
        <v>0</v>
      </c>
      <c r="Z151" s="1570">
        <v>0</v>
      </c>
      <c r="AA151" s="1570">
        <v>0</v>
      </c>
      <c r="AB151" s="1569">
        <v>0</v>
      </c>
      <c r="AC151" s="1576">
        <f>IFERROR(AVERAGE(Y151:AB151),"N/A")</f>
        <v>0</v>
      </c>
      <c r="AD151" s="1568">
        <v>0</v>
      </c>
      <c r="AE151" s="1570">
        <v>0</v>
      </c>
      <c r="AF151" s="1570">
        <v>0</v>
      </c>
      <c r="AG151" s="1569">
        <v>0</v>
      </c>
      <c r="AH151" s="1576">
        <f>IFERROR(AVERAGE(AD151:AG151),"N/A")</f>
        <v>0</v>
      </c>
      <c r="AI151" s="1568">
        <v>0</v>
      </c>
      <c r="AJ151" s="1570">
        <v>0</v>
      </c>
      <c r="AK151" s="1570">
        <v>0</v>
      </c>
      <c r="AL151" s="1569">
        <v>0</v>
      </c>
      <c r="AM151" s="1576">
        <f>IFERROR(AVERAGE(AI151:AL151),"N/A")</f>
        <v>0</v>
      </c>
      <c r="AN151" s="1568">
        <v>0</v>
      </c>
      <c r="AO151" s="342">
        <f>AO150-AO149</f>
        <v>6.8866666666666561</v>
      </c>
      <c r="AP151" s="342">
        <f>AP150-AP149</f>
        <v>4.6541399996557402</v>
      </c>
      <c r="AQ151" s="395">
        <f>AQ150-AQ149</f>
        <v>4.6541399996557402</v>
      </c>
      <c r="AR151" s="113">
        <f>IFERROR(AVERAGE(AN151:AQ151),"N/A")</f>
        <v>4.0487366664945341</v>
      </c>
      <c r="AS151" s="394">
        <f>AS150-AS149</f>
        <v>4.6541399996557402</v>
      </c>
      <c r="AT151" s="342">
        <f>AT150-AT149</f>
        <v>6.8145296335186742</v>
      </c>
      <c r="AU151" s="342">
        <f>AU150-AU149</f>
        <v>17.154984661252541</v>
      </c>
      <c r="AV151" s="395">
        <f>AV150-AV149</f>
        <v>17.154984661252541</v>
      </c>
      <c r="AW151" s="113">
        <f>IFERROR(AVERAGE(AS151:AV151),"N/A")</f>
        <v>11.444659738919874</v>
      </c>
      <c r="AX151" s="394">
        <f>AX150-AX149</f>
        <v>17.154984661252541</v>
      </c>
      <c r="AY151" s="342">
        <f>AY150-AY149</f>
        <v>6.8566616229474278</v>
      </c>
      <c r="AZ151" s="1496">
        <v>0</v>
      </c>
      <c r="BA151" s="1497">
        <v>0</v>
      </c>
      <c r="BB151" s="113">
        <f>IFERROR(AVERAGE(AX151:BA151),"N/A")</f>
        <v>6.0029115710499923</v>
      </c>
      <c r="BC151" s="1568">
        <v>0</v>
      </c>
      <c r="BD151" s="1570">
        <v>0</v>
      </c>
      <c r="BE151" s="1570">
        <v>0</v>
      </c>
      <c r="BF151" s="1569">
        <v>0</v>
      </c>
      <c r="BG151" s="1576">
        <f>IFERROR(AVERAGE(BC151:BF151),"N/A")</f>
        <v>0</v>
      </c>
      <c r="BH151" s="1568">
        <v>0</v>
      </c>
      <c r="BI151" s="1570">
        <v>0</v>
      </c>
      <c r="BJ151" s="1570">
        <v>0</v>
      </c>
      <c r="BK151" s="1569">
        <v>0</v>
      </c>
      <c r="BL151" s="1576">
        <f>IFERROR(AVERAGE(BH151:BK151),"N/A")</f>
        <v>0</v>
      </c>
      <c r="BM151" s="1568">
        <v>0</v>
      </c>
      <c r="BN151" s="1570">
        <v>0</v>
      </c>
      <c r="BO151" s="1570">
        <v>0</v>
      </c>
      <c r="BP151" s="1569">
        <v>0</v>
      </c>
      <c r="BQ151" s="1576">
        <f>IFERROR(AVERAGE(BM151:BP151),"N/A")</f>
        <v>0</v>
      </c>
    </row>
    <row r="152" spans="1:69" s="2" customFormat="1">
      <c r="A152" s="1523"/>
      <c r="C152" s="37" t="s">
        <v>991</v>
      </c>
      <c r="D152" s="37"/>
      <c r="E152" s="627"/>
      <c r="F152" s="628"/>
      <c r="G152" s="628"/>
      <c r="H152" s="629"/>
      <c r="I152" s="630"/>
      <c r="J152" s="627"/>
      <c r="K152" s="628"/>
      <c r="L152" s="628"/>
      <c r="M152" s="629"/>
      <c r="N152" s="630"/>
      <c r="O152" s="627"/>
      <c r="P152" s="628"/>
      <c r="Q152" s="628"/>
      <c r="R152" s="629"/>
      <c r="S152" s="630"/>
      <c r="T152" s="627"/>
      <c r="U152" s="628"/>
      <c r="V152" s="628"/>
      <c r="W152" s="629"/>
      <c r="X152" s="998"/>
      <c r="Y152" s="627">
        <f>Y151*SUM(Y191:Y193)*365/4/1000000</f>
        <v>0</v>
      </c>
      <c r="Z152" s="628">
        <f>Z151*SUM(Z191:Z193)*365/4/1000000</f>
        <v>0</v>
      </c>
      <c r="AA152" s="628">
        <f>AA151*SUM(AA191:AA193)*365/4/1000000</f>
        <v>0</v>
      </c>
      <c r="AB152" s="629">
        <f>AB151*SUM(AB191:AB193)*365/4/1000000</f>
        <v>0</v>
      </c>
      <c r="AC152" s="1024">
        <f>SUM(Y152:AB152)</f>
        <v>0</v>
      </c>
      <c r="AD152" s="627">
        <f>AD151*SUM(AD191:AD193)*365/4/1000000</f>
        <v>0</v>
      </c>
      <c r="AE152" s="628">
        <f>AE151*SUM(AE191:AE193)*365/4/1000000</f>
        <v>0</v>
      </c>
      <c r="AF152" s="628">
        <f>AF151*SUM(AF191:AF193)*365/4/1000000</f>
        <v>0</v>
      </c>
      <c r="AG152" s="629">
        <f>AG151*SUM(AG191:AG193)*365/4/1000000</f>
        <v>0</v>
      </c>
      <c r="AH152" s="1024">
        <f>SUM(AD152:AG152)</f>
        <v>0</v>
      </c>
      <c r="AI152" s="627">
        <f>AI151*SUM(AI191:AI193)*365/4/1000000</f>
        <v>0</v>
      </c>
      <c r="AJ152" s="628">
        <f>AJ151*SUM(AJ191:AJ193)*365/4/1000000</f>
        <v>0</v>
      </c>
      <c r="AK152" s="628">
        <f>AK151*SUM(AK191:AK193)*365/4/1000000</f>
        <v>0</v>
      </c>
      <c r="AL152" s="629">
        <f>AL151*SUM(AL191:AL193)*365/4/1000000</f>
        <v>0</v>
      </c>
      <c r="AM152" s="1024">
        <f>SUM(AI152:AL152)</f>
        <v>0</v>
      </c>
      <c r="AN152" s="627">
        <f>AN151*SUM(AN191:AN193)*365/4/1000000</f>
        <v>0</v>
      </c>
      <c r="AO152" s="342">
        <f>AO151*SUM(AO191:AO193)*365/4/1000000</f>
        <v>5.5827167924999914</v>
      </c>
      <c r="AP152" s="342">
        <f>AP151*SUM(AP191:AP193)*365/4/1000000</f>
        <v>3.7007298215625126</v>
      </c>
      <c r="AQ152" s="395">
        <f>AQ151*SUM(AQ191:AQ193)*365/4/1000000</f>
        <v>3.7007298215625126</v>
      </c>
      <c r="AR152" s="77">
        <f>SUM(AN152:AQ152)</f>
        <v>12.984176435625017</v>
      </c>
      <c r="AS152" s="394">
        <f>AS151*SUM(AS191:AS193)*365/4/1000000</f>
        <v>3.7007298215625126</v>
      </c>
      <c r="AT152" s="342">
        <f>AT151*SUM(AT191:AT193)*365/4/1000000</f>
        <v>5.4185591831250051</v>
      </c>
      <c r="AU152" s="342">
        <f>AU151*SUM(AU191:AU193)*365/4/1000000</f>
        <v>13.598798156250004</v>
      </c>
      <c r="AV152" s="395">
        <f>AV151*SUM(AV191:AV193)*365/4/1000000</f>
        <v>13.598798156250004</v>
      </c>
      <c r="AW152" s="77">
        <f>SUM(AS152:AV152)</f>
        <v>36.316885317187527</v>
      </c>
      <c r="AX152" s="394">
        <f>AX151*SUM(AX191:AX193)*365/4/1000000</f>
        <v>13.598798156250004</v>
      </c>
      <c r="AY152" s="342">
        <f>AY151*SUM(AY191:AY193)*365/4/1000000</f>
        <v>4.9826511502083122</v>
      </c>
      <c r="AZ152" s="342">
        <f>AY151*SUM(AY191:AY193)*365/4/1000000</f>
        <v>4.9826511502083122</v>
      </c>
      <c r="BA152" s="395">
        <f>BA151*SUM(BA191:BA193)*365/4/1000000</f>
        <v>0</v>
      </c>
      <c r="BB152" s="77">
        <f>SUM(AX152:BA152)</f>
        <v>23.56410045666663</v>
      </c>
      <c r="BC152" s="627">
        <f>BC151*SUM(BC191:BC193)*365/4/1000000</f>
        <v>0</v>
      </c>
      <c r="BD152" s="628">
        <f>BD151*SUM(BD191:BD193)*365/4/1000000</f>
        <v>0</v>
      </c>
      <c r="BE152" s="628">
        <f>BE151*SUM(BE191:BE193)*365/4/1000000</f>
        <v>0</v>
      </c>
      <c r="BF152" s="629">
        <f>BF151*SUM(BF191:BF193)*365/4/1000000</f>
        <v>0</v>
      </c>
      <c r="BG152" s="1024">
        <f>SUM(BC152:BF152)</f>
        <v>0</v>
      </c>
      <c r="BH152" s="627">
        <f>BH151*SUM(BH191:BH193)*365/4/1000000</f>
        <v>0</v>
      </c>
      <c r="BI152" s="628">
        <f>BI151*SUM(BI191:BI193)*365/4/1000000</f>
        <v>0</v>
      </c>
      <c r="BJ152" s="628">
        <f>BJ151*SUM(BJ191:BJ193)*365/4/1000000</f>
        <v>0</v>
      </c>
      <c r="BK152" s="629">
        <f>BK151*SUM(BK191:BK193)*365/4/1000000</f>
        <v>0</v>
      </c>
      <c r="BL152" s="1024">
        <f>SUM(BH152:BK152)</f>
        <v>0</v>
      </c>
      <c r="BM152" s="627">
        <f>BM151*SUM(BM191:BM193)*365/4/1000000</f>
        <v>0</v>
      </c>
      <c r="BN152" s="628">
        <f>BN151*SUM(BN191:BN193)*365/4/1000000</f>
        <v>0</v>
      </c>
      <c r="BO152" s="628">
        <f>BO151*SUM(BO191:BO193)*365/4/1000000</f>
        <v>0</v>
      </c>
      <c r="BP152" s="629">
        <f>BP151*SUM(BP191:BP193)*365/4/1000000</f>
        <v>0</v>
      </c>
      <c r="BQ152" s="1024">
        <f>SUM(BM152:BP152)</f>
        <v>0</v>
      </c>
    </row>
    <row r="153" spans="1:69" s="2" customFormat="1">
      <c r="A153" s="1523"/>
      <c r="C153" s="37" t="s">
        <v>993</v>
      </c>
      <c r="D153" s="37"/>
      <c r="E153" s="627"/>
      <c r="F153" s="628"/>
      <c r="G153" s="628"/>
      <c r="H153" s="629"/>
      <c r="I153" s="630"/>
      <c r="J153" s="627"/>
      <c r="K153" s="628"/>
      <c r="L153" s="628"/>
      <c r="M153" s="629"/>
      <c r="N153" s="630"/>
      <c r="O153" s="627"/>
      <c r="P153" s="628"/>
      <c r="Q153" s="628"/>
      <c r="R153" s="629"/>
      <c r="S153" s="630"/>
      <c r="T153" s="627"/>
      <c r="U153" s="628"/>
      <c r="V153" s="628"/>
      <c r="W153" s="629"/>
      <c r="X153" s="998"/>
      <c r="Y153" s="394">
        <f>SUMPRODUCT(Y93:Y95,Y191:Y193)*365/4/1000000</f>
        <v>142.70805404999999</v>
      </c>
      <c r="Z153" s="342">
        <f>SUMPRODUCT(Z93:Z95,Z191:Z193)*365/4/1000000</f>
        <v>168.56613594999999</v>
      </c>
      <c r="AA153" s="342">
        <f>(AA93*AA191+AA95*AA193+AA94*AA192)*365/4/1000000</f>
        <v>220.28229974999999</v>
      </c>
      <c r="AB153" s="395">
        <f>(AB93*AB191+AB95*AB193+AB94*AB192)*365/4/1000000</f>
        <v>220.28229974999999</v>
      </c>
      <c r="AC153" s="77">
        <f>SUM(Y153:AB153)</f>
        <v>751.83878949999996</v>
      </c>
      <c r="AD153" s="394">
        <f>SUMPRODUCT(AD93:AD95,AD191:AD193)*365/4/1000000</f>
        <v>220.28229974999999</v>
      </c>
      <c r="AE153" s="342">
        <f>SUMPRODUCT(AE93:AE95,AE191:AE193)*365/4/1000000</f>
        <v>199.2955115</v>
      </c>
      <c r="AF153" s="342">
        <f>(AF93*AF191+AF95*AF193+AF94*AF192)*365/4/1000000</f>
        <v>158.18079825000004</v>
      </c>
      <c r="AG153" s="395">
        <f>(AG93*AG191+AG95*AG193+AG94*AG192)*365/4/1000000</f>
        <v>158.18079825000004</v>
      </c>
      <c r="AH153" s="77">
        <f>SUM(AD153:AG153)</f>
        <v>735.9394077500001</v>
      </c>
      <c r="AI153" s="394">
        <f>SUMPRODUCT(AI93:AI95,AI191:AI193)*365/4/1000000</f>
        <v>158.18079825000004</v>
      </c>
      <c r="AJ153" s="342">
        <f>SUMPRODUCT(AJ93:AJ95,AJ191:AJ193)*365/4/1000000</f>
        <v>158.64454115250001</v>
      </c>
      <c r="AK153" s="342">
        <f>(AK93*AK191+AK95*AK193+AK94*AK192)*365/4/1000000</f>
        <v>135.75243282749997</v>
      </c>
      <c r="AL153" s="395">
        <f>(AL93*AL191+AL95*AL193+AL94*AL192)*365/4/1000000</f>
        <v>135.75243282749997</v>
      </c>
      <c r="AM153" s="77">
        <f>SUM(AI153:AL153)</f>
        <v>588.33020505750005</v>
      </c>
      <c r="AN153" s="394">
        <f>SUMPRODUCT(AN93:AN95,AN191:AN193)*365/4/1000000</f>
        <v>135.75243282749997</v>
      </c>
      <c r="AO153" s="342">
        <f>SUMPRODUCT(AO93:AO95,AO191:AO193)*365/4/1000000</f>
        <v>131.68834470749999</v>
      </c>
      <c r="AP153" s="342">
        <f>SUMPRODUCT(AP93:AP95,AP191:AP193)*365/4/1000000</f>
        <v>133.06471542843749</v>
      </c>
      <c r="AQ153" s="395">
        <f>SUMPRODUCT(AQ93:AQ95,AQ191:AQ193)*365/4/1000000</f>
        <v>133.06471542843749</v>
      </c>
      <c r="AR153" s="77">
        <f>SUM(AN153:AQ153)</f>
        <v>533.57020839187487</v>
      </c>
      <c r="AS153" s="394">
        <f>SUMPRODUCT(AS93:AS95,AS191:AS193)*365/4/1000000</f>
        <v>133.06471542843749</v>
      </c>
      <c r="AT153" s="342">
        <f>SUMPRODUCT(AT93:AT95,AT191:AT193)*365/4/1000000</f>
        <v>132.672132629375</v>
      </c>
      <c r="AU153" s="342">
        <f>SUMPRODUCT(AU93:AU95,AU191:AU193)*365/4/1000000</f>
        <v>126.70953328125002</v>
      </c>
      <c r="AV153" s="395">
        <f>SUMPRODUCT(AV93:AV95,AV191:AV193)*365/4/1000000</f>
        <v>126.70953328125002</v>
      </c>
      <c r="AW153" s="77">
        <f>SUM(AS153:AV153)</f>
        <v>519.1559146203125</v>
      </c>
      <c r="AX153" s="394">
        <f>SUMPRODUCT(AX93:AX95,AX191:AX193)*365/4/1000000</f>
        <v>126.70953328125002</v>
      </c>
      <c r="AY153" s="342">
        <f>SUMPRODUCT(AY93:AY95,AY191:AY193)*365/4/1000000</f>
        <v>132.84576839145834</v>
      </c>
      <c r="AZ153" s="342">
        <f>(AY93*AY191+AY95*AY193+AY94*AY192)*365/4/1000000</f>
        <v>132.84576839145834</v>
      </c>
      <c r="BA153" s="395">
        <f>(BA93*BA191+BA95*BA193+BA94*BA192)*365/4/1000000</f>
        <v>169.73756982437504</v>
      </c>
      <c r="BB153" s="77">
        <f>SUM(AX153:BA153)</f>
        <v>562.13863988854177</v>
      </c>
      <c r="BC153" s="394">
        <f>SUMPRODUCT(BC93:BC95,BC191:BC193)*365/4/1000000</f>
        <v>169.73756982437502</v>
      </c>
      <c r="BD153" s="342">
        <f>SUMPRODUCT(BD93:BD95,BD191:BD193)*365/4/1000000</f>
        <v>144.976997481875</v>
      </c>
      <c r="BE153" s="342">
        <f>(BE93*BE191+BE95*BE193+BE94*BE192)*365/4/1000000</f>
        <v>94.175246874999999</v>
      </c>
      <c r="BF153" s="395">
        <f>(BF93*BF191+BF95*BF193+BF94*BF192)*365/4/1000000</f>
        <v>94.175246874999999</v>
      </c>
      <c r="BG153" s="77">
        <f>SUM(BC153:BF153)</f>
        <v>503.06506105624999</v>
      </c>
      <c r="BH153" s="394">
        <f>SUMPRODUCT(BH93:BH95,BH191:BH193)*365/4/1000000</f>
        <v>94.175246874999999</v>
      </c>
      <c r="BI153" s="342">
        <f>SUMPRODUCT(BI93:BI95,BI191:BI193)*365/4/1000000</f>
        <v>105.23925117144097</v>
      </c>
      <c r="BJ153" s="342">
        <f>(BJ93*BJ191+BJ95*BJ193+BJ94*BJ192)*365/4/1000000</f>
        <v>123.40404821515627</v>
      </c>
      <c r="BK153" s="395">
        <f>(BK93*BK191+BK95*BK193+BK94*BK192)*365/4/1000000</f>
        <v>126.19164446515627</v>
      </c>
      <c r="BL153" s="77">
        <f>SUM(BH153:BK153)</f>
        <v>449.01019072675354</v>
      </c>
      <c r="BM153" s="394">
        <f>SUMPRODUCT(BM93:BM95,BM191:BM193)*365/4/1000000</f>
        <v>154.15007929687499</v>
      </c>
      <c r="BN153" s="342">
        <f>SUMPRODUCT(BN93:BN95,BN191:BN193)*365/4/1000000</f>
        <v>154.15007929687499</v>
      </c>
      <c r="BO153" s="342">
        <f>(BO93*BO191+BO95*BO193+BO94*BO192)*365/4/1000000</f>
        <v>154.15007929687499</v>
      </c>
      <c r="BP153" s="395">
        <f>(BP93*BP191+BP95*BP193+BP94*BP192)*365/4/1000000</f>
        <v>154.15007929687499</v>
      </c>
      <c r="BQ153" s="77">
        <f>SUM(BM153:BP153)</f>
        <v>616.60031718749997</v>
      </c>
    </row>
    <row r="154" spans="1:69" s="2" customFormat="1">
      <c r="A154" s="1523"/>
      <c r="C154" s="37" t="s">
        <v>994</v>
      </c>
      <c r="D154" s="37"/>
      <c r="E154" s="627"/>
      <c r="F154" s="628"/>
      <c r="G154" s="628"/>
      <c r="H154" s="629"/>
      <c r="I154" s="630"/>
      <c r="J154" s="627"/>
      <c r="K154" s="628"/>
      <c r="L154" s="628"/>
      <c r="M154" s="629"/>
      <c r="N154" s="630"/>
      <c r="O154" s="627"/>
      <c r="P154" s="628"/>
      <c r="Q154" s="628"/>
      <c r="R154" s="629"/>
      <c r="S154" s="630"/>
      <c r="T154" s="627"/>
      <c r="U154" s="628"/>
      <c r="V154" s="628"/>
      <c r="W154" s="629"/>
      <c r="X154" s="998"/>
      <c r="Y154" s="394">
        <f>Y153+Y152</f>
        <v>142.70805404999999</v>
      </c>
      <c r="Z154" s="342">
        <f>Z153+Z152</f>
        <v>168.56613594999999</v>
      </c>
      <c r="AA154" s="342">
        <f>AA153+AA152</f>
        <v>220.28229974999999</v>
      </c>
      <c r="AB154" s="395">
        <f>AB153+AB152</f>
        <v>220.28229974999999</v>
      </c>
      <c r="AC154" s="77">
        <f>SUM(Y154:AB154)</f>
        <v>751.83878949999996</v>
      </c>
      <c r="AD154" s="394">
        <f>AD153+AD152</f>
        <v>220.28229974999999</v>
      </c>
      <c r="AE154" s="342">
        <f>AE153+AE152</f>
        <v>199.2955115</v>
      </c>
      <c r="AF154" s="342">
        <f>AF153+AF152</f>
        <v>158.18079825000004</v>
      </c>
      <c r="AG154" s="395">
        <f>AG153+AG152</f>
        <v>158.18079825000004</v>
      </c>
      <c r="AH154" s="77">
        <f>SUM(AD154:AG154)</f>
        <v>735.9394077500001</v>
      </c>
      <c r="AI154" s="394">
        <f>AI153+AI152</f>
        <v>158.18079825000004</v>
      </c>
      <c r="AJ154" s="342">
        <f>AJ153+AJ152</f>
        <v>158.64454115250001</v>
      </c>
      <c r="AK154" s="342">
        <f>AK153+AK152</f>
        <v>135.75243282749997</v>
      </c>
      <c r="AL154" s="395">
        <f>AL153+AL152</f>
        <v>135.75243282749997</v>
      </c>
      <c r="AM154" s="77">
        <f>SUM(AI154:AL154)</f>
        <v>588.33020505750005</v>
      </c>
      <c r="AN154" s="394">
        <f>AN153+AN152</f>
        <v>135.75243282749997</v>
      </c>
      <c r="AO154" s="342">
        <f>AO153+AO152</f>
        <v>137.27106149999997</v>
      </c>
      <c r="AP154" s="342">
        <f>AP153+AP152</f>
        <v>136.76544525</v>
      </c>
      <c r="AQ154" s="395">
        <f>AQ153+AQ152</f>
        <v>136.76544525</v>
      </c>
      <c r="AR154" s="77">
        <f>SUM(AN154:AQ154)</f>
        <v>546.55438482749992</v>
      </c>
      <c r="AS154" s="394">
        <f>AS153+AS152</f>
        <v>136.76544525</v>
      </c>
      <c r="AT154" s="342">
        <f>AT153+AT152</f>
        <v>138.09069181250001</v>
      </c>
      <c r="AU154" s="342">
        <f>AU153+AU152</f>
        <v>140.30833143750002</v>
      </c>
      <c r="AV154" s="395">
        <f>AV153+AV152</f>
        <v>140.30833143750002</v>
      </c>
      <c r="AW154" s="77">
        <f>SUM(AS154:AV154)</f>
        <v>555.47279993749999</v>
      </c>
      <c r="AX154" s="394">
        <f>AX153+AX152</f>
        <v>140.30833143750002</v>
      </c>
      <c r="AY154" s="342">
        <f>AY153+AY152</f>
        <v>137.82841954166665</v>
      </c>
      <c r="AZ154" s="342">
        <f>AY153+AY152</f>
        <v>137.82841954166665</v>
      </c>
      <c r="BA154" s="395">
        <f>BA153+BA152</f>
        <v>169.73756982437504</v>
      </c>
      <c r="BB154" s="77">
        <f>SUM(AX154:BA154)</f>
        <v>585.70274034520844</v>
      </c>
      <c r="BC154" s="394">
        <f>BC153+BC152</f>
        <v>169.73756982437502</v>
      </c>
      <c r="BD154" s="342">
        <f>BD153+BD152</f>
        <v>144.976997481875</v>
      </c>
      <c r="BE154" s="342">
        <f>BE153+BE152</f>
        <v>94.175246874999999</v>
      </c>
      <c r="BF154" s="395">
        <f>BF153+BF152</f>
        <v>94.175246874999999</v>
      </c>
      <c r="BG154" s="77">
        <f>SUM(BC154:BF154)</f>
        <v>503.06506105624999</v>
      </c>
      <c r="BH154" s="394">
        <f>BH153+BH152</f>
        <v>94.175246874999999</v>
      </c>
      <c r="BI154" s="342">
        <f>BI153+BI152</f>
        <v>105.23925117144097</v>
      </c>
      <c r="BJ154" s="342">
        <f>BJ153+BJ152</f>
        <v>123.40404821515627</v>
      </c>
      <c r="BK154" s="395">
        <f>BK153+BK152</f>
        <v>126.19164446515627</v>
      </c>
      <c r="BL154" s="77">
        <f>SUM(BH154:BK154)</f>
        <v>449.01019072675354</v>
      </c>
      <c r="BM154" s="394">
        <f>BM153+BM152</f>
        <v>154.15007929687499</v>
      </c>
      <c r="BN154" s="342">
        <f>BN153+BN152</f>
        <v>154.15007929687499</v>
      </c>
      <c r="BO154" s="342">
        <f>BO153+BO152</f>
        <v>154.15007929687499</v>
      </c>
      <c r="BP154" s="395">
        <f>BP153+BP152</f>
        <v>154.15007929687499</v>
      </c>
      <c r="BQ154" s="77">
        <f>SUM(BM154:BP154)</f>
        <v>616.60031718749997</v>
      </c>
    </row>
    <row r="155" spans="1:69" s="2" customFormat="1">
      <c r="A155" s="1523"/>
      <c r="C155" s="37"/>
      <c r="D155" s="37"/>
      <c r="E155" s="627"/>
      <c r="F155" s="628"/>
      <c r="G155" s="628"/>
      <c r="H155" s="629"/>
      <c r="I155" s="630"/>
      <c r="J155" s="627"/>
      <c r="K155" s="628"/>
      <c r="L155" s="628"/>
      <c r="M155" s="629"/>
      <c r="N155" s="630"/>
      <c r="O155" s="627"/>
      <c r="P155" s="628"/>
      <c r="Q155" s="628"/>
      <c r="R155" s="629"/>
      <c r="S155" s="630"/>
      <c r="T155" s="627"/>
      <c r="U155" s="628"/>
      <c r="V155" s="628"/>
      <c r="W155" s="629"/>
      <c r="X155" s="998"/>
      <c r="Y155" s="394"/>
      <c r="Z155" s="342"/>
      <c r="AA155" s="342"/>
      <c r="AB155" s="395"/>
      <c r="AC155" s="77"/>
      <c r="AD155" s="394"/>
      <c r="AE155" s="342"/>
      <c r="AF155" s="342"/>
      <c r="AG155" s="395"/>
      <c r="AH155" s="77"/>
      <c r="AI155" s="394"/>
      <c r="AJ155" s="342"/>
      <c r="AK155" s="342"/>
      <c r="AL155" s="395"/>
      <c r="AM155" s="77"/>
      <c r="AN155" s="394"/>
      <c r="AO155" s="342"/>
      <c r="AP155" s="342"/>
      <c r="AQ155" s="395"/>
      <c r="AR155" s="77"/>
      <c r="AS155" s="394"/>
      <c r="AT155" s="342"/>
      <c r="AU155" s="342"/>
      <c r="AV155" s="395"/>
      <c r="AW155" s="77"/>
      <c r="AX155" s="394"/>
      <c r="AY155" s="342"/>
      <c r="AZ155" s="342"/>
      <c r="BA155" s="395"/>
      <c r="BB155" s="77"/>
      <c r="BC155" s="394"/>
      <c r="BD155" s="342"/>
      <c r="BE155" s="342"/>
      <c r="BF155" s="395"/>
      <c r="BG155" s="77"/>
      <c r="BH155" s="394"/>
      <c r="BI155" s="342"/>
      <c r="BJ155" s="342"/>
      <c r="BK155" s="395"/>
      <c r="BL155" s="77"/>
      <c r="BM155" s="394"/>
      <c r="BN155" s="342"/>
      <c r="BO155" s="342"/>
      <c r="BP155" s="395"/>
      <c r="BQ155" s="77"/>
    </row>
    <row r="156" spans="1:69" s="2" customFormat="1">
      <c r="A156" s="1523"/>
      <c r="C156" s="37" t="s">
        <v>1023</v>
      </c>
      <c r="D156" s="37"/>
      <c r="E156" s="627"/>
      <c r="F156" s="628"/>
      <c r="G156" s="628"/>
      <c r="H156" s="629"/>
      <c r="I156" s="630"/>
      <c r="J156" s="627"/>
      <c r="K156" s="628"/>
      <c r="L156" s="628"/>
      <c r="M156" s="629"/>
      <c r="N156" s="630"/>
      <c r="O156" s="627"/>
      <c r="P156" s="628"/>
      <c r="Q156" s="628"/>
      <c r="R156" s="629"/>
      <c r="S156" s="630"/>
      <c r="T156" s="627"/>
      <c r="U156" s="628"/>
      <c r="V156" s="628"/>
      <c r="W156" s="629"/>
      <c r="X156" s="998"/>
      <c r="Y156" s="394"/>
      <c r="Z156" s="342"/>
      <c r="AA156" s="342"/>
      <c r="AB156" s="395"/>
      <c r="AC156" s="77"/>
      <c r="AD156" s="394"/>
      <c r="AE156" s="342"/>
      <c r="AF156" s="342"/>
      <c r="AG156" s="395"/>
      <c r="AH156" s="77"/>
      <c r="AI156" s="394"/>
      <c r="AJ156" s="342"/>
      <c r="AK156" s="342"/>
      <c r="AL156" s="395"/>
      <c r="AM156" s="77"/>
      <c r="AN156" s="394"/>
      <c r="AO156" s="342"/>
      <c r="AP156" s="342"/>
      <c r="AQ156" s="395"/>
      <c r="AR156" s="77"/>
      <c r="AS156" s="394"/>
      <c r="AT156" s="342"/>
      <c r="AU156" s="342"/>
      <c r="AV156" s="395"/>
      <c r="AW156" s="77"/>
      <c r="AX156" s="394"/>
      <c r="AY156" s="342"/>
      <c r="AZ156" s="342"/>
      <c r="BA156" s="395"/>
      <c r="BB156" s="77"/>
      <c r="BC156" s="394">
        <f>BC97</f>
        <v>313.97260273972609</v>
      </c>
      <c r="BD156" s="342">
        <f>BD97</f>
        <v>286.35616438356169</v>
      </c>
      <c r="BE156" s="342">
        <f>BE97</f>
        <v>231.12328767123287</v>
      </c>
      <c r="BF156" s="395">
        <f>BF97</f>
        <v>231.12328767123287</v>
      </c>
      <c r="BG156" s="77">
        <f>BG97</f>
        <v>265.64383561643837</v>
      </c>
      <c r="BH156" s="394">
        <f>BF156</f>
        <v>231.12328767123287</v>
      </c>
      <c r="BI156" s="342">
        <f>2/3*BH156+1/3*BJ156</f>
        <v>231.89369863013698</v>
      </c>
      <c r="BJ156" s="1496">
        <f>BE156*1.01</f>
        <v>233.4345205479452</v>
      </c>
      <c r="BK156" s="395">
        <f>BF156*1.01</f>
        <v>233.4345205479452</v>
      </c>
      <c r="BL156" s="77">
        <f>BG156*1.01</f>
        <v>268.30027397260272</v>
      </c>
      <c r="BM156" s="394">
        <f>BK156</f>
        <v>233.4345205479452</v>
      </c>
      <c r="BN156" s="342">
        <f>2/3*BM156+1/3*BO156</f>
        <v>234.21263561643835</v>
      </c>
      <c r="BO156" s="1496">
        <f>BJ156*1.01</f>
        <v>235.76886575342465</v>
      </c>
      <c r="BP156" s="395">
        <f>BK156*1.01</f>
        <v>235.76886575342465</v>
      </c>
      <c r="BQ156" s="77">
        <f>BL156*1.01</f>
        <v>270.98327671232875</v>
      </c>
    </row>
    <row r="157" spans="1:69" s="2" customFormat="1">
      <c r="A157" s="1523"/>
      <c r="C157" s="37" t="s">
        <v>1022</v>
      </c>
      <c r="D157" s="37"/>
      <c r="E157" s="627"/>
      <c r="F157" s="628"/>
      <c r="G157" s="628"/>
      <c r="H157" s="629"/>
      <c r="I157" s="630"/>
      <c r="J157" s="627"/>
      <c r="K157" s="628"/>
      <c r="L157" s="628"/>
      <c r="M157" s="629"/>
      <c r="N157" s="630"/>
      <c r="O157" s="627"/>
      <c r="P157" s="628"/>
      <c r="Q157" s="628"/>
      <c r="R157" s="629"/>
      <c r="S157" s="630"/>
      <c r="T157" s="627"/>
      <c r="U157" s="628"/>
      <c r="V157" s="628"/>
      <c r="W157" s="629"/>
      <c r="X157" s="998"/>
      <c r="Y157" s="394"/>
      <c r="Z157" s="342"/>
      <c r="AA157" s="342"/>
      <c r="AB157" s="395"/>
      <c r="AC157" s="77"/>
      <c r="AD157" s="394"/>
      <c r="AE157" s="342"/>
      <c r="AF157" s="342"/>
      <c r="AG157" s="395"/>
      <c r="AH157" s="77"/>
      <c r="AI157" s="394"/>
      <c r="AJ157" s="342"/>
      <c r="AK157" s="342"/>
      <c r="AL157" s="395"/>
      <c r="AM157" s="77"/>
      <c r="AN157" s="394"/>
      <c r="AO157" s="342"/>
      <c r="AP157" s="342"/>
      <c r="AQ157" s="395"/>
      <c r="AR157" s="77"/>
      <c r="AS157" s="394"/>
      <c r="AT157" s="342"/>
      <c r="AU157" s="342"/>
      <c r="AV157" s="395"/>
      <c r="AW157" s="77"/>
      <c r="AX157" s="394"/>
      <c r="AY157" s="342"/>
      <c r="AZ157" s="342"/>
      <c r="BA157" s="395"/>
      <c r="BB157" s="77"/>
      <c r="BC157" s="394">
        <f>BC156*BC371*365/4/1000000</f>
        <v>0</v>
      </c>
      <c r="BD157" s="342">
        <f>BD156*BD371*365/4/1000000</f>
        <v>4.2243500000000003</v>
      </c>
      <c r="BE157" s="342">
        <f>BE156*BE371*365/4/1000000</f>
        <v>10.22865</v>
      </c>
      <c r="BF157" s="395">
        <f>BF156*BF371*365/4/1000000</f>
        <v>10.22865</v>
      </c>
      <c r="BG157" s="77">
        <f>SUM(BC157:BF157)</f>
        <v>24.681649999999998</v>
      </c>
      <c r="BH157" s="394">
        <f>BH156*BH371*365/4/1000000</f>
        <v>10.22865</v>
      </c>
      <c r="BI157" s="342">
        <f>BI156*BI371*365/4/1000000</f>
        <v>10.262745499999999</v>
      </c>
      <c r="BJ157" s="342">
        <f>BJ156*BJ371*365/4/1000000</f>
        <v>10.330936499999998</v>
      </c>
      <c r="BK157" s="395">
        <f>BK156*BK371*365/4/1000000</f>
        <v>10.330936499999998</v>
      </c>
      <c r="BL157" s="77">
        <f>SUM(BH157:BK157)</f>
        <v>41.153268499999996</v>
      </c>
      <c r="BM157" s="394">
        <f>BM156*BM371*365/4/1000000</f>
        <v>10.330936499999998</v>
      </c>
      <c r="BN157" s="342">
        <f>BN156*BN371*365/4/1000000</f>
        <v>10.365372955</v>
      </c>
      <c r="BO157" s="342">
        <f>BO156*BO371*365/4/1000000</f>
        <v>10.434245864999999</v>
      </c>
      <c r="BP157" s="395">
        <f>BP156*BP371*365/4/1000000</f>
        <v>10.434245864999999</v>
      </c>
      <c r="BQ157" s="77">
        <f>SUM(BM157:BP157)</f>
        <v>41.564801185</v>
      </c>
    </row>
    <row r="158" spans="1:69" s="2" customFormat="1">
      <c r="A158" s="1523"/>
      <c r="C158" s="37"/>
      <c r="D158" s="37"/>
      <c r="E158" s="627"/>
      <c r="F158" s="628"/>
      <c r="G158" s="628"/>
      <c r="H158" s="629"/>
      <c r="I158" s="630"/>
      <c r="J158" s="627"/>
      <c r="K158" s="628"/>
      <c r="L158" s="628"/>
      <c r="M158" s="629"/>
      <c r="N158" s="630"/>
      <c r="O158" s="627"/>
      <c r="P158" s="628"/>
      <c r="Q158" s="628"/>
      <c r="R158" s="629"/>
      <c r="S158" s="630"/>
      <c r="T158" s="627"/>
      <c r="U158" s="628"/>
      <c r="V158" s="628"/>
      <c r="W158" s="629"/>
      <c r="X158" s="998"/>
      <c r="Y158" s="627"/>
      <c r="Z158" s="628"/>
      <c r="AA158" s="628"/>
      <c r="AB158" s="629"/>
      <c r="AC158" s="998"/>
      <c r="AD158" s="627"/>
      <c r="AE158" s="628"/>
      <c r="AF158" s="628"/>
      <c r="AG158" s="629"/>
      <c r="AH158" s="998"/>
      <c r="AI158" s="627"/>
      <c r="AJ158" s="628"/>
      <c r="AK158" s="628"/>
      <c r="AL158" s="629"/>
      <c r="AM158" s="998"/>
      <c r="AN158" s="627"/>
      <c r="AO158" s="628"/>
      <c r="AP158" s="628"/>
      <c r="AQ158" s="629"/>
      <c r="AR158" s="998"/>
      <c r="AS158" s="627"/>
      <c r="AT158" s="628"/>
      <c r="AU158" s="628"/>
      <c r="AV158" s="629"/>
      <c r="AW158" s="998"/>
      <c r="AX158" s="627"/>
      <c r="AY158" s="628"/>
      <c r="AZ158" s="628"/>
      <c r="BA158" s="629"/>
      <c r="BB158" s="998"/>
      <c r="BC158" s="627"/>
      <c r="BD158" s="628"/>
      <c r="BE158" s="628"/>
      <c r="BF158" s="629"/>
      <c r="BG158" s="998"/>
      <c r="BH158" s="627"/>
      <c r="BI158" s="628"/>
      <c r="BJ158" s="628"/>
      <c r="BK158" s="629"/>
      <c r="BL158" s="998"/>
      <c r="BM158" s="627"/>
      <c r="BN158" s="628"/>
      <c r="BO158" s="628"/>
      <c r="BP158" s="629"/>
      <c r="BQ158" s="998"/>
    </row>
    <row r="159" spans="1:69" s="2" customFormat="1">
      <c r="A159" s="1523"/>
      <c r="C159" s="49" t="s">
        <v>716</v>
      </c>
      <c r="D159" s="49"/>
      <c r="E159" s="999"/>
      <c r="F159" s="1000"/>
      <c r="G159" s="1000"/>
      <c r="H159" s="1001"/>
      <c r="I159" s="1002"/>
      <c r="J159" s="999"/>
      <c r="K159" s="1000"/>
      <c r="L159" s="1000"/>
      <c r="M159" s="1001"/>
      <c r="N159" s="1002"/>
      <c r="O159" s="999"/>
      <c r="P159" s="1000"/>
      <c r="Q159" s="1000"/>
      <c r="R159" s="1001"/>
      <c r="S159" s="1002"/>
      <c r="T159" s="999"/>
      <c r="U159" s="1000"/>
      <c r="V159" s="1000"/>
      <c r="W159" s="1001"/>
      <c r="X159" s="593"/>
      <c r="Y159" s="999"/>
      <c r="Z159" s="1000"/>
      <c r="AA159" s="1000"/>
      <c r="AB159" s="1001"/>
      <c r="AC159" s="593">
        <f>SUM(AC140,AC9)/AC166*1000</f>
        <v>87.527620809821286</v>
      </c>
      <c r="AD159" s="999"/>
      <c r="AE159" s="1000"/>
      <c r="AF159" s="1000"/>
      <c r="AG159" s="1001"/>
      <c r="AH159" s="593">
        <f>SUM(AH140,AH9)/AH166*1000</f>
        <v>101.00669989396761</v>
      </c>
      <c r="AI159" s="999"/>
      <c r="AJ159" s="1000"/>
      <c r="AK159" s="1000"/>
      <c r="AL159" s="1001"/>
      <c r="AM159" s="593">
        <f>SUM(AM140,AM9)/AM166*1000</f>
        <v>85.730424374304306</v>
      </c>
      <c r="AN159" s="999"/>
      <c r="AO159" s="1000"/>
      <c r="AP159" s="1000"/>
      <c r="AQ159" s="1001"/>
      <c r="AR159" s="593">
        <f>SUM(AR140,AR9)/AR166*1000</f>
        <v>82.214722396352656</v>
      </c>
      <c r="AS159" s="999"/>
      <c r="AT159" s="1000"/>
      <c r="AU159" s="1000"/>
      <c r="AV159" s="1001"/>
      <c r="AW159" s="593">
        <f>SUM(AW140,AW9)/AW166*1000</f>
        <v>79.094240557417308</v>
      </c>
      <c r="AX159" s="999"/>
      <c r="AY159" s="1000"/>
      <c r="AZ159" s="1000"/>
      <c r="BA159" s="1001"/>
      <c r="BB159" s="593">
        <f>SUM(BB140,BB9)/BB166*1000</f>
        <v>52.11569349266054</v>
      </c>
      <c r="BC159" s="999"/>
      <c r="BD159" s="1000"/>
      <c r="BE159" s="1000"/>
      <c r="BF159" s="1001"/>
      <c r="BG159" s="593">
        <f>SUM(BG140,BG9)/BG166*1000</f>
        <v>49.987753653195938</v>
      </c>
      <c r="BH159" s="999"/>
      <c r="BI159" s="1000"/>
      <c r="BJ159" s="1000"/>
      <c r="BK159" s="1001"/>
      <c r="BL159" s="593">
        <f>SUM(BL140,BL9)/BL166*1000</f>
        <v>49.742965546082154</v>
      </c>
      <c r="BM159" s="999"/>
      <c r="BN159" s="1000"/>
      <c r="BO159" s="1000"/>
      <c r="BP159" s="1001"/>
      <c r="BQ159" s="593">
        <f>SUM(BQ140,BQ9)/BQ166*1000</f>
        <v>52.446723109903367</v>
      </c>
    </row>
    <row r="160" spans="1:69" s="2" customFormat="1">
      <c r="A160" s="1523"/>
      <c r="C160" s="37"/>
      <c r="D160" s="37"/>
      <c r="E160" s="627"/>
      <c r="F160" s="628"/>
      <c r="G160" s="628"/>
      <c r="H160" s="629"/>
      <c r="I160" s="630"/>
      <c r="J160" s="627"/>
      <c r="K160" s="628"/>
      <c r="L160" s="628"/>
      <c r="M160" s="629"/>
      <c r="N160" s="630"/>
      <c r="O160" s="627"/>
      <c r="P160" s="628"/>
      <c r="Q160" s="628"/>
      <c r="R160" s="629"/>
      <c r="S160" s="630"/>
      <c r="T160" s="627"/>
      <c r="U160" s="628"/>
      <c r="V160" s="628"/>
      <c r="W160" s="629"/>
      <c r="X160" s="630"/>
      <c r="Y160" s="627"/>
      <c r="Z160" s="628"/>
      <c r="AA160" s="628"/>
      <c r="AB160" s="629"/>
      <c r="AC160" s="630"/>
      <c r="AD160" s="627"/>
      <c r="AE160" s="628"/>
      <c r="AF160" s="628"/>
      <c r="AG160" s="629"/>
      <c r="AH160" s="630"/>
      <c r="AI160" s="627"/>
      <c r="AJ160" s="628"/>
      <c r="AK160" s="628"/>
      <c r="AL160" s="629"/>
      <c r="AM160" s="630"/>
      <c r="AN160" s="627"/>
      <c r="AO160" s="628"/>
      <c r="AP160" s="628"/>
      <c r="AQ160" s="629"/>
      <c r="AR160" s="630"/>
      <c r="AS160" s="627"/>
      <c r="AT160" s="628"/>
      <c r="AU160" s="628"/>
      <c r="AV160" s="629"/>
      <c r="AW160" s="630"/>
      <c r="AX160" s="627"/>
      <c r="AY160" s="628"/>
      <c r="AZ160" s="628"/>
      <c r="BA160" s="629"/>
      <c r="BB160" s="630"/>
      <c r="BC160" s="627"/>
      <c r="BD160" s="628"/>
      <c r="BE160" s="628"/>
      <c r="BF160" s="629"/>
      <c r="BG160" s="630"/>
      <c r="BH160" s="627"/>
      <c r="BI160" s="628"/>
      <c r="BJ160" s="628"/>
      <c r="BK160" s="629"/>
      <c r="BL160" s="630"/>
      <c r="BM160" s="627"/>
      <c r="BN160" s="628"/>
      <c r="BO160" s="628"/>
      <c r="BP160" s="629"/>
      <c r="BQ160" s="630"/>
    </row>
    <row r="161" spans="1:93" s="2" customFormat="1" ht="13.5" customHeight="1">
      <c r="A161" s="1523"/>
      <c r="B161" s="105" t="s">
        <v>221</v>
      </c>
      <c r="C161" s="19"/>
      <c r="D161" s="277"/>
      <c r="E161" s="365"/>
      <c r="F161" s="6"/>
      <c r="G161" s="6"/>
      <c r="H161" s="366"/>
      <c r="J161" s="365"/>
      <c r="K161" s="6"/>
      <c r="L161" s="6"/>
      <c r="M161" s="366"/>
      <c r="O161" s="365"/>
      <c r="P161" s="6"/>
      <c r="Q161" s="6"/>
      <c r="R161" s="366"/>
      <c r="T161" s="420"/>
      <c r="U161" s="320"/>
      <c r="V161" s="320"/>
      <c r="W161" s="421"/>
      <c r="X161" s="31"/>
      <c r="Y161" s="420"/>
      <c r="Z161" s="320"/>
      <c r="AA161" s="320"/>
      <c r="AB161" s="421"/>
      <c r="AC161" s="31"/>
      <c r="AD161" s="420"/>
      <c r="AE161" s="320"/>
      <c r="AF161" s="320"/>
      <c r="AG161" s="421"/>
      <c r="AH161" s="31"/>
      <c r="AI161" s="420"/>
      <c r="AJ161" s="320"/>
      <c r="AK161" s="320"/>
      <c r="AL161" s="421"/>
      <c r="AM161" s="31"/>
      <c r="AN161" s="420"/>
      <c r="AO161" s="320"/>
      <c r="AP161" s="320"/>
      <c r="AQ161" s="421"/>
      <c r="AR161" s="31"/>
      <c r="AS161" s="420"/>
      <c r="AT161" s="320"/>
      <c r="AU161" s="320"/>
      <c r="AV161" s="421"/>
      <c r="AW161" s="31"/>
      <c r="AX161" s="420"/>
      <c r="AY161" s="320"/>
      <c r="AZ161" s="320"/>
      <c r="BA161" s="421"/>
      <c r="BB161" s="31"/>
      <c r="BC161" s="420"/>
      <c r="BD161" s="320"/>
      <c r="BE161" s="320"/>
      <c r="BF161" s="421"/>
      <c r="BG161" s="31"/>
      <c r="BH161" s="420"/>
      <c r="BI161" s="320"/>
      <c r="BJ161" s="320"/>
      <c r="BK161" s="421"/>
      <c r="BL161" s="31"/>
      <c r="BM161" s="420"/>
      <c r="BN161" s="320"/>
      <c r="BO161" s="320"/>
      <c r="BP161" s="421"/>
      <c r="BQ161" s="31"/>
    </row>
    <row r="162" spans="1:93" s="303" customFormat="1" ht="13.5" customHeight="1">
      <c r="B162" s="17"/>
      <c r="C162" s="718" t="s">
        <v>226</v>
      </c>
      <c r="D162" s="37"/>
      <c r="E162" s="719"/>
      <c r="F162" s="466"/>
      <c r="G162" s="466"/>
      <c r="H162" s="720"/>
      <c r="J162" s="719"/>
      <c r="K162" s="466"/>
      <c r="L162" s="466"/>
      <c r="M162" s="720"/>
      <c r="O162" s="719"/>
      <c r="P162" s="466"/>
      <c r="Q162" s="466"/>
      <c r="R162" s="720"/>
      <c r="T162" s="721"/>
      <c r="U162" s="722"/>
      <c r="V162" s="722"/>
      <c r="W162" s="723"/>
      <c r="X162" s="724"/>
      <c r="Y162" s="721"/>
      <c r="Z162" s="722"/>
      <c r="AA162" s="722"/>
      <c r="AB162" s="723"/>
      <c r="AC162" s="724"/>
      <c r="AD162" s="721"/>
      <c r="AE162" s="722"/>
      <c r="AF162" s="722"/>
      <c r="AG162" s="723"/>
      <c r="AH162" s="724"/>
      <c r="AI162" s="721"/>
      <c r="AJ162" s="722"/>
      <c r="AK162" s="722"/>
      <c r="AL162" s="723"/>
      <c r="AM162" s="724"/>
      <c r="AN162" s="721"/>
      <c r="AO162" s="722"/>
      <c r="AP162" s="722"/>
      <c r="AQ162" s="723"/>
      <c r="AR162" s="724"/>
      <c r="AS162" s="721"/>
      <c r="AT162" s="722"/>
      <c r="AU162" s="722"/>
      <c r="AV162" s="723"/>
      <c r="AW162" s="724"/>
      <c r="AX162" s="721"/>
      <c r="AY162" s="722"/>
      <c r="AZ162" s="722"/>
      <c r="BA162" s="723"/>
      <c r="BB162" s="724"/>
      <c r="BC162" s="721"/>
      <c r="BD162" s="722"/>
      <c r="BE162" s="722"/>
      <c r="BF162" s="723"/>
      <c r="BG162" s="724"/>
      <c r="BH162" s="721"/>
      <c r="BI162" s="722"/>
      <c r="BJ162" s="722"/>
      <c r="BK162" s="723"/>
      <c r="BL162" s="724"/>
      <c r="BM162" s="721"/>
      <c r="BN162" s="722"/>
      <c r="BO162" s="722"/>
      <c r="BP162" s="723"/>
      <c r="BQ162" s="724"/>
    </row>
    <row r="163" spans="1:93" s="2" customFormat="1" ht="13.5" customHeight="1">
      <c r="A163" s="1523"/>
      <c r="C163" s="565" t="s">
        <v>222</v>
      </c>
      <c r="D163" s="37"/>
      <c r="E163" s="365"/>
      <c r="F163" s="6"/>
      <c r="G163" s="6"/>
      <c r="H163" s="366"/>
      <c r="J163" s="365"/>
      <c r="K163" s="6"/>
      <c r="L163" s="6"/>
      <c r="M163" s="366"/>
      <c r="O163" s="365"/>
      <c r="P163" s="6"/>
      <c r="Q163" s="6"/>
      <c r="R163" s="366"/>
      <c r="T163" s="420"/>
      <c r="U163" s="320"/>
      <c r="V163" s="320"/>
      <c r="W163" s="421"/>
      <c r="X163" s="31"/>
      <c r="Y163" s="420">
        <f t="shared" ref="Y163:AR163" si="154">Y294+Y321</f>
        <v>8696.9498999999996</v>
      </c>
      <c r="Z163" s="320">
        <f t="shared" si="154"/>
        <v>8696.9498999999996</v>
      </c>
      <c r="AA163" s="320">
        <f t="shared" si="154"/>
        <v>8696.9498999999996</v>
      </c>
      <c r="AB163" s="421">
        <f t="shared" si="154"/>
        <v>8696.9498999999996</v>
      </c>
      <c r="AC163" s="31">
        <f t="shared" si="154"/>
        <v>34787.799599999998</v>
      </c>
      <c r="AD163" s="420">
        <f>AD294+AD321</f>
        <v>8696.9498999999996</v>
      </c>
      <c r="AE163" s="320">
        <f>AE294+AE321</f>
        <v>8696.9498999999996</v>
      </c>
      <c r="AF163" s="320">
        <f t="shared" si="154"/>
        <v>8696.9498999999996</v>
      </c>
      <c r="AG163" s="421">
        <f t="shared" si="154"/>
        <v>6051.1451999999999</v>
      </c>
      <c r="AH163" s="31">
        <f t="shared" si="154"/>
        <v>32141.994899999998</v>
      </c>
      <c r="AI163" s="420">
        <f t="shared" si="154"/>
        <v>9070.8266999999996</v>
      </c>
      <c r="AJ163" s="320">
        <f t="shared" si="154"/>
        <v>8376.2463000000007</v>
      </c>
      <c r="AK163" s="320">
        <f t="shared" si="154"/>
        <v>8696.9498999999996</v>
      </c>
      <c r="AL163" s="421">
        <f t="shared" si="154"/>
        <v>7654.6632</v>
      </c>
      <c r="AM163" s="31">
        <f t="shared" si="154"/>
        <v>33798.686099999999</v>
      </c>
      <c r="AN163" s="420">
        <f t="shared" si="154"/>
        <v>8656.8619500000004</v>
      </c>
      <c r="AO163" s="320">
        <f t="shared" si="154"/>
        <v>7513.9119000000001</v>
      </c>
      <c r="AP163" s="320">
        <f t="shared" si="154"/>
        <v>8920.2094500000003</v>
      </c>
      <c r="AQ163" s="421">
        <f t="shared" si="154"/>
        <v>8920.2094500000003</v>
      </c>
      <c r="AR163" s="31">
        <f t="shared" si="154"/>
        <v>34011.192750000002</v>
      </c>
      <c r="AS163" s="420">
        <f t="shared" ref="AS163:BB163" si="155">AS294+AS321</f>
        <v>8920.2094500000003</v>
      </c>
      <c r="AT163" s="320">
        <f t="shared" si="155"/>
        <v>7965.4461000000001</v>
      </c>
      <c r="AU163" s="320">
        <f t="shared" si="155"/>
        <v>8920.2094500000003</v>
      </c>
      <c r="AV163" s="421">
        <f t="shared" si="155"/>
        <v>8920.2094500000003</v>
      </c>
      <c r="AW163" s="31">
        <f t="shared" si="155"/>
        <v>34726.07445</v>
      </c>
      <c r="AX163" s="420">
        <f>AX294+AX321</f>
        <v>8920.2094500000003</v>
      </c>
      <c r="AY163" s="320">
        <f>AY294+AY321</f>
        <v>7965.4461000000001</v>
      </c>
      <c r="AZ163" s="320">
        <f>AZ294+AZ321</f>
        <v>8920.2094500000003</v>
      </c>
      <c r="BA163" s="421">
        <f>BA294+BA321</f>
        <v>8920.2094500000003</v>
      </c>
      <c r="BB163" s="31">
        <f t="shared" si="155"/>
        <v>34726.07445</v>
      </c>
      <c r="BC163" s="420">
        <f t="shared" ref="BC163:BL163" si="156">BC294+BC321</f>
        <v>8920.2094500000003</v>
      </c>
      <c r="BD163" s="320">
        <f t="shared" si="156"/>
        <v>7965.4461000000001</v>
      </c>
      <c r="BE163" s="320">
        <f t="shared" si="156"/>
        <v>7965.4461000000001</v>
      </c>
      <c r="BF163" s="421">
        <f t="shared" si="156"/>
        <v>8920.2094500000003</v>
      </c>
      <c r="BG163" s="31">
        <f t="shared" si="156"/>
        <v>33771.311100000006</v>
      </c>
      <c r="BH163" s="420">
        <f t="shared" si="156"/>
        <v>8920.2094500000003</v>
      </c>
      <c r="BI163" s="320">
        <f t="shared" si="156"/>
        <v>7965.4461000000001</v>
      </c>
      <c r="BJ163" s="320">
        <f t="shared" si="156"/>
        <v>7965.4461000000001</v>
      </c>
      <c r="BK163" s="421">
        <f t="shared" si="156"/>
        <v>8920.2094500000003</v>
      </c>
      <c r="BL163" s="31">
        <f t="shared" si="156"/>
        <v>33771.311100000006</v>
      </c>
      <c r="BM163" s="420">
        <f>BM294+BM321</f>
        <v>8920.2094500000003</v>
      </c>
      <c r="BN163" s="320">
        <f>BN294+BN321</f>
        <v>7965.4461000000001</v>
      </c>
      <c r="BO163" s="320">
        <f>BO294+BO321</f>
        <v>7965.4461000000001</v>
      </c>
      <c r="BP163" s="421">
        <f>BP294+BP321</f>
        <v>8920.2094500000003</v>
      </c>
      <c r="BQ163" s="31">
        <f>BQ294+BQ321</f>
        <v>33771.311100000006</v>
      </c>
    </row>
    <row r="164" spans="1:93" s="2" customFormat="1" ht="13.5" customHeight="1">
      <c r="A164" s="1523"/>
      <c r="C164" s="565" t="s">
        <v>223</v>
      </c>
      <c r="D164" s="37"/>
      <c r="E164" s="365"/>
      <c r="F164" s="6"/>
      <c r="G164" s="6"/>
      <c r="H164" s="366"/>
      <c r="J164" s="365"/>
      <c r="K164" s="6"/>
      <c r="L164" s="6"/>
      <c r="M164" s="366"/>
      <c r="O164" s="365"/>
      <c r="P164" s="6"/>
      <c r="Q164" s="6"/>
      <c r="R164" s="366"/>
      <c r="T164" s="420"/>
      <c r="U164" s="320"/>
      <c r="V164" s="320"/>
      <c r="W164" s="421"/>
      <c r="X164" s="31"/>
      <c r="Y164" s="420">
        <f>Y234+Y254+Y400+Y360</f>
        <v>3482.1000000000004</v>
      </c>
      <c r="Z164" s="320">
        <f t="shared" ref="Z164:AU164" si="157">Z234+Z254+Z400+Z360</f>
        <v>4227.1380000000008</v>
      </c>
      <c r="AA164" s="320">
        <f t="shared" si="157"/>
        <v>4227.1380000000008</v>
      </c>
      <c r="AB164" s="421">
        <f t="shared" si="157"/>
        <v>4227.1380000000008</v>
      </c>
      <c r="AC164" s="31">
        <f>SUM(Y164:AB164)</f>
        <v>16163.514000000003</v>
      </c>
      <c r="AD164" s="420">
        <f>AD234+AD254+AD400+AD360</f>
        <v>2824.8810000000003</v>
      </c>
      <c r="AE164" s="320">
        <f>AE234+AE254+AE400+AE360</f>
        <v>4227.1380000000008</v>
      </c>
      <c r="AF164" s="320">
        <f t="shared" si="157"/>
        <v>4723.83</v>
      </c>
      <c r="AG164" s="421">
        <f t="shared" si="157"/>
        <v>4447.0140000000001</v>
      </c>
      <c r="AH164" s="31">
        <f>SUM(AD164:AG164)</f>
        <v>16222.863000000001</v>
      </c>
      <c r="AI164" s="420">
        <f t="shared" si="157"/>
        <v>5641.5275999999994</v>
      </c>
      <c r="AJ164" s="320">
        <f t="shared" si="157"/>
        <v>4309.92</v>
      </c>
      <c r="AK164" s="320">
        <f t="shared" si="157"/>
        <v>4764.5639999999994</v>
      </c>
      <c r="AL164" s="421">
        <f t="shared" si="157"/>
        <v>4350.6539999999995</v>
      </c>
      <c r="AM164" s="31">
        <f>SUM(AI164:AL164)</f>
        <v>19066.665599999997</v>
      </c>
      <c r="AN164" s="420">
        <f t="shared" si="157"/>
        <v>4350.6539999999995</v>
      </c>
      <c r="AO164" s="320">
        <f t="shared" si="157"/>
        <v>4764.5639999999994</v>
      </c>
      <c r="AP164" s="320">
        <f>AP234+AP254+AP400+AP360</f>
        <v>4764.5639999999994</v>
      </c>
      <c r="AQ164" s="421">
        <f t="shared" si="157"/>
        <v>4350.6539999999995</v>
      </c>
      <c r="AR164" s="31">
        <f>SUM(AN164:AQ164)</f>
        <v>18230.435999999998</v>
      </c>
      <c r="AS164" s="420">
        <f t="shared" si="157"/>
        <v>4350.6539999999995</v>
      </c>
      <c r="AT164" s="320">
        <f t="shared" si="157"/>
        <v>4350.6539999999995</v>
      </c>
      <c r="AU164" s="320">
        <f t="shared" si="157"/>
        <v>4270.7190000000001</v>
      </c>
      <c r="AV164" s="421">
        <f>AV234+AV254+AV400+AV360</f>
        <v>4270.7190000000001</v>
      </c>
      <c r="AW164" s="31">
        <f>SUM(AS164:AV164)</f>
        <v>17242.745999999999</v>
      </c>
      <c r="AX164" s="420">
        <f>AX234+AX254+AX400+AX360+AX420</f>
        <v>2643.33</v>
      </c>
      <c r="AY164" s="320">
        <f>AY234+AY254+AY400+AY360+AY420</f>
        <v>5997.8077499999999</v>
      </c>
      <c r="AZ164" s="320">
        <f>AZ234+AZ254+AZ400+AZ360+AZ420</f>
        <v>6707.3677500000003</v>
      </c>
      <c r="BA164" s="421">
        <f>BA234+BA254+BA400+BA360+BA420</f>
        <v>5997.8077499999999</v>
      </c>
      <c r="BB164" s="31">
        <f>SUM(AX164:BA164)</f>
        <v>21346.313249999999</v>
      </c>
      <c r="BC164" s="420">
        <f>BC234+BC254+BC400+BC360+BC420+BC380</f>
        <v>5997.8077499999999</v>
      </c>
      <c r="BD164" s="320">
        <f>BD234+BD254+BD400+BD360+BD420+BD380</f>
        <v>6254.4939999999997</v>
      </c>
      <c r="BE164" s="320">
        <f>BE234+BE254+BE400+BE360+BE420+BE380</f>
        <v>6767.8665000000001</v>
      </c>
      <c r="BF164" s="421">
        <f>BF234+BF254+BF400+BF360+BF420+BF380</f>
        <v>5520.0045</v>
      </c>
      <c r="BG164" s="31">
        <f>SUM(BC164:BF164)</f>
        <v>24540.172749999998</v>
      </c>
      <c r="BH164" s="420">
        <f>BH234+BH254+BH400+BH360+BH420+BH380</f>
        <v>6767.8665000000001</v>
      </c>
      <c r="BI164" s="320">
        <f>BI234+BI254+BI400+BI360+BI420+BI380</f>
        <v>6767.8665000000001</v>
      </c>
      <c r="BJ164" s="320">
        <f>BJ234+BJ254+BJ400+BJ360+BJ420+BJ380</f>
        <v>6767.8665000000001</v>
      </c>
      <c r="BK164" s="421">
        <f>BK234+BK254+BK400+BK360+BK420+BK380</f>
        <v>5520.0045</v>
      </c>
      <c r="BL164" s="31">
        <f>SUM(BH164:BK164)</f>
        <v>25823.603999999999</v>
      </c>
      <c r="BM164" s="420">
        <f>BM234+BM254+BM400+BM360+BM420+BM380</f>
        <v>6767.8665000000001</v>
      </c>
      <c r="BN164" s="320">
        <f>BN234+BN254+BN400+BN360+BN420+BN380</f>
        <v>6767.8665000000001</v>
      </c>
      <c r="BO164" s="320">
        <f>BO234+BO254+BO400+BO360+BO420+BO380</f>
        <v>6767.8665000000001</v>
      </c>
      <c r="BP164" s="421">
        <f>BP234+BP254+BP400+BP360+BP420+BP380</f>
        <v>5254.4669999999996</v>
      </c>
      <c r="BQ164" s="31">
        <f>SUM(BM164:BP164)</f>
        <v>25558.066500000001</v>
      </c>
    </row>
    <row r="165" spans="1:93" s="2" customFormat="1" ht="13.5" customHeight="1">
      <c r="A165" s="1523"/>
      <c r="C165" s="565" t="s">
        <v>230</v>
      </c>
      <c r="D165" s="37"/>
      <c r="E165" s="365"/>
      <c r="F165" s="6"/>
      <c r="G165" s="6"/>
      <c r="H165" s="366"/>
      <c r="J165" s="365"/>
      <c r="K165" s="6"/>
      <c r="L165" s="6"/>
      <c r="M165" s="366"/>
      <c r="O165" s="365"/>
      <c r="P165" s="6"/>
      <c r="Q165" s="6"/>
      <c r="R165" s="366"/>
      <c r="T165" s="420"/>
      <c r="U165" s="320"/>
      <c r="V165" s="320"/>
      <c r="W165" s="421"/>
      <c r="X165" s="31"/>
      <c r="Y165" s="420">
        <f>Y267+Y281+Y347+Y307+Y334</f>
        <v>65.7</v>
      </c>
      <c r="Z165" s="320">
        <f>Z267+Z281+Z347+Z307+Z334</f>
        <v>65.7</v>
      </c>
      <c r="AA165" s="320">
        <f>AA267+AA281+AA347+AA307+AA334</f>
        <v>462.09</v>
      </c>
      <c r="AB165" s="421">
        <f>AB267+AB281+AB347+AB307+AB334</f>
        <v>136.875</v>
      </c>
      <c r="AC165" s="31">
        <f>SUM(Y165:AB165)</f>
        <v>730.36500000000001</v>
      </c>
      <c r="AD165" s="420">
        <f>AD267+AD281+AD347+AD307+AD334</f>
        <v>65.7</v>
      </c>
      <c r="AE165" s="320">
        <f>AE267+AE281+AE347+AE307+AE334</f>
        <v>390.91499999999996</v>
      </c>
      <c r="AF165" s="320">
        <f>AF267+AF281+AF347+AF307+AF334</f>
        <v>462.09</v>
      </c>
      <c r="AG165" s="421">
        <f>AG267+AG281+AG347+AG307+AG334</f>
        <v>462.09</v>
      </c>
      <c r="AH165" s="31">
        <f>SUM(AD165:AG165)</f>
        <v>1380.7949999999998</v>
      </c>
      <c r="AI165" s="420">
        <f>AI267+AI281+AI347+AI307+AI334</f>
        <v>65.7</v>
      </c>
      <c r="AJ165" s="320">
        <f>AJ267+AJ281+AJ347+AJ307+AJ334</f>
        <v>390.91499999999996</v>
      </c>
      <c r="AK165" s="320">
        <f>AK267+AK281+AK347+AK307+AK334</f>
        <v>297.84000000000003</v>
      </c>
      <c r="AL165" s="421">
        <f>AL267+AL281+AL347+AL307+AL334</f>
        <v>297.84000000000003</v>
      </c>
      <c r="AM165" s="31">
        <f>SUM(AI165:AL165)</f>
        <v>1052.2950000000001</v>
      </c>
      <c r="AN165" s="420">
        <f>AN267+AN281+AN347+AN307+AN334</f>
        <v>226.66500000000002</v>
      </c>
      <c r="AO165" s="320">
        <f>AO267+AO281+AO347+AO307+AO334</f>
        <v>297.84000000000003</v>
      </c>
      <c r="AP165" s="320">
        <f>AP267+AP281+AP347+AP307+AP334</f>
        <v>299.42775</v>
      </c>
      <c r="AQ165" s="421">
        <f>AQ267+AQ281+AQ347+AQ307+AQ334</f>
        <v>136.875</v>
      </c>
      <c r="AR165" s="31">
        <f>SUM(AN165:AQ165)</f>
        <v>960.80775000000017</v>
      </c>
      <c r="AS165" s="420">
        <f>AS267+AS281+AS347+AS307+AS334</f>
        <v>65.7</v>
      </c>
      <c r="AT165" s="320">
        <f>AT267+AT281+AT347+AT307+AT334</f>
        <v>65.7</v>
      </c>
      <c r="AU165" s="320">
        <f>AU267+AU281+AU347+AU307+AU334</f>
        <v>228.25274999999999</v>
      </c>
      <c r="AV165" s="421">
        <f>AV267+AV281+AV347+AV307+AV334</f>
        <v>136.875</v>
      </c>
      <c r="AW165" s="31">
        <f>SUM(AS165:AV165)</f>
        <v>496.52774999999997</v>
      </c>
      <c r="AX165" s="420">
        <f>AX267+AX281+AX347+AX307+AX334</f>
        <v>65.7</v>
      </c>
      <c r="AY165" s="320">
        <f>AY267+AY281+AY347+AY307+AY334</f>
        <v>228.25274999999999</v>
      </c>
      <c r="AZ165" s="320">
        <f>AZ267+AZ281+AZ347+AZ307+AZ334</f>
        <v>249.05775</v>
      </c>
      <c r="BA165" s="421">
        <f>BA267+BA281+BA347+BA307+BA334</f>
        <v>136.875</v>
      </c>
      <c r="BB165" s="31">
        <f>SUM(AX165:BA165)</f>
        <v>679.88549999999998</v>
      </c>
      <c r="BC165" s="420">
        <f>BC267+BC281+BC347+BC307+BC334</f>
        <v>136.875</v>
      </c>
      <c r="BD165" s="320">
        <f>BD267+BD281+BD347+BD307+BD334</f>
        <v>299.42775</v>
      </c>
      <c r="BE165" s="320">
        <f>BE267+BE281+BE347+BE307+BE334</f>
        <v>299.42775</v>
      </c>
      <c r="BF165" s="421">
        <f>BF267+BF281+BF347+BF307+BF334</f>
        <v>65.7</v>
      </c>
      <c r="BG165" s="31">
        <f>SUM(BC165:BF165)</f>
        <v>801.43050000000005</v>
      </c>
      <c r="BH165" s="420">
        <f>BH267+BH281+BH347+BH307+BH334</f>
        <v>136.875</v>
      </c>
      <c r="BI165" s="320">
        <f>BI267+BI281+BI347+BI307+BI334</f>
        <v>299.42775</v>
      </c>
      <c r="BJ165" s="320">
        <f>BJ267+BJ281+BJ347+BJ307+BJ334</f>
        <v>299.42775</v>
      </c>
      <c r="BK165" s="421">
        <f>BK267+BK281+BK347+BK307+BK334</f>
        <v>65.7</v>
      </c>
      <c r="BL165" s="31">
        <f>SUM(BH165:BK165)</f>
        <v>801.43050000000005</v>
      </c>
      <c r="BM165" s="420">
        <f>BM267+BM281+BM347+BM307+BM334</f>
        <v>136.875</v>
      </c>
      <c r="BN165" s="320">
        <f>BN267+BN281+BN347+BN307+BN334</f>
        <v>299.42775</v>
      </c>
      <c r="BO165" s="320">
        <f>BO267+BO281+BO347+BO307+BO334</f>
        <v>299.42775</v>
      </c>
      <c r="BP165" s="421">
        <f>BP267+BP281+BP347+BP307+BP334</f>
        <v>65.7</v>
      </c>
      <c r="BQ165" s="31">
        <f>SUM(BM165:BP165)</f>
        <v>801.43050000000005</v>
      </c>
    </row>
    <row r="166" spans="1:93" s="2" customFormat="1" ht="13.5" customHeight="1">
      <c r="A166" s="1523"/>
      <c r="C166" s="610" t="s">
        <v>449</v>
      </c>
      <c r="D166" s="37"/>
      <c r="E166" s="365"/>
      <c r="F166" s="6"/>
      <c r="G166" s="6"/>
      <c r="H166" s="366"/>
      <c r="J166" s="365"/>
      <c r="K166" s="6"/>
      <c r="L166" s="6"/>
      <c r="M166" s="366"/>
      <c r="O166" s="365"/>
      <c r="P166" s="6"/>
      <c r="Q166" s="6"/>
      <c r="R166" s="366"/>
      <c r="T166" s="407"/>
      <c r="U166" s="349"/>
      <c r="V166" s="349"/>
      <c r="W166" s="408"/>
      <c r="X166" s="608"/>
      <c r="Y166" s="407">
        <f t="shared" ref="Y166:AR166" si="158">SUM(Y163:Y165)</f>
        <v>12244.749900000001</v>
      </c>
      <c r="Z166" s="349">
        <f t="shared" si="158"/>
        <v>12989.787900000001</v>
      </c>
      <c r="AA166" s="349">
        <f t="shared" si="158"/>
        <v>13386.177900000001</v>
      </c>
      <c r="AB166" s="408">
        <f t="shared" si="158"/>
        <v>13060.9629</v>
      </c>
      <c r="AC166" s="608">
        <f t="shared" si="158"/>
        <v>51681.678599999999</v>
      </c>
      <c r="AD166" s="407">
        <f>SUM(AD163:AD165)</f>
        <v>11587.530900000002</v>
      </c>
      <c r="AE166" s="349">
        <f>SUM(AE163:AE165)</f>
        <v>13315.002899999999</v>
      </c>
      <c r="AF166" s="349">
        <f t="shared" si="158"/>
        <v>13882.8699</v>
      </c>
      <c r="AG166" s="408">
        <f t="shared" si="158"/>
        <v>10960.2492</v>
      </c>
      <c r="AH166" s="608">
        <f t="shared" si="158"/>
        <v>49745.652900000001</v>
      </c>
      <c r="AI166" s="407">
        <f t="shared" si="158"/>
        <v>14778.0543</v>
      </c>
      <c r="AJ166" s="349">
        <f t="shared" si="158"/>
        <v>13077.081300000002</v>
      </c>
      <c r="AK166" s="349">
        <f t="shared" si="158"/>
        <v>13759.353899999998</v>
      </c>
      <c r="AL166" s="408">
        <f t="shared" si="158"/>
        <v>12303.1572</v>
      </c>
      <c r="AM166" s="608">
        <f t="shared" si="158"/>
        <v>53917.646699999998</v>
      </c>
      <c r="AN166" s="407">
        <f t="shared" si="158"/>
        <v>13234.180950000002</v>
      </c>
      <c r="AO166" s="349">
        <f t="shared" si="158"/>
        <v>12576.3159</v>
      </c>
      <c r="AP166" s="349">
        <f t="shared" si="158"/>
        <v>13984.201200000001</v>
      </c>
      <c r="AQ166" s="408">
        <f t="shared" si="158"/>
        <v>13407.738450000001</v>
      </c>
      <c r="AR166" s="608">
        <f t="shared" si="158"/>
        <v>53202.436500000003</v>
      </c>
      <c r="AS166" s="407">
        <f t="shared" ref="AS166:BB166" si="159">SUM(AS163:AS165)</f>
        <v>13336.563450000001</v>
      </c>
      <c r="AT166" s="349">
        <f t="shared" si="159"/>
        <v>12381.8001</v>
      </c>
      <c r="AU166" s="349">
        <f t="shared" si="159"/>
        <v>13419.181199999999</v>
      </c>
      <c r="AV166" s="408">
        <f t="shared" si="159"/>
        <v>13327.803449999999</v>
      </c>
      <c r="AW166" s="608">
        <f t="shared" si="159"/>
        <v>52465.3482</v>
      </c>
      <c r="AX166" s="407">
        <f>SUM(AX163:AX165)</f>
        <v>11629.239450000001</v>
      </c>
      <c r="AY166" s="349">
        <f>SUM(AY163:AY165)</f>
        <v>14191.506600000001</v>
      </c>
      <c r="AZ166" s="349">
        <f>SUM(AZ163:AZ165)</f>
        <v>15876.63495</v>
      </c>
      <c r="BA166" s="408">
        <f>SUM(BA163:BA165)</f>
        <v>15054.8922</v>
      </c>
      <c r="BB166" s="608">
        <f t="shared" si="159"/>
        <v>56752.273199999996</v>
      </c>
      <c r="BC166" s="407">
        <f t="shared" ref="BC166:BL166" si="160">SUM(BC163:BC165)</f>
        <v>15054.8922</v>
      </c>
      <c r="BD166" s="349">
        <f t="shared" si="160"/>
        <v>14519.367850000001</v>
      </c>
      <c r="BE166" s="349">
        <f t="shared" si="160"/>
        <v>15032.740350000002</v>
      </c>
      <c r="BF166" s="408">
        <f t="shared" si="160"/>
        <v>14505.913950000002</v>
      </c>
      <c r="BG166" s="608">
        <f t="shared" si="160"/>
        <v>59112.914350000006</v>
      </c>
      <c r="BH166" s="407">
        <f t="shared" si="160"/>
        <v>15824.95095</v>
      </c>
      <c r="BI166" s="349">
        <f t="shared" si="160"/>
        <v>15032.740350000002</v>
      </c>
      <c r="BJ166" s="349">
        <f t="shared" si="160"/>
        <v>15032.740350000002</v>
      </c>
      <c r="BK166" s="408">
        <f t="shared" si="160"/>
        <v>14505.913950000002</v>
      </c>
      <c r="BL166" s="608">
        <f t="shared" si="160"/>
        <v>60396.345600000008</v>
      </c>
      <c r="BM166" s="407">
        <f>SUM(BM163:BM165)</f>
        <v>15824.95095</v>
      </c>
      <c r="BN166" s="349">
        <f>SUM(BN163:BN165)</f>
        <v>15032.740350000002</v>
      </c>
      <c r="BO166" s="349">
        <f>SUM(BO163:BO165)</f>
        <v>15032.740350000002</v>
      </c>
      <c r="BP166" s="408">
        <f>SUM(BP163:BP165)</f>
        <v>14240.37645</v>
      </c>
      <c r="BQ166" s="608">
        <f>SUM(BQ163:BQ165)</f>
        <v>60130.808100000009</v>
      </c>
    </row>
    <row r="167" spans="1:93" s="2" customFormat="1" ht="13.5" customHeight="1">
      <c r="A167" s="1523"/>
      <c r="C167" s="609"/>
      <c r="D167" s="37"/>
      <c r="E167" s="365"/>
      <c r="F167" s="6"/>
      <c r="G167" s="6"/>
      <c r="H167" s="366"/>
      <c r="J167" s="365"/>
      <c r="K167" s="6"/>
      <c r="L167" s="6"/>
      <c r="M167" s="366"/>
      <c r="O167" s="365"/>
      <c r="P167" s="6"/>
      <c r="Q167" s="6"/>
      <c r="R167" s="366"/>
      <c r="T167" s="407"/>
      <c r="U167" s="349"/>
      <c r="V167" s="349"/>
      <c r="W167" s="408"/>
      <c r="X167" s="608"/>
      <c r="Y167" s="407"/>
      <c r="Z167" s="349"/>
      <c r="AA167" s="349"/>
      <c r="AB167" s="408"/>
      <c r="AC167" s="608"/>
      <c r="AD167" s="407"/>
      <c r="AE167" s="349"/>
      <c r="AF167" s="349"/>
      <c r="AG167" s="408"/>
      <c r="AH167" s="608"/>
      <c r="AI167" s="407"/>
      <c r="AJ167" s="349"/>
      <c r="AK167" s="349"/>
      <c r="AL167" s="408"/>
      <c r="AM167" s="608"/>
      <c r="AN167" s="407"/>
      <c r="AO167" s="349"/>
      <c r="AP167" s="349"/>
      <c r="AQ167" s="408"/>
      <c r="AR167" s="608"/>
      <c r="AS167" s="407"/>
      <c r="AT167" s="349"/>
      <c r="AU167" s="349"/>
      <c r="AV167" s="408"/>
      <c r="AW167" s="608"/>
      <c r="AX167" s="407"/>
      <c r="AY167" s="349"/>
      <c r="AZ167" s="349"/>
      <c r="BA167" s="408"/>
      <c r="BB167" s="608"/>
      <c r="BC167" s="407"/>
      <c r="BD167" s="349"/>
      <c r="BE167" s="349"/>
      <c r="BF167" s="408"/>
      <c r="BG167" s="608"/>
      <c r="BH167" s="407"/>
      <c r="BI167" s="349"/>
      <c r="BJ167" s="349"/>
      <c r="BK167" s="408"/>
      <c r="BL167" s="608"/>
      <c r="BM167" s="407"/>
      <c r="BN167" s="349"/>
      <c r="BO167" s="349"/>
      <c r="BP167" s="408"/>
      <c r="BQ167" s="608"/>
    </row>
    <row r="168" spans="1:93" s="2" customFormat="1" ht="13.5" customHeight="1">
      <c r="A168" s="1523"/>
      <c r="C168" s="718" t="s">
        <v>228</v>
      </c>
      <c r="D168" s="37"/>
      <c r="E168" s="365"/>
      <c r="F168" s="6"/>
      <c r="G168" s="6"/>
      <c r="H168" s="366"/>
      <c r="J168" s="365"/>
      <c r="K168" s="6"/>
      <c r="L168" s="6"/>
      <c r="M168" s="366"/>
      <c r="O168" s="365"/>
      <c r="P168" s="6"/>
      <c r="Q168" s="6"/>
      <c r="R168" s="366"/>
      <c r="T168" s="407"/>
      <c r="U168" s="349"/>
      <c r="V168" s="349"/>
      <c r="W168" s="408"/>
      <c r="X168" s="608"/>
      <c r="Y168" s="407"/>
      <c r="Z168" s="349"/>
      <c r="AA168" s="349"/>
      <c r="AB168" s="408"/>
      <c r="AC168" s="608"/>
      <c r="AD168" s="407"/>
      <c r="AE168" s="349"/>
      <c r="AF168" s="349"/>
      <c r="AG168" s="408"/>
      <c r="AH168" s="608"/>
      <c r="AI168" s="407"/>
      <c r="AJ168" s="349"/>
      <c r="AK168" s="349"/>
      <c r="AL168" s="408"/>
      <c r="AM168" s="608"/>
      <c r="AN168" s="407"/>
      <c r="AO168" s="349"/>
      <c r="AP168" s="349"/>
      <c r="AQ168" s="408"/>
      <c r="AR168" s="608"/>
      <c r="AS168" s="407"/>
      <c r="AT168" s="349"/>
      <c r="AU168" s="349"/>
      <c r="AV168" s="408"/>
      <c r="AW168" s="608"/>
      <c r="AX168" s="407"/>
      <c r="AY168" s="349"/>
      <c r="AZ168" s="349"/>
      <c r="BA168" s="408"/>
      <c r="BB168" s="608"/>
      <c r="BC168" s="407"/>
      <c r="BD168" s="349"/>
      <c r="BE168" s="349"/>
      <c r="BF168" s="408"/>
      <c r="BG168" s="608"/>
      <c r="BH168" s="407"/>
      <c r="BI168" s="349"/>
      <c r="BJ168" s="349"/>
      <c r="BK168" s="408"/>
      <c r="BL168" s="608"/>
      <c r="BM168" s="407"/>
      <c r="BN168" s="349"/>
      <c r="BO168" s="349"/>
      <c r="BP168" s="408"/>
      <c r="BQ168" s="608"/>
    </row>
    <row r="169" spans="1:93" s="2" customFormat="1" ht="13.5" customHeight="1">
      <c r="A169" s="1523"/>
      <c r="C169" s="565" t="s">
        <v>651</v>
      </c>
      <c r="D169" s="37"/>
      <c r="E169" s="365"/>
      <c r="F169" s="6"/>
      <c r="G169" s="6"/>
      <c r="H169" s="366"/>
      <c r="J169" s="365"/>
      <c r="K169" s="6"/>
      <c r="L169" s="6"/>
      <c r="M169" s="366"/>
      <c r="O169" s="365"/>
      <c r="P169" s="6"/>
      <c r="Q169" s="6"/>
      <c r="R169" s="366"/>
      <c r="T169" s="420"/>
      <c r="U169" s="320"/>
      <c r="V169" s="320"/>
      <c r="W169" s="421"/>
      <c r="X169" s="31"/>
      <c r="Y169" s="420">
        <f t="shared" ref="Y169:AR169" si="161">+Y294</f>
        <v>7456.3586999999998</v>
      </c>
      <c r="Z169" s="320">
        <f t="shared" si="161"/>
        <v>7456.3586999999998</v>
      </c>
      <c r="AA169" s="320">
        <f t="shared" si="161"/>
        <v>7456.3586999999998</v>
      </c>
      <c r="AB169" s="421">
        <f t="shared" si="161"/>
        <v>7456.3586999999998</v>
      </c>
      <c r="AC169" s="31">
        <f t="shared" si="161"/>
        <v>29825.434799999999</v>
      </c>
      <c r="AD169" s="420">
        <f>+AD294</f>
        <v>7456.3586999999998</v>
      </c>
      <c r="AE169" s="320">
        <f>+AE294</f>
        <v>7456.3586999999998</v>
      </c>
      <c r="AF169" s="320">
        <f t="shared" si="161"/>
        <v>7456.3586999999998</v>
      </c>
      <c r="AG169" s="421">
        <f t="shared" si="161"/>
        <v>4810.5540000000001</v>
      </c>
      <c r="AH169" s="31">
        <f t="shared" si="161"/>
        <v>27179.630099999998</v>
      </c>
      <c r="AI169" s="420">
        <f>+AI294</f>
        <v>7456.3586999999998</v>
      </c>
      <c r="AJ169" s="320">
        <f t="shared" si="161"/>
        <v>7135.6550999999999</v>
      </c>
      <c r="AK169" s="320">
        <f t="shared" si="161"/>
        <v>7456.3586999999998</v>
      </c>
      <c r="AL169" s="421">
        <f t="shared" si="161"/>
        <v>6414.0720000000001</v>
      </c>
      <c r="AM169" s="31">
        <f t="shared" si="161"/>
        <v>28462.444500000001</v>
      </c>
      <c r="AN169" s="420">
        <f t="shared" si="161"/>
        <v>7416.2707500000006</v>
      </c>
      <c r="AO169" s="320">
        <f t="shared" si="161"/>
        <v>6494.2479000000003</v>
      </c>
      <c r="AP169" s="320">
        <f t="shared" si="161"/>
        <v>7679.6182500000004</v>
      </c>
      <c r="AQ169" s="421">
        <f t="shared" si="161"/>
        <v>7679.6182500000004</v>
      </c>
      <c r="AR169" s="31">
        <f t="shared" si="161"/>
        <v>29269.755150000001</v>
      </c>
      <c r="AS169" s="420">
        <f t="shared" ref="AS169:BB169" si="162">+AS294</f>
        <v>7679.6182500000004</v>
      </c>
      <c r="AT169" s="320">
        <f t="shared" si="162"/>
        <v>6724.8549000000003</v>
      </c>
      <c r="AU169" s="320">
        <f t="shared" si="162"/>
        <v>7679.6182500000004</v>
      </c>
      <c r="AV169" s="421">
        <f t="shared" si="162"/>
        <v>7679.6182500000004</v>
      </c>
      <c r="AW169" s="31">
        <f t="shared" si="162"/>
        <v>29763.709650000001</v>
      </c>
      <c r="AX169" s="420">
        <f>+AX294</f>
        <v>7679.6182500000004</v>
      </c>
      <c r="AY169" s="320">
        <f>+AY294</f>
        <v>6724.8549000000003</v>
      </c>
      <c r="AZ169" s="320">
        <f>+AZ294</f>
        <v>7679.6182500000004</v>
      </c>
      <c r="BA169" s="421">
        <f>+BA294</f>
        <v>7679.6182500000004</v>
      </c>
      <c r="BB169" s="31">
        <f t="shared" si="162"/>
        <v>29763.709650000001</v>
      </c>
      <c r="BC169" s="420">
        <f t="shared" ref="BC169:BL169" si="163">+BC294</f>
        <v>7679.6182500000004</v>
      </c>
      <c r="BD169" s="320">
        <f t="shared" si="163"/>
        <v>6724.8549000000003</v>
      </c>
      <c r="BE169" s="320">
        <f t="shared" si="163"/>
        <v>6724.8549000000003</v>
      </c>
      <c r="BF169" s="421">
        <f t="shared" si="163"/>
        <v>7679.6182500000004</v>
      </c>
      <c r="BG169" s="31">
        <f t="shared" si="163"/>
        <v>28808.946300000003</v>
      </c>
      <c r="BH169" s="420">
        <f t="shared" si="163"/>
        <v>7679.6182500000004</v>
      </c>
      <c r="BI169" s="320">
        <f t="shared" si="163"/>
        <v>6724.8549000000003</v>
      </c>
      <c r="BJ169" s="320">
        <f t="shared" si="163"/>
        <v>6724.8549000000003</v>
      </c>
      <c r="BK169" s="421">
        <f t="shared" si="163"/>
        <v>7679.6182500000004</v>
      </c>
      <c r="BL169" s="31">
        <f t="shared" si="163"/>
        <v>28808.946300000003</v>
      </c>
      <c r="BM169" s="420">
        <f>+BM294</f>
        <v>7679.6182500000004</v>
      </c>
      <c r="BN169" s="320">
        <f>+BN294</f>
        <v>6724.8549000000003</v>
      </c>
      <c r="BO169" s="320">
        <f>+BO294</f>
        <v>6724.8549000000003</v>
      </c>
      <c r="BP169" s="421">
        <f>+BP294</f>
        <v>7679.6182500000004</v>
      </c>
      <c r="BQ169" s="31">
        <f>+BQ294</f>
        <v>28808.946300000003</v>
      </c>
    </row>
    <row r="170" spans="1:93" s="2" customFormat="1" ht="13.5" customHeight="1">
      <c r="A170" s="1523"/>
      <c r="C170" s="565" t="s">
        <v>227</v>
      </c>
      <c r="D170" s="37"/>
      <c r="E170" s="365"/>
      <c r="F170" s="6"/>
      <c r="G170" s="6"/>
      <c r="H170" s="366"/>
      <c r="J170" s="365"/>
      <c r="K170" s="6"/>
      <c r="L170" s="6"/>
      <c r="M170" s="366"/>
      <c r="O170" s="365"/>
      <c r="P170" s="6"/>
      <c r="Q170" s="6"/>
      <c r="R170" s="366"/>
      <c r="T170" s="420"/>
      <c r="U170" s="320"/>
      <c r="V170" s="320"/>
      <c r="W170" s="421"/>
      <c r="X170" s="31"/>
      <c r="Y170" s="420">
        <f>+Y234+Y400</f>
        <v>3177.2520000000004</v>
      </c>
      <c r="Z170" s="320">
        <f>+Z234+Z400</f>
        <v>3922.2900000000004</v>
      </c>
      <c r="AA170" s="320">
        <f>+AA234+AA400</f>
        <v>3922.2900000000004</v>
      </c>
      <c r="AB170" s="421">
        <f>+AB234+AB400</f>
        <v>3922.2900000000004</v>
      </c>
      <c r="AC170" s="31">
        <f>SUM(Y170:AB170)</f>
        <v>14944.122000000003</v>
      </c>
      <c r="AD170" s="420">
        <f>+AD234+AD400</f>
        <v>2382.9390000000003</v>
      </c>
      <c r="AE170" s="320">
        <f>+AE234+AE400</f>
        <v>3922.2900000000004</v>
      </c>
      <c r="AF170" s="320">
        <f>+AF234+AF400</f>
        <v>4418.982</v>
      </c>
      <c r="AG170" s="421">
        <f>+AG234+AG400</f>
        <v>4005.0720000000001</v>
      </c>
      <c r="AH170" s="31">
        <f>SUM(AD170:AG170)</f>
        <v>14729.283000000001</v>
      </c>
      <c r="AI170" s="420">
        <f>+AI234+AI400</f>
        <v>4005.0720000000001</v>
      </c>
      <c r="AJ170" s="320">
        <f>+AJ234+AJ400</f>
        <v>4005.0720000000001</v>
      </c>
      <c r="AK170" s="320">
        <f>+AK234+AK400</f>
        <v>4459.7160000000003</v>
      </c>
      <c r="AL170" s="421">
        <f>+AL234+AL400</f>
        <v>4045.806</v>
      </c>
      <c r="AM170" s="31">
        <f>SUM(AI170:AL170)</f>
        <v>16515.666000000001</v>
      </c>
      <c r="AN170" s="420">
        <f>+AN234+AN400</f>
        <v>4045.806</v>
      </c>
      <c r="AO170" s="320">
        <f>+AO234+AO400</f>
        <v>4459.7160000000003</v>
      </c>
      <c r="AP170" s="320">
        <f>+AP234+AP400</f>
        <v>4459.7160000000003</v>
      </c>
      <c r="AQ170" s="421">
        <f>+AQ234+AQ400</f>
        <v>4045.806</v>
      </c>
      <c r="AR170" s="31">
        <f>SUM(AN170:AQ170)</f>
        <v>17011.044000000002</v>
      </c>
      <c r="AS170" s="420">
        <f>+AS234+AS400</f>
        <v>4045.806</v>
      </c>
      <c r="AT170" s="320">
        <f>+AT234+AT400</f>
        <v>4045.806</v>
      </c>
      <c r="AU170" s="320">
        <f>+AU234+AU400</f>
        <v>4102.9650000000001</v>
      </c>
      <c r="AV170" s="421">
        <f>+AV234+AV400</f>
        <v>4102.9650000000001</v>
      </c>
      <c r="AW170" s="31">
        <f>SUM(AS170:AV170)</f>
        <v>16297.542000000001</v>
      </c>
      <c r="AX170" s="420">
        <f>+AX234+AX400+AX420</f>
        <v>2475.576</v>
      </c>
      <c r="AY170" s="320">
        <f>+AY234+AY400+AY420</f>
        <v>5830.05375</v>
      </c>
      <c r="AZ170" s="320">
        <f>+AZ234+AZ400+AZ420</f>
        <v>6539.6137500000004</v>
      </c>
      <c r="BA170" s="421">
        <f>+BA234+BA400+BA420</f>
        <v>5830.05375</v>
      </c>
      <c r="BB170" s="31">
        <f>SUM(AX170:BA170)</f>
        <v>20675.29725</v>
      </c>
      <c r="BC170" s="420">
        <f>+BC234+BC400+BC420+BC380</f>
        <v>5830.05375</v>
      </c>
      <c r="BD170" s="320">
        <f>+BD234+BD400+BD420+BD380</f>
        <v>6086.74</v>
      </c>
      <c r="BE170" s="320">
        <f>+BE234+BE400+BE420+BE380</f>
        <v>6600.1125000000002</v>
      </c>
      <c r="BF170" s="421">
        <f>+BF234+BF400+BF420+BF380</f>
        <v>5352.2505000000001</v>
      </c>
      <c r="BG170" s="31">
        <f>SUM(BC170:BF170)</f>
        <v>23869.156750000002</v>
      </c>
      <c r="BH170" s="420">
        <f>+BH234+BH400+BH420+BH380</f>
        <v>6600.1125000000002</v>
      </c>
      <c r="BI170" s="320">
        <f>+BI234+BI400+BI420+BI380</f>
        <v>6600.1125000000002</v>
      </c>
      <c r="BJ170" s="320">
        <f>+BJ234+BJ400+BJ420+BJ380</f>
        <v>6600.1125000000002</v>
      </c>
      <c r="BK170" s="421">
        <f>+BK234+BK400+BK420+BK380</f>
        <v>5352.2505000000001</v>
      </c>
      <c r="BL170" s="31">
        <f>SUM(BH170:BK170)</f>
        <v>25152.588000000003</v>
      </c>
      <c r="BM170" s="420">
        <f>+BM234+BM400+BM420+BM380</f>
        <v>6600.1125000000002</v>
      </c>
      <c r="BN170" s="320">
        <f>+BN234+BN400+BN420+BN380</f>
        <v>6600.1125000000002</v>
      </c>
      <c r="BO170" s="320">
        <f>+BO234+BO400+BO420+BO380</f>
        <v>6600.1125000000002</v>
      </c>
      <c r="BP170" s="421">
        <f>+BP234+BP400+BP420+BP380</f>
        <v>5086.7129999999997</v>
      </c>
      <c r="BQ170" s="31">
        <f>SUM(BM170:BP170)</f>
        <v>24887.050500000001</v>
      </c>
    </row>
    <row r="171" spans="1:93" s="2" customFormat="1" ht="13.5" customHeight="1">
      <c r="A171" s="1523"/>
      <c r="C171" s="565" t="s">
        <v>229</v>
      </c>
      <c r="D171" s="37"/>
      <c r="E171" s="365"/>
      <c r="F171" s="6"/>
      <c r="G171" s="6"/>
      <c r="H171" s="366"/>
      <c r="J171" s="365"/>
      <c r="K171" s="6"/>
      <c r="L171" s="6"/>
      <c r="M171" s="366"/>
      <c r="O171" s="365"/>
      <c r="P171" s="6"/>
      <c r="Q171" s="6"/>
      <c r="R171" s="366"/>
      <c r="T171" s="420"/>
      <c r="U171" s="320"/>
      <c r="V171" s="320"/>
      <c r="W171" s="421"/>
      <c r="X171" s="31"/>
      <c r="Y171" s="420">
        <f>Y267+Y281+Y347+Y334</f>
        <v>0</v>
      </c>
      <c r="Z171" s="320">
        <f>Z267+Z281+Z347+Z334</f>
        <v>0</v>
      </c>
      <c r="AA171" s="320">
        <f>AA267+AA281+AA347+AA334</f>
        <v>396.39</v>
      </c>
      <c r="AB171" s="421">
        <f>AB267+AB281+AB347+AB334</f>
        <v>71.174999999999997</v>
      </c>
      <c r="AC171" s="31">
        <f>SUM(Y171:AB171)</f>
        <v>467.565</v>
      </c>
      <c r="AD171" s="420">
        <f>AD267+AD281+AD347+AD334</f>
        <v>0</v>
      </c>
      <c r="AE171" s="320">
        <f>AE267+AE281+AE347+AE334</f>
        <v>325.21499999999997</v>
      </c>
      <c r="AF171" s="320">
        <f>AF267+AF281+AF347+AF334</f>
        <v>396.39</v>
      </c>
      <c r="AG171" s="421">
        <f>AG267+AG281+AG347+AG334</f>
        <v>396.39</v>
      </c>
      <c r="AH171" s="31">
        <f>SUM(AD171:AG171)</f>
        <v>1117.9949999999999</v>
      </c>
      <c r="AI171" s="420">
        <f>AI267+AI281+AI347+AI334</f>
        <v>0</v>
      </c>
      <c r="AJ171" s="320">
        <f>AJ267+AJ281+AJ347+AJ334</f>
        <v>325.21499999999997</v>
      </c>
      <c r="AK171" s="320">
        <f>AK267+AK281+AK347+AK334</f>
        <v>232.14</v>
      </c>
      <c r="AL171" s="421">
        <f>AL267+AL281+AL347+AL334</f>
        <v>232.14</v>
      </c>
      <c r="AM171" s="31">
        <f>SUM(AI171:AL171)</f>
        <v>789.495</v>
      </c>
      <c r="AN171" s="420">
        <f>AN267+AN281+AN347+AN334</f>
        <v>160.965</v>
      </c>
      <c r="AO171" s="320">
        <f>AO267+AO281+AO347+AO334</f>
        <v>232.14</v>
      </c>
      <c r="AP171" s="320">
        <f>AP267+AP281+AP347+AP334</f>
        <v>233.72775000000001</v>
      </c>
      <c r="AQ171" s="421">
        <f>AQ267+AQ281+AQ347+AQ334</f>
        <v>71.174999999999997</v>
      </c>
      <c r="AR171" s="31">
        <f>SUM(AN171:AQ171)</f>
        <v>698.00774999999999</v>
      </c>
      <c r="AS171" s="420">
        <f>AS267+AS281+AS347+AS334</f>
        <v>0</v>
      </c>
      <c r="AT171" s="320">
        <f>AT267+AT281+AT347+AT334</f>
        <v>0</v>
      </c>
      <c r="AU171" s="320">
        <f>AU267+AU281+AU347+AU334</f>
        <v>162.55275</v>
      </c>
      <c r="AV171" s="421">
        <f>AV267+AV281+AV347+AV334</f>
        <v>71.174999999999997</v>
      </c>
      <c r="AW171" s="31">
        <f>SUM(AS171:AV171)</f>
        <v>233.72775000000001</v>
      </c>
      <c r="AX171" s="420">
        <f>AX267+AX281+AX347+AX334</f>
        <v>0</v>
      </c>
      <c r="AY171" s="320">
        <f>AY267+AY281+AY347+AY334</f>
        <v>162.55275</v>
      </c>
      <c r="AZ171" s="320">
        <f>AZ267+AZ281+AZ347+AZ334</f>
        <v>183.35775000000001</v>
      </c>
      <c r="BA171" s="421">
        <f>BA267+BA281+BA347+BA334</f>
        <v>71.174999999999997</v>
      </c>
      <c r="BB171" s="31">
        <f>SUM(AX171:BA171)</f>
        <v>417.08550000000002</v>
      </c>
      <c r="BC171" s="420">
        <f>BC267+BC281+BC347+BC334</f>
        <v>71.174999999999997</v>
      </c>
      <c r="BD171" s="320">
        <f>BD267+BD281+BD347+BD334</f>
        <v>233.72775000000001</v>
      </c>
      <c r="BE171" s="320">
        <f>BE267+BE281+BE347+BE334</f>
        <v>233.72775000000001</v>
      </c>
      <c r="BF171" s="421">
        <f>BF267+BF281+BF347+BF334</f>
        <v>0</v>
      </c>
      <c r="BG171" s="31">
        <f>SUM(BC171:BF171)</f>
        <v>538.63049999999998</v>
      </c>
      <c r="BH171" s="420">
        <f>BH267+BH281+BH347+BH334</f>
        <v>71.174999999999997</v>
      </c>
      <c r="BI171" s="320">
        <f>BI267+BI281+BI347+BI334</f>
        <v>233.72775000000001</v>
      </c>
      <c r="BJ171" s="320">
        <f>BJ267+BJ281+BJ347+BJ334</f>
        <v>233.72775000000001</v>
      </c>
      <c r="BK171" s="421">
        <f>BK267+BK281+BK347+BK334</f>
        <v>0</v>
      </c>
      <c r="BL171" s="31">
        <f>SUM(BH171:BK171)</f>
        <v>538.63049999999998</v>
      </c>
      <c r="BM171" s="420">
        <f>BM267+BM281+BM347+BM334</f>
        <v>71.174999999999997</v>
      </c>
      <c r="BN171" s="320">
        <f>BN267+BN281+BN347+BN334</f>
        <v>233.72775000000001</v>
      </c>
      <c r="BO171" s="320">
        <f>BO267+BO281+BO347+BO334</f>
        <v>233.72775000000001</v>
      </c>
      <c r="BP171" s="421">
        <f>BP267+BP281+BP347+BP334</f>
        <v>0</v>
      </c>
      <c r="BQ171" s="31">
        <f>SUM(BM171:BP171)</f>
        <v>538.63049999999998</v>
      </c>
      <c r="CM171" s="1589" t="s">
        <v>1010</v>
      </c>
      <c r="CN171" s="1590"/>
      <c r="CO171" s="1591" t="s">
        <v>914</v>
      </c>
    </row>
    <row r="172" spans="1:93" s="2" customFormat="1" ht="13.5" customHeight="1">
      <c r="A172" s="1523"/>
      <c r="C172" s="565" t="s">
        <v>442</v>
      </c>
      <c r="D172" s="37"/>
      <c r="E172" s="365"/>
      <c r="F172" s="6"/>
      <c r="G172" s="6"/>
      <c r="H172" s="366"/>
      <c r="J172" s="365"/>
      <c r="K172" s="6"/>
      <c r="L172" s="6"/>
      <c r="M172" s="366"/>
      <c r="O172" s="365"/>
      <c r="P172" s="6"/>
      <c r="Q172" s="6"/>
      <c r="R172" s="366"/>
      <c r="T172" s="420"/>
      <c r="U172" s="320"/>
      <c r="V172" s="320"/>
      <c r="W172" s="421"/>
      <c r="X172" s="31"/>
      <c r="Y172" s="420">
        <f>Y307</f>
        <v>65.7</v>
      </c>
      <c r="Z172" s="320">
        <f>Z307</f>
        <v>65.7</v>
      </c>
      <c r="AA172" s="320">
        <f>AA307</f>
        <v>65.7</v>
      </c>
      <c r="AB172" s="421">
        <f>AB307</f>
        <v>65.7</v>
      </c>
      <c r="AC172" s="31">
        <f>SUM(Y172:AB172)</f>
        <v>262.8</v>
      </c>
      <c r="AD172" s="420">
        <f>AD307</f>
        <v>65.7</v>
      </c>
      <c r="AE172" s="320">
        <f>AE307</f>
        <v>65.7</v>
      </c>
      <c r="AF172" s="320">
        <f>AF307</f>
        <v>65.7</v>
      </c>
      <c r="AG172" s="421">
        <f>AG307</f>
        <v>65.7</v>
      </c>
      <c r="AH172" s="31">
        <f>SUM(AD172:AG172)</f>
        <v>262.8</v>
      </c>
      <c r="AI172" s="420">
        <f>AI307</f>
        <v>65.7</v>
      </c>
      <c r="AJ172" s="320">
        <f>AJ307</f>
        <v>65.7</v>
      </c>
      <c r="AK172" s="320">
        <f>AK307</f>
        <v>65.7</v>
      </c>
      <c r="AL172" s="421">
        <f>AL307</f>
        <v>65.7</v>
      </c>
      <c r="AM172" s="31">
        <f>SUM(AI172:AL172)</f>
        <v>262.8</v>
      </c>
      <c r="AN172" s="420">
        <f>AN307</f>
        <v>65.7</v>
      </c>
      <c r="AO172" s="320">
        <f>AO307</f>
        <v>65.7</v>
      </c>
      <c r="AP172" s="320">
        <f>AP307</f>
        <v>65.7</v>
      </c>
      <c r="AQ172" s="421">
        <f>AQ307</f>
        <v>65.7</v>
      </c>
      <c r="AR172" s="31">
        <f>SUM(AN172:AQ172)</f>
        <v>262.8</v>
      </c>
      <c r="AS172" s="420">
        <f>AS307</f>
        <v>65.7</v>
      </c>
      <c r="AT172" s="320">
        <f>AT307</f>
        <v>65.7</v>
      </c>
      <c r="AU172" s="320">
        <f>AU307</f>
        <v>65.7</v>
      </c>
      <c r="AV172" s="421">
        <f>AV307</f>
        <v>65.7</v>
      </c>
      <c r="AW172" s="31">
        <f>SUM(AS172:AV172)</f>
        <v>262.8</v>
      </c>
      <c r="AX172" s="420">
        <f>AX307</f>
        <v>65.7</v>
      </c>
      <c r="AY172" s="320">
        <f>AY307</f>
        <v>65.7</v>
      </c>
      <c r="AZ172" s="320">
        <f>AZ307</f>
        <v>65.7</v>
      </c>
      <c r="BA172" s="421">
        <f>BA307</f>
        <v>65.7</v>
      </c>
      <c r="BB172" s="31">
        <f>SUM(AX172:BA172)</f>
        <v>262.8</v>
      </c>
      <c r="BC172" s="420">
        <f>BC307</f>
        <v>65.7</v>
      </c>
      <c r="BD172" s="320">
        <f>BD307</f>
        <v>65.7</v>
      </c>
      <c r="BE172" s="320">
        <f>BE307</f>
        <v>65.7</v>
      </c>
      <c r="BF172" s="421">
        <f>BF307</f>
        <v>65.7</v>
      </c>
      <c r="BG172" s="31">
        <f>SUM(BC172:BF172)</f>
        <v>262.8</v>
      </c>
      <c r="BH172" s="420">
        <f>BH307</f>
        <v>65.7</v>
      </c>
      <c r="BI172" s="320">
        <f>BI307</f>
        <v>65.7</v>
      </c>
      <c r="BJ172" s="320">
        <f>BJ307</f>
        <v>65.7</v>
      </c>
      <c r="BK172" s="421">
        <f>BK307</f>
        <v>65.7</v>
      </c>
      <c r="BL172" s="31">
        <f>SUM(BH172:BK172)</f>
        <v>262.8</v>
      </c>
      <c r="BM172" s="420">
        <f>BM307</f>
        <v>65.7</v>
      </c>
      <c r="BN172" s="320">
        <f>BN307</f>
        <v>65.7</v>
      </c>
      <c r="BO172" s="320">
        <f>BO307</f>
        <v>65.7</v>
      </c>
      <c r="BP172" s="421">
        <f>BP307</f>
        <v>65.7</v>
      </c>
      <c r="BQ172" s="31">
        <f>SUM(BM172:BP172)</f>
        <v>262.8</v>
      </c>
      <c r="CM172" s="1592" t="s">
        <v>850</v>
      </c>
      <c r="CN172" s="1588"/>
      <c r="CO172" s="1593">
        <v>20.521841102316035</v>
      </c>
    </row>
    <row r="173" spans="1:93" s="2" customFormat="1" ht="13.5" customHeight="1">
      <c r="A173" s="1523"/>
      <c r="C173" s="565" t="s">
        <v>430</v>
      </c>
      <c r="D173" s="37"/>
      <c r="E173" s="365"/>
      <c r="F173" s="6"/>
      <c r="G173" s="6"/>
      <c r="H173" s="366"/>
      <c r="J173" s="365"/>
      <c r="K173" s="6"/>
      <c r="L173" s="6"/>
      <c r="M173" s="366"/>
      <c r="O173" s="365"/>
      <c r="P173" s="6"/>
      <c r="Q173" s="6"/>
      <c r="R173" s="366"/>
      <c r="T173" s="420"/>
      <c r="U173" s="320"/>
      <c r="V173" s="320"/>
      <c r="W173" s="421"/>
      <c r="X173" s="31"/>
      <c r="Y173" s="420">
        <f>+Y254+Y360+Y321</f>
        <v>1545.4392</v>
      </c>
      <c r="Z173" s="320">
        <f>+Z254+Z360+Z321</f>
        <v>1545.4392</v>
      </c>
      <c r="AA173" s="320">
        <f>+AA254+AA360+AA321</f>
        <v>1545.4392</v>
      </c>
      <c r="AB173" s="421">
        <f>+AB254+AB360+AB321</f>
        <v>1545.4392</v>
      </c>
      <c r="AC173" s="31">
        <f>SUM(Y173:AB173)</f>
        <v>6181.7568000000001</v>
      </c>
      <c r="AD173" s="420">
        <f>+AD254+AD360+AD321</f>
        <v>1682.5332000000001</v>
      </c>
      <c r="AE173" s="320">
        <f>+AE254+AE360+AE321</f>
        <v>1545.4392</v>
      </c>
      <c r="AF173" s="320">
        <f>+AF254+AF360+AF321</f>
        <v>1545.4392</v>
      </c>
      <c r="AG173" s="421">
        <f>+AG254+AG360+AG321</f>
        <v>1682.5332000000001</v>
      </c>
      <c r="AH173" s="31">
        <f>SUM(AD173:AG173)</f>
        <v>6455.9448000000002</v>
      </c>
      <c r="AI173" s="420">
        <f>+AI254+AI360+AI321</f>
        <v>3250.9236000000001</v>
      </c>
      <c r="AJ173" s="320">
        <f>+AJ254+AJ360+AJ321</f>
        <v>1545.4392</v>
      </c>
      <c r="AK173" s="320">
        <f>+AK254+AK360+AK321</f>
        <v>1545.4392</v>
      </c>
      <c r="AL173" s="421">
        <f>+AL254+AL360+AL321</f>
        <v>1545.4392</v>
      </c>
      <c r="AM173" s="31">
        <f>SUM(AI173:AL173)</f>
        <v>7887.2411999999995</v>
      </c>
      <c r="AN173" s="420">
        <f>+AN254+AN360+AN321</f>
        <v>1545.4392</v>
      </c>
      <c r="AO173" s="320">
        <f>+AO254+AO360+AO321</f>
        <v>1324.5119999999999</v>
      </c>
      <c r="AP173" s="320">
        <f>+AP254+AP360+AP321</f>
        <v>1545.4392</v>
      </c>
      <c r="AQ173" s="421">
        <f>+AQ254+AQ360+AQ321</f>
        <v>1545.4392</v>
      </c>
      <c r="AR173" s="31">
        <f>SUM(AN173:AQ173)</f>
        <v>5960.8296</v>
      </c>
      <c r="AS173" s="420">
        <f>+AS254+AS360+AS321</f>
        <v>1545.4392</v>
      </c>
      <c r="AT173" s="320">
        <f>+AT254+AT360+AT321</f>
        <v>1545.4392</v>
      </c>
      <c r="AU173" s="320">
        <f>+AU254+AU360+AU321</f>
        <v>1408.3452000000002</v>
      </c>
      <c r="AV173" s="421">
        <f>+AV254+AV360+AV321</f>
        <v>1408.3452000000002</v>
      </c>
      <c r="AW173" s="31">
        <f>SUM(AS173:AV173)</f>
        <v>5907.5688000000009</v>
      </c>
      <c r="AX173" s="420">
        <f>+AX254+AX360+AX321</f>
        <v>1408.3452000000002</v>
      </c>
      <c r="AY173" s="320">
        <f>+AY254+AY360+AY321</f>
        <v>1408.3452000000002</v>
      </c>
      <c r="AZ173" s="320">
        <f>+AZ254+AZ360+AZ321</f>
        <v>1408.3452000000002</v>
      </c>
      <c r="BA173" s="421">
        <f>+BA254+BA360+BA321</f>
        <v>1408.3452000000002</v>
      </c>
      <c r="BB173" s="31">
        <f>SUM(AX173:BA173)</f>
        <v>5633.3808000000008</v>
      </c>
      <c r="BC173" s="420">
        <f>+BC254+BC360+BC321</f>
        <v>1408.3452000000002</v>
      </c>
      <c r="BD173" s="320">
        <f>+BD254+BD360+BD321</f>
        <v>1408.3452000000002</v>
      </c>
      <c r="BE173" s="320">
        <f>+BE254+BE360+BE321</f>
        <v>1408.3452000000002</v>
      </c>
      <c r="BF173" s="421">
        <f>+BF254+BF360+BF321</f>
        <v>1408.3452000000002</v>
      </c>
      <c r="BG173" s="31">
        <f>SUM(BC173:BF173)</f>
        <v>5633.3808000000008</v>
      </c>
      <c r="BH173" s="420">
        <f>+BH254+BH360+BH321</f>
        <v>1408.3452000000002</v>
      </c>
      <c r="BI173" s="320">
        <f>+BI254+BI360+BI321</f>
        <v>1408.3452000000002</v>
      </c>
      <c r="BJ173" s="320">
        <f>+BJ254+BJ360+BJ321</f>
        <v>1408.3452000000002</v>
      </c>
      <c r="BK173" s="421">
        <f>+BK254+BK360+BK321</f>
        <v>1408.3452000000002</v>
      </c>
      <c r="BL173" s="31">
        <f>SUM(BH173:BK173)</f>
        <v>5633.3808000000008</v>
      </c>
      <c r="BM173" s="420">
        <f>+BM254+BM360+BM321</f>
        <v>1408.3452000000002</v>
      </c>
      <c r="BN173" s="320">
        <f>+BN254+BN360+BN321</f>
        <v>1408.3452000000002</v>
      </c>
      <c r="BO173" s="320">
        <f>+BO254+BO360+BO321</f>
        <v>1408.3452000000002</v>
      </c>
      <c r="BP173" s="421">
        <f>+BP254+BP360+BP321</f>
        <v>1408.3452000000002</v>
      </c>
      <c r="BQ173" s="31">
        <f>SUM(BM173:BP173)</f>
        <v>5633.3808000000008</v>
      </c>
      <c r="CM173" s="1592" t="s">
        <v>853</v>
      </c>
      <c r="CN173" s="1588"/>
      <c r="CO173" s="1593">
        <v>31.2</v>
      </c>
    </row>
    <row r="174" spans="1:93" s="2" customFormat="1" ht="13.5" customHeight="1">
      <c r="A174" s="1523"/>
      <c r="C174" s="610" t="s">
        <v>449</v>
      </c>
      <c r="D174" s="37"/>
      <c r="E174" s="365"/>
      <c r="F174" s="6"/>
      <c r="G174" s="6"/>
      <c r="H174" s="366"/>
      <c r="J174" s="365"/>
      <c r="K174" s="6"/>
      <c r="L174" s="6"/>
      <c r="M174" s="366"/>
      <c r="O174" s="365"/>
      <c r="P174" s="6"/>
      <c r="Q174" s="6"/>
      <c r="R174" s="366"/>
      <c r="T174" s="407"/>
      <c r="U174" s="349"/>
      <c r="V174" s="349"/>
      <c r="W174" s="408"/>
      <c r="X174" s="608"/>
      <c r="Y174" s="407">
        <f t="shared" ref="Y174:AU174" si="164">SUM(Y169:Y173)</f>
        <v>12244.749900000003</v>
      </c>
      <c r="Z174" s="349">
        <f t="shared" si="164"/>
        <v>12989.787900000001</v>
      </c>
      <c r="AA174" s="349">
        <f t="shared" si="164"/>
        <v>13386.177900000001</v>
      </c>
      <c r="AB174" s="408">
        <f t="shared" si="164"/>
        <v>13060.9629</v>
      </c>
      <c r="AC174" s="608">
        <f t="shared" si="164"/>
        <v>51681.678600000014</v>
      </c>
      <c r="AD174" s="407">
        <f>SUM(AD169:AD173)</f>
        <v>11587.5309</v>
      </c>
      <c r="AE174" s="349">
        <f>SUM(AE169:AE173)</f>
        <v>13315.002900000001</v>
      </c>
      <c r="AF174" s="349">
        <f t="shared" si="164"/>
        <v>13882.869900000002</v>
      </c>
      <c r="AG174" s="408">
        <f t="shared" si="164"/>
        <v>10960.2492</v>
      </c>
      <c r="AH174" s="608">
        <f t="shared" si="164"/>
        <v>49745.652900000001</v>
      </c>
      <c r="AI174" s="407">
        <f t="shared" si="164"/>
        <v>14778.054300000002</v>
      </c>
      <c r="AJ174" s="349">
        <f t="shared" si="164"/>
        <v>13077.081300000002</v>
      </c>
      <c r="AK174" s="349">
        <f t="shared" si="164"/>
        <v>13759.353900000002</v>
      </c>
      <c r="AL174" s="408">
        <f t="shared" si="164"/>
        <v>12303.157200000001</v>
      </c>
      <c r="AM174" s="608">
        <f t="shared" si="164"/>
        <v>53917.646700000005</v>
      </c>
      <c r="AN174" s="407">
        <f t="shared" si="164"/>
        <v>13234.180950000002</v>
      </c>
      <c r="AO174" s="349">
        <f t="shared" si="164"/>
        <v>12576.315900000001</v>
      </c>
      <c r="AP174" s="349">
        <f t="shared" si="164"/>
        <v>13984.201200000001</v>
      </c>
      <c r="AQ174" s="408">
        <f t="shared" si="164"/>
        <v>13407.738450000001</v>
      </c>
      <c r="AR174" s="608">
        <f t="shared" si="164"/>
        <v>53202.436500000003</v>
      </c>
      <c r="AS174" s="407">
        <f t="shared" si="164"/>
        <v>13336.563450000001</v>
      </c>
      <c r="AT174" s="349">
        <f t="shared" si="164"/>
        <v>12381.800100000002</v>
      </c>
      <c r="AU174" s="349">
        <f t="shared" si="164"/>
        <v>13419.181200000001</v>
      </c>
      <c r="AV174" s="408">
        <f>SUM(AV169:AV173)</f>
        <v>13327.803449999999</v>
      </c>
      <c r="AW174" s="608">
        <f>SUM(AW169:AW173)</f>
        <v>52465.348200000008</v>
      </c>
      <c r="AX174" s="407">
        <f t="shared" ref="AX174:BL174" si="165">SUM(AX169:AX173)</f>
        <v>11629.239450000001</v>
      </c>
      <c r="AY174" s="349">
        <f t="shared" si="165"/>
        <v>14191.506600000002</v>
      </c>
      <c r="AZ174" s="349">
        <f>SUM(AZ169:AZ173)</f>
        <v>15876.63495</v>
      </c>
      <c r="BA174" s="408">
        <f t="shared" si="165"/>
        <v>15054.8922</v>
      </c>
      <c r="BB174" s="608">
        <f t="shared" si="165"/>
        <v>56752.273200000003</v>
      </c>
      <c r="BC174" s="407">
        <f t="shared" si="165"/>
        <v>15054.8922</v>
      </c>
      <c r="BD174" s="349">
        <f t="shared" si="165"/>
        <v>14519.367850000001</v>
      </c>
      <c r="BE174" s="349">
        <f t="shared" si="165"/>
        <v>15032.740350000002</v>
      </c>
      <c r="BF174" s="408">
        <f t="shared" si="165"/>
        <v>14505.913950000002</v>
      </c>
      <c r="BG174" s="608">
        <f t="shared" si="165"/>
        <v>59112.914350000006</v>
      </c>
      <c r="BH174" s="407">
        <f t="shared" si="165"/>
        <v>15824.95095</v>
      </c>
      <c r="BI174" s="349">
        <f t="shared" si="165"/>
        <v>15032.740350000002</v>
      </c>
      <c r="BJ174" s="349">
        <f t="shared" si="165"/>
        <v>15032.740350000002</v>
      </c>
      <c r="BK174" s="408">
        <f t="shared" si="165"/>
        <v>14505.913950000002</v>
      </c>
      <c r="BL174" s="608">
        <f t="shared" si="165"/>
        <v>60396.345600000008</v>
      </c>
      <c r="BM174" s="407">
        <f>SUM(BM169:BM173)</f>
        <v>15824.95095</v>
      </c>
      <c r="BN174" s="349">
        <f>SUM(BN169:BN173)</f>
        <v>15032.740350000002</v>
      </c>
      <c r="BO174" s="349">
        <f>SUM(BO169:BO173)</f>
        <v>15032.740350000002</v>
      </c>
      <c r="BP174" s="408">
        <f>SUM(BP169:BP173)</f>
        <v>14240.37645</v>
      </c>
      <c r="BQ174" s="608">
        <f>SUM(BQ169:BQ173)</f>
        <v>60130.808100000009</v>
      </c>
      <c r="CM174" s="1592" t="s">
        <v>848</v>
      </c>
      <c r="CN174" s="1588"/>
      <c r="CO174" s="1593">
        <v>2</v>
      </c>
    </row>
    <row r="175" spans="1:93" s="2" customFormat="1" ht="13.5" customHeight="1">
      <c r="A175" s="1523"/>
      <c r="C175" s="610"/>
      <c r="D175" s="37"/>
      <c r="E175" s="365"/>
      <c r="F175" s="6"/>
      <c r="G175" s="6"/>
      <c r="H175" s="366"/>
      <c r="J175" s="365"/>
      <c r="K175" s="6"/>
      <c r="L175" s="6"/>
      <c r="M175" s="366"/>
      <c r="O175" s="365"/>
      <c r="P175" s="6"/>
      <c r="Q175" s="6"/>
      <c r="R175" s="366"/>
      <c r="T175" s="407"/>
      <c r="U175" s="349"/>
      <c r="V175" s="349"/>
      <c r="W175" s="408"/>
      <c r="X175" s="608"/>
      <c r="Y175" s="407"/>
      <c r="Z175" s="349"/>
      <c r="AA175" s="349"/>
      <c r="AB175" s="408"/>
      <c r="AC175" s="608"/>
      <c r="AD175" s="407"/>
      <c r="AE175" s="349"/>
      <c r="AF175" s="349"/>
      <c r="AG175" s="408"/>
      <c r="AH175" s="608"/>
      <c r="AI175" s="407"/>
      <c r="AJ175" s="349"/>
      <c r="AK175" s="349"/>
      <c r="AL175" s="408"/>
      <c r="AM175" s="608"/>
      <c r="AN175" s="407"/>
      <c r="AO175" s="349"/>
      <c r="AP175" s="349"/>
      <c r="AQ175" s="408"/>
      <c r="AR175" s="608"/>
      <c r="AS175" s="407"/>
      <c r="AT175" s="349"/>
      <c r="AU175" s="349"/>
      <c r="AV175" s="408"/>
      <c r="AW175" s="608"/>
      <c r="AX175" s="407"/>
      <c r="AY175" s="349"/>
      <c r="AZ175" s="349"/>
      <c r="BA175" s="408"/>
      <c r="BB175" s="608"/>
      <c r="BC175" s="407"/>
      <c r="BD175" s="349"/>
      <c r="BE175" s="349"/>
      <c r="BF175" s="408"/>
      <c r="BG175" s="608"/>
      <c r="BH175" s="407"/>
      <c r="BI175" s="349"/>
      <c r="BJ175" s="349"/>
      <c r="BK175" s="408"/>
      <c r="BL175" s="608"/>
      <c r="BM175" s="407"/>
      <c r="BN175" s="349"/>
      <c r="BO175" s="349"/>
      <c r="BP175" s="408"/>
      <c r="BQ175" s="608"/>
      <c r="CM175" s="1592" t="s">
        <v>843</v>
      </c>
      <c r="CN175" s="1588"/>
      <c r="CO175" s="1593">
        <v>27.476912928759894</v>
      </c>
    </row>
    <row r="176" spans="1:93" s="2" customFormat="1" ht="13.5" customHeight="1">
      <c r="A176" s="1523"/>
      <c r="C176" s="718" t="s">
        <v>240</v>
      </c>
      <c r="D176" s="37"/>
      <c r="E176" s="365"/>
      <c r="F176" s="6"/>
      <c r="G176" s="6"/>
      <c r="H176" s="366"/>
      <c r="J176" s="365"/>
      <c r="K176" s="6"/>
      <c r="L176" s="6"/>
      <c r="M176" s="366"/>
      <c r="O176" s="365"/>
      <c r="P176" s="6"/>
      <c r="Q176" s="6"/>
      <c r="R176" s="366"/>
      <c r="T176" s="407"/>
      <c r="U176" s="349"/>
      <c r="V176" s="349"/>
      <c r="W176" s="408"/>
      <c r="X176" s="608"/>
      <c r="Y176" s="407"/>
      <c r="Z176" s="349"/>
      <c r="AA176" s="349"/>
      <c r="AB176" s="408"/>
      <c r="AC176" s="608"/>
      <c r="AD176" s="407"/>
      <c r="AE176" s="349"/>
      <c r="AF176" s="349"/>
      <c r="AG176" s="408"/>
      <c r="AH176" s="608"/>
      <c r="AI176" s="407"/>
      <c r="AJ176" s="349"/>
      <c r="AK176" s="349"/>
      <c r="AL176" s="408"/>
      <c r="AM176" s="608"/>
      <c r="AN176" s="407"/>
      <c r="AO176" s="349"/>
      <c r="AP176" s="349"/>
      <c r="AQ176" s="408"/>
      <c r="AR176" s="608"/>
      <c r="AS176" s="407"/>
      <c r="AT176" s="349"/>
      <c r="AU176" s="349"/>
      <c r="AV176" s="408"/>
      <c r="AW176" s="608"/>
      <c r="AX176" s="407"/>
      <c r="AY176" s="349"/>
      <c r="AZ176" s="349"/>
      <c r="BA176" s="408"/>
      <c r="BB176" s="608"/>
      <c r="BC176" s="407"/>
      <c r="BD176" s="349"/>
      <c r="BE176" s="349"/>
      <c r="BF176" s="408"/>
      <c r="BG176" s="608"/>
      <c r="BH176" s="407"/>
      <c r="BI176" s="349"/>
      <c r="BJ176" s="349"/>
      <c r="BK176" s="408"/>
      <c r="BL176" s="608"/>
      <c r="BM176" s="407"/>
      <c r="BN176" s="349"/>
      <c r="BO176" s="349"/>
      <c r="BP176" s="408"/>
      <c r="BQ176" s="608"/>
      <c r="CM176" s="1592" t="s">
        <v>844</v>
      </c>
      <c r="CN176" s="1588"/>
      <c r="CO176" s="1593">
        <v>5.5</v>
      </c>
    </row>
    <row r="177" spans="1:100" s="2" customFormat="1" ht="13.5" customHeight="1">
      <c r="A177" s="1523"/>
      <c r="C177" s="565" t="s">
        <v>651</v>
      </c>
      <c r="D177" s="37"/>
      <c r="E177" s="365"/>
      <c r="F177" s="6"/>
      <c r="G177" s="6"/>
      <c r="H177" s="366"/>
      <c r="J177" s="365"/>
      <c r="K177" s="6"/>
      <c r="L177" s="6"/>
      <c r="M177" s="366"/>
      <c r="O177" s="365"/>
      <c r="P177" s="6"/>
      <c r="Q177" s="6"/>
      <c r="R177" s="366"/>
      <c r="T177" s="420"/>
      <c r="U177" s="320"/>
      <c r="V177" s="320"/>
      <c r="W177" s="421"/>
      <c r="X177" s="31"/>
      <c r="Y177" s="420">
        <f t="shared" ref="Y177:AR177" si="166">+Y291</f>
        <v>3661</v>
      </c>
      <c r="Z177" s="320">
        <f t="shared" si="166"/>
        <v>3661</v>
      </c>
      <c r="AA177" s="320">
        <f t="shared" si="166"/>
        <v>3661</v>
      </c>
      <c r="AB177" s="421">
        <f t="shared" si="166"/>
        <v>3661</v>
      </c>
      <c r="AC177" s="31">
        <f t="shared" si="166"/>
        <v>3661</v>
      </c>
      <c r="AD177" s="420">
        <f>+AD291</f>
        <v>3661</v>
      </c>
      <c r="AE177" s="320">
        <f>+AE291</f>
        <v>3661</v>
      </c>
      <c r="AF177" s="320">
        <f t="shared" si="166"/>
        <v>3661</v>
      </c>
      <c r="AG177" s="421">
        <f t="shared" si="166"/>
        <v>3661</v>
      </c>
      <c r="AH177" s="31">
        <f t="shared" si="166"/>
        <v>3661</v>
      </c>
      <c r="AI177" s="420">
        <f t="shared" si="166"/>
        <v>3661</v>
      </c>
      <c r="AJ177" s="320">
        <f t="shared" si="166"/>
        <v>3661</v>
      </c>
      <c r="AK177" s="320">
        <f t="shared" si="166"/>
        <v>3661</v>
      </c>
      <c r="AL177" s="421">
        <f t="shared" si="166"/>
        <v>3661</v>
      </c>
      <c r="AM177" s="31">
        <f t="shared" si="166"/>
        <v>3661</v>
      </c>
      <c r="AN177" s="420">
        <f t="shared" si="166"/>
        <v>3661</v>
      </c>
      <c r="AO177" s="320">
        <f t="shared" si="166"/>
        <v>3661</v>
      </c>
      <c r="AP177" s="320">
        <f t="shared" si="166"/>
        <v>3791</v>
      </c>
      <c r="AQ177" s="421">
        <f t="shared" si="166"/>
        <v>3791</v>
      </c>
      <c r="AR177" s="31">
        <f t="shared" si="166"/>
        <v>3791</v>
      </c>
      <c r="AS177" s="420">
        <f t="shared" ref="AS177:BB177" si="167">+AS291</f>
        <v>3791</v>
      </c>
      <c r="AT177" s="320">
        <f t="shared" si="167"/>
        <v>3791</v>
      </c>
      <c r="AU177" s="320">
        <f t="shared" si="167"/>
        <v>3791</v>
      </c>
      <c r="AV177" s="421">
        <f t="shared" si="167"/>
        <v>3791</v>
      </c>
      <c r="AW177" s="31">
        <f t="shared" si="167"/>
        <v>3791</v>
      </c>
      <c r="AX177" s="420">
        <f>+AX291</f>
        <v>3791</v>
      </c>
      <c r="AY177" s="320">
        <f>+AY291</f>
        <v>3791</v>
      </c>
      <c r="AZ177" s="320">
        <f>+AZ291</f>
        <v>3791</v>
      </c>
      <c r="BA177" s="421">
        <f>+BA291</f>
        <v>3791</v>
      </c>
      <c r="BB177" s="31">
        <f t="shared" si="167"/>
        <v>3791</v>
      </c>
      <c r="BC177" s="420">
        <f t="shared" ref="BC177:BL177" si="168">+BC291</f>
        <v>3791</v>
      </c>
      <c r="BD177" s="320">
        <f t="shared" si="168"/>
        <v>3791</v>
      </c>
      <c r="BE177" s="320">
        <f t="shared" si="168"/>
        <v>3791</v>
      </c>
      <c r="BF177" s="421">
        <f t="shared" si="168"/>
        <v>3791</v>
      </c>
      <c r="BG177" s="31">
        <f t="shared" si="168"/>
        <v>3791</v>
      </c>
      <c r="BH177" s="420">
        <f t="shared" si="168"/>
        <v>3791</v>
      </c>
      <c r="BI177" s="320">
        <f t="shared" si="168"/>
        <v>3791</v>
      </c>
      <c r="BJ177" s="320">
        <f t="shared" si="168"/>
        <v>3791</v>
      </c>
      <c r="BK177" s="421">
        <f t="shared" si="168"/>
        <v>3791</v>
      </c>
      <c r="BL177" s="31">
        <f t="shared" si="168"/>
        <v>3791</v>
      </c>
      <c r="BM177" s="420">
        <f>+BM291</f>
        <v>3791</v>
      </c>
      <c r="BN177" s="320">
        <f>+BN291</f>
        <v>3791</v>
      </c>
      <c r="BO177" s="320">
        <f>+BO291</f>
        <v>3791</v>
      </c>
      <c r="BP177" s="421">
        <f>+BP291</f>
        <v>3791</v>
      </c>
      <c r="BQ177" s="31">
        <f>+BQ291</f>
        <v>3791</v>
      </c>
      <c r="CM177" s="1592" t="s">
        <v>846</v>
      </c>
      <c r="CN177" s="1588"/>
      <c r="CO177" s="1593">
        <v>-0.5</v>
      </c>
    </row>
    <row r="178" spans="1:100" s="2" customFormat="1" ht="13.5" customHeight="1">
      <c r="A178" s="1523"/>
      <c r="C178" s="565" t="s">
        <v>227</v>
      </c>
      <c r="D178" s="37"/>
      <c r="E178" s="365"/>
      <c r="F178" s="6"/>
      <c r="G178" s="6"/>
      <c r="H178" s="366"/>
      <c r="J178" s="365"/>
      <c r="K178" s="6"/>
      <c r="L178" s="6"/>
      <c r="M178" s="366"/>
      <c r="O178" s="365"/>
      <c r="P178" s="6"/>
      <c r="Q178" s="6"/>
      <c r="R178" s="366"/>
      <c r="T178" s="420"/>
      <c r="U178" s="320"/>
      <c r="V178" s="320"/>
      <c r="W178" s="421"/>
      <c r="X178" s="31"/>
      <c r="Y178" s="420">
        <f t="shared" ref="Y178:AU178" si="169">+Y225+Y391</f>
        <v>3174</v>
      </c>
      <c r="Z178" s="320">
        <f t="shared" si="169"/>
        <v>3174</v>
      </c>
      <c r="AA178" s="320">
        <f t="shared" si="169"/>
        <v>3174</v>
      </c>
      <c r="AB178" s="421">
        <f t="shared" si="169"/>
        <v>3174</v>
      </c>
      <c r="AC178" s="31">
        <f t="shared" si="169"/>
        <v>3174</v>
      </c>
      <c r="AD178" s="420">
        <f>+AD225+AD391</f>
        <v>3174</v>
      </c>
      <c r="AE178" s="320">
        <f>+AE225+AE391</f>
        <v>3174</v>
      </c>
      <c r="AF178" s="320">
        <f t="shared" si="169"/>
        <v>3237</v>
      </c>
      <c r="AG178" s="421">
        <f t="shared" si="169"/>
        <v>3237</v>
      </c>
      <c r="AH178" s="31">
        <f t="shared" si="169"/>
        <v>3237</v>
      </c>
      <c r="AI178" s="420">
        <f t="shared" si="169"/>
        <v>3237</v>
      </c>
      <c r="AJ178" s="320">
        <f t="shared" si="169"/>
        <v>3237</v>
      </c>
      <c r="AK178" s="320">
        <f t="shared" si="169"/>
        <v>3268</v>
      </c>
      <c r="AL178" s="421">
        <f t="shared" si="169"/>
        <v>3268</v>
      </c>
      <c r="AM178" s="31">
        <f t="shared" si="169"/>
        <v>3268</v>
      </c>
      <c r="AN178" s="420">
        <f t="shared" si="169"/>
        <v>3268</v>
      </c>
      <c r="AO178" s="320">
        <f t="shared" si="169"/>
        <v>3268</v>
      </c>
      <c r="AP178" s="320">
        <f t="shared" si="169"/>
        <v>3268</v>
      </c>
      <c r="AQ178" s="421">
        <f t="shared" si="169"/>
        <v>3268</v>
      </c>
      <c r="AR178" s="31">
        <f t="shared" si="169"/>
        <v>3268</v>
      </c>
      <c r="AS178" s="420">
        <f t="shared" si="169"/>
        <v>3268</v>
      </c>
      <c r="AT178" s="320">
        <f t="shared" si="169"/>
        <v>3268</v>
      </c>
      <c r="AU178" s="320">
        <f t="shared" si="169"/>
        <v>3326</v>
      </c>
      <c r="AV178" s="421">
        <f>+AV225+AV391</f>
        <v>3326</v>
      </c>
      <c r="AW178" s="31">
        <f>+AW225+AW391</f>
        <v>3326</v>
      </c>
      <c r="AX178" s="420">
        <f>+AX225+AX391+AX411</f>
        <v>3326</v>
      </c>
      <c r="AY178" s="320">
        <f>+AY225+AY391+AY411</f>
        <v>4081</v>
      </c>
      <c r="AZ178" s="320">
        <f>+AZ225+AZ391+AZ411</f>
        <v>4621</v>
      </c>
      <c r="BA178" s="421">
        <f>+BA225+BA391+BA411</f>
        <v>4081</v>
      </c>
      <c r="BB178" s="31">
        <f>+BB225+BB391+BB411</f>
        <v>4081</v>
      </c>
      <c r="BC178" s="420">
        <f t="shared" ref="BC178:BL178" si="170">+BC225+BC391+BC411+BC371</f>
        <v>4081</v>
      </c>
      <c r="BD178" s="320">
        <f t="shared" si="170"/>
        <v>4242.666666666667</v>
      </c>
      <c r="BE178" s="320">
        <f t="shared" si="170"/>
        <v>4566</v>
      </c>
      <c r="BF178" s="421">
        <f t="shared" si="170"/>
        <v>4566</v>
      </c>
      <c r="BG178" s="31">
        <f t="shared" si="170"/>
        <v>4566</v>
      </c>
      <c r="BH178" s="420">
        <f t="shared" si="170"/>
        <v>4566</v>
      </c>
      <c r="BI178" s="320">
        <f t="shared" si="170"/>
        <v>4566</v>
      </c>
      <c r="BJ178" s="320">
        <f t="shared" si="170"/>
        <v>4566</v>
      </c>
      <c r="BK178" s="421">
        <f t="shared" si="170"/>
        <v>4566</v>
      </c>
      <c r="BL178" s="31">
        <f t="shared" si="170"/>
        <v>4566</v>
      </c>
      <c r="BM178" s="420">
        <f>+BM225+BM391+BM411+BM371</f>
        <v>4566</v>
      </c>
      <c r="BN178" s="320">
        <f>+BN225+BN391+BN411+BN371</f>
        <v>4566</v>
      </c>
      <c r="BO178" s="320">
        <f>+BO225+BO391+BO411+BO371</f>
        <v>4566</v>
      </c>
      <c r="BP178" s="421">
        <f>+BP225+BP391+BP411+BP371</f>
        <v>4566</v>
      </c>
      <c r="BQ178" s="31">
        <f>+BQ225+BQ391+BQ411+BQ371</f>
        <v>4566</v>
      </c>
      <c r="CM178" s="1592" t="s">
        <v>847</v>
      </c>
      <c r="CN178" s="1588"/>
      <c r="CO178" s="1594">
        <v>8</v>
      </c>
    </row>
    <row r="179" spans="1:100" s="2" customFormat="1" ht="13.5" customHeight="1">
      <c r="A179" s="1523"/>
      <c r="C179" s="565" t="s">
        <v>229</v>
      </c>
      <c r="D179" s="37"/>
      <c r="E179" s="365"/>
      <c r="F179" s="6"/>
      <c r="G179" s="6"/>
      <c r="H179" s="366"/>
      <c r="J179" s="365"/>
      <c r="K179" s="6"/>
      <c r="L179" s="6"/>
      <c r="M179" s="366"/>
      <c r="O179" s="365"/>
      <c r="P179" s="6"/>
      <c r="Q179" s="6"/>
      <c r="R179" s="366"/>
      <c r="T179" s="420"/>
      <c r="U179" s="320"/>
      <c r="V179" s="320"/>
      <c r="W179" s="421"/>
      <c r="X179" s="31"/>
      <c r="Y179" s="420">
        <f t="shared" ref="Y179:AU179" si="171">Y264+Y278+Y344+Y331</f>
        <v>3828</v>
      </c>
      <c r="Z179" s="320">
        <f t="shared" si="171"/>
        <v>3828</v>
      </c>
      <c r="AA179" s="320">
        <f t="shared" si="171"/>
        <v>3828</v>
      </c>
      <c r="AB179" s="421">
        <f t="shared" si="171"/>
        <v>3828</v>
      </c>
      <c r="AC179" s="31">
        <f t="shared" si="171"/>
        <v>3828</v>
      </c>
      <c r="AD179" s="420">
        <f>AD264+AD278+AD344+AD331</f>
        <v>3828</v>
      </c>
      <c r="AE179" s="320">
        <f>AE264+AE278+AE344+AE331</f>
        <v>3828</v>
      </c>
      <c r="AF179" s="320">
        <f t="shared" si="171"/>
        <v>3828</v>
      </c>
      <c r="AG179" s="421">
        <f t="shared" si="171"/>
        <v>3828</v>
      </c>
      <c r="AH179" s="31">
        <f t="shared" si="171"/>
        <v>3828</v>
      </c>
      <c r="AI179" s="420">
        <f t="shared" si="171"/>
        <v>3828</v>
      </c>
      <c r="AJ179" s="320">
        <f t="shared" si="171"/>
        <v>3828</v>
      </c>
      <c r="AK179" s="320">
        <f t="shared" si="171"/>
        <v>2065</v>
      </c>
      <c r="AL179" s="421">
        <f t="shared" si="171"/>
        <v>2065</v>
      </c>
      <c r="AM179" s="31">
        <f t="shared" si="171"/>
        <v>2065</v>
      </c>
      <c r="AN179" s="420">
        <f t="shared" si="171"/>
        <v>2065</v>
      </c>
      <c r="AO179" s="320">
        <f t="shared" si="171"/>
        <v>2065</v>
      </c>
      <c r="AP179" s="320">
        <f t="shared" si="171"/>
        <v>2079.5</v>
      </c>
      <c r="AQ179" s="421">
        <f t="shared" si="171"/>
        <v>2079.5</v>
      </c>
      <c r="AR179" s="31">
        <f t="shared" si="171"/>
        <v>2079.5</v>
      </c>
      <c r="AS179" s="420">
        <f t="shared" si="171"/>
        <v>2079.5</v>
      </c>
      <c r="AT179" s="320">
        <f t="shared" si="171"/>
        <v>2079.5</v>
      </c>
      <c r="AU179" s="320">
        <f t="shared" si="171"/>
        <v>2079.5</v>
      </c>
      <c r="AV179" s="421">
        <f>AV264+AV278+AV344+AV331</f>
        <v>2079.5</v>
      </c>
      <c r="AW179" s="31">
        <f>AW264+AW278+AW344+AW331</f>
        <v>2079.5</v>
      </c>
      <c r="AX179" s="420">
        <f t="shared" ref="AX179:BL179" si="172">AX264+AX278+AX344+AX331</f>
        <v>2079.5</v>
      </c>
      <c r="AY179" s="320">
        <f t="shared" si="172"/>
        <v>2079.5</v>
      </c>
      <c r="AZ179" s="320">
        <f>AZ264+AZ278+AZ344+AZ331</f>
        <v>1619.5</v>
      </c>
      <c r="BA179" s="421">
        <f t="shared" si="172"/>
        <v>2079.5</v>
      </c>
      <c r="BB179" s="31">
        <f t="shared" si="172"/>
        <v>2079.5</v>
      </c>
      <c r="BC179" s="420">
        <f t="shared" si="172"/>
        <v>2079.5</v>
      </c>
      <c r="BD179" s="320">
        <f t="shared" si="172"/>
        <v>2079.5</v>
      </c>
      <c r="BE179" s="320">
        <f t="shared" si="172"/>
        <v>2079.5</v>
      </c>
      <c r="BF179" s="421">
        <f t="shared" si="172"/>
        <v>2079.5</v>
      </c>
      <c r="BG179" s="31">
        <f t="shared" si="172"/>
        <v>2079.5</v>
      </c>
      <c r="BH179" s="420">
        <f t="shared" si="172"/>
        <v>2079.5</v>
      </c>
      <c r="BI179" s="320">
        <f t="shared" si="172"/>
        <v>2079.5</v>
      </c>
      <c r="BJ179" s="320">
        <f t="shared" si="172"/>
        <v>2079.5</v>
      </c>
      <c r="BK179" s="421">
        <f t="shared" si="172"/>
        <v>2079.5</v>
      </c>
      <c r="BL179" s="31">
        <f t="shared" si="172"/>
        <v>2079.5</v>
      </c>
      <c r="BM179" s="420">
        <f>BM264+BM278+BM344+BM331</f>
        <v>2079.5</v>
      </c>
      <c r="BN179" s="320">
        <f>BN264+BN278+BN344+BN331</f>
        <v>2079.5</v>
      </c>
      <c r="BO179" s="320">
        <f>BO264+BO278+BO344+BO331</f>
        <v>2079.5</v>
      </c>
      <c r="BP179" s="421">
        <f>BP264+BP278+BP344+BP331</f>
        <v>2079.5</v>
      </c>
      <c r="BQ179" s="31">
        <f>BQ264+BQ278+BQ344+BQ331</f>
        <v>2079.5</v>
      </c>
      <c r="CM179" s="1595" t="s">
        <v>449</v>
      </c>
      <c r="CN179" s="1596"/>
      <c r="CO179" s="1597">
        <f>ROUND(SUM(CO172:CO178),1)</f>
        <v>94.2</v>
      </c>
    </row>
    <row r="180" spans="1:100" s="2" customFormat="1" ht="13.5" customHeight="1">
      <c r="A180" s="1523"/>
      <c r="C180" s="565" t="s">
        <v>442</v>
      </c>
      <c r="D180" s="37"/>
      <c r="E180" s="365"/>
      <c r="F180" s="6"/>
      <c r="G180" s="6"/>
      <c r="H180" s="366"/>
      <c r="J180" s="365"/>
      <c r="K180" s="6"/>
      <c r="L180" s="6"/>
      <c r="M180" s="366"/>
      <c r="O180" s="365"/>
      <c r="P180" s="6"/>
      <c r="Q180" s="6"/>
      <c r="R180" s="366"/>
      <c r="T180" s="420"/>
      <c r="U180" s="320"/>
      <c r="V180" s="320"/>
      <c r="W180" s="421"/>
      <c r="X180" s="31"/>
      <c r="Y180" s="420">
        <f t="shared" ref="Y180:AR180" si="173">Y304</f>
        <v>200</v>
      </c>
      <c r="Z180" s="320">
        <f t="shared" si="173"/>
        <v>200</v>
      </c>
      <c r="AA180" s="320">
        <f t="shared" si="173"/>
        <v>200</v>
      </c>
      <c r="AB180" s="421">
        <f t="shared" si="173"/>
        <v>200</v>
      </c>
      <c r="AC180" s="31">
        <f t="shared" si="173"/>
        <v>200</v>
      </c>
      <c r="AD180" s="420">
        <f>AD304</f>
        <v>200</v>
      </c>
      <c r="AE180" s="320">
        <f>AE304</f>
        <v>200</v>
      </c>
      <c r="AF180" s="320">
        <f t="shared" si="173"/>
        <v>200</v>
      </c>
      <c r="AG180" s="421">
        <f t="shared" si="173"/>
        <v>200</v>
      </c>
      <c r="AH180" s="31">
        <f t="shared" si="173"/>
        <v>200</v>
      </c>
      <c r="AI180" s="420">
        <f t="shared" si="173"/>
        <v>200</v>
      </c>
      <c r="AJ180" s="320">
        <f t="shared" si="173"/>
        <v>200</v>
      </c>
      <c r="AK180" s="320">
        <f t="shared" si="173"/>
        <v>200</v>
      </c>
      <c r="AL180" s="421">
        <f t="shared" si="173"/>
        <v>200</v>
      </c>
      <c r="AM180" s="31">
        <f t="shared" si="173"/>
        <v>200</v>
      </c>
      <c r="AN180" s="420">
        <f t="shared" si="173"/>
        <v>200</v>
      </c>
      <c r="AO180" s="320">
        <f t="shared" si="173"/>
        <v>200</v>
      </c>
      <c r="AP180" s="320">
        <f t="shared" si="173"/>
        <v>200</v>
      </c>
      <c r="AQ180" s="421">
        <f t="shared" si="173"/>
        <v>200</v>
      </c>
      <c r="AR180" s="31">
        <f t="shared" si="173"/>
        <v>200</v>
      </c>
      <c r="AS180" s="420">
        <f t="shared" ref="AS180:BB180" si="174">AS304</f>
        <v>200</v>
      </c>
      <c r="AT180" s="320">
        <f t="shared" si="174"/>
        <v>200</v>
      </c>
      <c r="AU180" s="320">
        <f t="shared" si="174"/>
        <v>200</v>
      </c>
      <c r="AV180" s="421">
        <f t="shared" si="174"/>
        <v>200</v>
      </c>
      <c r="AW180" s="31">
        <f t="shared" si="174"/>
        <v>200</v>
      </c>
      <c r="AX180" s="420">
        <f>AX304</f>
        <v>200</v>
      </c>
      <c r="AY180" s="320">
        <f>AY304</f>
        <v>200</v>
      </c>
      <c r="AZ180" s="320">
        <f>AZ304</f>
        <v>200</v>
      </c>
      <c r="BA180" s="421">
        <f>BA304</f>
        <v>200</v>
      </c>
      <c r="BB180" s="31">
        <f t="shared" si="174"/>
        <v>200</v>
      </c>
      <c r="BC180" s="420">
        <f t="shared" ref="BC180:BL180" si="175">BC304</f>
        <v>200</v>
      </c>
      <c r="BD180" s="320">
        <f t="shared" si="175"/>
        <v>200</v>
      </c>
      <c r="BE180" s="320">
        <f t="shared" si="175"/>
        <v>200</v>
      </c>
      <c r="BF180" s="421">
        <f t="shared" si="175"/>
        <v>200</v>
      </c>
      <c r="BG180" s="31">
        <f t="shared" si="175"/>
        <v>200</v>
      </c>
      <c r="BH180" s="420">
        <f t="shared" si="175"/>
        <v>200</v>
      </c>
      <c r="BI180" s="320">
        <f t="shared" si="175"/>
        <v>200</v>
      </c>
      <c r="BJ180" s="320">
        <f t="shared" si="175"/>
        <v>200</v>
      </c>
      <c r="BK180" s="421">
        <f t="shared" si="175"/>
        <v>200</v>
      </c>
      <c r="BL180" s="31">
        <f t="shared" si="175"/>
        <v>200</v>
      </c>
      <c r="BM180" s="420">
        <f>BM304</f>
        <v>200</v>
      </c>
      <c r="BN180" s="320">
        <f>BN304</f>
        <v>200</v>
      </c>
      <c r="BO180" s="320">
        <f>BO304</f>
        <v>200</v>
      </c>
      <c r="BP180" s="421">
        <f>BP304</f>
        <v>200</v>
      </c>
      <c r="BQ180" s="31">
        <f>BQ304</f>
        <v>200</v>
      </c>
    </row>
    <row r="181" spans="1:100" s="2" customFormat="1" ht="13.5" customHeight="1">
      <c r="A181" s="1523"/>
      <c r="C181" s="565" t="s">
        <v>430</v>
      </c>
      <c r="D181" s="37"/>
      <c r="E181" s="365"/>
      <c r="F181" s="6"/>
      <c r="G181" s="6"/>
      <c r="H181" s="366"/>
      <c r="J181" s="365"/>
      <c r="K181" s="6"/>
      <c r="L181" s="6"/>
      <c r="M181" s="366"/>
      <c r="O181" s="365"/>
      <c r="P181" s="6"/>
      <c r="Q181" s="6"/>
      <c r="R181" s="366"/>
      <c r="T181" s="420"/>
      <c r="U181" s="320"/>
      <c r="V181" s="320"/>
      <c r="W181" s="421"/>
      <c r="X181" s="31"/>
      <c r="Y181" s="420">
        <f t="shared" ref="Y181:AU181" si="176">+Y245+Y357+Y318</f>
        <v>2411</v>
      </c>
      <c r="Z181" s="320">
        <f t="shared" si="176"/>
        <v>2411</v>
      </c>
      <c r="AA181" s="320">
        <f t="shared" si="176"/>
        <v>2411</v>
      </c>
      <c r="AB181" s="421">
        <f t="shared" si="176"/>
        <v>2411</v>
      </c>
      <c r="AC181" s="31">
        <f t="shared" si="176"/>
        <v>2411</v>
      </c>
      <c r="AD181" s="420">
        <f>+AD245+AD357+AD318</f>
        <v>2411</v>
      </c>
      <c r="AE181" s="320">
        <f>+AE245+AE357+AE318</f>
        <v>2411</v>
      </c>
      <c r="AF181" s="320">
        <f t="shared" si="176"/>
        <v>2411</v>
      </c>
      <c r="AG181" s="421">
        <f t="shared" si="176"/>
        <v>2411</v>
      </c>
      <c r="AH181" s="31">
        <f t="shared" si="176"/>
        <v>2411</v>
      </c>
      <c r="AI181" s="420">
        <f t="shared" si="176"/>
        <v>2411</v>
      </c>
      <c r="AJ181" s="320">
        <f t="shared" si="176"/>
        <v>2411</v>
      </c>
      <c r="AK181" s="320">
        <f t="shared" si="176"/>
        <v>2411</v>
      </c>
      <c r="AL181" s="421">
        <f t="shared" si="176"/>
        <v>2411</v>
      </c>
      <c r="AM181" s="31">
        <f t="shared" si="176"/>
        <v>2411</v>
      </c>
      <c r="AN181" s="420">
        <f t="shared" si="176"/>
        <v>2411</v>
      </c>
      <c r="AO181" s="320">
        <f t="shared" si="176"/>
        <v>2411</v>
      </c>
      <c r="AP181" s="320">
        <f t="shared" si="176"/>
        <v>2411</v>
      </c>
      <c r="AQ181" s="421">
        <f t="shared" si="176"/>
        <v>2411</v>
      </c>
      <c r="AR181" s="31">
        <f t="shared" si="176"/>
        <v>2411</v>
      </c>
      <c r="AS181" s="420">
        <f t="shared" si="176"/>
        <v>2411</v>
      </c>
      <c r="AT181" s="320">
        <f t="shared" si="176"/>
        <v>2411</v>
      </c>
      <c r="AU181" s="320">
        <f t="shared" si="176"/>
        <v>1159</v>
      </c>
      <c r="AV181" s="421">
        <f>+AV245+AV357+AV318</f>
        <v>1159</v>
      </c>
      <c r="AW181" s="31">
        <f>+AW245+AW357+AW318</f>
        <v>1159</v>
      </c>
      <c r="AX181" s="420">
        <f t="shared" ref="AX181:BL181" si="177">+AX245+AX357+AX318</f>
        <v>1159</v>
      </c>
      <c r="AY181" s="320">
        <f t="shared" si="177"/>
        <v>1159</v>
      </c>
      <c r="AZ181" s="320">
        <f>+AZ245+AZ357+AZ318</f>
        <v>1159</v>
      </c>
      <c r="BA181" s="421">
        <f t="shared" si="177"/>
        <v>1159</v>
      </c>
      <c r="BB181" s="31">
        <f t="shared" si="177"/>
        <v>1159</v>
      </c>
      <c r="BC181" s="420">
        <f t="shared" si="177"/>
        <v>1159</v>
      </c>
      <c r="BD181" s="320">
        <f t="shared" si="177"/>
        <v>1159</v>
      </c>
      <c r="BE181" s="320">
        <f t="shared" si="177"/>
        <v>1159</v>
      </c>
      <c r="BF181" s="421">
        <f t="shared" si="177"/>
        <v>1159</v>
      </c>
      <c r="BG181" s="31">
        <f t="shared" si="177"/>
        <v>1159</v>
      </c>
      <c r="BH181" s="420">
        <f t="shared" si="177"/>
        <v>1159</v>
      </c>
      <c r="BI181" s="320">
        <f t="shared" si="177"/>
        <v>1159</v>
      </c>
      <c r="BJ181" s="320">
        <f t="shared" si="177"/>
        <v>1159</v>
      </c>
      <c r="BK181" s="421">
        <f t="shared" si="177"/>
        <v>1159</v>
      </c>
      <c r="BL181" s="31">
        <f t="shared" si="177"/>
        <v>1159</v>
      </c>
      <c r="BM181" s="420">
        <f>+BM245+BM357+BM318</f>
        <v>1159</v>
      </c>
      <c r="BN181" s="320">
        <f>+BN245+BN357+BN318</f>
        <v>1159</v>
      </c>
      <c r="BO181" s="320">
        <f>+BO245+BO357+BO318</f>
        <v>1159</v>
      </c>
      <c r="BP181" s="421">
        <f>+BP245+BP357+BP318</f>
        <v>1159</v>
      </c>
      <c r="BQ181" s="31">
        <f>+BQ245+BQ357+BQ318</f>
        <v>1159</v>
      </c>
      <c r="CM181" s="1599" t="s">
        <v>912</v>
      </c>
      <c r="CN181" s="1600"/>
      <c r="CO181" s="1601"/>
    </row>
    <row r="182" spans="1:100" s="2" customFormat="1" ht="13.5" customHeight="1">
      <c r="A182" s="1523"/>
      <c r="C182" s="610" t="s">
        <v>449</v>
      </c>
      <c r="D182" s="37"/>
      <c r="E182" s="365"/>
      <c r="F182" s="6"/>
      <c r="G182" s="6"/>
      <c r="H182" s="366"/>
      <c r="J182" s="365"/>
      <c r="K182" s="6"/>
      <c r="L182" s="6"/>
      <c r="M182" s="366"/>
      <c r="O182" s="365"/>
      <c r="P182" s="6"/>
      <c r="Q182" s="6"/>
      <c r="R182" s="366"/>
      <c r="T182" s="407"/>
      <c r="U182" s="349"/>
      <c r="V182" s="349"/>
      <c r="W182" s="408"/>
      <c r="X182" s="608"/>
      <c r="Y182" s="407">
        <f t="shared" ref="Y182:AR182" si="178">SUM(Y177:Y181)</f>
        <v>13274</v>
      </c>
      <c r="Z182" s="349">
        <f>SUM(Z177:Z181)</f>
        <v>13274</v>
      </c>
      <c r="AA182" s="349">
        <f t="shared" si="178"/>
        <v>13274</v>
      </c>
      <c r="AB182" s="408">
        <f t="shared" si="178"/>
        <v>13274</v>
      </c>
      <c r="AC182" s="608">
        <f t="shared" si="178"/>
        <v>13274</v>
      </c>
      <c r="AD182" s="407">
        <f>SUM(AD177:AD181)</f>
        <v>13274</v>
      </c>
      <c r="AE182" s="349">
        <f>SUM(AE177:AE181)</f>
        <v>13274</v>
      </c>
      <c r="AF182" s="349">
        <f t="shared" si="178"/>
        <v>13337</v>
      </c>
      <c r="AG182" s="408">
        <f t="shared" si="178"/>
        <v>13337</v>
      </c>
      <c r="AH182" s="608">
        <f t="shared" si="178"/>
        <v>13337</v>
      </c>
      <c r="AI182" s="407">
        <f t="shared" si="178"/>
        <v>13337</v>
      </c>
      <c r="AJ182" s="349">
        <f t="shared" si="178"/>
        <v>13337</v>
      </c>
      <c r="AK182" s="349">
        <f t="shared" si="178"/>
        <v>11605</v>
      </c>
      <c r="AL182" s="408">
        <f t="shared" si="178"/>
        <v>11605</v>
      </c>
      <c r="AM182" s="608">
        <f t="shared" si="178"/>
        <v>11605</v>
      </c>
      <c r="AN182" s="407">
        <f t="shared" si="178"/>
        <v>11605</v>
      </c>
      <c r="AO182" s="349">
        <f t="shared" si="178"/>
        <v>11605</v>
      </c>
      <c r="AP182" s="349">
        <f t="shared" si="178"/>
        <v>11749.5</v>
      </c>
      <c r="AQ182" s="408">
        <f t="shared" si="178"/>
        <v>11749.5</v>
      </c>
      <c r="AR182" s="608">
        <f t="shared" si="178"/>
        <v>11749.5</v>
      </c>
      <c r="AS182" s="407">
        <f t="shared" ref="AS182:BB182" si="179">SUM(AS177:AS181)</f>
        <v>11749.5</v>
      </c>
      <c r="AT182" s="349">
        <f t="shared" si="179"/>
        <v>11749.5</v>
      </c>
      <c r="AU182" s="349">
        <f t="shared" si="179"/>
        <v>10555.5</v>
      </c>
      <c r="AV182" s="408">
        <f t="shared" si="179"/>
        <v>10555.5</v>
      </c>
      <c r="AW182" s="608">
        <f t="shared" si="179"/>
        <v>10555.5</v>
      </c>
      <c r="AX182" s="407">
        <f>SUM(AX177:AX181)</f>
        <v>10555.5</v>
      </c>
      <c r="AY182" s="349">
        <f>SUM(AY177:AY181)</f>
        <v>11310.5</v>
      </c>
      <c r="AZ182" s="349">
        <f>SUM(AZ177:AZ181)</f>
        <v>11390.5</v>
      </c>
      <c r="BA182" s="408">
        <f>SUM(BA177:BA181)</f>
        <v>11310.5</v>
      </c>
      <c r="BB182" s="608">
        <f t="shared" si="179"/>
        <v>11310.5</v>
      </c>
      <c r="BC182" s="407">
        <f t="shared" ref="BC182:BL182" si="180">SUM(BC177:BC181)</f>
        <v>11310.5</v>
      </c>
      <c r="BD182" s="349">
        <f t="shared" si="180"/>
        <v>11472.166666666668</v>
      </c>
      <c r="BE182" s="349">
        <f t="shared" si="180"/>
        <v>11795.5</v>
      </c>
      <c r="BF182" s="408">
        <f t="shared" si="180"/>
        <v>11795.5</v>
      </c>
      <c r="BG182" s="608">
        <f t="shared" si="180"/>
        <v>11795.5</v>
      </c>
      <c r="BH182" s="407">
        <f t="shared" si="180"/>
        <v>11795.5</v>
      </c>
      <c r="BI182" s="349">
        <f t="shared" si="180"/>
        <v>11795.5</v>
      </c>
      <c r="BJ182" s="349">
        <f t="shared" si="180"/>
        <v>11795.5</v>
      </c>
      <c r="BK182" s="408">
        <f t="shared" si="180"/>
        <v>11795.5</v>
      </c>
      <c r="BL182" s="608">
        <f t="shared" si="180"/>
        <v>11795.5</v>
      </c>
      <c r="BM182" s="407">
        <f>SUM(BM177:BM181)</f>
        <v>11795.5</v>
      </c>
      <c r="BN182" s="349">
        <f>SUM(BN177:BN181)</f>
        <v>11795.5</v>
      </c>
      <c r="BO182" s="349">
        <f>SUM(BO177:BO181)</f>
        <v>11795.5</v>
      </c>
      <c r="BP182" s="408">
        <f>SUM(BP177:BP181)</f>
        <v>11795.5</v>
      </c>
      <c r="BQ182" s="608">
        <f>SUM(BQ177:BQ181)</f>
        <v>11795.5</v>
      </c>
      <c r="BZ182" s="296"/>
      <c r="CM182" s="1592" t="s">
        <v>911</v>
      </c>
      <c r="CN182" s="1598"/>
      <c r="CO182" s="1722">
        <v>53</v>
      </c>
    </row>
    <row r="183" spans="1:100" s="2" customFormat="1" ht="13.5" customHeight="1">
      <c r="A183" s="1523"/>
      <c r="C183" s="610"/>
      <c r="D183" s="37"/>
      <c r="E183" s="365"/>
      <c r="F183" s="6"/>
      <c r="G183" s="6"/>
      <c r="H183" s="366"/>
      <c r="J183" s="365"/>
      <c r="K183" s="6"/>
      <c r="L183" s="6"/>
      <c r="M183" s="366"/>
      <c r="O183" s="365"/>
      <c r="P183" s="6"/>
      <c r="Q183" s="6"/>
      <c r="R183" s="366"/>
      <c r="T183" s="407"/>
      <c r="U183" s="349"/>
      <c r="V183" s="349"/>
      <c r="W183" s="408"/>
      <c r="X183" s="608"/>
      <c r="Y183" s="407"/>
      <c r="Z183" s="349"/>
      <c r="AA183" s="349"/>
      <c r="AB183" s="408"/>
      <c r="AC183" s="608"/>
      <c r="AD183" s="407"/>
      <c r="AE183" s="349"/>
      <c r="AF183" s="349"/>
      <c r="AG183" s="408"/>
      <c r="AH183" s="608"/>
      <c r="AI183" s="407"/>
      <c r="AJ183" s="349"/>
      <c r="AK183" s="349"/>
      <c r="AL183" s="408"/>
      <c r="AM183" s="608"/>
      <c r="AN183" s="407"/>
      <c r="AO183" s="349"/>
      <c r="AP183" s="349"/>
      <c r="AQ183" s="408"/>
      <c r="AR183" s="608"/>
      <c r="AS183" s="407"/>
      <c r="AT183" s="349"/>
      <c r="AU183" s="349"/>
      <c r="AV183" s="408"/>
      <c r="AW183" s="608"/>
      <c r="AX183" s="407"/>
      <c r="AY183" s="349"/>
      <c r="AZ183" s="349"/>
      <c r="BA183" s="408"/>
      <c r="BB183" s="608"/>
      <c r="BC183" s="407"/>
      <c r="BD183" s="349"/>
      <c r="BE183" s="349"/>
      <c r="BF183" s="408"/>
      <c r="BG183" s="608"/>
      <c r="BH183" s="407"/>
      <c r="BI183" s="349"/>
      <c r="BJ183" s="349"/>
      <c r="BK183" s="408"/>
      <c r="BL183" s="608"/>
      <c r="BM183" s="407"/>
      <c r="BN183" s="349"/>
      <c r="BO183" s="349"/>
      <c r="BP183" s="408"/>
      <c r="BQ183" s="608"/>
      <c r="CM183" s="1592" t="s">
        <v>909</v>
      </c>
      <c r="CN183" s="1598"/>
      <c r="CO183" s="1723">
        <f>11/CO182</f>
        <v>0.20754716981132076</v>
      </c>
    </row>
    <row r="184" spans="1:100" s="2" customFormat="1" ht="13.5" customHeight="1">
      <c r="A184" s="1523"/>
      <c r="C184" s="718" t="s">
        <v>220</v>
      </c>
      <c r="D184" s="37"/>
      <c r="E184" s="365"/>
      <c r="F184" s="6"/>
      <c r="G184" s="6"/>
      <c r="H184" s="366"/>
      <c r="J184" s="365"/>
      <c r="K184" s="6"/>
      <c r="L184" s="6"/>
      <c r="M184" s="366"/>
      <c r="O184" s="365"/>
      <c r="P184" s="6"/>
      <c r="Q184" s="6"/>
      <c r="R184" s="366"/>
      <c r="T184" s="407"/>
      <c r="U184" s="349"/>
      <c r="V184" s="349"/>
      <c r="W184" s="408"/>
      <c r="X184" s="608"/>
      <c r="Y184" s="407"/>
      <c r="Z184" s="349"/>
      <c r="AA184" s="349"/>
      <c r="AB184" s="408"/>
      <c r="AC184" s="608"/>
      <c r="AD184" s="407"/>
      <c r="AE184" s="349"/>
      <c r="AF184" s="349"/>
      <c r="AG184" s="408"/>
      <c r="AH184" s="608"/>
      <c r="AI184" s="407"/>
      <c r="AJ184" s="349"/>
      <c r="AK184" s="349"/>
      <c r="AL184" s="408"/>
      <c r="AM184" s="608"/>
      <c r="AN184" s="407"/>
      <c r="AO184" s="349"/>
      <c r="AP184" s="349"/>
      <c r="AQ184" s="408"/>
      <c r="AR184" s="608"/>
      <c r="AS184" s="407"/>
      <c r="AT184" s="349"/>
      <c r="AU184" s="349"/>
      <c r="AV184" s="408"/>
      <c r="AW184" s="608"/>
      <c r="AX184" s="407"/>
      <c r="AY184" s="349"/>
      <c r="AZ184" s="349"/>
      <c r="BA184" s="408"/>
      <c r="BB184" s="608"/>
      <c r="BC184" s="407"/>
      <c r="BD184" s="349"/>
      <c r="BE184" s="349"/>
      <c r="BF184" s="408"/>
      <c r="BG184" s="608"/>
      <c r="BH184" s="407"/>
      <c r="BI184" s="349"/>
      <c r="BJ184" s="349"/>
      <c r="BK184" s="408"/>
      <c r="BL184" s="608"/>
      <c r="BM184" s="407"/>
      <c r="BN184" s="349"/>
      <c r="BO184" s="349"/>
      <c r="BP184" s="408"/>
      <c r="BQ184" s="608"/>
      <c r="CM184" s="1602" t="s">
        <v>0</v>
      </c>
      <c r="CN184" s="1598"/>
      <c r="CO184" s="1723">
        <v>0.33329999999999999</v>
      </c>
      <c r="CQ184" s="437"/>
    </row>
    <row r="185" spans="1:100" s="2" customFormat="1" ht="13.5" customHeight="1">
      <c r="A185" s="1523"/>
      <c r="C185" s="565" t="s">
        <v>222</v>
      </c>
      <c r="D185" s="37"/>
      <c r="E185" s="365"/>
      <c r="F185" s="6"/>
      <c r="G185" s="6"/>
      <c r="H185" s="366"/>
      <c r="J185" s="365"/>
      <c r="K185" s="6"/>
      <c r="L185" s="6"/>
      <c r="M185" s="366"/>
      <c r="O185" s="365"/>
      <c r="P185" s="6"/>
      <c r="Q185" s="6"/>
      <c r="R185" s="366"/>
      <c r="T185" s="420"/>
      <c r="U185" s="320"/>
      <c r="V185" s="320"/>
      <c r="W185" s="421"/>
      <c r="X185" s="31"/>
      <c r="Y185" s="420">
        <f>Y291+Y318</f>
        <v>4437</v>
      </c>
      <c r="Z185" s="320">
        <f>Z291+Z318</f>
        <v>4437</v>
      </c>
      <c r="AA185" s="320">
        <f>AA291+AA318</f>
        <v>4437</v>
      </c>
      <c r="AB185" s="421">
        <f>AB291+AB318</f>
        <v>4437</v>
      </c>
      <c r="AC185" s="31">
        <f t="shared" ref="AC185:AU185" si="181">AC291+AC318</f>
        <v>4437</v>
      </c>
      <c r="AD185" s="420">
        <f>AD291+AD318</f>
        <v>4437</v>
      </c>
      <c r="AE185" s="320">
        <f>AE291+AE318</f>
        <v>4437</v>
      </c>
      <c r="AF185" s="320">
        <f t="shared" si="181"/>
        <v>4437</v>
      </c>
      <c r="AG185" s="421">
        <f t="shared" si="181"/>
        <v>4437</v>
      </c>
      <c r="AH185" s="31">
        <f t="shared" si="181"/>
        <v>4437</v>
      </c>
      <c r="AI185" s="420">
        <f t="shared" si="181"/>
        <v>4437</v>
      </c>
      <c r="AJ185" s="320">
        <f t="shared" si="181"/>
        <v>4437</v>
      </c>
      <c r="AK185" s="320">
        <f t="shared" si="181"/>
        <v>4437</v>
      </c>
      <c r="AL185" s="421">
        <f t="shared" si="181"/>
        <v>4437</v>
      </c>
      <c r="AM185" s="31">
        <f t="shared" si="181"/>
        <v>4437</v>
      </c>
      <c r="AN185" s="420">
        <f t="shared" si="181"/>
        <v>4437</v>
      </c>
      <c r="AO185" s="320">
        <f t="shared" si="181"/>
        <v>4437</v>
      </c>
      <c r="AP185" s="320">
        <f t="shared" si="181"/>
        <v>4567</v>
      </c>
      <c r="AQ185" s="421">
        <f t="shared" si="181"/>
        <v>4567</v>
      </c>
      <c r="AR185" s="31">
        <f t="shared" si="181"/>
        <v>4567</v>
      </c>
      <c r="AS185" s="420">
        <f t="shared" si="181"/>
        <v>4567</v>
      </c>
      <c r="AT185" s="320">
        <f t="shared" si="181"/>
        <v>4567</v>
      </c>
      <c r="AU185" s="320">
        <f t="shared" si="181"/>
        <v>4567</v>
      </c>
      <c r="AV185" s="421">
        <f>AV291+AV318</f>
        <v>4567</v>
      </c>
      <c r="AW185" s="31">
        <f>AW291+AW318</f>
        <v>4567</v>
      </c>
      <c r="AX185" s="420">
        <f t="shared" ref="AX185:BL185" si="182">AX291+AX318</f>
        <v>4567</v>
      </c>
      <c r="AY185" s="320">
        <f t="shared" si="182"/>
        <v>4567</v>
      </c>
      <c r="AZ185" s="320">
        <f>AZ291+AZ318</f>
        <v>4567</v>
      </c>
      <c r="BA185" s="421">
        <f t="shared" si="182"/>
        <v>4567</v>
      </c>
      <c r="BB185" s="31">
        <f t="shared" si="182"/>
        <v>4567</v>
      </c>
      <c r="BC185" s="420">
        <f t="shared" si="182"/>
        <v>4567</v>
      </c>
      <c r="BD185" s="320">
        <f t="shared" si="182"/>
        <v>4567</v>
      </c>
      <c r="BE185" s="320">
        <f t="shared" si="182"/>
        <v>4567</v>
      </c>
      <c r="BF185" s="421">
        <f t="shared" si="182"/>
        <v>4567</v>
      </c>
      <c r="BG185" s="31">
        <f t="shared" si="182"/>
        <v>4567</v>
      </c>
      <c r="BH185" s="420">
        <f t="shared" si="182"/>
        <v>4567</v>
      </c>
      <c r="BI185" s="320">
        <f t="shared" si="182"/>
        <v>4567</v>
      </c>
      <c r="BJ185" s="320">
        <f t="shared" si="182"/>
        <v>4567</v>
      </c>
      <c r="BK185" s="421">
        <f t="shared" si="182"/>
        <v>4567</v>
      </c>
      <c r="BL185" s="31">
        <f t="shared" si="182"/>
        <v>4567</v>
      </c>
      <c r="BM185" s="420">
        <f>BM291+BM318</f>
        <v>4567</v>
      </c>
      <c r="BN185" s="320">
        <f>BN291+BN318</f>
        <v>4567</v>
      </c>
      <c r="BO185" s="320">
        <f>BO291+BO318</f>
        <v>4567</v>
      </c>
      <c r="BP185" s="421">
        <f>BP291+BP318</f>
        <v>4567</v>
      </c>
      <c r="BQ185" s="31">
        <f>BQ291+BQ318</f>
        <v>4567</v>
      </c>
      <c r="CM185" s="1603" t="s">
        <v>910</v>
      </c>
      <c r="CN185" s="1587"/>
      <c r="CO185" s="1724">
        <f>+CO183*CO182*CO184</f>
        <v>3.6662999999999997</v>
      </c>
    </row>
    <row r="186" spans="1:100" s="2" customFormat="1" ht="13.5" customHeight="1">
      <c r="A186" s="1523"/>
      <c r="C186" s="565" t="s">
        <v>239</v>
      </c>
      <c r="D186" s="37"/>
      <c r="E186" s="365"/>
      <c r="F186" s="6"/>
      <c r="G186" s="6"/>
      <c r="H186" s="366"/>
      <c r="J186" s="365"/>
      <c r="K186" s="6"/>
      <c r="L186" s="6"/>
      <c r="M186" s="366"/>
      <c r="O186" s="365"/>
      <c r="P186" s="6"/>
      <c r="Q186" s="6"/>
      <c r="R186" s="366"/>
      <c r="T186" s="420"/>
      <c r="U186" s="320"/>
      <c r="V186" s="320"/>
      <c r="W186" s="421"/>
      <c r="X186" s="31"/>
      <c r="Y186" s="420">
        <f>Y225+Y245+Y391+Y357</f>
        <v>4809</v>
      </c>
      <c r="Z186" s="320">
        <f>Z225+Z245+Z391+Z357</f>
        <v>4809</v>
      </c>
      <c r="AA186" s="320">
        <f>AA225+AA245+AA391+AA357</f>
        <v>4809</v>
      </c>
      <c r="AB186" s="421">
        <f>AB225+AB245+AB391+AB357</f>
        <v>4809</v>
      </c>
      <c r="AC186" s="31">
        <f t="shared" ref="AC186:AU186" si="183">AC225+AC245+AC391+AC357</f>
        <v>4809</v>
      </c>
      <c r="AD186" s="420">
        <f>AD225+AD245+AD391+AD357</f>
        <v>4809</v>
      </c>
      <c r="AE186" s="320">
        <f>AE225+AE245+AE391+AE357</f>
        <v>4809</v>
      </c>
      <c r="AF186" s="320">
        <f t="shared" si="183"/>
        <v>4872</v>
      </c>
      <c r="AG186" s="421">
        <f t="shared" si="183"/>
        <v>4872</v>
      </c>
      <c r="AH186" s="31">
        <f t="shared" si="183"/>
        <v>4872</v>
      </c>
      <c r="AI186" s="420">
        <f t="shared" si="183"/>
        <v>4872</v>
      </c>
      <c r="AJ186" s="320">
        <f t="shared" si="183"/>
        <v>4872</v>
      </c>
      <c r="AK186" s="320">
        <f t="shared" si="183"/>
        <v>4903</v>
      </c>
      <c r="AL186" s="421">
        <f t="shared" si="183"/>
        <v>4903</v>
      </c>
      <c r="AM186" s="31">
        <f t="shared" si="183"/>
        <v>4903</v>
      </c>
      <c r="AN186" s="420">
        <f t="shared" si="183"/>
        <v>4903</v>
      </c>
      <c r="AO186" s="320">
        <f t="shared" si="183"/>
        <v>4903</v>
      </c>
      <c r="AP186" s="320">
        <f t="shared" si="183"/>
        <v>4903</v>
      </c>
      <c r="AQ186" s="421">
        <f t="shared" si="183"/>
        <v>4903</v>
      </c>
      <c r="AR186" s="31">
        <f t="shared" si="183"/>
        <v>4903</v>
      </c>
      <c r="AS186" s="420">
        <f t="shared" si="183"/>
        <v>4903</v>
      </c>
      <c r="AT186" s="320">
        <f t="shared" si="183"/>
        <v>4903</v>
      </c>
      <c r="AU186" s="320">
        <f t="shared" si="183"/>
        <v>3709</v>
      </c>
      <c r="AV186" s="421">
        <f>AV225+AV245+AV391+AV357</f>
        <v>3709</v>
      </c>
      <c r="AW186" s="31">
        <f>AW225+AW245+AW391+AW357</f>
        <v>3709</v>
      </c>
      <c r="AX186" s="420">
        <f>AX225+AX245+AX391+AX357+AX411</f>
        <v>3709</v>
      </c>
      <c r="AY186" s="320">
        <f>AY225+AY245+AY391+AY357+AY411</f>
        <v>4464</v>
      </c>
      <c r="AZ186" s="320">
        <f>AZ225+AZ245+AZ391+AZ357+AZ411</f>
        <v>5004</v>
      </c>
      <c r="BA186" s="421">
        <f>BA225+BA245+BA391+BA357+BA411</f>
        <v>4464</v>
      </c>
      <c r="BB186" s="31">
        <f>BB225+BB245+BB391+BB357+BB411</f>
        <v>4464</v>
      </c>
      <c r="BC186" s="420">
        <f>BC225+BC245+BC391+BC357+BC411+BC371</f>
        <v>4464</v>
      </c>
      <c r="BD186" s="320">
        <f t="shared" ref="BD186:BL186" si="184">BD225+BD245+BD391+BD357+BD411+BD371</f>
        <v>4625.666666666667</v>
      </c>
      <c r="BE186" s="320">
        <f t="shared" si="184"/>
        <v>4949</v>
      </c>
      <c r="BF186" s="421">
        <f t="shared" si="184"/>
        <v>4949</v>
      </c>
      <c r="BG186" s="31">
        <f t="shared" si="184"/>
        <v>4949</v>
      </c>
      <c r="BH186" s="420">
        <f t="shared" si="184"/>
        <v>4949</v>
      </c>
      <c r="BI186" s="320">
        <f t="shared" si="184"/>
        <v>4949</v>
      </c>
      <c r="BJ186" s="320">
        <f t="shared" si="184"/>
        <v>4949</v>
      </c>
      <c r="BK186" s="421">
        <f t="shared" si="184"/>
        <v>4949</v>
      </c>
      <c r="BL186" s="31">
        <f t="shared" si="184"/>
        <v>4949</v>
      </c>
      <c r="BM186" s="420">
        <f>BM225+BM245+BM391+BM357+BM411+BM371</f>
        <v>4949</v>
      </c>
      <c r="BN186" s="320">
        <f>BN225+BN245+BN391+BN357+BN411+BN371</f>
        <v>4949</v>
      </c>
      <c r="BO186" s="320">
        <f>BO225+BO245+BO391+BO357+BO411+BO371</f>
        <v>4949</v>
      </c>
      <c r="BP186" s="421">
        <f>BP225+BP245+BP391+BP357+BP411+BP371</f>
        <v>4949</v>
      </c>
      <c r="BQ186" s="31">
        <f>BQ225+BQ245+BQ391+BQ357+BQ411+BQ371</f>
        <v>4949</v>
      </c>
      <c r="CM186" s="1602"/>
      <c r="CN186" s="1598"/>
      <c r="CO186" s="1725"/>
    </row>
    <row r="187" spans="1:100" s="2" customFormat="1" ht="13.5" customHeight="1">
      <c r="A187" s="1523"/>
      <c r="C187" s="565" t="s">
        <v>224</v>
      </c>
      <c r="D187" s="37"/>
      <c r="E187" s="365"/>
      <c r="F187" s="6"/>
      <c r="G187" s="6"/>
      <c r="H187" s="366"/>
      <c r="J187" s="365"/>
      <c r="K187" s="6"/>
      <c r="L187" s="6"/>
      <c r="M187" s="366"/>
      <c r="O187" s="365"/>
      <c r="P187" s="6"/>
      <c r="Q187" s="6"/>
      <c r="R187" s="366"/>
      <c r="T187" s="420"/>
      <c r="U187" s="320"/>
      <c r="V187" s="320"/>
      <c r="W187" s="421"/>
      <c r="X187" s="31"/>
      <c r="Y187" s="420">
        <f>+Y264+Y278+Y304+Y344+Y331</f>
        <v>4028</v>
      </c>
      <c r="Z187" s="320">
        <f>+Z264+Z278+Z304+Z344+Z331</f>
        <v>4028</v>
      </c>
      <c r="AA187" s="320">
        <f>+AA264+AA278+AA304+AA344+AA331</f>
        <v>4028</v>
      </c>
      <c r="AB187" s="421">
        <f>+AB264+AB278+AB304+AB344+AB331</f>
        <v>4028</v>
      </c>
      <c r="AC187" s="31">
        <f t="shared" ref="AC187:AU187" si="185">+AC264+AC278+AC304+AC344+AC331</f>
        <v>4028</v>
      </c>
      <c r="AD187" s="420">
        <f>+AD264+AD278+AD304+AD344+AD331</f>
        <v>4028</v>
      </c>
      <c r="AE187" s="320">
        <f>+AE264+AE278+AE304+AE344+AE331</f>
        <v>4028</v>
      </c>
      <c r="AF187" s="320">
        <f t="shared" si="185"/>
        <v>4028</v>
      </c>
      <c r="AG187" s="421">
        <f t="shared" si="185"/>
        <v>4028</v>
      </c>
      <c r="AH187" s="31">
        <f t="shared" si="185"/>
        <v>4028</v>
      </c>
      <c r="AI187" s="420">
        <f t="shared" si="185"/>
        <v>4028</v>
      </c>
      <c r="AJ187" s="320">
        <f t="shared" si="185"/>
        <v>4028</v>
      </c>
      <c r="AK187" s="320">
        <f t="shared" si="185"/>
        <v>2265</v>
      </c>
      <c r="AL187" s="421">
        <f t="shared" si="185"/>
        <v>2265</v>
      </c>
      <c r="AM187" s="31">
        <f t="shared" si="185"/>
        <v>2265</v>
      </c>
      <c r="AN187" s="420">
        <f t="shared" si="185"/>
        <v>2265</v>
      </c>
      <c r="AO187" s="320">
        <f t="shared" si="185"/>
        <v>2265</v>
      </c>
      <c r="AP187" s="320">
        <f>+AP264+AP278+AP304+AP344+AP331</f>
        <v>2279.5</v>
      </c>
      <c r="AQ187" s="421">
        <f t="shared" si="185"/>
        <v>2279.5</v>
      </c>
      <c r="AR187" s="31">
        <f t="shared" si="185"/>
        <v>2279.5</v>
      </c>
      <c r="AS187" s="420">
        <f t="shared" si="185"/>
        <v>2279.5</v>
      </c>
      <c r="AT187" s="320">
        <f t="shared" si="185"/>
        <v>2279.5</v>
      </c>
      <c r="AU187" s="320">
        <f t="shared" si="185"/>
        <v>2279.5</v>
      </c>
      <c r="AV187" s="421">
        <f>+AV264+AV278+AV304+AV344+AV331</f>
        <v>2279.5</v>
      </c>
      <c r="AW187" s="31">
        <f>+AW264+AW278+AW304+AW344+AW331</f>
        <v>2279.5</v>
      </c>
      <c r="AX187" s="420">
        <f t="shared" ref="AX187:BL187" si="186">+AX264+AX278+AX304+AX344+AX331</f>
        <v>2279.5</v>
      </c>
      <c r="AY187" s="320">
        <f t="shared" si="186"/>
        <v>2279.5</v>
      </c>
      <c r="AZ187" s="320">
        <f>+AZ264+AZ278+AZ304+AZ344+AZ331</f>
        <v>1819.5</v>
      </c>
      <c r="BA187" s="421">
        <f t="shared" si="186"/>
        <v>2279.5</v>
      </c>
      <c r="BB187" s="31">
        <f t="shared" si="186"/>
        <v>2279.5</v>
      </c>
      <c r="BC187" s="420">
        <f t="shared" si="186"/>
        <v>2279.5</v>
      </c>
      <c r="BD187" s="320">
        <f t="shared" si="186"/>
        <v>2279.5</v>
      </c>
      <c r="BE187" s="320">
        <f t="shared" si="186"/>
        <v>2279.5</v>
      </c>
      <c r="BF187" s="421">
        <f t="shared" si="186"/>
        <v>2279.5</v>
      </c>
      <c r="BG187" s="31">
        <f t="shared" si="186"/>
        <v>2279.5</v>
      </c>
      <c r="BH187" s="420">
        <f t="shared" si="186"/>
        <v>2279.5</v>
      </c>
      <c r="BI187" s="320">
        <f t="shared" si="186"/>
        <v>2279.5</v>
      </c>
      <c r="BJ187" s="320">
        <f t="shared" si="186"/>
        <v>2279.5</v>
      </c>
      <c r="BK187" s="421">
        <f t="shared" si="186"/>
        <v>2279.5</v>
      </c>
      <c r="BL187" s="31">
        <f t="shared" si="186"/>
        <v>2279.5</v>
      </c>
      <c r="BM187" s="420">
        <f>+BM264+BM278+BM304+BM344+BM331</f>
        <v>2279.5</v>
      </c>
      <c r="BN187" s="320">
        <f>+BN264+BN278+BN304+BN344+BN331</f>
        <v>2279.5</v>
      </c>
      <c r="BO187" s="320">
        <f>+BO264+BO278+BO304+BO344+BO331</f>
        <v>2279.5</v>
      </c>
      <c r="BP187" s="421">
        <f>+BP264+BP278+BP304+BP344+BP331</f>
        <v>2279.5</v>
      </c>
      <c r="BQ187" s="31">
        <f>+BQ264+BQ278+BQ304+BQ344+BQ331</f>
        <v>2279.5</v>
      </c>
      <c r="CM187" s="1602" t="s">
        <v>854</v>
      </c>
      <c r="CN187" s="1598"/>
      <c r="CO187" s="1725">
        <v>10</v>
      </c>
      <c r="CQ187" s="260"/>
      <c r="CU187" s="2">
        <f>10987.4-4398.5</f>
        <v>6588.9</v>
      </c>
      <c r="CV187" s="2">
        <v>10987.4</v>
      </c>
    </row>
    <row r="188" spans="1:100" s="2" customFormat="1" ht="13.5" customHeight="1">
      <c r="A188" s="1523"/>
      <c r="C188" s="610" t="s">
        <v>449</v>
      </c>
      <c r="D188" s="37"/>
      <c r="E188" s="365"/>
      <c r="F188" s="6"/>
      <c r="G188" s="6"/>
      <c r="H188" s="366"/>
      <c r="J188" s="365"/>
      <c r="K188" s="6"/>
      <c r="L188" s="6"/>
      <c r="M188" s="366"/>
      <c r="O188" s="365"/>
      <c r="P188" s="6"/>
      <c r="Q188" s="6"/>
      <c r="R188" s="366"/>
      <c r="T188" s="407"/>
      <c r="U188" s="349"/>
      <c r="V188" s="349"/>
      <c r="W188" s="408"/>
      <c r="X188" s="608"/>
      <c r="Y188" s="407">
        <f t="shared" ref="Y188:AR188" si="187">SUM(Y185:Y187)</f>
        <v>13274</v>
      </c>
      <c r="Z188" s="349">
        <f t="shared" si="187"/>
        <v>13274</v>
      </c>
      <c r="AA188" s="349">
        <f t="shared" si="187"/>
        <v>13274</v>
      </c>
      <c r="AB188" s="408">
        <f t="shared" si="187"/>
        <v>13274</v>
      </c>
      <c r="AC188" s="608">
        <f t="shared" si="187"/>
        <v>13274</v>
      </c>
      <c r="AD188" s="407">
        <f>SUM(AD185:AD187)</f>
        <v>13274</v>
      </c>
      <c r="AE188" s="349">
        <f>SUM(AE185:AE187)</f>
        <v>13274</v>
      </c>
      <c r="AF188" s="349">
        <f t="shared" si="187"/>
        <v>13337</v>
      </c>
      <c r="AG188" s="408">
        <f t="shared" si="187"/>
        <v>13337</v>
      </c>
      <c r="AH188" s="608">
        <f t="shared" si="187"/>
        <v>13337</v>
      </c>
      <c r="AI188" s="407">
        <f t="shared" si="187"/>
        <v>13337</v>
      </c>
      <c r="AJ188" s="349">
        <f t="shared" si="187"/>
        <v>13337</v>
      </c>
      <c r="AK188" s="349">
        <f t="shared" si="187"/>
        <v>11605</v>
      </c>
      <c r="AL188" s="408">
        <f t="shared" si="187"/>
        <v>11605</v>
      </c>
      <c r="AM188" s="608">
        <f t="shared" si="187"/>
        <v>11605</v>
      </c>
      <c r="AN188" s="407">
        <f t="shared" si="187"/>
        <v>11605</v>
      </c>
      <c r="AO188" s="349">
        <f t="shared" si="187"/>
        <v>11605</v>
      </c>
      <c r="AP188" s="349">
        <f t="shared" si="187"/>
        <v>11749.5</v>
      </c>
      <c r="AQ188" s="408">
        <f t="shared" si="187"/>
        <v>11749.5</v>
      </c>
      <c r="AR188" s="608">
        <f t="shared" si="187"/>
        <v>11749.5</v>
      </c>
      <c r="AS188" s="407">
        <f t="shared" ref="AS188:BB188" si="188">SUM(AS185:AS187)</f>
        <v>11749.5</v>
      </c>
      <c r="AT188" s="349">
        <f t="shared" si="188"/>
        <v>11749.5</v>
      </c>
      <c r="AU188" s="349">
        <f t="shared" si="188"/>
        <v>10555.5</v>
      </c>
      <c r="AV188" s="408">
        <f t="shared" si="188"/>
        <v>10555.5</v>
      </c>
      <c r="AW188" s="608">
        <f t="shared" si="188"/>
        <v>10555.5</v>
      </c>
      <c r="AX188" s="407">
        <f>SUM(AX185:AX187)</f>
        <v>10555.5</v>
      </c>
      <c r="AY188" s="349">
        <f>SUM(AY185:AY187)</f>
        <v>11310.5</v>
      </c>
      <c r="AZ188" s="349">
        <f>SUM(AZ185:AZ187)</f>
        <v>11390.5</v>
      </c>
      <c r="BA188" s="408">
        <f>SUM(BA185:BA187)</f>
        <v>11310.5</v>
      </c>
      <c r="BB188" s="608">
        <f t="shared" si="188"/>
        <v>11310.5</v>
      </c>
      <c r="BC188" s="407">
        <f t="shared" ref="BC188:BL188" si="189">SUM(BC185:BC187)</f>
        <v>11310.5</v>
      </c>
      <c r="BD188" s="349">
        <f t="shared" si="189"/>
        <v>11472.166666666668</v>
      </c>
      <c r="BE188" s="349">
        <f t="shared" si="189"/>
        <v>11795.5</v>
      </c>
      <c r="BF188" s="408">
        <f t="shared" si="189"/>
        <v>11795.5</v>
      </c>
      <c r="BG188" s="608">
        <f t="shared" si="189"/>
        <v>11795.5</v>
      </c>
      <c r="BH188" s="407">
        <f t="shared" si="189"/>
        <v>11795.5</v>
      </c>
      <c r="BI188" s="349">
        <f t="shared" si="189"/>
        <v>11795.5</v>
      </c>
      <c r="BJ188" s="349">
        <f t="shared" si="189"/>
        <v>11795.5</v>
      </c>
      <c r="BK188" s="408">
        <f t="shared" si="189"/>
        <v>11795.5</v>
      </c>
      <c r="BL188" s="608">
        <f t="shared" si="189"/>
        <v>11795.5</v>
      </c>
      <c r="BM188" s="407">
        <f>SUM(BM185:BM187)</f>
        <v>11795.5</v>
      </c>
      <c r="BN188" s="349">
        <f>SUM(BN185:BN187)</f>
        <v>11795.5</v>
      </c>
      <c r="BO188" s="349">
        <f>SUM(BO185:BO187)</f>
        <v>11795.5</v>
      </c>
      <c r="BP188" s="408">
        <f>SUM(BP185:BP187)</f>
        <v>11795.5</v>
      </c>
      <c r="BQ188" s="608">
        <f>SUM(BQ185:BQ187)</f>
        <v>11795.5</v>
      </c>
      <c r="CM188" s="1603" t="s">
        <v>856</v>
      </c>
      <c r="CN188" s="1587"/>
      <c r="CO188" s="1726">
        <f>+CO187*CO185</f>
        <v>36.662999999999997</v>
      </c>
      <c r="CU188" s="2">
        <f>42780378-20905859</f>
        <v>21874519</v>
      </c>
      <c r="CV188" s="2">
        <v>42780378</v>
      </c>
    </row>
    <row r="189" spans="1:100" s="2" customFormat="1" ht="13.5" customHeight="1">
      <c r="A189" s="1523"/>
      <c r="C189" s="610"/>
      <c r="D189" s="37"/>
      <c r="E189" s="365"/>
      <c r="F189" s="6"/>
      <c r="G189" s="6"/>
      <c r="H189" s="366"/>
      <c r="J189" s="365"/>
      <c r="K189" s="6"/>
      <c r="L189" s="6"/>
      <c r="M189" s="366"/>
      <c r="O189" s="365"/>
      <c r="P189" s="6"/>
      <c r="Q189" s="6"/>
      <c r="R189" s="366"/>
      <c r="T189" s="407"/>
      <c r="U189" s="349"/>
      <c r="V189" s="349"/>
      <c r="W189" s="408"/>
      <c r="X189" s="608"/>
      <c r="Y189" s="407"/>
      <c r="Z189" s="349"/>
      <c r="AA189" s="349"/>
      <c r="AB189" s="408"/>
      <c r="AC189" s="608"/>
      <c r="AD189" s="407"/>
      <c r="AE189" s="349"/>
      <c r="AF189" s="349"/>
      <c r="AG189" s="408"/>
      <c r="AH189" s="608"/>
      <c r="AI189" s="407"/>
      <c r="AJ189" s="349"/>
      <c r="AK189" s="349"/>
      <c r="AL189" s="408"/>
      <c r="AM189" s="608"/>
      <c r="AN189" s="407"/>
      <c r="AO189" s="349"/>
      <c r="AP189" s="349"/>
      <c r="AQ189" s="408"/>
      <c r="AR189" s="608"/>
      <c r="AS189" s="407"/>
      <c r="AT189" s="349"/>
      <c r="AU189" s="349"/>
      <c r="AV189" s="408"/>
      <c r="AW189" s="608"/>
      <c r="AX189" s="407"/>
      <c r="AY189" s="349"/>
      <c r="AZ189" s="349"/>
      <c r="BA189" s="408"/>
      <c r="BB189" s="608"/>
      <c r="BC189" s="407"/>
      <c r="BD189" s="349"/>
      <c r="BE189" s="349"/>
      <c r="BF189" s="408"/>
      <c r="BG189" s="608"/>
      <c r="BH189" s="407"/>
      <c r="BI189" s="349"/>
      <c r="BJ189" s="349"/>
      <c r="BK189" s="408"/>
      <c r="BL189" s="608"/>
      <c r="BM189" s="407"/>
      <c r="BN189" s="349"/>
      <c r="BO189" s="349"/>
      <c r="BP189" s="408"/>
      <c r="BQ189" s="608"/>
      <c r="CM189" s="1603" t="s">
        <v>855</v>
      </c>
      <c r="CN189" s="1587"/>
      <c r="CO189" s="1727">
        <f>CO188*0.79/BB38</f>
        <v>5.7015295275590551E-2</v>
      </c>
      <c r="CU189" s="2">
        <f>CU188/365</f>
        <v>59930.189041095888</v>
      </c>
      <c r="CV189" s="2">
        <f>CV188/365/24</f>
        <v>4883.6047945205482</v>
      </c>
    </row>
    <row r="190" spans="1:100" s="2" customFormat="1" ht="13.5" customHeight="1">
      <c r="C190" s="718" t="s">
        <v>129</v>
      </c>
      <c r="D190" s="37"/>
      <c r="E190" s="365"/>
      <c r="F190" s="6"/>
      <c r="G190" s="6"/>
      <c r="H190" s="366"/>
      <c r="J190" s="365"/>
      <c r="K190" s="6"/>
      <c r="L190" s="6"/>
      <c r="M190" s="366"/>
      <c r="O190" s="365"/>
      <c r="P190" s="6"/>
      <c r="Q190" s="6"/>
      <c r="R190" s="366"/>
      <c r="T190" s="407"/>
      <c r="U190" s="349"/>
      <c r="V190" s="349"/>
      <c r="W190" s="408"/>
      <c r="X190" s="608"/>
      <c r="Y190" s="407"/>
      <c r="Z190" s="349"/>
      <c r="AA190" s="349"/>
      <c r="AB190" s="408"/>
      <c r="AC190" s="608"/>
      <c r="AD190" s="407"/>
      <c r="AE190" s="349"/>
      <c r="AF190" s="349"/>
      <c r="AG190" s="408"/>
      <c r="AH190" s="608"/>
      <c r="AI190" s="407"/>
      <c r="AJ190" s="349"/>
      <c r="AK190" s="349"/>
      <c r="AL190" s="408"/>
      <c r="AM190" s="608"/>
      <c r="AN190" s="407"/>
      <c r="AO190" s="349"/>
      <c r="AP190" s="349"/>
      <c r="AQ190" s="408"/>
      <c r="AR190" s="608"/>
      <c r="AS190" s="407"/>
      <c r="AT190" s="349"/>
      <c r="AU190" s="349"/>
      <c r="AV190" s="408"/>
      <c r="AW190" s="608"/>
      <c r="AX190" s="407"/>
      <c r="AY190" s="349"/>
      <c r="AZ190" s="349"/>
      <c r="BA190" s="408"/>
      <c r="BB190" s="608"/>
      <c r="BC190" s="407"/>
      <c r="BD190" s="349"/>
      <c r="BE190" s="349"/>
      <c r="BF190" s="408"/>
      <c r="BG190" s="608"/>
      <c r="BH190" s="407"/>
      <c r="BI190" s="349"/>
      <c r="BJ190" s="349"/>
      <c r="BK190" s="408"/>
      <c r="BL190" s="608"/>
      <c r="BM190" s="407"/>
      <c r="BN190" s="349"/>
      <c r="BO190" s="349"/>
      <c r="BP190" s="408"/>
      <c r="BQ190" s="608"/>
      <c r="CM190" s="1604" t="s">
        <v>1067</v>
      </c>
      <c r="CN190" s="1605"/>
      <c r="CO190" s="1728">
        <v>1.9397959283014944E-2</v>
      </c>
      <c r="CU190" s="2">
        <f>CU189/24</f>
        <v>2497.0912100456621</v>
      </c>
      <c r="CV190" s="2">
        <f>CV189/CV187</f>
        <v>0.44447319607191405</v>
      </c>
    </row>
    <row r="191" spans="1:100" s="2" customFormat="1" ht="13.5" customHeight="1">
      <c r="A191" s="1523"/>
      <c r="C191" s="565" t="s">
        <v>832</v>
      </c>
      <c r="D191" s="37"/>
      <c r="E191" s="365"/>
      <c r="F191" s="6"/>
      <c r="G191" s="6"/>
      <c r="H191" s="366"/>
      <c r="J191" s="365"/>
      <c r="K191" s="6"/>
      <c r="L191" s="6"/>
      <c r="M191" s="366"/>
      <c r="O191" s="365"/>
      <c r="P191" s="6"/>
      <c r="Q191" s="6"/>
      <c r="R191" s="366"/>
      <c r="T191" s="418"/>
      <c r="U191" s="353"/>
      <c r="V191" s="353"/>
      <c r="W191" s="419"/>
      <c r="X191" s="589"/>
      <c r="Y191" s="418">
        <f t="shared" ref="Y191:AO191" si="190">(Y278+Y291+Y304+Y318+Y225+Y245+Y264)*(1/3)*$BS$193</f>
        <v>3462</v>
      </c>
      <c r="Z191" s="353">
        <f t="shared" si="190"/>
        <v>3462</v>
      </c>
      <c r="AA191" s="353">
        <f t="shared" si="190"/>
        <v>3462</v>
      </c>
      <c r="AB191" s="419">
        <f t="shared" si="190"/>
        <v>3462</v>
      </c>
      <c r="AC191" s="589">
        <f t="shared" si="190"/>
        <v>3462</v>
      </c>
      <c r="AD191" s="418">
        <f t="shared" si="190"/>
        <v>3462</v>
      </c>
      <c r="AE191" s="353">
        <f t="shared" si="190"/>
        <v>3462</v>
      </c>
      <c r="AF191" s="353">
        <f t="shared" si="190"/>
        <v>3480.9</v>
      </c>
      <c r="AG191" s="419">
        <f t="shared" si="190"/>
        <v>3480.9</v>
      </c>
      <c r="AH191" s="589">
        <f t="shared" si="190"/>
        <v>3480.9</v>
      </c>
      <c r="AI191" s="418">
        <f t="shared" si="190"/>
        <v>3480.9</v>
      </c>
      <c r="AJ191" s="353">
        <f t="shared" si="190"/>
        <v>3480.9</v>
      </c>
      <c r="AK191" s="353">
        <f t="shared" si="190"/>
        <v>2961.2999999999997</v>
      </c>
      <c r="AL191" s="419">
        <f t="shared" si="190"/>
        <v>2961.2999999999997</v>
      </c>
      <c r="AM191" s="589">
        <f t="shared" si="190"/>
        <v>2961.2999999999997</v>
      </c>
      <c r="AN191" s="418">
        <f t="shared" si="190"/>
        <v>2961.2999999999997</v>
      </c>
      <c r="AO191" s="353">
        <f t="shared" si="190"/>
        <v>2961.2999999999997</v>
      </c>
      <c r="AP191" s="345">
        <f t="shared" ref="AP191:AX191" si="191">(AP278+AP291+AP304+AP318+AP225+AP245+AP264)*(1/2)*$BS$193-300</f>
        <v>4206.9750000000004</v>
      </c>
      <c r="AQ191" s="1302">
        <f t="shared" si="191"/>
        <v>4206.9750000000004</v>
      </c>
      <c r="AR191" s="864">
        <f t="shared" si="191"/>
        <v>4206.9750000000004</v>
      </c>
      <c r="AS191" s="400">
        <f t="shared" si="191"/>
        <v>4206.9750000000004</v>
      </c>
      <c r="AT191" s="345">
        <f t="shared" si="191"/>
        <v>4206.9750000000004</v>
      </c>
      <c r="AU191" s="345">
        <f t="shared" si="191"/>
        <v>3643.5750000000003</v>
      </c>
      <c r="AV191" s="1302">
        <f t="shared" si="191"/>
        <v>3643.5750000000003</v>
      </c>
      <c r="AW191" s="864">
        <f t="shared" si="191"/>
        <v>3643.5750000000003</v>
      </c>
      <c r="AX191" s="400">
        <f t="shared" si="191"/>
        <v>3643.5750000000003</v>
      </c>
      <c r="AY191" s="345">
        <f>((AX278+AX291+AX304+AX318+AX225+AX245+AX264)*(1/2))*$BS$193</f>
        <v>3943.5750000000003</v>
      </c>
      <c r="AZ191" s="345">
        <f>((AY278+AY291+AY304+AY318+AY225+AY245+AY264)*(1/2))*$BS$193</f>
        <v>3943.5750000000003</v>
      </c>
      <c r="BA191" s="1302">
        <f>((BA278+BA291+BA304+BA318+BA225+BA245+BA264)*(1/2))*$BS$193</f>
        <v>3943.5750000000003</v>
      </c>
      <c r="BB191" s="864">
        <f>BA191</f>
        <v>3943.5750000000003</v>
      </c>
      <c r="BC191" s="400">
        <f>((BC278+BC291+BC304+BC318+BC225+BC245+BC264)*(1/2))*$BS$193</f>
        <v>3943.5750000000003</v>
      </c>
      <c r="BD191" s="345">
        <f>BC191*2/3+BE191*1/3</f>
        <v>3980.0895833333334</v>
      </c>
      <c r="BE191" s="345">
        <f>((BE278+BE291+BE304+BE318+BE225+BE245+BE264)*(1/2))*$BT$193</f>
        <v>4053.1187500000001</v>
      </c>
      <c r="BF191" s="1302">
        <f>((BF278+BF291+BF304+BF318+BF225+BF245+BF264)*(1/2))*$BT$193</f>
        <v>4053.1187500000001</v>
      </c>
      <c r="BG191" s="864">
        <f>((BG278+BG291+BG304+BG318+BG225+BG245+BG264)*(1/2))*$BT$193</f>
        <v>4053.1187500000001</v>
      </c>
      <c r="BH191" s="400">
        <f>((BH278+BH291+BH304+BH318+BH225+BH245+BH264)*(1/2))*$BT$193</f>
        <v>4053.1187500000001</v>
      </c>
      <c r="BI191" s="345">
        <f>BH191*2/3+BJ191*1/3</f>
        <v>3836.4520833333336</v>
      </c>
      <c r="BJ191" s="345">
        <f>((BJ278+BJ291+BJ304+BJ318+BJ225+BJ245+BJ264)*(1/2))*$BT$193-650</f>
        <v>3403.1187500000001</v>
      </c>
      <c r="BK191" s="1302">
        <f t="shared" ref="BK191:BQ191" si="192">((BK278+BK291+BK304+BK318+BK225+BK245+BK264)*(1/2))*$BT$193-350</f>
        <v>3703.1187500000001</v>
      </c>
      <c r="BL191" s="864">
        <f t="shared" si="192"/>
        <v>3703.1187500000001</v>
      </c>
      <c r="BM191" s="400">
        <f t="shared" si="192"/>
        <v>3703.1187500000001</v>
      </c>
      <c r="BN191" s="345">
        <f t="shared" si="192"/>
        <v>3703.1187500000001</v>
      </c>
      <c r="BO191" s="345">
        <f t="shared" si="192"/>
        <v>3703.1187500000001</v>
      </c>
      <c r="BP191" s="1302">
        <f t="shared" si="192"/>
        <v>3703.1187500000001</v>
      </c>
      <c r="BQ191" s="864">
        <f t="shared" si="192"/>
        <v>3703.1187500000001</v>
      </c>
      <c r="CU191" s="2">
        <f>CU190/CU187</f>
        <v>0.37898453612069727</v>
      </c>
    </row>
    <row r="192" spans="1:100" s="2" customFormat="1" ht="13.5" customHeight="1">
      <c r="A192" s="1523"/>
      <c r="C192" s="565" t="s">
        <v>1036</v>
      </c>
      <c r="D192" s="37"/>
      <c r="E192" s="365"/>
      <c r="F192" s="6"/>
      <c r="G192" s="6"/>
      <c r="H192" s="366"/>
      <c r="J192" s="365"/>
      <c r="K192" s="6"/>
      <c r="L192" s="6"/>
      <c r="M192" s="366"/>
      <c r="O192" s="365"/>
      <c r="P192" s="6"/>
      <c r="Q192" s="6"/>
      <c r="R192" s="366"/>
      <c r="T192" s="418"/>
      <c r="U192" s="353"/>
      <c r="V192" s="353"/>
      <c r="W192" s="419"/>
      <c r="X192" s="589"/>
      <c r="Y192" s="418"/>
      <c r="Z192" s="353"/>
      <c r="AA192" s="353"/>
      <c r="AB192" s="419"/>
      <c r="AC192" s="589"/>
      <c r="AD192" s="418"/>
      <c r="AE192" s="353"/>
      <c r="AF192" s="353"/>
      <c r="AG192" s="419"/>
      <c r="AH192" s="589"/>
      <c r="AI192" s="418"/>
      <c r="AJ192" s="353"/>
      <c r="AK192" s="353"/>
      <c r="AL192" s="419"/>
      <c r="AM192" s="589"/>
      <c r="AN192" s="418"/>
      <c r="AO192" s="353"/>
      <c r="AP192" s="345"/>
      <c r="AQ192" s="1302"/>
      <c r="AR192" s="864"/>
      <c r="AS192" s="400"/>
      <c r="AT192" s="345"/>
      <c r="AU192" s="345"/>
      <c r="AV192" s="1302"/>
      <c r="AW192" s="864"/>
      <c r="AX192" s="400"/>
      <c r="AY192" s="345">
        <f>((AX278+AX291+AX304+AX318+AX225+AX245+AX264)*(1/2)+AX411-776-755)*$BS$193</f>
        <v>2565.6750000000002</v>
      </c>
      <c r="AZ192" s="345">
        <f>((AY278+AY291+AY304+AY318+AY225+AY245+AY264)*(1/2)+AY411-776-755)*$BS$193</f>
        <v>3245.1750000000002</v>
      </c>
      <c r="BA192" s="1302">
        <f>((BA278+BA291+BA304+BA318+BA225+BA245+BA264)*(1/2)+BA411-776-755)*$BS$193</f>
        <v>3245.1750000000002</v>
      </c>
      <c r="BB192" s="864">
        <f>BA192</f>
        <v>3245.1750000000002</v>
      </c>
      <c r="BC192" s="400">
        <f>((BC278+BC291+BC304+BC318+BC225+BC245+BC264)*(1/2)+BC411-776-755)*$BS$193</f>
        <v>3245.1750000000002</v>
      </c>
      <c r="BD192" s="345">
        <f>BC192*2/3+BE192*1/3</f>
        <v>3275.2229166666671</v>
      </c>
      <c r="BE192" s="345">
        <f>((BE278+BE291+BE304+BE318+BE225+BE245+BE264)*(1/2)+BE411-776-755)*$BT$193</f>
        <v>3335.3187500000004</v>
      </c>
      <c r="BF192" s="1302">
        <f>((BF278+BF291+BF304+BF318+BF225+BF245+BF264)*(1/2)+BF411-776-755)*$BT$193</f>
        <v>3335.3187500000004</v>
      </c>
      <c r="BG192" s="864">
        <f>((BG278+BG291+BG304+BG318+BG225+BG245+BG264)*(1/2)+BG411-776-755)*$BT$193</f>
        <v>3335.3187500000004</v>
      </c>
      <c r="BH192" s="400">
        <f>((BH278+BH291+BH304+BH318+BH225+BH245+BH264)*(1/2)+BH411-776-755)*$BT$193</f>
        <v>3335.3187500000004</v>
      </c>
      <c r="BI192" s="345">
        <f>BH192*2/3+BJ192*1/3</f>
        <v>3335.3187500000004</v>
      </c>
      <c r="BJ192" s="345">
        <f t="shared" ref="BJ192:BQ192" si="193">((BJ278+BJ291+BJ304+BJ318+BJ225+BJ245+BJ264)*(1/2)+BJ411-776-755)*$BT$193</f>
        <v>3335.3187500000004</v>
      </c>
      <c r="BK192" s="1302">
        <f t="shared" si="193"/>
        <v>3335.3187500000004</v>
      </c>
      <c r="BL192" s="864">
        <f t="shared" si="193"/>
        <v>3335.3187500000004</v>
      </c>
      <c r="BM192" s="400">
        <f t="shared" si="193"/>
        <v>3335.3187500000004</v>
      </c>
      <c r="BN192" s="345">
        <f t="shared" si="193"/>
        <v>3335.3187500000004</v>
      </c>
      <c r="BO192" s="345">
        <f t="shared" si="193"/>
        <v>3335.3187500000004</v>
      </c>
      <c r="BP192" s="1302">
        <f t="shared" si="193"/>
        <v>3335.3187500000004</v>
      </c>
      <c r="BQ192" s="864">
        <f t="shared" si="193"/>
        <v>3335.3187500000004</v>
      </c>
      <c r="BS192" s="37" t="s">
        <v>1037</v>
      </c>
      <c r="BT192" s="37" t="s">
        <v>1038</v>
      </c>
      <c r="CQ192" s="979"/>
    </row>
    <row r="193" spans="1:110" s="2" customFormat="1" ht="13.5" customHeight="1">
      <c r="A193" s="1523"/>
      <c r="C193" s="565" t="s">
        <v>833</v>
      </c>
      <c r="D193" s="37"/>
      <c r="E193" s="365"/>
      <c r="F193" s="6"/>
      <c r="G193" s="6"/>
      <c r="H193" s="366"/>
      <c r="J193" s="365"/>
      <c r="K193" s="6"/>
      <c r="L193" s="6"/>
      <c r="M193" s="366"/>
      <c r="O193" s="365"/>
      <c r="P193" s="6"/>
      <c r="Q193" s="6"/>
      <c r="R193" s="366"/>
      <c r="T193" s="394"/>
      <c r="U193" s="342"/>
      <c r="V193" s="342"/>
      <c r="W193" s="395"/>
      <c r="X193" s="77"/>
      <c r="Y193" s="418">
        <f t="shared" ref="Y193:AO193" si="194">(Y278+Y291+Y304+Y318+Y225+Y245+Y264)*(2/3)*$BS$193</f>
        <v>6924</v>
      </c>
      <c r="Z193" s="353">
        <f t="shared" si="194"/>
        <v>6924</v>
      </c>
      <c r="AA193" s="353">
        <f t="shared" si="194"/>
        <v>6924</v>
      </c>
      <c r="AB193" s="419">
        <f t="shared" si="194"/>
        <v>6924</v>
      </c>
      <c r="AC193" s="589">
        <f t="shared" si="194"/>
        <v>6924</v>
      </c>
      <c r="AD193" s="418">
        <f t="shared" si="194"/>
        <v>6924</v>
      </c>
      <c r="AE193" s="353">
        <f t="shared" si="194"/>
        <v>6924</v>
      </c>
      <c r="AF193" s="353">
        <f t="shared" si="194"/>
        <v>6961.8</v>
      </c>
      <c r="AG193" s="419">
        <f t="shared" si="194"/>
        <v>6961.8</v>
      </c>
      <c r="AH193" s="589">
        <f t="shared" si="194"/>
        <v>6961.8</v>
      </c>
      <c r="AI193" s="418">
        <f t="shared" si="194"/>
        <v>6961.8</v>
      </c>
      <c r="AJ193" s="353">
        <f t="shared" si="194"/>
        <v>6961.8</v>
      </c>
      <c r="AK193" s="353">
        <f t="shared" si="194"/>
        <v>5922.5999999999995</v>
      </c>
      <c r="AL193" s="419">
        <f t="shared" si="194"/>
        <v>5922.5999999999995</v>
      </c>
      <c r="AM193" s="589">
        <f t="shared" si="194"/>
        <v>5922.5999999999995</v>
      </c>
      <c r="AN193" s="418">
        <f t="shared" si="194"/>
        <v>5922.5999999999995</v>
      </c>
      <c r="AO193" s="353">
        <f t="shared" si="194"/>
        <v>5922.5999999999995</v>
      </c>
      <c r="AP193" s="345">
        <f>(AP278+AP291+AP304+AP318+AP225+AP245+AP264)*(1/2)*$BS$193</f>
        <v>4506.9750000000004</v>
      </c>
      <c r="AQ193" s="1302">
        <f>(AQ278+AQ291+AQ304+AQ318+AQ225+AQ245+AQ264)*(1/2)*$BS$193</f>
        <v>4506.9750000000004</v>
      </c>
      <c r="AR193" s="864">
        <f>(AR278+AR291+AR304+AR318+AR225+AR245+AR264)*(1/2)*$BS$193</f>
        <v>4506.9750000000004</v>
      </c>
      <c r="AS193" s="400">
        <f>(AS278+AS291+AS304+AS318+AS225+AS245+AS264)*(1/2)*$BS$193</f>
        <v>4506.9750000000004</v>
      </c>
      <c r="AT193" s="345">
        <f>(AT278+AT291+AT304+AT318+AT225+AT245+AT264)*(1/2)*$BS$193</f>
        <v>4506.9750000000004</v>
      </c>
      <c r="AU193" s="345">
        <f>(AU278+AU291+AU304+AU318+AU225+AU245+AU264)*(1/2)*$BS$193+1100</f>
        <v>5043.5750000000007</v>
      </c>
      <c r="AV193" s="1302">
        <f>(AV278+AV291+AV304+AV318+AV225+AV245+AV264)*(1/2)*$BS$193+1100</f>
        <v>5043.5750000000007</v>
      </c>
      <c r="AW193" s="864">
        <f>(AW278+AW291+AW304+AW318+AW225+AW245+AW264)*(1/2)*$BS$193+1100</f>
        <v>5043.5750000000007</v>
      </c>
      <c r="AX193" s="400">
        <f>(AX278+AX291+AX304+AX318+AX225+AX245+AX264)*(1/2)*$BS$193+1100</f>
        <v>5043.5750000000007</v>
      </c>
      <c r="AY193" s="345">
        <f>(776+755)*0.95</f>
        <v>1454.45</v>
      </c>
      <c r="AZ193" s="345">
        <f>(776+755)*0.95</f>
        <v>1454.45</v>
      </c>
      <c r="BA193" s="1302">
        <f>(776+755)*0.95</f>
        <v>1454.45</v>
      </c>
      <c r="BB193" s="864">
        <f>BA193</f>
        <v>1454.45</v>
      </c>
      <c r="BC193" s="400">
        <f>(776+755)*0.95</f>
        <v>1454.45</v>
      </c>
      <c r="BD193" s="345">
        <f>BC193*2/3+BE193*1/3</f>
        <v>1454.45</v>
      </c>
      <c r="BE193" s="345">
        <f>(776+755)*0.95</f>
        <v>1454.45</v>
      </c>
      <c r="BF193" s="1302">
        <f>(776+755)*0.95</f>
        <v>1454.45</v>
      </c>
      <c r="BG193" s="864">
        <f>(776+755)*0.95</f>
        <v>1454.45</v>
      </c>
      <c r="BH193" s="400">
        <f>(776+755)*0.95</f>
        <v>1454.45</v>
      </c>
      <c r="BI193" s="345">
        <f>BH193*2/3+BJ193*1/3</f>
        <v>1304.45</v>
      </c>
      <c r="BJ193" s="345">
        <f>(776+755)*0.95-450</f>
        <v>1004.45</v>
      </c>
      <c r="BK193" s="1302">
        <f t="shared" ref="BK193:BQ193" si="195">(776+755)*0.95-750</f>
        <v>704.45</v>
      </c>
      <c r="BL193" s="864">
        <f t="shared" si="195"/>
        <v>704.45</v>
      </c>
      <c r="BM193" s="400">
        <f t="shared" si="195"/>
        <v>704.45</v>
      </c>
      <c r="BN193" s="345">
        <f t="shared" si="195"/>
        <v>704.45</v>
      </c>
      <c r="BO193" s="345">
        <f t="shared" si="195"/>
        <v>704.45</v>
      </c>
      <c r="BP193" s="1302">
        <f t="shared" si="195"/>
        <v>704.45</v>
      </c>
      <c r="BQ193" s="864">
        <f t="shared" si="195"/>
        <v>704.45</v>
      </c>
      <c r="BS193" s="1211">
        <v>0.9</v>
      </c>
      <c r="BT193" s="1211">
        <v>0.92500000000000004</v>
      </c>
    </row>
    <row r="194" spans="1:110" s="2" customFormat="1" ht="13.5" customHeight="1">
      <c r="A194" s="1523"/>
      <c r="C194" s="565" t="s">
        <v>373</v>
      </c>
      <c r="D194" s="37"/>
      <c r="E194" s="365"/>
      <c r="F194" s="6"/>
      <c r="G194" s="6"/>
      <c r="H194" s="366"/>
      <c r="J194" s="365"/>
      <c r="K194" s="6"/>
      <c r="L194" s="6"/>
      <c r="M194" s="366"/>
      <c r="O194" s="365"/>
      <c r="P194" s="6"/>
      <c r="Q194" s="6"/>
      <c r="R194" s="366"/>
      <c r="T194" s="394"/>
      <c r="U194" s="342"/>
      <c r="V194" s="342"/>
      <c r="W194" s="395"/>
      <c r="X194" s="77"/>
      <c r="Y194" s="394">
        <f t="shared" ref="Y194:AR194" si="196">+Y391</f>
        <v>756</v>
      </c>
      <c r="Z194" s="342">
        <f t="shared" si="196"/>
        <v>756</v>
      </c>
      <c r="AA194" s="342">
        <f t="shared" si="196"/>
        <v>756</v>
      </c>
      <c r="AB194" s="395">
        <f t="shared" si="196"/>
        <v>756</v>
      </c>
      <c r="AC194" s="77">
        <f t="shared" si="196"/>
        <v>756</v>
      </c>
      <c r="AD194" s="394">
        <f>+AD391</f>
        <v>756</v>
      </c>
      <c r="AE194" s="342">
        <f>+AE391</f>
        <v>756</v>
      </c>
      <c r="AF194" s="342">
        <f t="shared" si="196"/>
        <v>756</v>
      </c>
      <c r="AG194" s="395">
        <f t="shared" si="196"/>
        <v>756</v>
      </c>
      <c r="AH194" s="77">
        <f t="shared" si="196"/>
        <v>756</v>
      </c>
      <c r="AI194" s="394">
        <f t="shared" si="196"/>
        <v>756</v>
      </c>
      <c r="AJ194" s="342">
        <f t="shared" si="196"/>
        <v>756</v>
      </c>
      <c r="AK194" s="342">
        <f t="shared" si="196"/>
        <v>756</v>
      </c>
      <c r="AL194" s="395">
        <f t="shared" si="196"/>
        <v>756</v>
      </c>
      <c r="AM194" s="77">
        <f t="shared" si="196"/>
        <v>756</v>
      </c>
      <c r="AN194" s="394">
        <f t="shared" si="196"/>
        <v>756</v>
      </c>
      <c r="AO194" s="342">
        <f t="shared" si="196"/>
        <v>756</v>
      </c>
      <c r="AP194" s="342">
        <f t="shared" si="196"/>
        <v>756</v>
      </c>
      <c r="AQ194" s="395">
        <f t="shared" si="196"/>
        <v>756</v>
      </c>
      <c r="AR194" s="77">
        <f t="shared" si="196"/>
        <v>756</v>
      </c>
      <c r="AS194" s="394">
        <f t="shared" ref="AS194:BB194" si="197">+AS391</f>
        <v>756</v>
      </c>
      <c r="AT194" s="342">
        <f t="shared" si="197"/>
        <v>756</v>
      </c>
      <c r="AU194" s="342">
        <f t="shared" si="197"/>
        <v>814</v>
      </c>
      <c r="AV194" s="395">
        <f t="shared" si="197"/>
        <v>814</v>
      </c>
      <c r="AW194" s="77">
        <f t="shared" si="197"/>
        <v>814</v>
      </c>
      <c r="AX194" s="394">
        <f t="shared" si="197"/>
        <v>814</v>
      </c>
      <c r="AY194" s="342">
        <f t="shared" si="197"/>
        <v>814</v>
      </c>
      <c r="AZ194" s="342">
        <f>+AZ391</f>
        <v>814</v>
      </c>
      <c r="BA194" s="395">
        <f t="shared" si="197"/>
        <v>814</v>
      </c>
      <c r="BB194" s="77">
        <f t="shared" si="197"/>
        <v>814</v>
      </c>
      <c r="BC194" s="394">
        <f t="shared" ref="BC194:BL194" si="198">+BC391</f>
        <v>814</v>
      </c>
      <c r="BD194" s="342">
        <f t="shared" si="198"/>
        <v>814</v>
      </c>
      <c r="BE194" s="342">
        <f t="shared" si="198"/>
        <v>814</v>
      </c>
      <c r="BF194" s="395">
        <f t="shared" si="198"/>
        <v>814</v>
      </c>
      <c r="BG194" s="77">
        <f t="shared" si="198"/>
        <v>814</v>
      </c>
      <c r="BH194" s="394">
        <f t="shared" si="198"/>
        <v>814</v>
      </c>
      <c r="BI194" s="342">
        <f t="shared" si="198"/>
        <v>814</v>
      </c>
      <c r="BJ194" s="342">
        <f t="shared" si="198"/>
        <v>814</v>
      </c>
      <c r="BK194" s="395">
        <f t="shared" si="198"/>
        <v>814</v>
      </c>
      <c r="BL194" s="77">
        <f t="shared" si="198"/>
        <v>814</v>
      </c>
      <c r="BM194" s="394">
        <f>+BM391</f>
        <v>814</v>
      </c>
      <c r="BN194" s="342">
        <f>+BN391</f>
        <v>814</v>
      </c>
      <c r="BO194" s="342">
        <f>+BO391</f>
        <v>814</v>
      </c>
      <c r="BP194" s="395">
        <f>+BP391</f>
        <v>814</v>
      </c>
      <c r="BQ194" s="77">
        <f>+BQ391</f>
        <v>814</v>
      </c>
    </row>
    <row r="195" spans="1:110" s="2" customFormat="1" ht="13.5" customHeight="1">
      <c r="A195" s="1523"/>
      <c r="C195" s="565" t="s">
        <v>511</v>
      </c>
      <c r="D195" s="37"/>
      <c r="E195" s="365"/>
      <c r="F195" s="6"/>
      <c r="G195" s="6"/>
      <c r="H195" s="366"/>
      <c r="J195" s="365"/>
      <c r="K195" s="6"/>
      <c r="L195" s="6"/>
      <c r="M195" s="366"/>
      <c r="O195" s="365"/>
      <c r="P195" s="6"/>
      <c r="Q195" s="6"/>
      <c r="R195" s="366"/>
      <c r="T195" s="394"/>
      <c r="U195" s="342"/>
      <c r="V195" s="342"/>
      <c r="W195" s="395"/>
      <c r="X195" s="77"/>
      <c r="Y195" s="394">
        <f t="shared" ref="Y195:AR195" si="199">+Y357+Y344+Y331</f>
        <v>978</v>
      </c>
      <c r="Z195" s="342">
        <f t="shared" si="199"/>
        <v>978</v>
      </c>
      <c r="AA195" s="342">
        <f t="shared" si="199"/>
        <v>978</v>
      </c>
      <c r="AB195" s="395">
        <f t="shared" si="199"/>
        <v>978</v>
      </c>
      <c r="AC195" s="77">
        <f t="shared" si="199"/>
        <v>978</v>
      </c>
      <c r="AD195" s="394">
        <f>+AD357+AD344+AD331</f>
        <v>978</v>
      </c>
      <c r="AE195" s="342">
        <f>+AE357+AE344+AE331</f>
        <v>978</v>
      </c>
      <c r="AF195" s="342">
        <f t="shared" si="199"/>
        <v>978</v>
      </c>
      <c r="AG195" s="395">
        <f t="shared" si="199"/>
        <v>978</v>
      </c>
      <c r="AH195" s="77">
        <f>+AH357+AH344+AH331</f>
        <v>978</v>
      </c>
      <c r="AI195" s="394">
        <f t="shared" si="199"/>
        <v>978</v>
      </c>
      <c r="AJ195" s="342">
        <f t="shared" si="199"/>
        <v>978</v>
      </c>
      <c r="AK195" s="342">
        <f t="shared" si="199"/>
        <v>978</v>
      </c>
      <c r="AL195" s="395">
        <f t="shared" si="199"/>
        <v>978</v>
      </c>
      <c r="AM195" s="77">
        <f t="shared" si="199"/>
        <v>978</v>
      </c>
      <c r="AN195" s="394">
        <f t="shared" si="199"/>
        <v>978</v>
      </c>
      <c r="AO195" s="342">
        <f t="shared" si="199"/>
        <v>978</v>
      </c>
      <c r="AP195" s="342">
        <f t="shared" si="199"/>
        <v>978</v>
      </c>
      <c r="AQ195" s="395">
        <f t="shared" si="199"/>
        <v>978</v>
      </c>
      <c r="AR195" s="77">
        <f t="shared" si="199"/>
        <v>978</v>
      </c>
      <c r="AS195" s="394">
        <f t="shared" ref="AS195:BB195" si="200">+AS357+AS344+AS331</f>
        <v>978</v>
      </c>
      <c r="AT195" s="342">
        <f t="shared" si="200"/>
        <v>978</v>
      </c>
      <c r="AU195" s="342">
        <f t="shared" si="200"/>
        <v>978</v>
      </c>
      <c r="AV195" s="395">
        <f t="shared" si="200"/>
        <v>978</v>
      </c>
      <c r="AW195" s="77">
        <f t="shared" si="200"/>
        <v>978</v>
      </c>
      <c r="AX195" s="394">
        <f t="shared" si="200"/>
        <v>978</v>
      </c>
      <c r="AY195" s="342">
        <f t="shared" si="200"/>
        <v>978</v>
      </c>
      <c r="AZ195" s="342">
        <f>+AZ357+AZ344+AZ331</f>
        <v>978</v>
      </c>
      <c r="BA195" s="395">
        <f t="shared" si="200"/>
        <v>978</v>
      </c>
      <c r="BB195" s="77">
        <f t="shared" si="200"/>
        <v>978</v>
      </c>
      <c r="BC195" s="394">
        <f>+BC357+BC344+BC331</f>
        <v>978</v>
      </c>
      <c r="BD195" s="342">
        <f t="shared" ref="BD195:BL195" si="201">+BD357+BD344+BD331</f>
        <v>978</v>
      </c>
      <c r="BE195" s="342">
        <f t="shared" si="201"/>
        <v>978</v>
      </c>
      <c r="BF195" s="395">
        <f t="shared" si="201"/>
        <v>978</v>
      </c>
      <c r="BG195" s="77">
        <f t="shared" si="201"/>
        <v>978</v>
      </c>
      <c r="BH195" s="394">
        <f t="shared" si="201"/>
        <v>978</v>
      </c>
      <c r="BI195" s="342">
        <f t="shared" si="201"/>
        <v>978</v>
      </c>
      <c r="BJ195" s="342">
        <f t="shared" si="201"/>
        <v>978</v>
      </c>
      <c r="BK195" s="395">
        <f t="shared" si="201"/>
        <v>978</v>
      </c>
      <c r="BL195" s="77">
        <f t="shared" si="201"/>
        <v>978</v>
      </c>
      <c r="BM195" s="394">
        <f>+BM357+BM344+BM331</f>
        <v>978</v>
      </c>
      <c r="BN195" s="342">
        <f>+BN357+BN344+BN331</f>
        <v>978</v>
      </c>
      <c r="BO195" s="342">
        <f>+BO357+BO344+BO331</f>
        <v>978</v>
      </c>
      <c r="BP195" s="395">
        <f>+BP357+BP344+BP331</f>
        <v>978</v>
      </c>
      <c r="BQ195" s="77">
        <f>+BQ357+BQ344+BQ331</f>
        <v>978</v>
      </c>
    </row>
    <row r="196" spans="1:110" s="49" customFormat="1" ht="13.5" customHeight="1">
      <c r="C196" s="610" t="s">
        <v>449</v>
      </c>
      <c r="E196" s="663"/>
      <c r="F196" s="468"/>
      <c r="G196" s="468"/>
      <c r="H196" s="664"/>
      <c r="J196" s="663"/>
      <c r="K196" s="468"/>
      <c r="L196" s="468"/>
      <c r="M196" s="664"/>
      <c r="O196" s="663"/>
      <c r="P196" s="468"/>
      <c r="Q196" s="468"/>
      <c r="R196" s="664"/>
      <c r="T196" s="396"/>
      <c r="U196" s="343"/>
      <c r="V196" s="343"/>
      <c r="W196" s="397"/>
      <c r="X196" s="297"/>
      <c r="Y196" s="396">
        <f t="shared" ref="Y196:BL196" si="202">SUM(Y191:Y195)</f>
        <v>12120</v>
      </c>
      <c r="Z196" s="343">
        <f t="shared" si="202"/>
        <v>12120</v>
      </c>
      <c r="AA196" s="343">
        <f t="shared" si="202"/>
        <v>12120</v>
      </c>
      <c r="AB196" s="397">
        <f t="shared" si="202"/>
        <v>12120</v>
      </c>
      <c r="AC196" s="297">
        <f t="shared" si="202"/>
        <v>12120</v>
      </c>
      <c r="AD196" s="396">
        <f t="shared" si="202"/>
        <v>12120</v>
      </c>
      <c r="AE196" s="343">
        <f t="shared" si="202"/>
        <v>12120</v>
      </c>
      <c r="AF196" s="343">
        <f t="shared" si="202"/>
        <v>12176.7</v>
      </c>
      <c r="AG196" s="397">
        <f t="shared" si="202"/>
        <v>12176.7</v>
      </c>
      <c r="AH196" s="297">
        <f t="shared" si="202"/>
        <v>12176.7</v>
      </c>
      <c r="AI196" s="396">
        <f t="shared" si="202"/>
        <v>12176.7</v>
      </c>
      <c r="AJ196" s="343">
        <f t="shared" si="202"/>
        <v>12176.7</v>
      </c>
      <c r="AK196" s="343">
        <f t="shared" si="202"/>
        <v>10617.9</v>
      </c>
      <c r="AL196" s="397">
        <f t="shared" si="202"/>
        <v>10617.9</v>
      </c>
      <c r="AM196" s="297">
        <f t="shared" si="202"/>
        <v>10617.9</v>
      </c>
      <c r="AN196" s="396">
        <f t="shared" si="202"/>
        <v>10617.9</v>
      </c>
      <c r="AO196" s="343">
        <f t="shared" si="202"/>
        <v>10617.9</v>
      </c>
      <c r="AP196" s="343">
        <f t="shared" si="202"/>
        <v>10447.950000000001</v>
      </c>
      <c r="AQ196" s="397">
        <f t="shared" si="202"/>
        <v>10447.950000000001</v>
      </c>
      <c r="AR196" s="297">
        <f t="shared" si="202"/>
        <v>10447.950000000001</v>
      </c>
      <c r="AS196" s="396">
        <f t="shared" si="202"/>
        <v>10447.950000000001</v>
      </c>
      <c r="AT196" s="343">
        <f t="shared" si="202"/>
        <v>10447.950000000001</v>
      </c>
      <c r="AU196" s="343">
        <f t="shared" si="202"/>
        <v>10479.150000000001</v>
      </c>
      <c r="AV196" s="397">
        <f t="shared" si="202"/>
        <v>10479.150000000001</v>
      </c>
      <c r="AW196" s="297">
        <f t="shared" si="202"/>
        <v>10479.150000000001</v>
      </c>
      <c r="AX196" s="396">
        <f t="shared" si="202"/>
        <v>10479.150000000001</v>
      </c>
      <c r="AY196" s="343">
        <f t="shared" si="202"/>
        <v>9755.7000000000007</v>
      </c>
      <c r="AZ196" s="343">
        <f>SUM(AZ191:AZ195)</f>
        <v>10435.200000000001</v>
      </c>
      <c r="BA196" s="397">
        <f t="shared" si="202"/>
        <v>10435.200000000001</v>
      </c>
      <c r="BB196" s="297">
        <f t="shared" si="202"/>
        <v>10435.200000000001</v>
      </c>
      <c r="BC196" s="396">
        <f t="shared" si="202"/>
        <v>10435.200000000001</v>
      </c>
      <c r="BD196" s="343">
        <f t="shared" si="202"/>
        <v>10501.762500000001</v>
      </c>
      <c r="BE196" s="343">
        <f t="shared" si="202"/>
        <v>10634.887500000001</v>
      </c>
      <c r="BF196" s="397">
        <f t="shared" si="202"/>
        <v>10634.887500000001</v>
      </c>
      <c r="BG196" s="297">
        <f t="shared" si="202"/>
        <v>10634.887500000001</v>
      </c>
      <c r="BH196" s="396">
        <f t="shared" si="202"/>
        <v>10634.887500000001</v>
      </c>
      <c r="BI196" s="343">
        <f t="shared" si="202"/>
        <v>10268.220833333335</v>
      </c>
      <c r="BJ196" s="343">
        <f t="shared" si="202"/>
        <v>9534.8875000000007</v>
      </c>
      <c r="BK196" s="397">
        <f t="shared" si="202"/>
        <v>9534.8875000000007</v>
      </c>
      <c r="BL196" s="297">
        <f t="shared" si="202"/>
        <v>9534.8875000000007</v>
      </c>
      <c r="BM196" s="396">
        <f>SUM(BM191:BM195)</f>
        <v>9534.8875000000007</v>
      </c>
      <c r="BN196" s="343">
        <f>SUM(BN191:BN195)</f>
        <v>9534.8875000000007</v>
      </c>
      <c r="BO196" s="343">
        <f>SUM(BO191:BO195)</f>
        <v>9534.8875000000007</v>
      </c>
      <c r="BP196" s="397">
        <f>SUM(BP191:BP195)</f>
        <v>9534.8875000000007</v>
      </c>
      <c r="BQ196" s="297">
        <f>SUM(BQ191:BQ195)</f>
        <v>9534.8875000000007</v>
      </c>
      <c r="BS196" s="475"/>
      <c r="CM196" s="1438" t="s">
        <v>852</v>
      </c>
      <c r="CN196" s="1693"/>
      <c r="CO196" s="1693"/>
      <c r="CP196" s="1693"/>
      <c r="CQ196" s="1693"/>
      <c r="CR196" s="1693"/>
      <c r="CS196" s="1693"/>
      <c r="CT196" s="1693"/>
      <c r="CU196" s="1693"/>
      <c r="CV196" s="1694"/>
      <c r="CW196" s="1694"/>
      <c r="CX196" s="1694"/>
      <c r="CY196" s="1694"/>
      <c r="CZ196" s="1694"/>
      <c r="DA196" s="1694"/>
      <c r="DB196" s="1694"/>
      <c r="DC196" s="1694"/>
      <c r="DD196" s="1694" t="s">
        <v>1097</v>
      </c>
      <c r="DE196" s="1694" t="s">
        <v>1098</v>
      </c>
      <c r="DF196" s="1694"/>
    </row>
    <row r="197" spans="1:110" s="2" customFormat="1" ht="13.5" customHeight="1">
      <c r="A197" s="1523"/>
      <c r="C197" s="609"/>
      <c r="D197" s="37"/>
      <c r="E197" s="365"/>
      <c r="F197" s="6"/>
      <c r="G197" s="6"/>
      <c r="H197" s="366"/>
      <c r="J197" s="365"/>
      <c r="K197" s="6"/>
      <c r="L197" s="6"/>
      <c r="M197" s="366"/>
      <c r="O197" s="365"/>
      <c r="P197" s="6"/>
      <c r="Q197" s="6"/>
      <c r="R197" s="366"/>
      <c r="T197" s="407"/>
      <c r="U197" s="349"/>
      <c r="V197" s="349"/>
      <c r="W197" s="408"/>
      <c r="X197" s="608"/>
      <c r="Y197" s="407"/>
      <c r="Z197" s="349"/>
      <c r="AA197" s="349"/>
      <c r="AB197" s="408"/>
      <c r="AC197" s="608"/>
      <c r="AD197" s="407"/>
      <c r="AE197" s="349"/>
      <c r="AF197" s="349"/>
      <c r="AG197" s="408"/>
      <c r="AH197" s="608"/>
      <c r="AI197" s="407"/>
      <c r="AJ197" s="349"/>
      <c r="AK197" s="349"/>
      <c r="AL197" s="408"/>
      <c r="AM197" s="608"/>
      <c r="AN197" s="407"/>
      <c r="AO197" s="349"/>
      <c r="AP197" s="349"/>
      <c r="AQ197" s="408"/>
      <c r="AR197" s="608"/>
      <c r="AS197" s="407"/>
      <c r="AT197" s="349"/>
      <c r="AU197" s="349"/>
      <c r="AV197" s="408"/>
      <c r="AW197" s="608"/>
      <c r="AX197" s="407"/>
      <c r="AY197" s="349"/>
      <c r="AZ197" s="349"/>
      <c r="BA197" s="408"/>
      <c r="BB197" s="608"/>
      <c r="BC197" s="407"/>
      <c r="BD197" s="349"/>
      <c r="BE197" s="349"/>
      <c r="BF197" s="408"/>
      <c r="BG197" s="608"/>
      <c r="BH197" s="407"/>
      <c r="BI197" s="349"/>
      <c r="BJ197" s="349"/>
      <c r="BK197" s="408"/>
      <c r="BL197" s="608"/>
      <c r="BM197" s="407"/>
      <c r="BN197" s="349"/>
      <c r="BO197" s="349"/>
      <c r="BP197" s="408"/>
      <c r="BQ197" s="608"/>
      <c r="CM197" s="1694" t="s">
        <v>1099</v>
      </c>
      <c r="CN197" s="1448"/>
      <c r="CO197" s="1695" t="s">
        <v>914</v>
      </c>
      <c r="CP197" s="1448"/>
      <c r="CQ197" s="1694" t="s">
        <v>765</v>
      </c>
      <c r="CR197" s="1448"/>
      <c r="CS197" s="1448"/>
      <c r="CT197" s="1448"/>
      <c r="CU197" s="1448"/>
      <c r="CV197" s="1448"/>
      <c r="CW197" s="1448"/>
      <c r="CX197" s="1448"/>
      <c r="CY197" s="1448"/>
      <c r="CZ197" s="1448"/>
      <c r="DA197" s="1448"/>
      <c r="DB197" s="1448"/>
      <c r="DC197" s="1448"/>
      <c r="DD197" s="1696">
        <v>0.47499999999999998</v>
      </c>
      <c r="DE197" s="1696">
        <v>0.52500000000000002</v>
      </c>
      <c r="DF197" s="1448"/>
    </row>
    <row r="198" spans="1:110" s="2" customFormat="1" ht="13.5" customHeight="1">
      <c r="A198" s="1523"/>
      <c r="C198" s="609"/>
      <c r="D198" s="37"/>
      <c r="E198" s="6"/>
      <c r="F198" s="6"/>
      <c r="G198" s="6"/>
      <c r="H198" s="6"/>
      <c r="J198" s="365"/>
      <c r="K198" s="6"/>
      <c r="L198" s="6"/>
      <c r="M198" s="366"/>
      <c r="O198" s="365"/>
      <c r="P198" s="6"/>
      <c r="Q198" s="6"/>
      <c r="R198" s="366"/>
      <c r="T198" s="407"/>
      <c r="U198" s="349"/>
      <c r="V198" s="349"/>
      <c r="W198" s="408"/>
      <c r="X198" s="31"/>
      <c r="Y198" s="407"/>
      <c r="Z198" s="349"/>
      <c r="AA198" s="349"/>
      <c r="AB198" s="408"/>
      <c r="AC198" s="608"/>
      <c r="AD198" s="407"/>
      <c r="AE198" s="349"/>
      <c r="AF198" s="349"/>
      <c r="AG198" s="408"/>
      <c r="AH198" s="608"/>
      <c r="AI198" s="407"/>
      <c r="AJ198" s="349"/>
      <c r="AK198" s="349"/>
      <c r="AL198" s="408"/>
      <c r="AM198" s="608"/>
      <c r="AN198" s="407"/>
      <c r="AO198" s="349"/>
      <c r="AP198" s="349"/>
      <c r="AQ198" s="408"/>
      <c r="AR198" s="608"/>
      <c r="AS198" s="407"/>
      <c r="AT198" s="349"/>
      <c r="AU198" s="349"/>
      <c r="AV198" s="408"/>
      <c r="AW198" s="608"/>
      <c r="AX198" s="407"/>
      <c r="AY198" s="349"/>
      <c r="AZ198" s="349"/>
      <c r="BA198" s="408"/>
      <c r="BB198" s="608"/>
      <c r="BC198" s="407"/>
      <c r="BD198" s="349"/>
      <c r="BE198" s="349"/>
      <c r="BF198" s="408"/>
      <c r="BG198" s="608"/>
      <c r="BH198" s="407"/>
      <c r="BI198" s="349"/>
      <c r="BJ198" s="1662"/>
      <c r="BK198" s="408"/>
      <c r="BL198" s="608"/>
      <c r="BM198" s="407"/>
      <c r="BN198" s="349"/>
      <c r="BO198" s="349"/>
      <c r="BP198" s="408"/>
      <c r="BQ198" s="608"/>
      <c r="BU198" s="105" t="s">
        <v>689</v>
      </c>
      <c r="BV198" s="322"/>
      <c r="BW198" s="322"/>
      <c r="BX198" s="322"/>
      <c r="BY198" s="322"/>
      <c r="BZ198" s="322"/>
      <c r="CA198" s="322"/>
      <c r="CB198" s="322"/>
      <c r="CC198" s="322"/>
      <c r="CD198" s="322"/>
      <c r="CE198" s="322"/>
      <c r="CF198" s="322"/>
      <c r="CG198" s="322"/>
      <c r="CH198" s="322"/>
      <c r="CI198" s="322"/>
      <c r="CM198" s="1450" t="s">
        <v>850</v>
      </c>
      <c r="CN198" s="1448"/>
      <c r="CO198" s="1697">
        <f>AVERAGE(CE214:CG214)*365/(8.76*0.379)/1000</f>
        <v>19.527631193198474</v>
      </c>
      <c r="CP198" s="1448"/>
      <c r="CQ198" s="1450" t="s">
        <v>1100</v>
      </c>
      <c r="CR198" s="1448"/>
      <c r="CS198" s="1448"/>
      <c r="CT198" s="1448"/>
      <c r="CU198" s="1448"/>
      <c r="CV198" s="1448"/>
      <c r="CW198" s="1448"/>
      <c r="CX198" s="1448"/>
      <c r="CY198" s="1698" t="s">
        <v>1059</v>
      </c>
      <c r="CZ198" s="1699"/>
      <c r="DA198" s="1699"/>
      <c r="DB198" s="1699"/>
      <c r="DC198" s="1698" t="s">
        <v>1101</v>
      </c>
      <c r="DD198" s="1700" t="s">
        <v>66</v>
      </c>
      <c r="DE198" s="1700" t="s">
        <v>512</v>
      </c>
      <c r="DF198" s="1701"/>
    </row>
    <row r="199" spans="1:110" s="2" customFormat="1" ht="13.5" customHeight="1">
      <c r="A199" s="1523"/>
      <c r="B199" s="105" t="s">
        <v>233</v>
      </c>
      <c r="C199" s="19"/>
      <c r="D199" s="322"/>
      <c r="E199" s="6"/>
      <c r="F199" s="6"/>
      <c r="G199" s="6"/>
      <c r="H199" s="6"/>
      <c r="J199" s="365"/>
      <c r="K199" s="6"/>
      <c r="L199" s="6"/>
      <c r="M199" s="366"/>
      <c r="O199" s="365"/>
      <c r="P199" s="6"/>
      <c r="Q199" s="6"/>
      <c r="R199" s="366"/>
      <c r="T199" s="407"/>
      <c r="U199" s="349"/>
      <c r="V199" s="349"/>
      <c r="W199" s="408"/>
      <c r="X199" s="31"/>
      <c r="Y199" s="407"/>
      <c r="Z199" s="349"/>
      <c r="AA199" s="349"/>
      <c r="AB199" s="408"/>
      <c r="AC199" s="608"/>
      <c r="AD199" s="407"/>
      <c r="AE199" s="349"/>
      <c r="AF199" s="349"/>
      <c r="AG199" s="408"/>
      <c r="AH199" s="608"/>
      <c r="AI199" s="407"/>
      <c r="AJ199" s="349"/>
      <c r="AK199" s="349"/>
      <c r="AL199" s="408"/>
      <c r="AM199" s="608"/>
      <c r="AN199" s="407"/>
      <c r="AO199" s="349"/>
      <c r="AP199" s="349"/>
      <c r="AQ199" s="408"/>
      <c r="AR199" s="608"/>
      <c r="AS199" s="407"/>
      <c r="AT199" s="349"/>
      <c r="AU199" s="349"/>
      <c r="AV199" s="408"/>
      <c r="AW199" s="608"/>
      <c r="AX199" s="407"/>
      <c r="AY199" s="349"/>
      <c r="AZ199" s="349"/>
      <c r="BA199" s="408"/>
      <c r="BB199" s="608"/>
      <c r="BC199" s="407"/>
      <c r="BD199" s="349"/>
      <c r="BE199" s="349"/>
      <c r="BF199" s="408"/>
      <c r="BG199" s="608"/>
      <c r="BH199" s="407"/>
      <c r="BI199" s="349"/>
      <c r="BJ199" s="349"/>
      <c r="BK199" s="408"/>
      <c r="BL199" s="608"/>
      <c r="BM199" s="407"/>
      <c r="BN199" s="349"/>
      <c r="BO199" s="349"/>
      <c r="BP199" s="408"/>
      <c r="BQ199" s="608"/>
      <c r="BV199" s="49"/>
      <c r="CM199" s="1448" t="s">
        <v>853</v>
      </c>
      <c r="CN199" s="1448"/>
      <c r="CO199" s="1697">
        <f>35.42*DD197+26.36*DE197</f>
        <v>30.663499999999999</v>
      </c>
      <c r="CP199" s="1448"/>
      <c r="CQ199" s="1450" t="s">
        <v>1102</v>
      </c>
      <c r="CR199" s="1448"/>
      <c r="CS199" s="1448"/>
      <c r="CT199" s="1448"/>
      <c r="CU199" s="1448"/>
      <c r="CV199" s="1448"/>
      <c r="CW199" s="1448"/>
      <c r="CX199" s="1448"/>
      <c r="CY199" s="1702"/>
      <c r="CZ199" s="1703" t="s">
        <v>1060</v>
      </c>
      <c r="DA199" s="1704"/>
      <c r="DB199" s="1450" t="s">
        <v>1064</v>
      </c>
      <c r="DC199" s="1705" t="s">
        <v>1103</v>
      </c>
      <c r="DD199" s="1706">
        <f>36.31*DD197+26.96*DE197</f>
        <v>31.401250000000005</v>
      </c>
      <c r="DE199" s="1706">
        <f>36.13*DD197+26.59*DE197</f>
        <v>31.121500000000001</v>
      </c>
      <c r="DF199" s="1707"/>
    </row>
    <row r="200" spans="1:110" s="2" customFormat="1" ht="13.5" customHeight="1">
      <c r="A200" s="1523"/>
      <c r="C200" s="565" t="s">
        <v>857</v>
      </c>
      <c r="E200" s="365"/>
      <c r="F200" s="6"/>
      <c r="G200" s="6"/>
      <c r="H200" s="366"/>
      <c r="I200" s="37"/>
      <c r="J200" s="365"/>
      <c r="K200" s="6"/>
      <c r="L200" s="6"/>
      <c r="M200" s="366"/>
      <c r="O200" s="365"/>
      <c r="P200" s="6"/>
      <c r="Q200" s="6"/>
      <c r="R200" s="366"/>
      <c r="S200" s="265"/>
      <c r="T200" s="376"/>
      <c r="U200" s="334"/>
      <c r="V200" s="334"/>
      <c r="W200" s="377"/>
      <c r="X200" s="265"/>
      <c r="Y200" s="376"/>
      <c r="Z200" s="334"/>
      <c r="AA200" s="334"/>
      <c r="AB200" s="377"/>
      <c r="AC200" s="265"/>
      <c r="AD200" s="376">
        <f>AH200</f>
        <v>1</v>
      </c>
      <c r="AE200" s="334">
        <f t="shared" ref="AE200:AG201" si="203">AD200</f>
        <v>1</v>
      </c>
      <c r="AF200" s="334">
        <f t="shared" si="203"/>
        <v>1</v>
      </c>
      <c r="AG200" s="377">
        <f t="shared" si="203"/>
        <v>1</v>
      </c>
      <c r="AH200" s="265">
        <v>1</v>
      </c>
      <c r="AI200" s="376">
        <f>AM200</f>
        <v>1</v>
      </c>
      <c r="AJ200" s="334">
        <f t="shared" ref="AJ200:AL201" si="204">AI200</f>
        <v>1</v>
      </c>
      <c r="AK200" s="334">
        <f t="shared" si="204"/>
        <v>1</v>
      </c>
      <c r="AL200" s="377">
        <f t="shared" si="204"/>
        <v>1</v>
      </c>
      <c r="AM200" s="265">
        <v>1</v>
      </c>
      <c r="AN200" s="376">
        <f>AR200</f>
        <v>1</v>
      </c>
      <c r="AO200" s="334">
        <f t="shared" ref="AO200:AQ201" si="205">AN200</f>
        <v>1</v>
      </c>
      <c r="AP200" s="334">
        <f t="shared" si="205"/>
        <v>1</v>
      </c>
      <c r="AQ200" s="377">
        <f t="shared" si="205"/>
        <v>1</v>
      </c>
      <c r="AR200" s="265">
        <v>1</v>
      </c>
      <c r="AS200" s="376">
        <f>AW200</f>
        <v>1</v>
      </c>
      <c r="AT200" s="334">
        <f t="shared" ref="AT200:AV201" si="206">AS200</f>
        <v>1</v>
      </c>
      <c r="AU200" s="334">
        <f t="shared" si="206"/>
        <v>1</v>
      </c>
      <c r="AV200" s="377">
        <f t="shared" si="206"/>
        <v>1</v>
      </c>
      <c r="AW200" s="265">
        <v>1</v>
      </c>
      <c r="AX200" s="376">
        <f>BB200</f>
        <v>1</v>
      </c>
      <c r="AY200" s="334">
        <f>AX200</f>
        <v>1</v>
      </c>
      <c r="AZ200" s="334">
        <f>AY200</f>
        <v>1</v>
      </c>
      <c r="BA200" s="377">
        <f>AY200</f>
        <v>1</v>
      </c>
      <c r="BB200" s="265">
        <v>1</v>
      </c>
      <c r="BC200" s="1301">
        <v>0</v>
      </c>
      <c r="BD200" s="1231">
        <v>0</v>
      </c>
      <c r="BE200" s="1231">
        <v>0</v>
      </c>
      <c r="BF200" s="1232">
        <v>0</v>
      </c>
      <c r="BG200" s="265">
        <v>0.97499999999999998</v>
      </c>
      <c r="BH200" s="1301">
        <v>0</v>
      </c>
      <c r="BI200" s="1231">
        <v>0</v>
      </c>
      <c r="BJ200" s="1231">
        <v>0</v>
      </c>
      <c r="BK200" s="1232">
        <v>0</v>
      </c>
      <c r="BL200" s="265">
        <v>0.52500000000000002</v>
      </c>
      <c r="BM200" s="1301">
        <v>0</v>
      </c>
      <c r="BN200" s="1231">
        <v>0</v>
      </c>
      <c r="BO200" s="1231">
        <v>0</v>
      </c>
      <c r="BP200" s="1232">
        <v>0</v>
      </c>
      <c r="BQ200" s="265">
        <v>0</v>
      </c>
      <c r="BU200" s="49" t="s">
        <v>668</v>
      </c>
      <c r="BW200" s="49">
        <v>2012</v>
      </c>
      <c r="BX200" s="49">
        <v>2013</v>
      </c>
      <c r="BY200" s="49">
        <v>2014</v>
      </c>
      <c r="BZ200" s="49">
        <v>2015</v>
      </c>
      <c r="CA200" s="49">
        <v>2016</v>
      </c>
      <c r="CB200" s="49">
        <v>2017</v>
      </c>
      <c r="CC200" s="49">
        <v>2018</v>
      </c>
      <c r="CD200" s="49">
        <v>2019</v>
      </c>
      <c r="CE200" s="49">
        <v>2020</v>
      </c>
      <c r="CG200" s="976" t="s">
        <v>669</v>
      </c>
      <c r="CH200" s="977" t="s">
        <v>670</v>
      </c>
      <c r="CI200" s="977" t="s">
        <v>671</v>
      </c>
      <c r="CJ200" s="977" t="s">
        <v>918</v>
      </c>
      <c r="CK200" s="49" t="s">
        <v>919</v>
      </c>
      <c r="CM200" s="1448" t="s">
        <v>848</v>
      </c>
      <c r="CN200" s="1448"/>
      <c r="CO200" s="1697">
        <v>2</v>
      </c>
      <c r="CP200" s="1448"/>
      <c r="CQ200" s="1448" t="s">
        <v>842</v>
      </c>
      <c r="CR200" s="1448"/>
      <c r="CS200" s="1448"/>
      <c r="CT200" s="1448"/>
      <c r="CU200" s="1448"/>
      <c r="CV200" s="1448"/>
      <c r="CW200" s="1448"/>
      <c r="CX200" s="1448"/>
      <c r="CY200" s="1702"/>
      <c r="CZ200" s="1703" t="s">
        <v>1061</v>
      </c>
      <c r="DA200" s="1704"/>
      <c r="DB200" s="1450" t="s">
        <v>1065</v>
      </c>
      <c r="DC200" s="1705" t="s">
        <v>1104</v>
      </c>
      <c r="DD200" s="1706">
        <f>34.6*DD197+25.47*DE197</f>
        <v>29.806750000000001</v>
      </c>
      <c r="DE200" s="1706">
        <f>34.76*DD197+25.7*DE197</f>
        <v>30.003499999999999</v>
      </c>
      <c r="DF200" s="1707"/>
    </row>
    <row r="201" spans="1:110" s="2" customFormat="1" ht="13.5" customHeight="1">
      <c r="A201" s="1523"/>
      <c r="C201" s="565" t="s">
        <v>858</v>
      </c>
      <c r="E201" s="365"/>
      <c r="F201" s="6"/>
      <c r="G201" s="6"/>
      <c r="H201" s="366"/>
      <c r="I201" s="37"/>
      <c r="J201" s="365"/>
      <c r="K201" s="6"/>
      <c r="L201" s="6"/>
      <c r="M201" s="366"/>
      <c r="O201" s="365"/>
      <c r="P201" s="6"/>
      <c r="Q201" s="6"/>
      <c r="R201" s="366"/>
      <c r="S201" s="265"/>
      <c r="T201" s="376"/>
      <c r="U201" s="334"/>
      <c r="V201" s="334"/>
      <c r="W201" s="377"/>
      <c r="X201" s="265"/>
      <c r="Y201" s="376"/>
      <c r="Z201" s="334"/>
      <c r="AA201" s="334"/>
      <c r="AB201" s="377"/>
      <c r="AC201" s="265"/>
      <c r="AD201" s="376">
        <f>AH201</f>
        <v>0.4</v>
      </c>
      <c r="AE201" s="334">
        <f t="shared" si="203"/>
        <v>0.4</v>
      </c>
      <c r="AF201" s="334">
        <f t="shared" si="203"/>
        <v>0.4</v>
      </c>
      <c r="AG201" s="377">
        <f t="shared" si="203"/>
        <v>0.4</v>
      </c>
      <c r="AH201" s="265">
        <v>0.4</v>
      </c>
      <c r="AI201" s="376">
        <f>AM201</f>
        <v>0.42499999999999999</v>
      </c>
      <c r="AJ201" s="334">
        <f t="shared" si="204"/>
        <v>0.42499999999999999</v>
      </c>
      <c r="AK201" s="334">
        <f t="shared" si="204"/>
        <v>0.42499999999999999</v>
      </c>
      <c r="AL201" s="377">
        <f t="shared" si="204"/>
        <v>0.42499999999999999</v>
      </c>
      <c r="AM201" s="265">
        <v>0.42499999999999999</v>
      </c>
      <c r="AN201" s="376">
        <f>AR201</f>
        <v>0.27500000000000002</v>
      </c>
      <c r="AO201" s="334">
        <f t="shared" si="205"/>
        <v>0.27500000000000002</v>
      </c>
      <c r="AP201" s="334">
        <f t="shared" si="205"/>
        <v>0.27500000000000002</v>
      </c>
      <c r="AQ201" s="377">
        <f t="shared" si="205"/>
        <v>0.27500000000000002</v>
      </c>
      <c r="AR201" s="265">
        <v>0.27500000000000002</v>
      </c>
      <c r="AS201" s="376">
        <f>AW201</f>
        <v>0.67500000000000004</v>
      </c>
      <c r="AT201" s="334">
        <f t="shared" si="206"/>
        <v>0.67500000000000004</v>
      </c>
      <c r="AU201" s="334">
        <f t="shared" si="206"/>
        <v>0.67500000000000004</v>
      </c>
      <c r="AV201" s="377">
        <f t="shared" si="206"/>
        <v>0.67500000000000004</v>
      </c>
      <c r="AW201" s="265">
        <v>0.67500000000000004</v>
      </c>
      <c r="AX201" s="376">
        <f>BB201</f>
        <v>0.55000000000000004</v>
      </c>
      <c r="AY201" s="334">
        <f>AX201</f>
        <v>0.55000000000000004</v>
      </c>
      <c r="AZ201" s="334">
        <f>AY201</f>
        <v>0.55000000000000004</v>
      </c>
      <c r="BA201" s="377">
        <f>AZ201</f>
        <v>0.55000000000000004</v>
      </c>
      <c r="BB201" s="265">
        <v>0.55000000000000004</v>
      </c>
      <c r="BC201" s="1301">
        <v>0</v>
      </c>
      <c r="BD201" s="1231">
        <v>0</v>
      </c>
      <c r="BE201" s="1231">
        <v>0</v>
      </c>
      <c r="BF201" s="1232">
        <v>0</v>
      </c>
      <c r="BG201" s="265">
        <v>0.125</v>
      </c>
      <c r="BH201" s="1301">
        <v>0</v>
      </c>
      <c r="BI201" s="1231">
        <v>0</v>
      </c>
      <c r="BJ201" s="1231">
        <v>0</v>
      </c>
      <c r="BK201" s="1232">
        <v>0</v>
      </c>
      <c r="BL201" s="265">
        <v>0</v>
      </c>
      <c r="BM201" s="1301">
        <v>0</v>
      </c>
      <c r="BN201" s="1231">
        <v>0</v>
      </c>
      <c r="BO201" s="1231">
        <v>0</v>
      </c>
      <c r="BP201" s="1232">
        <v>0</v>
      </c>
      <c r="BQ201" s="265">
        <v>0</v>
      </c>
      <c r="BU201" s="2" t="s">
        <v>681</v>
      </c>
      <c r="BW201" s="979">
        <f>AVERAGE(CH202:CH205)</f>
        <v>94.417500000000004</v>
      </c>
      <c r="BX201" s="979">
        <f>AVERAGE(CH203:CH206)</f>
        <v>91.532499999999999</v>
      </c>
      <c r="BY201" s="979">
        <f>AVERAGE(CH204:CH207)</f>
        <v>91.9375</v>
      </c>
      <c r="BZ201" s="979">
        <f>AVERAGE(CH205:CH208)</f>
        <v>93.247500000000002</v>
      </c>
      <c r="CA201" s="979">
        <f>AVERAGE(CH206:CH209)</f>
        <v>96.372500000000002</v>
      </c>
      <c r="CB201" s="979">
        <f>AVERAGE(CH207:CH210)</f>
        <v>96.022500000000008</v>
      </c>
      <c r="CC201" s="979">
        <f>AVERAGE(CH208:CH211)</f>
        <v>94.617500000000007</v>
      </c>
      <c r="CD201" s="979">
        <f>AVERAGE(CH209:CH211)</f>
        <v>92.976666666666674</v>
      </c>
      <c r="CE201" s="979">
        <f>AVERAGE(CH210:CH212)</f>
        <v>91.275000000000006</v>
      </c>
      <c r="CG201" s="976">
        <v>2008</v>
      </c>
      <c r="CH201" s="975">
        <v>111.5</v>
      </c>
      <c r="CI201" s="975">
        <v>71</v>
      </c>
      <c r="CM201" s="1448" t="s">
        <v>843</v>
      </c>
      <c r="CN201" s="1448"/>
      <c r="CO201" s="1697">
        <f>277.25/24/0.379-6</f>
        <v>24.480430958663149</v>
      </c>
      <c r="CP201" s="1448"/>
      <c r="CQ201" s="1450" t="s">
        <v>1105</v>
      </c>
      <c r="CR201" s="1448"/>
      <c r="CS201" s="1448"/>
      <c r="CT201" s="1448"/>
      <c r="CU201" s="1448"/>
      <c r="CV201" s="1448"/>
      <c r="CW201" s="1450"/>
      <c r="CX201" s="1448"/>
      <c r="CY201" s="1702"/>
      <c r="CZ201" s="1703" t="s">
        <v>1062</v>
      </c>
      <c r="DA201" s="1704"/>
      <c r="DB201" s="1450" t="s">
        <v>1064</v>
      </c>
      <c r="DC201" s="1705" t="s">
        <v>1106</v>
      </c>
      <c r="DD201" s="1708">
        <f>35.46*DD197+26.31*DE197</f>
        <v>30.65625</v>
      </c>
      <c r="DE201" s="1708">
        <f>34.89*DD197+25.83*DE197</f>
        <v>30.133499999999998</v>
      </c>
      <c r="DF201" s="1707"/>
    </row>
    <row r="202" spans="1:110" s="2" customFormat="1" ht="13.5" customHeight="1">
      <c r="A202" s="1523"/>
      <c r="C202" s="609"/>
      <c r="E202" s="365"/>
      <c r="F202" s="6"/>
      <c r="G202" s="6"/>
      <c r="H202" s="366"/>
      <c r="I202" s="37"/>
      <c r="J202" s="365"/>
      <c r="K202" s="6"/>
      <c r="L202" s="6"/>
      <c r="M202" s="366"/>
      <c r="O202" s="365"/>
      <c r="P202" s="6"/>
      <c r="Q202" s="6"/>
      <c r="R202" s="366"/>
      <c r="T202" s="407"/>
      <c r="U202" s="349"/>
      <c r="V202" s="349"/>
      <c r="W202" s="408"/>
      <c r="X202" s="608"/>
      <c r="Y202" s="407"/>
      <c r="Z202" s="349"/>
      <c r="AA202" s="349"/>
      <c r="AB202" s="408"/>
      <c r="AC202" s="608"/>
      <c r="AD202" s="407"/>
      <c r="AE202" s="349"/>
      <c r="AF202" s="349"/>
      <c r="AG202" s="408"/>
      <c r="AH202" s="608"/>
      <c r="AI202" s="407"/>
      <c r="AJ202" s="349"/>
      <c r="AK202" s="349"/>
      <c r="AL202" s="408"/>
      <c r="AM202" s="608"/>
      <c r="AN202" s="407"/>
      <c r="AO202" s="349"/>
      <c r="AP202" s="349"/>
      <c r="AQ202" s="408"/>
      <c r="AR202" s="608"/>
      <c r="AS202" s="407"/>
      <c r="AT202" s="349"/>
      <c r="AU202" s="349"/>
      <c r="AV202" s="408"/>
      <c r="AW202" s="608"/>
      <c r="AX202" s="407"/>
      <c r="AY202" s="349"/>
      <c r="AZ202" s="349"/>
      <c r="BA202" s="408"/>
      <c r="BB202" s="608"/>
      <c r="BC202" s="407"/>
      <c r="BD202" s="349"/>
      <c r="BE202" s="349"/>
      <c r="BF202" s="408"/>
      <c r="BG202" s="608"/>
      <c r="BH202" s="407"/>
      <c r="BI202" s="349"/>
      <c r="BJ202" s="349"/>
      <c r="BK202" s="408"/>
      <c r="BL202" s="608"/>
      <c r="BM202" s="407"/>
      <c r="BN202" s="349"/>
      <c r="BO202" s="349"/>
      <c r="BP202" s="408"/>
      <c r="BQ202" s="608"/>
      <c r="BU202" s="2" t="s">
        <v>682</v>
      </c>
      <c r="BW202" s="987">
        <f>AVERAGE(BW214:BY214)*365/(8.76*0.4)/1000</f>
        <v>16.145833333333336</v>
      </c>
      <c r="BX202" s="987">
        <f>AVERAGE(BX214:BZ214)*365/(8.76*0.4)/1000</f>
        <v>19.270833333333332</v>
      </c>
      <c r="BY202" s="987">
        <f>AVERAGE(BY214:CA214)*365/(8.76*0.4)/1000</f>
        <v>19.583333333333332</v>
      </c>
      <c r="BZ202" s="987">
        <f>AVERAGE(CJ205:CJ208)</f>
        <v>21.029064779064779</v>
      </c>
      <c r="CA202" s="987">
        <f>AVERAGE(CJ206:CJ209)</f>
        <v>22.550675675675674</v>
      </c>
      <c r="CB202" s="987">
        <f>AVERAGE(CJ207:CJ210)</f>
        <v>22.275730545849278</v>
      </c>
      <c r="CC202" s="987">
        <f>AVERAGE(CJ208:CJ211)</f>
        <v>21.836692398202949</v>
      </c>
      <c r="CD202" s="987">
        <f>AVERAGE(CJ209:CJ213)</f>
        <v>21.59556984425058</v>
      </c>
      <c r="CE202" s="987">
        <f>AVERAGE(CJ210:CJ214)</f>
        <v>20.024736147757253</v>
      </c>
      <c r="CG202" s="976">
        <f>+CG201+1</f>
        <v>2009</v>
      </c>
      <c r="CH202" s="975">
        <v>103.72</v>
      </c>
      <c r="CI202" s="975">
        <v>58</v>
      </c>
      <c r="CM202" s="1448" t="s">
        <v>844</v>
      </c>
      <c r="CN202" s="1448"/>
      <c r="CO202" s="1697">
        <v>1.5</v>
      </c>
      <c r="CP202" s="1448"/>
      <c r="CQ202" s="1450" t="s">
        <v>1071</v>
      </c>
      <c r="CR202" s="1448"/>
      <c r="CS202" s="1448"/>
      <c r="CT202" s="1448"/>
      <c r="CU202" s="1448"/>
      <c r="CV202" s="1694">
        <v>2018</v>
      </c>
      <c r="CW202" s="1694">
        <v>2017</v>
      </c>
      <c r="CX202" s="1694">
        <v>2016</v>
      </c>
      <c r="CY202" s="1709"/>
      <c r="CZ202" s="1710" t="s">
        <v>1063</v>
      </c>
      <c r="DA202" s="1711"/>
      <c r="DB202" s="1712"/>
      <c r="DC202" s="1713"/>
      <c r="DD202" s="1708">
        <f>AVERAGE(DD199:DD201)</f>
        <v>30.621416666666665</v>
      </c>
      <c r="DE202" s="1708">
        <f>AVERAGE(DE199:DE201)</f>
        <v>30.419499999999999</v>
      </c>
      <c r="DF202" s="1714">
        <f>DD202-DE202</f>
        <v>0.20191666666666563</v>
      </c>
    </row>
    <row r="203" spans="1:110" s="2" customFormat="1" ht="13.5" customHeight="1">
      <c r="A203" s="1523"/>
      <c r="C203" s="565" t="s">
        <v>231</v>
      </c>
      <c r="E203" s="365"/>
      <c r="F203" s="6"/>
      <c r="G203" s="6"/>
      <c r="H203" s="366"/>
      <c r="I203" s="37"/>
      <c r="J203" s="365"/>
      <c r="K203" s="6"/>
      <c r="L203" s="6"/>
      <c r="M203" s="366"/>
      <c r="O203" s="365"/>
      <c r="P203" s="6"/>
      <c r="Q203" s="6"/>
      <c r="R203" s="366"/>
      <c r="S203" s="265"/>
      <c r="T203" s="392"/>
      <c r="U203" s="341"/>
      <c r="V203" s="341"/>
      <c r="W203" s="393"/>
      <c r="X203" s="298"/>
      <c r="Y203" s="392"/>
      <c r="Z203" s="341"/>
      <c r="AA203" s="341"/>
      <c r="AB203" s="393"/>
      <c r="AC203" s="298"/>
      <c r="AD203" s="392">
        <f>+AH203/4</f>
        <v>8.75</v>
      </c>
      <c r="AE203" s="341">
        <f>+AH203/4</f>
        <v>8.75</v>
      </c>
      <c r="AF203" s="341">
        <f>+AH203/4</f>
        <v>8.75</v>
      </c>
      <c r="AG203" s="393">
        <f>+AH203/4</f>
        <v>8.75</v>
      </c>
      <c r="AH203" s="298">
        <f>35*AH200</f>
        <v>35</v>
      </c>
      <c r="AI203" s="392">
        <f>+AM203/4</f>
        <v>9</v>
      </c>
      <c r="AJ203" s="341">
        <f>+AM203/4</f>
        <v>9</v>
      </c>
      <c r="AK203" s="341">
        <f>+AM203/4</f>
        <v>9</v>
      </c>
      <c r="AL203" s="393">
        <f>+AM203/4</f>
        <v>9</v>
      </c>
      <c r="AM203" s="298">
        <f>36*AM200</f>
        <v>36</v>
      </c>
      <c r="AN203" s="1495">
        <v>10</v>
      </c>
      <c r="AO203" s="1496">
        <f>+AR203/4-1</f>
        <v>8</v>
      </c>
      <c r="AP203" s="341">
        <f>+AR203/4</f>
        <v>9</v>
      </c>
      <c r="AQ203" s="393">
        <f>+AR203/4</f>
        <v>9</v>
      </c>
      <c r="AR203" s="298">
        <f>36*AR200</f>
        <v>36</v>
      </c>
      <c r="AS203" s="392">
        <f>+AW203/4</f>
        <v>8.5</v>
      </c>
      <c r="AT203" s="341">
        <f>+AW203/4</f>
        <v>8.5</v>
      </c>
      <c r="AU203" s="341">
        <f>+AW203/4</f>
        <v>8.5</v>
      </c>
      <c r="AV203" s="393">
        <f>+AW203/4</f>
        <v>8.5</v>
      </c>
      <c r="AW203" s="298">
        <f>34*AW200</f>
        <v>34</v>
      </c>
      <c r="AX203" s="392">
        <f>+BB203/4</f>
        <v>8.75</v>
      </c>
      <c r="AY203" s="341">
        <f>+BB203/4</f>
        <v>8.75</v>
      </c>
      <c r="AZ203" s="341">
        <f>+BB203/4</f>
        <v>8.75</v>
      </c>
      <c r="BA203" s="393">
        <f>+BB203/4</f>
        <v>8.75</v>
      </c>
      <c r="BB203" s="298">
        <f>35*BB200</f>
        <v>35</v>
      </c>
      <c r="BC203" s="392">
        <f>+BG203/4</f>
        <v>8.2874999999999996</v>
      </c>
      <c r="BD203" s="341">
        <f>+BG203/4</f>
        <v>8.2874999999999996</v>
      </c>
      <c r="BE203" s="341">
        <f>+BG203/4</f>
        <v>8.2874999999999996</v>
      </c>
      <c r="BF203" s="393">
        <f>+BG203/4</f>
        <v>8.2874999999999996</v>
      </c>
      <c r="BG203" s="298">
        <f>34*BG200</f>
        <v>33.15</v>
      </c>
      <c r="BH203" s="392">
        <f>+BL203/4</f>
        <v>4.59375</v>
      </c>
      <c r="BI203" s="341">
        <f>+BL203/4</f>
        <v>4.59375</v>
      </c>
      <c r="BJ203" s="341">
        <f>+BL203/4</f>
        <v>4.59375</v>
      </c>
      <c r="BK203" s="393">
        <f>+BL203/4</f>
        <v>4.59375</v>
      </c>
      <c r="BL203" s="298">
        <f>35*BL200</f>
        <v>18.375</v>
      </c>
      <c r="BM203" s="392">
        <f>+BQ203/4</f>
        <v>0</v>
      </c>
      <c r="BN203" s="341">
        <f>+BQ203/4</f>
        <v>0</v>
      </c>
      <c r="BO203" s="341">
        <f>+BQ203/4</f>
        <v>0</v>
      </c>
      <c r="BP203" s="393">
        <f>+BQ203/4</f>
        <v>0</v>
      </c>
      <c r="BQ203" s="298">
        <f>35*BQ200</f>
        <v>0</v>
      </c>
      <c r="BU203" s="49" t="s">
        <v>683</v>
      </c>
      <c r="BV203" s="49"/>
      <c r="BW203" s="830">
        <f t="shared" ref="BW203:CD203" si="207">+BW201-BW202</f>
        <v>78.271666666666675</v>
      </c>
      <c r="BX203" s="830">
        <f t="shared" si="207"/>
        <v>72.26166666666667</v>
      </c>
      <c r="BY203" s="830">
        <f t="shared" si="207"/>
        <v>72.354166666666671</v>
      </c>
      <c r="BZ203" s="830">
        <f t="shared" si="207"/>
        <v>72.21843522093522</v>
      </c>
      <c r="CA203" s="830">
        <f t="shared" si="207"/>
        <v>73.821824324324325</v>
      </c>
      <c r="CB203" s="830">
        <f t="shared" si="207"/>
        <v>73.746769454150723</v>
      </c>
      <c r="CC203" s="830">
        <f t="shared" si="207"/>
        <v>72.780807601797051</v>
      </c>
      <c r="CD203" s="830">
        <f t="shared" si="207"/>
        <v>71.381096822416097</v>
      </c>
      <c r="CE203" s="830">
        <f>+CE201-CE202</f>
        <v>71.250263852242753</v>
      </c>
      <c r="CG203" s="976">
        <f>+CG202+1</f>
        <v>2010</v>
      </c>
      <c r="CH203" s="975">
        <v>95.77</v>
      </c>
      <c r="CI203" s="975">
        <v>50</v>
      </c>
      <c r="CM203" s="1448" t="s">
        <v>846</v>
      </c>
      <c r="CN203" s="1448"/>
      <c r="CO203" s="1697">
        <f>DF202</f>
        <v>0.20191666666666563</v>
      </c>
      <c r="CP203" s="1448"/>
      <c r="CQ203" s="1448" t="s">
        <v>707</v>
      </c>
      <c r="CR203" s="1448"/>
      <c r="CS203" s="1450"/>
      <c r="CT203" s="1450"/>
      <c r="CU203" s="1703" t="s">
        <v>1057</v>
      </c>
      <c r="CV203" s="1715">
        <f>0.001073*1000</f>
        <v>1.073</v>
      </c>
      <c r="CW203" s="1715">
        <f>0.001148*1000</f>
        <v>1.1479999999999999</v>
      </c>
      <c r="CX203" s="1448">
        <v>1.337</v>
      </c>
      <c r="CY203" s="1448"/>
      <c r="CZ203" s="1448"/>
      <c r="DA203" s="1448"/>
      <c r="DB203" s="1448"/>
      <c r="DC203" s="1448"/>
      <c r="DD203" s="1448"/>
      <c r="DE203" s="1448"/>
      <c r="DF203" s="1448"/>
    </row>
    <row r="204" spans="1:110" s="2" customFormat="1" ht="13.5" customHeight="1">
      <c r="A204" s="1523"/>
      <c r="C204" s="565" t="s">
        <v>232</v>
      </c>
      <c r="E204" s="365"/>
      <c r="F204" s="6"/>
      <c r="G204" s="6"/>
      <c r="H204" s="366"/>
      <c r="I204" s="37"/>
      <c r="J204" s="365"/>
      <c r="K204" s="6"/>
      <c r="L204" s="6"/>
      <c r="M204" s="366"/>
      <c r="O204" s="365"/>
      <c r="P204" s="6"/>
      <c r="Q204" s="6"/>
      <c r="R204" s="366"/>
      <c r="S204" s="265"/>
      <c r="T204" s="392"/>
      <c r="U204" s="341"/>
      <c r="V204" s="341"/>
      <c r="W204" s="393"/>
      <c r="X204" s="298"/>
      <c r="Y204" s="392"/>
      <c r="Z204" s="341"/>
      <c r="AA204" s="341"/>
      <c r="AB204" s="393"/>
      <c r="AC204" s="298"/>
      <c r="AD204" s="392">
        <f>+AH204/4</f>
        <v>2</v>
      </c>
      <c r="AE204" s="341">
        <f>+AH204/4</f>
        <v>2</v>
      </c>
      <c r="AF204" s="341">
        <f>+AH204/4</f>
        <v>2</v>
      </c>
      <c r="AG204" s="393">
        <f>+AH204/4</f>
        <v>2</v>
      </c>
      <c r="AH204" s="298">
        <f>20*AH201</f>
        <v>8</v>
      </c>
      <c r="AI204" s="1495">
        <f>AM204-5.525</f>
        <v>3.3999999999999986</v>
      </c>
      <c r="AJ204" s="1496">
        <f>5.525-11*0.325</f>
        <v>1.9500000000000002</v>
      </c>
      <c r="AK204" s="1496">
        <v>2.65</v>
      </c>
      <c r="AL204" s="1497">
        <v>1</v>
      </c>
      <c r="AM204" s="298">
        <f>21*AM201</f>
        <v>8.9249999999999989</v>
      </c>
      <c r="AN204" s="1495">
        <v>0.83124999999999993</v>
      </c>
      <c r="AO204" s="341">
        <f>+AR204/4</f>
        <v>1.3062500000000001</v>
      </c>
      <c r="AP204" s="341">
        <f>+AR204/4</f>
        <v>1.3062500000000001</v>
      </c>
      <c r="AQ204" s="393">
        <f>+AR204/4</f>
        <v>1.3062500000000001</v>
      </c>
      <c r="AR204" s="298">
        <f>19*AR201</f>
        <v>5.2250000000000005</v>
      </c>
      <c r="AS204" s="392">
        <f>+AW204/4</f>
        <v>2.7</v>
      </c>
      <c r="AT204" s="341">
        <f>+AW204/4</f>
        <v>2.7</v>
      </c>
      <c r="AU204" s="341">
        <f>+AW204/4</f>
        <v>2.7</v>
      </c>
      <c r="AV204" s="393">
        <f>+AW204/4</f>
        <v>2.7</v>
      </c>
      <c r="AW204" s="298">
        <f>16*AW201</f>
        <v>10.8</v>
      </c>
      <c r="AX204" s="392">
        <f>+BB204/4</f>
        <v>2.8875000000000002</v>
      </c>
      <c r="AY204" s="341">
        <f>+BB204/4</f>
        <v>2.8875000000000002</v>
      </c>
      <c r="AZ204" s="341">
        <f>+BB204/4</f>
        <v>2.8875000000000002</v>
      </c>
      <c r="BA204" s="393">
        <f>+BB204/4</f>
        <v>2.8875000000000002</v>
      </c>
      <c r="BB204" s="298">
        <f>21*BB201</f>
        <v>11.55</v>
      </c>
      <c r="BC204" s="392">
        <f>+BG204/4</f>
        <v>0.8125</v>
      </c>
      <c r="BD204" s="341">
        <f>+BG204/4</f>
        <v>0.8125</v>
      </c>
      <c r="BE204" s="341">
        <f>+BG204/4</f>
        <v>0.8125</v>
      </c>
      <c r="BF204" s="393">
        <f>+BG204/4</f>
        <v>0.8125</v>
      </c>
      <c r="BG204" s="298">
        <f>26*BG201</f>
        <v>3.25</v>
      </c>
      <c r="BH204" s="392">
        <f>+BL204/4</f>
        <v>0</v>
      </c>
      <c r="BI204" s="341">
        <f>+BL204/4</f>
        <v>0</v>
      </c>
      <c r="BJ204" s="341">
        <f>+BL204/4</f>
        <v>0</v>
      </c>
      <c r="BK204" s="393">
        <f>+BL204/4</f>
        <v>0</v>
      </c>
      <c r="BL204" s="298">
        <f>29*BL201</f>
        <v>0</v>
      </c>
      <c r="BM204" s="392">
        <f>+BQ204/4</f>
        <v>0</v>
      </c>
      <c r="BN204" s="341">
        <f>+BQ204/4</f>
        <v>0</v>
      </c>
      <c r="BO204" s="341">
        <f>+BQ204/4</f>
        <v>0</v>
      </c>
      <c r="BP204" s="393">
        <f>+BQ204/4</f>
        <v>0</v>
      </c>
      <c r="BQ204" s="298">
        <f>19*BQ201</f>
        <v>0</v>
      </c>
      <c r="BU204" s="2" t="s">
        <v>792</v>
      </c>
      <c r="BW204" s="980">
        <v>15</v>
      </c>
      <c r="BX204" s="980">
        <v>15</v>
      </c>
      <c r="BY204" s="980">
        <v>17.5</v>
      </c>
      <c r="BZ204" s="980">
        <f>AVERAGE(CK205:CK208)</f>
        <v>19.009572072072071</v>
      </c>
      <c r="CA204" s="980">
        <f>AVERAGE(CK206:CK209)</f>
        <v>22.001538010613352</v>
      </c>
      <c r="CB204" s="980">
        <f>AVERAGE(CK207:CK210)</f>
        <v>24.745766242803327</v>
      </c>
      <c r="CC204" s="980">
        <f>AVERAGE(CK208:CK211)</f>
        <v>26.463002360847494</v>
      </c>
      <c r="CD204" s="980">
        <f>AVERAGE(CK209:CK212)</f>
        <v>27.308402547196057</v>
      </c>
      <c r="CE204" s="980">
        <f>AVERAGE(CK210:CK213)</f>
        <v>27.478671943711522</v>
      </c>
      <c r="CG204" s="976">
        <f>+CG203+1</f>
        <v>2011</v>
      </c>
      <c r="CH204" s="975">
        <v>94.3</v>
      </c>
      <c r="CI204" s="975">
        <v>47</v>
      </c>
      <c r="CJ204" s="260">
        <f>CO271</f>
        <v>18.353174603174605</v>
      </c>
      <c r="CK204" s="1003">
        <f>CO273</f>
        <v>15</v>
      </c>
      <c r="CM204" s="1448" t="s">
        <v>847</v>
      </c>
      <c r="CN204" s="1448"/>
      <c r="CO204" s="1716">
        <f>AVERAGE(CO215,CO226,CO237,CO248,CO257,CO266,CO275)</f>
        <v>9.0902586340281317</v>
      </c>
      <c r="CP204" s="1448"/>
      <c r="CQ204" s="1448" t="s">
        <v>773</v>
      </c>
      <c r="CR204" s="1448"/>
      <c r="CS204" s="1706"/>
      <c r="CT204" s="1706"/>
      <c r="CU204" s="1717" t="s">
        <v>1058</v>
      </c>
      <c r="CV204" s="1715">
        <f>0.000073*1000</f>
        <v>7.2999999999999995E-2</v>
      </c>
      <c r="CW204" s="1715">
        <f>0.000073*1000</f>
        <v>7.2999999999999995E-2</v>
      </c>
      <c r="CX204" s="1448">
        <v>0.04</v>
      </c>
      <c r="CY204" s="1448"/>
      <c r="CZ204" s="1448"/>
      <c r="DA204" s="1448"/>
      <c r="DB204" s="1448"/>
      <c r="DC204" s="1448"/>
      <c r="DD204" s="1448"/>
      <c r="DE204" s="1448"/>
      <c r="DF204" s="1448"/>
    </row>
    <row r="205" spans="1:110" s="2" customFormat="1" ht="13.5" customHeight="1">
      <c r="A205" s="1523"/>
      <c r="C205" s="609"/>
      <c r="E205" s="365"/>
      <c r="F205" s="6"/>
      <c r="G205" s="6"/>
      <c r="H205" s="366"/>
      <c r="I205" s="37"/>
      <c r="J205" s="365"/>
      <c r="K205" s="6"/>
      <c r="L205" s="6"/>
      <c r="M205" s="366"/>
      <c r="O205" s="365"/>
      <c r="P205" s="6"/>
      <c r="Q205" s="6"/>
      <c r="R205" s="366"/>
      <c r="T205" s="407"/>
      <c r="U205" s="349"/>
      <c r="V205" s="349"/>
      <c r="W205" s="408"/>
      <c r="X205" s="608"/>
      <c r="Y205" s="407"/>
      <c r="Z205" s="349"/>
      <c r="AA205" s="349"/>
      <c r="AB205" s="408"/>
      <c r="AC205" s="608"/>
      <c r="AD205" s="407"/>
      <c r="AE205" s="349"/>
      <c r="AF205" s="349"/>
      <c r="AG205" s="408"/>
      <c r="AH205" s="608"/>
      <c r="AI205" s="407"/>
      <c r="AJ205" s="349"/>
      <c r="AK205" s="349"/>
      <c r="AL205" s="408"/>
      <c r="AM205" s="608"/>
      <c r="AN205" s="407"/>
      <c r="AO205" s="349"/>
      <c r="AP205" s="349"/>
      <c r="AQ205" s="408"/>
      <c r="AR205" s="608"/>
      <c r="AS205" s="407"/>
      <c r="AT205" s="349"/>
      <c r="AU205" s="349"/>
      <c r="AV205" s="408"/>
      <c r="AW205" s="608"/>
      <c r="AX205" s="407"/>
      <c r="AY205" s="349"/>
      <c r="AZ205" s="349"/>
      <c r="BA205" s="408"/>
      <c r="BB205" s="608"/>
      <c r="BC205" s="407"/>
      <c r="BD205" s="349"/>
      <c r="BE205" s="349"/>
      <c r="BF205" s="408"/>
      <c r="BG205" s="608"/>
      <c r="BH205" s="407"/>
      <c r="BI205" s="349"/>
      <c r="BJ205" s="349"/>
      <c r="BK205" s="408"/>
      <c r="BL205" s="608"/>
      <c r="BM205" s="407"/>
      <c r="BN205" s="349"/>
      <c r="BO205" s="349"/>
      <c r="BP205" s="408"/>
      <c r="BQ205" s="608"/>
      <c r="BU205" s="497" t="s">
        <v>685</v>
      </c>
      <c r="BV205" s="982"/>
      <c r="BW205" s="983">
        <f t="shared" ref="BW205:CD205" si="208">+BW203-BW204</f>
        <v>63.271666666666675</v>
      </c>
      <c r="BX205" s="983">
        <f t="shared" si="208"/>
        <v>57.26166666666667</v>
      </c>
      <c r="BY205" s="983">
        <f t="shared" si="208"/>
        <v>54.854166666666671</v>
      </c>
      <c r="BZ205" s="983">
        <f t="shared" si="208"/>
        <v>53.208863148863145</v>
      </c>
      <c r="CA205" s="983">
        <f t="shared" si="208"/>
        <v>51.820286313710973</v>
      </c>
      <c r="CB205" s="983">
        <f t="shared" si="208"/>
        <v>49.001003211347395</v>
      </c>
      <c r="CC205" s="983">
        <f t="shared" si="208"/>
        <v>46.317805240949554</v>
      </c>
      <c r="CD205" s="983">
        <f t="shared" si="208"/>
        <v>44.072694275220044</v>
      </c>
      <c r="CE205" s="984">
        <f>+CE203-CE204</f>
        <v>43.771591908531235</v>
      </c>
      <c r="CG205" s="976">
        <f>+CG204+1</f>
        <v>2012</v>
      </c>
      <c r="CH205" s="975">
        <v>83.88</v>
      </c>
      <c r="CI205" s="975">
        <v>38</v>
      </c>
      <c r="CJ205" s="260">
        <f>CO262</f>
        <v>18.650793650793648</v>
      </c>
      <c r="CK205" s="1003">
        <f>CO264</f>
        <v>15</v>
      </c>
      <c r="CM205" s="1694" t="s">
        <v>449</v>
      </c>
      <c r="CN205" s="1448"/>
      <c r="CO205" s="1718">
        <f>SUM(CO198:CO204)</f>
        <v>87.463737452556416</v>
      </c>
      <c r="CP205" s="1448"/>
      <c r="CQ205" s="1450" t="s">
        <v>849</v>
      </c>
      <c r="CR205" s="1448"/>
      <c r="CS205" s="1706"/>
      <c r="CT205" s="1706"/>
      <c r="CU205" s="1719" t="s">
        <v>1069</v>
      </c>
      <c r="CV205" s="1720">
        <f>0.002849*1000</f>
        <v>2.8489999999999998</v>
      </c>
      <c r="CW205" s="1720">
        <f>0.002849*1000</f>
        <v>2.8489999999999998</v>
      </c>
      <c r="CX205" s="1712">
        <v>2.8490000000000002</v>
      </c>
      <c r="CY205" s="1448"/>
      <c r="CZ205" s="1448"/>
      <c r="DA205" s="1448"/>
      <c r="DB205" s="1448"/>
      <c r="DC205" s="1448"/>
      <c r="DD205" s="1448"/>
      <c r="DE205" s="1448"/>
      <c r="DF205" s="1448"/>
    </row>
    <row r="206" spans="1:110" s="2" customFormat="1" ht="13.5" customHeight="1">
      <c r="A206" s="1523"/>
      <c r="C206" s="565" t="s">
        <v>443</v>
      </c>
      <c r="E206" s="365"/>
      <c r="F206" s="6"/>
      <c r="G206" s="6"/>
      <c r="H206" s="366"/>
      <c r="I206" s="37"/>
      <c r="J206" s="365"/>
      <c r="K206" s="6"/>
      <c r="L206" s="6"/>
      <c r="M206" s="366"/>
      <c r="O206" s="365"/>
      <c r="P206" s="6"/>
      <c r="Q206" s="6"/>
      <c r="R206" s="366"/>
      <c r="S206" s="611"/>
      <c r="T206" s="612"/>
      <c r="U206" s="613"/>
      <c r="V206" s="613"/>
      <c r="W206" s="614"/>
      <c r="X206" s="731"/>
      <c r="Y206" s="612"/>
      <c r="Z206" s="613"/>
      <c r="AA206" s="613"/>
      <c r="AB206" s="614"/>
      <c r="AC206" s="731"/>
      <c r="AD206" s="612">
        <f>AH206</f>
        <v>48.485568220610254</v>
      </c>
      <c r="AE206" s="613">
        <f t="shared" ref="AE206:AG207" si="209">AD206</f>
        <v>48.485568220610254</v>
      </c>
      <c r="AF206" s="613">
        <f t="shared" si="209"/>
        <v>48.485568220610254</v>
      </c>
      <c r="AG206" s="614">
        <f t="shared" si="209"/>
        <v>48.485568220610254</v>
      </c>
      <c r="AH206" s="731">
        <f>+BY231</f>
        <v>48.485568220610254</v>
      </c>
      <c r="AI206" s="1498">
        <f>AM206+10</f>
        <v>58.902243308500431</v>
      </c>
      <c r="AJ206" s="1499">
        <f>AI206-15</f>
        <v>43.902243308500431</v>
      </c>
      <c r="AK206" s="613">
        <f>AM206</f>
        <v>48.902243308500431</v>
      </c>
      <c r="AL206" s="1500">
        <f>AK206-5</f>
        <v>43.902243308500431</v>
      </c>
      <c r="AM206" s="731">
        <f>+BZ231</f>
        <v>48.902243308500431</v>
      </c>
      <c r="AN206" s="1498">
        <v>53</v>
      </c>
      <c r="AO206" s="613">
        <f>AR206</f>
        <v>42.022159970589406</v>
      </c>
      <c r="AP206" s="613">
        <f>AO206</f>
        <v>42.022159970589406</v>
      </c>
      <c r="AQ206" s="614">
        <f>AP206</f>
        <v>42.022159970589406</v>
      </c>
      <c r="AR206" s="731">
        <f>+CA231</f>
        <v>42.022159970589406</v>
      </c>
      <c r="AS206" s="612">
        <f>AW206</f>
        <v>39.451951409157466</v>
      </c>
      <c r="AT206" s="613">
        <f t="shared" ref="AT206:AV207" si="210">AS206</f>
        <v>39.451951409157466</v>
      </c>
      <c r="AU206" s="613">
        <f t="shared" si="210"/>
        <v>39.451951409157466</v>
      </c>
      <c r="AV206" s="614">
        <f t="shared" si="210"/>
        <v>39.451951409157466</v>
      </c>
      <c r="AW206" s="731">
        <f>CB231</f>
        <v>39.451951409157466</v>
      </c>
      <c r="AX206" s="1498">
        <f>BB206*1.35</f>
        <v>46.296120762965394</v>
      </c>
      <c r="AY206" s="1499">
        <f>BB206*0.85</f>
        <v>29.149409369274505</v>
      </c>
      <c r="AZ206" s="1499">
        <f>BB206*0.925</f>
        <v>31.72141607832814</v>
      </c>
      <c r="BA206" s="1500">
        <f>BB206*0.875</f>
        <v>30.006744938959052</v>
      </c>
      <c r="BB206" s="731">
        <f>CC231</f>
        <v>34.293422787381772</v>
      </c>
      <c r="BC206" s="1312">
        <f>BG206</f>
        <v>32.804561894079825</v>
      </c>
      <c r="BD206" s="1313">
        <f t="shared" ref="BD206:BF207" si="211">BC206</f>
        <v>32.804561894079825</v>
      </c>
      <c r="BE206" s="1313">
        <f t="shared" si="211"/>
        <v>32.804561894079825</v>
      </c>
      <c r="BF206" s="1314">
        <f t="shared" si="211"/>
        <v>32.804561894079825</v>
      </c>
      <c r="BG206" s="731">
        <f>CD231</f>
        <v>32.804561894079825</v>
      </c>
      <c r="BH206" s="612">
        <f>BL206</f>
        <v>33.518766349371504</v>
      </c>
      <c r="BI206" s="613">
        <f>BH206</f>
        <v>33.518766349371504</v>
      </c>
      <c r="BJ206" s="613">
        <f>BI206</f>
        <v>33.518766349371504</v>
      </c>
      <c r="BK206" s="614">
        <f>BJ206</f>
        <v>33.518766349371504</v>
      </c>
      <c r="BL206" s="731">
        <f>CE231</f>
        <v>33.518766349371504</v>
      </c>
      <c r="BM206" s="612">
        <f>BQ206</f>
        <v>0</v>
      </c>
      <c r="BN206" s="613">
        <f>BM206</f>
        <v>0</v>
      </c>
      <c r="BO206" s="613">
        <f>BN206</f>
        <v>0</v>
      </c>
      <c r="BP206" s="614">
        <f>BO206</f>
        <v>0</v>
      </c>
      <c r="BQ206" s="1526">
        <v>0</v>
      </c>
      <c r="BU206" s="37" t="s">
        <v>1026</v>
      </c>
      <c r="BW206" s="981">
        <f>AVERAGE(CI202:CI205)</f>
        <v>48.25</v>
      </c>
      <c r="BX206" s="981">
        <f>AVERAGE(CI203:CI206)</f>
        <v>43.625</v>
      </c>
      <c r="BY206" s="981">
        <f>AVERAGE(CI204:CI207)</f>
        <v>40.75</v>
      </c>
      <c r="BZ206" s="981">
        <f>AVERAGE(CI205:CI208)</f>
        <v>38.375</v>
      </c>
      <c r="CA206" s="981">
        <f>AVERAGE(CI206:CI209)</f>
        <v>37.25</v>
      </c>
      <c r="CB206" s="981">
        <f>AVERAGE(CI207:CI210)</f>
        <v>35.5</v>
      </c>
      <c r="CC206" s="981">
        <f>AVERAGE(CI208:CI211)</f>
        <v>34.5</v>
      </c>
      <c r="CD206" s="981">
        <f>AVERAGE(CI209:CI213)</f>
        <v>33</v>
      </c>
      <c r="CE206" s="981">
        <f>AVERAGE(CI210:CI214)</f>
        <v>32.5</v>
      </c>
      <c r="CG206" s="976">
        <v>2013</v>
      </c>
      <c r="CH206" s="975">
        <v>92.18</v>
      </c>
      <c r="CI206" s="975">
        <v>39.5</v>
      </c>
      <c r="CJ206" s="260">
        <f>CO253</f>
        <v>21.621621621621621</v>
      </c>
      <c r="CK206" s="1003">
        <f>CO255</f>
        <v>18</v>
      </c>
      <c r="CM206" s="1448"/>
      <c r="CN206" s="1448"/>
      <c r="CO206" s="1448"/>
      <c r="CP206" s="1448"/>
      <c r="CQ206" s="1448"/>
      <c r="CR206" s="1448"/>
      <c r="CS206" s="1706"/>
      <c r="CT206" s="1706"/>
      <c r="CU206" s="1721" t="s">
        <v>449</v>
      </c>
      <c r="CV206" s="1706">
        <f>SUM(CV203:CV205)</f>
        <v>3.9949999999999997</v>
      </c>
      <c r="CW206" s="1706">
        <f>SUM(CW203:CW205)</f>
        <v>4.0699999999999994</v>
      </c>
      <c r="CX206" s="1706">
        <f>SUM(CX203:CX205)</f>
        <v>4.226</v>
      </c>
      <c r="CY206" s="1448"/>
      <c r="CZ206" s="1448"/>
      <c r="DA206" s="1448"/>
      <c r="DB206" s="1448"/>
      <c r="DC206" s="1448"/>
      <c r="DD206" s="1448"/>
      <c r="DE206" s="1448"/>
      <c r="DF206" s="1448"/>
    </row>
    <row r="207" spans="1:110" s="2" customFormat="1" ht="13.5" customHeight="1">
      <c r="A207" s="1523"/>
      <c r="C207" s="565" t="s">
        <v>444</v>
      </c>
      <c r="E207" s="365"/>
      <c r="F207" s="6"/>
      <c r="G207" s="6"/>
      <c r="H207" s="366"/>
      <c r="I207" s="37"/>
      <c r="J207" s="365"/>
      <c r="K207" s="6"/>
      <c r="L207" s="6"/>
      <c r="M207" s="366"/>
      <c r="O207" s="365"/>
      <c r="P207" s="6"/>
      <c r="Q207" s="6"/>
      <c r="R207" s="366"/>
      <c r="S207" s="611"/>
      <c r="T207" s="612"/>
      <c r="U207" s="613"/>
      <c r="V207" s="613"/>
      <c r="W207" s="614"/>
      <c r="X207" s="611"/>
      <c r="Y207" s="612"/>
      <c r="Z207" s="613"/>
      <c r="AA207" s="613"/>
      <c r="AB207" s="614"/>
      <c r="AC207" s="731"/>
      <c r="AD207" s="1312">
        <f>AH207</f>
        <v>48.485568220610254</v>
      </c>
      <c r="AE207" s="1313">
        <f t="shared" si="209"/>
        <v>48.485568220610254</v>
      </c>
      <c r="AF207" s="1313">
        <f t="shared" si="209"/>
        <v>48.485568220610254</v>
      </c>
      <c r="AG207" s="1314">
        <f t="shared" si="209"/>
        <v>48.485568220610254</v>
      </c>
      <c r="AH207" s="731">
        <f>+AH206</f>
        <v>48.485568220610254</v>
      </c>
      <c r="AI207" s="1498">
        <f>AM207+10</f>
        <v>58.902243308500431</v>
      </c>
      <c r="AJ207" s="1499">
        <f>AI207-15</f>
        <v>43.902243308500431</v>
      </c>
      <c r="AK207" s="1313">
        <f>AM207</f>
        <v>48.902243308500431</v>
      </c>
      <c r="AL207" s="1500">
        <f>AK207-5</f>
        <v>43.902243308500431</v>
      </c>
      <c r="AM207" s="731">
        <f>+AM206</f>
        <v>48.902243308500431</v>
      </c>
      <c r="AN207" s="1498">
        <v>53</v>
      </c>
      <c r="AO207" s="1313">
        <f>AR207</f>
        <v>42.022159970589406</v>
      </c>
      <c r="AP207" s="1313">
        <f>AO207</f>
        <v>42.022159970589406</v>
      </c>
      <c r="AQ207" s="1314">
        <f>AP207</f>
        <v>42.022159970589406</v>
      </c>
      <c r="AR207" s="731">
        <f>+AR206</f>
        <v>42.022159970589406</v>
      </c>
      <c r="AS207" s="1312">
        <f>AW207</f>
        <v>39.451951409157466</v>
      </c>
      <c r="AT207" s="1313">
        <f t="shared" si="210"/>
        <v>39.451951409157466</v>
      </c>
      <c r="AU207" s="1313">
        <f t="shared" si="210"/>
        <v>39.451951409157466</v>
      </c>
      <c r="AV207" s="1314">
        <f t="shared" si="210"/>
        <v>39.451951409157466</v>
      </c>
      <c r="AW207" s="731">
        <f>+AW206</f>
        <v>39.451951409157466</v>
      </c>
      <c r="AX207" s="1498">
        <f>BB207*1.35</f>
        <v>46.296120762965394</v>
      </c>
      <c r="AY207" s="1499">
        <f>BB207*0.85</f>
        <v>29.149409369274505</v>
      </c>
      <c r="AZ207" s="1499">
        <f>BB207*0.925</f>
        <v>31.72141607832814</v>
      </c>
      <c r="BA207" s="1500">
        <f>BB207*0.875</f>
        <v>30.006744938959052</v>
      </c>
      <c r="BB207" s="731">
        <f>+BB206</f>
        <v>34.293422787381772</v>
      </c>
      <c r="BC207" s="1312">
        <f>BG207</f>
        <v>32.804561894079825</v>
      </c>
      <c r="BD207" s="1313">
        <f t="shared" si="211"/>
        <v>32.804561894079825</v>
      </c>
      <c r="BE207" s="1313">
        <f t="shared" si="211"/>
        <v>32.804561894079825</v>
      </c>
      <c r="BF207" s="1314">
        <f t="shared" si="211"/>
        <v>32.804561894079825</v>
      </c>
      <c r="BG207" s="731">
        <f>+BG206</f>
        <v>32.804561894079825</v>
      </c>
      <c r="BH207" s="612">
        <v>0</v>
      </c>
      <c r="BI207" s="613">
        <v>0</v>
      </c>
      <c r="BJ207" s="613">
        <v>0</v>
      </c>
      <c r="BK207" s="614">
        <v>0</v>
      </c>
      <c r="BL207" s="731">
        <f>BL206</f>
        <v>33.518766349371504</v>
      </c>
      <c r="BM207" s="612">
        <v>0</v>
      </c>
      <c r="BN207" s="613">
        <v>0</v>
      </c>
      <c r="BO207" s="613">
        <v>0</v>
      </c>
      <c r="BP207" s="614">
        <v>0</v>
      </c>
      <c r="BQ207" s="1526">
        <v>0</v>
      </c>
      <c r="BU207" s="37" t="s">
        <v>793</v>
      </c>
      <c r="BW207" s="1190">
        <v>6</v>
      </c>
      <c r="BX207" s="1190">
        <v>6</v>
      </c>
      <c r="BY207" s="1190">
        <v>6</v>
      </c>
      <c r="BZ207" s="1190">
        <v>6</v>
      </c>
      <c r="CA207" s="1190">
        <f>AVERAGE(CO256,CO247,CO236,CO225)</f>
        <v>2.6558175672814412</v>
      </c>
      <c r="CB207" s="1190">
        <f>AVERAGE(CO247,CO236,CO225,CO214)</f>
        <v>1.5308175672814415</v>
      </c>
      <c r="CC207" s="1190">
        <f>AVERAGE(CO203,CO236,CO225,CO214)</f>
        <v>0.53797916666666645</v>
      </c>
      <c r="CD207" s="1190">
        <f>AVERAGE(CO203,CO214,CO225)</f>
        <v>-0.2826944444444448</v>
      </c>
      <c r="CE207" s="1190">
        <f>AVERAGE(CO203,CO214)</f>
        <v>-0.14904166666666718</v>
      </c>
      <c r="CG207" s="976">
        <v>2014</v>
      </c>
      <c r="CH207" s="1311">
        <v>97.39</v>
      </c>
      <c r="CI207" s="1311">
        <v>38.5</v>
      </c>
      <c r="CJ207" s="260">
        <f>CO242</f>
        <v>21.283783783783782</v>
      </c>
      <c r="CK207" s="1003">
        <f>CO245+CO246</f>
        <v>19.111486486486484</v>
      </c>
    </row>
    <row r="208" spans="1:110" s="2" customFormat="1" ht="13.5" customHeight="1">
      <c r="A208" s="1523"/>
      <c r="C208" s="610"/>
      <c r="E208" s="365"/>
      <c r="F208" s="6"/>
      <c r="G208" s="6"/>
      <c r="H208" s="366"/>
      <c r="I208" s="37"/>
      <c r="J208" s="365"/>
      <c r="K208" s="6"/>
      <c r="L208" s="6"/>
      <c r="M208" s="366"/>
      <c r="O208" s="365"/>
      <c r="P208" s="6"/>
      <c r="Q208" s="6"/>
      <c r="R208" s="366"/>
      <c r="T208" s="616"/>
      <c r="U208" s="617"/>
      <c r="V208" s="617"/>
      <c r="W208" s="618"/>
      <c r="X208" s="619"/>
      <c r="Y208" s="616"/>
      <c r="Z208" s="617"/>
      <c r="AA208" s="617"/>
      <c r="AB208" s="618"/>
      <c r="AC208" s="619"/>
      <c r="AD208" s="616"/>
      <c r="AE208" s="617"/>
      <c r="AF208" s="617"/>
      <c r="AG208" s="618"/>
      <c r="AH208" s="619"/>
      <c r="AI208" s="616"/>
      <c r="AJ208" s="617"/>
      <c r="AK208" s="617"/>
      <c r="AL208" s="618"/>
      <c r="AM208" s="619"/>
      <c r="AN208" s="616"/>
      <c r="AO208" s="617"/>
      <c r="AP208" s="617"/>
      <c r="AQ208" s="618"/>
      <c r="AR208" s="619"/>
      <c r="AS208" s="616"/>
      <c r="AT208" s="617"/>
      <c r="AU208" s="617"/>
      <c r="AV208" s="618"/>
      <c r="AW208" s="619"/>
      <c r="AX208" s="616"/>
      <c r="AY208" s="617"/>
      <c r="AZ208" s="617"/>
      <c r="BA208" s="618"/>
      <c r="BB208" s="619"/>
      <c r="BC208" s="616"/>
      <c r="BD208" s="617"/>
      <c r="BE208" s="617"/>
      <c r="BF208" s="618"/>
      <c r="BG208" s="619"/>
      <c r="BH208" s="616"/>
      <c r="BI208" s="617"/>
      <c r="BJ208" s="617"/>
      <c r="BK208" s="618"/>
      <c r="BL208" s="619"/>
      <c r="BM208" s="616"/>
      <c r="BN208" s="617"/>
      <c r="BO208" s="617"/>
      <c r="BP208" s="618"/>
      <c r="BQ208" s="619"/>
      <c r="BU208" s="49" t="s">
        <v>686</v>
      </c>
      <c r="BW208" s="830">
        <f t="shared" ref="BW208:CD208" si="212">+BW205-BW206-BW207</f>
        <v>9.0216666666666754</v>
      </c>
      <c r="BX208" s="830">
        <f t="shared" si="212"/>
        <v>7.6366666666666703</v>
      </c>
      <c r="BY208" s="830">
        <f t="shared" si="212"/>
        <v>8.1041666666666714</v>
      </c>
      <c r="BZ208" s="830">
        <f t="shared" si="212"/>
        <v>8.8338631488631449</v>
      </c>
      <c r="CA208" s="830">
        <f t="shared" si="212"/>
        <v>11.914468746429531</v>
      </c>
      <c r="CB208" s="830">
        <f t="shared" si="212"/>
        <v>11.970185644065953</v>
      </c>
      <c r="CC208" s="830">
        <f t="shared" si="212"/>
        <v>11.279826074282887</v>
      </c>
      <c r="CD208" s="830">
        <f t="shared" si="212"/>
        <v>11.355388719664489</v>
      </c>
      <c r="CE208" s="830">
        <f>+CE205-CE206-CE207</f>
        <v>11.420633575197902</v>
      </c>
      <c r="CG208" s="976">
        <v>2015</v>
      </c>
      <c r="CH208" s="1311">
        <v>99.54</v>
      </c>
      <c r="CI208" s="1311">
        <v>37.5</v>
      </c>
      <c r="CJ208" s="260">
        <f>CO231</f>
        <v>22.56006006006006</v>
      </c>
      <c r="CK208" s="1003">
        <f>CO234+CO235</f>
        <v>23.926801801801805</v>
      </c>
      <c r="CM208" s="49" t="s">
        <v>1054</v>
      </c>
      <c r="CO208" s="977" t="s">
        <v>914</v>
      </c>
      <c r="CQ208" s="49" t="s">
        <v>765</v>
      </c>
    </row>
    <row r="209" spans="1:105" s="2" customFormat="1" ht="13.5" customHeight="1">
      <c r="A209" s="1523"/>
      <c r="C209" s="565" t="s">
        <v>889</v>
      </c>
      <c r="E209" s="365"/>
      <c r="F209" s="6"/>
      <c r="G209" s="6"/>
      <c r="H209" s="366"/>
      <c r="I209" s="37"/>
      <c r="J209" s="365"/>
      <c r="K209" s="6"/>
      <c r="L209" s="6"/>
      <c r="M209" s="366"/>
      <c r="O209" s="365"/>
      <c r="P209" s="6"/>
      <c r="Q209" s="6"/>
      <c r="R209" s="366"/>
      <c r="T209" s="620"/>
      <c r="U209" s="621"/>
      <c r="V209" s="621"/>
      <c r="W209" s="622"/>
      <c r="X209" s="623"/>
      <c r="Y209" s="620"/>
      <c r="Z209" s="621"/>
      <c r="AA209" s="621"/>
      <c r="AB209" s="622"/>
      <c r="AC209" s="623"/>
      <c r="AD209" s="620">
        <f t="shared" ref="AD209:BL209" si="213">+AD73</f>
        <v>110.52712209889796</v>
      </c>
      <c r="AE209" s="621">
        <f t="shared" si="213"/>
        <v>41.679595971337889</v>
      </c>
      <c r="AF209" s="621">
        <f t="shared" si="213"/>
        <v>35.451764268292507</v>
      </c>
      <c r="AG209" s="622">
        <f t="shared" si="213"/>
        <v>43.10411778415444</v>
      </c>
      <c r="AH209" s="623">
        <f t="shared" si="213"/>
        <v>57.690650030670703</v>
      </c>
      <c r="AI209" s="620">
        <f t="shared" si="213"/>
        <v>59.740566906779449</v>
      </c>
      <c r="AJ209" s="621">
        <f t="shared" si="213"/>
        <v>30.694201654274341</v>
      </c>
      <c r="AK209" s="621">
        <f t="shared" si="213"/>
        <v>29.891276604570443</v>
      </c>
      <c r="AL209" s="622">
        <f t="shared" si="213"/>
        <v>27.577496597475587</v>
      </c>
      <c r="AM209" s="623">
        <f t="shared" si="213"/>
        <v>36.975885440774952</v>
      </c>
      <c r="AN209" s="620">
        <f t="shared" si="213"/>
        <v>28.158162791408454</v>
      </c>
      <c r="AO209" s="621">
        <f t="shared" si="213"/>
        <v>23.744347552298677</v>
      </c>
      <c r="AP209" s="621">
        <f t="shared" si="213"/>
        <v>30.351033232756244</v>
      </c>
      <c r="AQ209" s="622">
        <f t="shared" si="213"/>
        <v>24.884635360263541</v>
      </c>
      <c r="AR209" s="623">
        <f t="shared" si="213"/>
        <v>26.784544734181729</v>
      </c>
      <c r="AS209" s="620">
        <f t="shared" si="213"/>
        <v>31.198536553048502</v>
      </c>
      <c r="AT209" s="621">
        <f t="shared" si="213"/>
        <v>26.795451860978815</v>
      </c>
      <c r="AU209" s="621">
        <f t="shared" si="213"/>
        <v>26.388415323007248</v>
      </c>
      <c r="AV209" s="622">
        <f t="shared" si="213"/>
        <v>36.320836502083765</v>
      </c>
      <c r="AW209" s="623">
        <f t="shared" si="213"/>
        <v>30.175810059779582</v>
      </c>
      <c r="AX209" s="620">
        <f t="shared" si="213"/>
        <v>48.006363278624086</v>
      </c>
      <c r="AY209" s="621">
        <f t="shared" si="213"/>
        <v>29.534683333333334</v>
      </c>
      <c r="AZ209" s="621">
        <f>+AZ73</f>
        <v>31.344845833333334</v>
      </c>
      <c r="BA209" s="622">
        <f t="shared" si="213"/>
        <v>29.829220833333331</v>
      </c>
      <c r="BB209" s="623">
        <f t="shared" si="213"/>
        <v>34.678778319656018</v>
      </c>
      <c r="BC209" s="620">
        <f t="shared" si="213"/>
        <v>41.70067783353943</v>
      </c>
      <c r="BD209" s="621">
        <f t="shared" si="213"/>
        <v>25.28186367366057</v>
      </c>
      <c r="BE209" s="621">
        <f t="shared" si="213"/>
        <v>27.252066715361075</v>
      </c>
      <c r="BF209" s="622">
        <f t="shared" si="213"/>
        <v>33.565240943978935</v>
      </c>
      <c r="BG209" s="623">
        <f t="shared" si="213"/>
        <v>31.949962291635003</v>
      </c>
      <c r="BH209" s="620">
        <f t="shared" si="213"/>
        <v>41.513587958867234</v>
      </c>
      <c r="BI209" s="621">
        <f t="shared" si="213"/>
        <v>25.176505550988139</v>
      </c>
      <c r="BJ209" s="621">
        <f t="shared" si="213"/>
        <v>27.143459647917485</v>
      </c>
      <c r="BK209" s="622">
        <f t="shared" si="213"/>
        <v>33.410701008767148</v>
      </c>
      <c r="BL209" s="623">
        <f t="shared" si="213"/>
        <v>31.811063541634997</v>
      </c>
      <c r="BM209" s="620">
        <f>+BM73</f>
        <v>31.238074693323561</v>
      </c>
      <c r="BN209" s="621">
        <f>+BN73</f>
        <v>31.238074693323561</v>
      </c>
      <c r="BO209" s="621">
        <f>+BO73</f>
        <v>31.238074693323561</v>
      </c>
      <c r="BP209" s="622">
        <f>+BP73</f>
        <v>31.238074693323561</v>
      </c>
      <c r="BQ209" s="623">
        <f>+BQ73</f>
        <v>31.238074693323561</v>
      </c>
      <c r="BW209" s="979"/>
      <c r="BX209" s="979"/>
      <c r="BY209" s="979"/>
      <c r="CG209" s="976">
        <v>2016</v>
      </c>
      <c r="CH209" s="1311">
        <v>96.38</v>
      </c>
      <c r="CI209" s="1311">
        <v>33.5</v>
      </c>
      <c r="CJ209" s="260">
        <f>CO220</f>
        <v>24.737237237237235</v>
      </c>
      <c r="CK209" s="260">
        <f>CO223+CO224</f>
        <v>26.967863754165123</v>
      </c>
      <c r="CM209" s="37" t="s">
        <v>850</v>
      </c>
      <c r="CO209" s="987">
        <f>AVERAGE(CD214:CF214)*365/(8.76*0.379)/1000</f>
        <v>20.521841102316035</v>
      </c>
      <c r="CQ209" s="37" t="s">
        <v>1068</v>
      </c>
      <c r="CX209" s="49" t="s">
        <v>1059</v>
      </c>
    </row>
    <row r="210" spans="1:105" s="2" customFormat="1" ht="13.5" customHeight="1">
      <c r="A210" s="1523"/>
      <c r="C210" s="565" t="s">
        <v>890</v>
      </c>
      <c r="E210" s="365"/>
      <c r="F210" s="6"/>
      <c r="G210" s="6"/>
      <c r="H210" s="366"/>
      <c r="I210" s="37"/>
      <c r="J210" s="365"/>
      <c r="K210" s="6"/>
      <c r="L210" s="6"/>
      <c r="M210" s="366"/>
      <c r="O210" s="365"/>
      <c r="P210" s="6"/>
      <c r="Q210" s="6"/>
      <c r="R210" s="366"/>
      <c r="T210" s="620"/>
      <c r="U210" s="621"/>
      <c r="V210" s="621"/>
      <c r="W210" s="622"/>
      <c r="X210" s="623"/>
      <c r="Y210" s="620"/>
      <c r="Z210" s="621"/>
      <c r="AA210" s="621"/>
      <c r="AB210" s="622"/>
      <c r="AC210" s="623"/>
      <c r="AD210" s="620">
        <f t="shared" ref="AD210:BL210" si="214">+AD71</f>
        <v>132.34547472222226</v>
      </c>
      <c r="AE210" s="621">
        <f t="shared" si="214"/>
        <v>53.887016669921877</v>
      </c>
      <c r="AF210" s="621">
        <f t="shared" si="214"/>
        <v>45.337472450195328</v>
      </c>
      <c r="AG210" s="622">
        <f t="shared" si="214"/>
        <v>49.12051941503907</v>
      </c>
      <c r="AH210" s="623">
        <f t="shared" si="214"/>
        <v>70.17262081434464</v>
      </c>
      <c r="AI210" s="620">
        <f t="shared" si="214"/>
        <v>67.284598143849195</v>
      </c>
      <c r="AJ210" s="621">
        <f t="shared" si="214"/>
        <v>36.819058058593754</v>
      </c>
      <c r="AK210" s="621">
        <f t="shared" si="214"/>
        <v>39.898508561538463</v>
      </c>
      <c r="AL210" s="622">
        <f t="shared" si="214"/>
        <v>30.041686161132823</v>
      </c>
      <c r="AM210" s="623">
        <f t="shared" si="214"/>
        <v>43.510962731278553</v>
      </c>
      <c r="AN210" s="620">
        <f t="shared" si="214"/>
        <v>31.26632047949219</v>
      </c>
      <c r="AO210" s="621">
        <f t="shared" si="214"/>
        <v>28.707086242187497</v>
      </c>
      <c r="AP210" s="621">
        <f t="shared" si="214"/>
        <v>40.605906624023433</v>
      </c>
      <c r="AQ210" s="622">
        <f t="shared" si="214"/>
        <v>28.828253920634918</v>
      </c>
      <c r="AR210" s="623">
        <f t="shared" si="214"/>
        <v>32.351891816584512</v>
      </c>
      <c r="AS210" s="620">
        <f t="shared" si="214"/>
        <v>33.256564817382809</v>
      </c>
      <c r="AT210" s="621">
        <f t="shared" si="214"/>
        <v>32.387231337890618</v>
      </c>
      <c r="AU210" s="621">
        <f t="shared" si="214"/>
        <v>34.354411583333338</v>
      </c>
      <c r="AV210" s="622">
        <f t="shared" si="214"/>
        <v>39.044797251984129</v>
      </c>
      <c r="AW210" s="623">
        <f t="shared" si="214"/>
        <v>34.760751247647725</v>
      </c>
      <c r="AX210" s="620">
        <f t="shared" si="214"/>
        <v>49.504310380859366</v>
      </c>
      <c r="AY210" s="621">
        <f t="shared" si="214"/>
        <v>34.371333333333332</v>
      </c>
      <c r="AZ210" s="621">
        <f>+AZ71</f>
        <v>38.062833333333337</v>
      </c>
      <c r="BA210" s="622">
        <f t="shared" si="214"/>
        <v>34.614333333333327</v>
      </c>
      <c r="BB210" s="623">
        <f t="shared" si="214"/>
        <v>39.138202595214842</v>
      </c>
      <c r="BC210" s="620">
        <f t="shared" si="214"/>
        <v>46.510944725679025</v>
      </c>
      <c r="BD210" s="621">
        <f t="shared" si="214"/>
        <v>30.296280173373429</v>
      </c>
      <c r="BE210" s="621">
        <f t="shared" si="214"/>
        <v>33.94738406386135</v>
      </c>
      <c r="BF210" s="622">
        <f t="shared" si="214"/>
        <v>36.410057703486217</v>
      </c>
      <c r="BG210" s="623">
        <f t="shared" si="214"/>
        <v>36.791166666600006</v>
      </c>
      <c r="BH210" s="620">
        <f t="shared" si="214"/>
        <v>46.479340030218324</v>
      </c>
      <c r="BI210" s="621">
        <f t="shared" si="214"/>
        <v>30.275693519756331</v>
      </c>
      <c r="BJ210" s="621">
        <f t="shared" si="214"/>
        <v>33.924316445231916</v>
      </c>
      <c r="BK210" s="622">
        <f t="shared" si="214"/>
        <v>36.385316671193436</v>
      </c>
      <c r="BL210" s="623">
        <f t="shared" si="214"/>
        <v>36.7661666666</v>
      </c>
      <c r="BM210" s="620">
        <f>+BM71</f>
        <v>36.021428571428572</v>
      </c>
      <c r="BN210" s="621">
        <f>+BN71</f>
        <v>36.021428571428572</v>
      </c>
      <c r="BO210" s="621">
        <f>+BO71</f>
        <v>36.021428571428572</v>
      </c>
      <c r="BP210" s="622">
        <f>+BP71</f>
        <v>36.021428571428572</v>
      </c>
      <c r="BQ210" s="623">
        <f>+BQ71</f>
        <v>36.021428571428572</v>
      </c>
      <c r="CG210" s="976">
        <v>2017</v>
      </c>
      <c r="CH210" s="1311">
        <v>90.78</v>
      </c>
      <c r="CI210" s="1311">
        <v>32.5</v>
      </c>
      <c r="CJ210" s="260">
        <f>CO209</f>
        <v>20.521841102316035</v>
      </c>
      <c r="CK210" s="260">
        <f>CO212+CO213</f>
        <v>28.976912928759894</v>
      </c>
      <c r="CM210" s="2" t="s">
        <v>853</v>
      </c>
      <c r="CO210" s="987">
        <v>31.1974538020667</v>
      </c>
      <c r="CQ210" s="37" t="s">
        <v>1056</v>
      </c>
      <c r="CY210" s="65" t="s">
        <v>1060</v>
      </c>
      <c r="CZ210" s="296">
        <f>10987.4-4398.5</f>
        <v>6588.9</v>
      </c>
      <c r="DA210" s="37" t="s">
        <v>1064</v>
      </c>
    </row>
    <row r="211" spans="1:105" s="2" customFormat="1" ht="13.5" customHeight="1">
      <c r="A211" s="1523"/>
      <c r="C211" s="610"/>
      <c r="E211" s="365"/>
      <c r="F211" s="6"/>
      <c r="G211" s="6"/>
      <c r="H211" s="366"/>
      <c r="I211" s="37"/>
      <c r="J211" s="365"/>
      <c r="K211" s="6"/>
      <c r="L211" s="6"/>
      <c r="M211" s="366"/>
      <c r="O211" s="365"/>
      <c r="P211" s="6"/>
      <c r="Q211" s="6"/>
      <c r="R211" s="366"/>
      <c r="T211" s="616"/>
      <c r="U211" s="617"/>
      <c r="V211" s="617"/>
      <c r="W211" s="618"/>
      <c r="X211" s="619"/>
      <c r="Y211" s="616"/>
      <c r="Z211" s="617"/>
      <c r="AA211" s="617"/>
      <c r="AB211" s="618"/>
      <c r="AC211" s="619"/>
      <c r="AD211" s="616"/>
      <c r="AE211" s="617"/>
      <c r="AF211" s="617"/>
      <c r="AG211" s="618"/>
      <c r="AH211" s="619"/>
      <c r="AI211" s="616"/>
      <c r="AJ211" s="617"/>
      <c r="AK211" s="617"/>
      <c r="AL211" s="618"/>
      <c r="AM211" s="619"/>
      <c r="AN211" s="616"/>
      <c r="AO211" s="617"/>
      <c r="AP211" s="617"/>
      <c r="AQ211" s="618"/>
      <c r="AR211" s="619"/>
      <c r="AS211" s="616"/>
      <c r="AT211" s="617"/>
      <c r="AU211" s="617"/>
      <c r="AV211" s="618"/>
      <c r="AW211" s="619"/>
      <c r="AX211" s="616"/>
      <c r="AY211" s="617"/>
      <c r="AZ211" s="617"/>
      <c r="BA211" s="618"/>
      <c r="BB211" s="619"/>
      <c r="BC211" s="616"/>
      <c r="BD211" s="617"/>
      <c r="BE211" s="617"/>
      <c r="BF211" s="618"/>
      <c r="BG211" s="619"/>
      <c r="BH211" s="616"/>
      <c r="BI211" s="617"/>
      <c r="BJ211" s="617"/>
      <c r="BK211" s="618"/>
      <c r="BL211" s="619"/>
      <c r="BM211" s="616"/>
      <c r="BN211" s="617"/>
      <c r="BO211" s="617"/>
      <c r="BP211" s="618"/>
      <c r="BQ211" s="619"/>
      <c r="CG211" s="976">
        <v>2018</v>
      </c>
      <c r="CH211" s="1311">
        <v>91.77</v>
      </c>
      <c r="CJ211" s="260">
        <f>CO198</f>
        <v>19.527631193198474</v>
      </c>
      <c r="CK211" s="260">
        <f>CO201+CO202</f>
        <v>25.980430958663149</v>
      </c>
      <c r="CM211" s="2" t="s">
        <v>848</v>
      </c>
      <c r="CO211" s="987">
        <v>2</v>
      </c>
      <c r="CQ211" s="2" t="s">
        <v>842</v>
      </c>
      <c r="CY211" s="65" t="s">
        <v>1061</v>
      </c>
      <c r="CZ211" s="296">
        <f>42780378-20905859</f>
        <v>21874519</v>
      </c>
      <c r="DA211" s="37" t="s">
        <v>1065</v>
      </c>
    </row>
    <row r="212" spans="1:105" s="2" customFormat="1" ht="13.5" customHeight="1">
      <c r="A212" s="1523"/>
      <c r="C212" s="295" t="s">
        <v>665</v>
      </c>
      <c r="E212" s="365"/>
      <c r="F212" s="6"/>
      <c r="G212" s="6"/>
      <c r="H212" s="366"/>
      <c r="I212" s="37"/>
      <c r="J212" s="365"/>
      <c r="K212" s="6"/>
      <c r="L212" s="6"/>
      <c r="M212" s="366"/>
      <c r="O212" s="365"/>
      <c r="P212" s="6"/>
      <c r="Q212" s="6"/>
      <c r="R212" s="366"/>
      <c r="T212" s="394"/>
      <c r="U212" s="342"/>
      <c r="V212" s="342"/>
      <c r="W212" s="395"/>
      <c r="X212" s="974"/>
      <c r="Y212" s="394"/>
      <c r="Z212" s="342"/>
      <c r="AA212" s="342"/>
      <c r="AB212" s="395"/>
      <c r="AC212" s="974"/>
      <c r="AD212" s="394">
        <f>+AH212/4</f>
        <v>0</v>
      </c>
      <c r="AE212" s="342">
        <f>+AH212/4</f>
        <v>0</v>
      </c>
      <c r="AF212" s="342">
        <f>+AH212/4</f>
        <v>0</v>
      </c>
      <c r="AG212" s="395">
        <f>+AH212/4</f>
        <v>0</v>
      </c>
      <c r="AH212" s="974">
        <v>0</v>
      </c>
      <c r="AI212" s="394">
        <f>+AM212/4</f>
        <v>0</v>
      </c>
      <c r="AJ212" s="342">
        <f>+AM212/4</f>
        <v>0</v>
      </c>
      <c r="AK212" s="342">
        <f>+AM212/4</f>
        <v>0</v>
      </c>
      <c r="AL212" s="395">
        <f>+AM212/4</f>
        <v>0</v>
      </c>
      <c r="AM212" s="974">
        <v>0</v>
      </c>
      <c r="AN212" s="394">
        <f>+AR212/4</f>
        <v>0</v>
      </c>
      <c r="AO212" s="342">
        <f>+AR212/4</f>
        <v>0</v>
      </c>
      <c r="AP212" s="342">
        <f>+AR212/4</f>
        <v>0</v>
      </c>
      <c r="AQ212" s="395">
        <f>+AR212/4</f>
        <v>0</v>
      </c>
      <c r="AR212" s="974">
        <v>0</v>
      </c>
      <c r="AS212" s="394">
        <f>+AW212/4</f>
        <v>0</v>
      </c>
      <c r="AT212" s="342">
        <f>+AW212/4</f>
        <v>0</v>
      </c>
      <c r="AU212" s="342">
        <f>+AW212/4</f>
        <v>0</v>
      </c>
      <c r="AV212" s="395">
        <f>+AW212/4</f>
        <v>0</v>
      </c>
      <c r="AW212" s="974">
        <v>0</v>
      </c>
      <c r="AX212" s="394">
        <f>+BB212/4</f>
        <v>6.875</v>
      </c>
      <c r="AY212" s="342">
        <f>+BB212/4</f>
        <v>6.875</v>
      </c>
      <c r="AZ212" s="342">
        <f>+BC212/4</f>
        <v>3.4375</v>
      </c>
      <c r="BA212" s="395">
        <f>+BB212/4</f>
        <v>6.875</v>
      </c>
      <c r="BB212" s="589">
        <f>BQ212*0.25</f>
        <v>27.5</v>
      </c>
      <c r="BC212" s="394">
        <f>+BG212/4</f>
        <v>13.75</v>
      </c>
      <c r="BD212" s="342">
        <f>+BG212/4</f>
        <v>13.75</v>
      </c>
      <c r="BE212" s="342">
        <f>+BG212/4</f>
        <v>13.75</v>
      </c>
      <c r="BF212" s="395">
        <f>+BG212/4</f>
        <v>13.75</v>
      </c>
      <c r="BG212" s="589">
        <f>BQ212*0.5</f>
        <v>55</v>
      </c>
      <c r="BH212" s="394">
        <f>+BL212/4</f>
        <v>20.625</v>
      </c>
      <c r="BI212" s="342">
        <f>+BL212/4</f>
        <v>20.625</v>
      </c>
      <c r="BJ212" s="342">
        <f>+BL212/4</f>
        <v>20.625</v>
      </c>
      <c r="BK212" s="395">
        <f>+BL212/4</f>
        <v>20.625</v>
      </c>
      <c r="BL212" s="589">
        <f>BQ212*0.75</f>
        <v>82.5</v>
      </c>
      <c r="BM212" s="394">
        <f>+BQ212/4</f>
        <v>27.5</v>
      </c>
      <c r="BN212" s="342">
        <f>+BQ212/4</f>
        <v>27.5</v>
      </c>
      <c r="BO212" s="342">
        <f>+BQ212/4</f>
        <v>27.5</v>
      </c>
      <c r="BP212" s="395">
        <f>+BQ212/4</f>
        <v>27.5</v>
      </c>
      <c r="BQ212" s="589">
        <f>11*10</f>
        <v>110</v>
      </c>
      <c r="CM212" s="2" t="s">
        <v>843</v>
      </c>
      <c r="CO212" s="987">
        <f>249.93/24/0.379</f>
        <v>27.476912928759894</v>
      </c>
      <c r="CQ212" s="37" t="s">
        <v>1066</v>
      </c>
      <c r="CV212" s="37"/>
      <c r="CY212" s="65" t="s">
        <v>1062</v>
      </c>
      <c r="CZ212" s="296">
        <f>CZ211/365/24</f>
        <v>2497.0912100456621</v>
      </c>
      <c r="DA212" s="37" t="s">
        <v>1064</v>
      </c>
    </row>
    <row r="213" spans="1:105" s="2" customFormat="1" ht="13.5" customHeight="1">
      <c r="C213" s="610"/>
      <c r="E213" s="365"/>
      <c r="F213" s="6"/>
      <c r="G213" s="6"/>
      <c r="H213" s="366"/>
      <c r="I213" s="37"/>
      <c r="J213" s="365"/>
      <c r="K213" s="6"/>
      <c r="L213" s="6"/>
      <c r="M213" s="366"/>
      <c r="O213" s="365"/>
      <c r="P213" s="6"/>
      <c r="Q213" s="6"/>
      <c r="R213" s="366"/>
      <c r="T213" s="616"/>
      <c r="U213" s="617"/>
      <c r="V213" s="617"/>
      <c r="W213" s="618"/>
      <c r="X213" s="619"/>
      <c r="Y213" s="616"/>
      <c r="Z213" s="617"/>
      <c r="AA213" s="617"/>
      <c r="AB213" s="618"/>
      <c r="AC213" s="619"/>
      <c r="AD213" s="616"/>
      <c r="AE213" s="617"/>
      <c r="AF213" s="617"/>
      <c r="AG213" s="618"/>
      <c r="AH213" s="619"/>
      <c r="AI213" s="616"/>
      <c r="AJ213" s="617"/>
      <c r="AK213" s="617"/>
      <c r="AL213" s="618"/>
      <c r="AM213" s="619"/>
      <c r="AN213" s="616"/>
      <c r="AO213" s="617"/>
      <c r="AP213" s="617"/>
      <c r="AQ213" s="618"/>
      <c r="AR213" s="619"/>
      <c r="AS213" s="616"/>
      <c r="AT213" s="617"/>
      <c r="AU213" s="617"/>
      <c r="AV213" s="618"/>
      <c r="AW213" s="619"/>
      <c r="AX213" s="616"/>
      <c r="AY213" s="617"/>
      <c r="AZ213" s="617"/>
      <c r="BA213" s="618"/>
      <c r="BB213" s="619"/>
      <c r="BC213" s="616"/>
      <c r="BD213" s="617"/>
      <c r="BE213" s="617"/>
      <c r="BF213" s="618"/>
      <c r="BG213" s="619"/>
      <c r="BH213" s="616"/>
      <c r="BI213" s="617"/>
      <c r="BJ213" s="617"/>
      <c r="BK213" s="618"/>
      <c r="BL213" s="619"/>
      <c r="BM213" s="616"/>
      <c r="BN213" s="617"/>
      <c r="BO213" s="617"/>
      <c r="BP213" s="618"/>
      <c r="BQ213" s="619"/>
      <c r="BW213" s="977" t="s">
        <v>677</v>
      </c>
      <c r="BX213" s="977" t="s">
        <v>676</v>
      </c>
      <c r="BY213" s="977" t="s">
        <v>672</v>
      </c>
      <c r="BZ213" s="977" t="s">
        <v>673</v>
      </c>
      <c r="CA213" s="977" t="s">
        <v>674</v>
      </c>
      <c r="CB213" s="977" t="s">
        <v>675</v>
      </c>
      <c r="CC213" s="977" t="s">
        <v>783</v>
      </c>
      <c r="CD213" s="977" t="s">
        <v>903</v>
      </c>
      <c r="CE213" s="977" t="s">
        <v>1006</v>
      </c>
      <c r="CF213" s="977" t="s">
        <v>1055</v>
      </c>
      <c r="CG213" s="1695" t="s">
        <v>1107</v>
      </c>
      <c r="CM213" s="2" t="s">
        <v>844</v>
      </c>
      <c r="CO213" s="987">
        <v>1.5</v>
      </c>
      <c r="CQ213" s="37" t="s">
        <v>1071</v>
      </c>
      <c r="CV213" s="37">
        <v>2017</v>
      </c>
      <c r="CW213" s="2">
        <v>2016</v>
      </c>
      <c r="CY213" s="65" t="s">
        <v>1063</v>
      </c>
      <c r="CZ213" s="291">
        <f>CZ212/CZ210</f>
        <v>0.37898453612069727</v>
      </c>
    </row>
    <row r="214" spans="1:105" s="2" customFormat="1" ht="13.5" customHeight="1">
      <c r="A214" s="1523"/>
      <c r="C214" s="610" t="s">
        <v>698</v>
      </c>
      <c r="E214" s="365"/>
      <c r="F214" s="6"/>
      <c r="G214" s="6"/>
      <c r="H214" s="366"/>
      <c r="I214" s="37"/>
      <c r="J214" s="365"/>
      <c r="K214" s="6"/>
      <c r="L214" s="6"/>
      <c r="M214" s="366"/>
      <c r="O214" s="365"/>
      <c r="P214" s="6"/>
      <c r="Q214" s="6"/>
      <c r="R214" s="366"/>
      <c r="T214" s="396"/>
      <c r="U214" s="343"/>
      <c r="V214" s="343"/>
      <c r="W214" s="397"/>
      <c r="X214" s="475"/>
      <c r="Y214" s="396"/>
      <c r="Z214" s="343"/>
      <c r="AA214" s="343"/>
      <c r="AB214" s="397"/>
      <c r="AC214" s="475"/>
      <c r="AD214" s="396">
        <f>((AD206-AD209)*AD203)+((AD207-AD210)*AD204)+AD212</f>
        <v>-710.58340943824146</v>
      </c>
      <c r="AE214" s="343">
        <f>((AE206-AE209)*AE203)+((AE207-AE210)*AE204)+AE212</f>
        <v>48.749360282509947</v>
      </c>
      <c r="AF214" s="343">
        <f>((AF206-AF209)*AF203)+((AF207-AF210)*AF204)+AF212</f>
        <v>120.34197612361014</v>
      </c>
      <c r="AG214" s="397">
        <f>((AG206-AG209)*AG203)+((AG207-AG210)*AG204)+AG212</f>
        <v>45.817788930130746</v>
      </c>
      <c r="AH214" s="475">
        <f>+SUM(AD214:AG214)</f>
        <v>-495.67428410199057</v>
      </c>
      <c r="AI214" s="396">
        <f>((AI206-AI209)*AI203)+((AI207-AI210)*AI204)+AI212</f>
        <v>-36.04491882469695</v>
      </c>
      <c r="AJ214" s="343">
        <f>((AJ206-AJ209)*AJ203)+((AJ207-AJ210)*AJ204)+AJ212</f>
        <v>132.68458612535284</v>
      </c>
      <c r="AK214" s="343">
        <f>((AK206-AK209)*AK203)+((AK207-AK210)*AK204)+AK212</f>
        <v>194.95859741481911</v>
      </c>
      <c r="AL214" s="397">
        <f>((AL206-AL209)*AL203)+((AL207-AL210)*AL204)+AL212</f>
        <v>160.78327754659119</v>
      </c>
      <c r="AM214" s="475">
        <f>+SUM(AI214:AL214)</f>
        <v>452.3815422620662</v>
      </c>
      <c r="AN214" s="396">
        <f>((AN206-AN209)*AN203)+((AN207-AN210)*AN204)+AN212</f>
        <v>266.48449318733759</v>
      </c>
      <c r="AO214" s="343">
        <f>((AO206-AO209)*AO203)+((AO207-AO210)*AO204)+AO212</f>
        <v>163.61531440405082</v>
      </c>
      <c r="AP214" s="343">
        <f>((AP206-AP209)*AP203)+((AP207-AP210)*AP204)+AP212</f>
        <v>106.89012157445026</v>
      </c>
      <c r="AQ214" s="397">
        <f>((AQ206-AQ209)*AQ203)+((AQ207-AQ210)*AQ204)+AQ212</f>
        <v>171.47226127068583</v>
      </c>
      <c r="AR214" s="475">
        <f>+SUM(AN214:AQ214)</f>
        <v>708.46219043652457</v>
      </c>
      <c r="AS214" s="396">
        <f>((AS206-AS209)*AS203)+((AS207-AS210)*AS204)+AS212</f>
        <v>86.881570074717786</v>
      </c>
      <c r="AT214" s="343">
        <f>((AT206-AT209)*AT203)+((AT207-AT210)*AT204)+AT212</f>
        <v>126.65499035193903</v>
      </c>
      <c r="AU214" s="343">
        <f>((AU206-AU209)*AU203)+((AU207-AU210)*AU204)+AU212</f>
        <v>124.80341426200201</v>
      </c>
      <c r="AV214" s="397">
        <f>((AV206-AV209)*AV203)+((AV207-AV210)*AV204)+AV212</f>
        <v>27.713792934494474</v>
      </c>
      <c r="AW214" s="475">
        <f>+SUM(AS214:AV214)</f>
        <v>366.05376762315325</v>
      </c>
      <c r="AX214" s="396">
        <f>((AX206-AX209)*AX203)+((AX207-AX210)*AX204)+AX212</f>
        <v>-17.353269533682397</v>
      </c>
      <c r="AY214" s="343">
        <f>((AY206-AY209)*AY203)+((AY207-AY210)*AY204)+AY212</f>
        <v>-11.574452631734619</v>
      </c>
      <c r="AZ214" s="343">
        <f>((AZ206-AZ209)*AZ203)+((AZ207-AZ210)*AZ204)+AZ212</f>
        <v>-11.578352680122958</v>
      </c>
      <c r="BA214" s="397">
        <f>((BA206-BA209)*BA203)+((BA207-BA210)*BA204)+BA212</f>
        <v>-4.876075564530657</v>
      </c>
      <c r="BB214" s="475">
        <f>+SUM(AX214:BA214)</f>
        <v>-45.382150410070629</v>
      </c>
      <c r="BC214" s="396">
        <f>((BC206-BC209)*BC203)+((BC207-BC210)*BC204)+BC212</f>
        <v>-71.112996898945823</v>
      </c>
      <c r="BD214" s="343">
        <f>((BD206-BD209)*BD203)+((BD207-BD210)*BD204)+BD212</f>
        <v>78.132340399798522</v>
      </c>
      <c r="BE214" s="343">
        <f>((BE206-BE209)*BE203)+((BE207-BE210)*BE204)+BE212</f>
        <v>58.837760780684157</v>
      </c>
      <c r="BF214" s="397">
        <f>((BF206-BF209)*BF203)+((BF207-BF210)*BF204)+BF212</f>
        <v>4.5164070288184313</v>
      </c>
      <c r="BG214" s="475">
        <f>+SUM(BC214:BF214)</f>
        <v>70.373511310355298</v>
      </c>
      <c r="BH214" s="396">
        <f>((BH206-BH209)*BH203)+((BH207-BH210)*BH204)+BH212</f>
        <v>-16.101211768621013</v>
      </c>
      <c r="BI214" s="343">
        <f>((BI206-BI209)*BI203)+((BI207-BI210)*BI204)+BI212</f>
        <v>58.947260542573581</v>
      </c>
      <c r="BJ214" s="343">
        <f>((BJ206-BJ209)*BJ203)+((BJ207-BJ210)*BJ204)+BJ212</f>
        <v>49.911565159804397</v>
      </c>
      <c r="BK214" s="1572">
        <f>((BK206-BK209)*BK203)+((BK207-BK210)*BK204)+BK212</f>
        <v>21.121425158401259</v>
      </c>
      <c r="BL214" s="475">
        <f>+SUM(BH214:BK214)</f>
        <v>113.87903909215822</v>
      </c>
      <c r="BM214" s="396">
        <f>((BM206-BM209)*BM203)+((BM207-BM210)*BM204)+BM212</f>
        <v>27.5</v>
      </c>
      <c r="BN214" s="343">
        <f>((BN206-BN209)*BN203)+((BN207-BN210)*BN204)+BN212</f>
        <v>27.5</v>
      </c>
      <c r="BO214" s="343">
        <f>((BO206-BO209)*BO203)+((BO207-BO210)*BO204)+BO212</f>
        <v>27.5</v>
      </c>
      <c r="BP214" s="1572">
        <f>((BP206-BP209)*BP203)+((BP207-BP210)*BP204)+BP212</f>
        <v>27.5</v>
      </c>
      <c r="BQ214" s="475">
        <f>+SUM(BM214:BP214)</f>
        <v>110</v>
      </c>
      <c r="BU214" s="976" t="s">
        <v>678</v>
      </c>
      <c r="BV214" s="976"/>
      <c r="BW214" s="978">
        <v>155</v>
      </c>
      <c r="BX214" s="978">
        <v>155</v>
      </c>
      <c r="BY214" s="978">
        <v>155</v>
      </c>
      <c r="BZ214" s="978">
        <v>245</v>
      </c>
      <c r="CA214" s="978">
        <v>164</v>
      </c>
      <c r="CB214" s="978">
        <v>167</v>
      </c>
      <c r="CC214" s="978">
        <v>219</v>
      </c>
      <c r="CD214" s="978">
        <v>215</v>
      </c>
      <c r="CE214" s="978">
        <v>225</v>
      </c>
      <c r="CF214" s="978">
        <v>120</v>
      </c>
      <c r="CG214" s="1729">
        <v>187.87</v>
      </c>
      <c r="CM214" s="2" t="s">
        <v>846</v>
      </c>
      <c r="CO214" s="987">
        <v>-0.5</v>
      </c>
      <c r="CQ214" s="2" t="s">
        <v>707</v>
      </c>
      <c r="CS214" s="37"/>
      <c r="CT214" s="37"/>
      <c r="CU214" s="65" t="s">
        <v>1057</v>
      </c>
      <c r="CV214" s="262">
        <f>0.001148*1000</f>
        <v>1.1479999999999999</v>
      </c>
      <c r="CW214" s="2">
        <v>1.337</v>
      </c>
    </row>
    <row r="215" spans="1:105" s="2" customFormat="1" ht="13.5" customHeight="1">
      <c r="A215" s="1523"/>
      <c r="C215" s="565" t="s">
        <v>721</v>
      </c>
      <c r="D215" s="37"/>
      <c r="E215" s="417"/>
      <c r="F215" s="66"/>
      <c r="G215" s="66"/>
      <c r="H215" s="892"/>
      <c r="I215" s="37"/>
      <c r="J215" s="417"/>
      <c r="K215" s="66"/>
      <c r="L215" s="66"/>
      <c r="M215" s="892"/>
      <c r="N215" s="37"/>
      <c r="O215" s="417"/>
      <c r="P215" s="66"/>
      <c r="Q215" s="66"/>
      <c r="R215" s="892"/>
      <c r="S215" s="37"/>
      <c r="T215" s="620"/>
      <c r="U215" s="621"/>
      <c r="V215" s="621"/>
      <c r="W215" s="622"/>
      <c r="X215" s="496"/>
      <c r="Y215" s="620"/>
      <c r="Z215" s="621"/>
      <c r="AA215" s="621"/>
      <c r="AB215" s="622"/>
      <c r="AC215" s="496"/>
      <c r="AD215" s="620"/>
      <c r="AE215" s="621"/>
      <c r="AF215" s="621"/>
      <c r="AG215" s="622"/>
      <c r="AH215" s="496">
        <f>+AH214*0.65/AH38</f>
        <v>-0.63422890682341315</v>
      </c>
      <c r="AI215" s="620"/>
      <c r="AJ215" s="621"/>
      <c r="AK215" s="621"/>
      <c r="AL215" s="622"/>
      <c r="AM215" s="496">
        <f>+AM214*0.65/AM38</f>
        <v>0.57883465053217131</v>
      </c>
      <c r="AN215" s="620"/>
      <c r="AO215" s="621"/>
      <c r="AP215" s="621"/>
      <c r="AQ215" s="622"/>
      <c r="AR215" s="496">
        <f>+AR214*0.65/AR38</f>
        <v>0.90649689721208859</v>
      </c>
      <c r="AS215" s="620"/>
      <c r="AT215" s="621"/>
      <c r="AU215" s="621"/>
      <c r="AV215" s="622"/>
      <c r="AW215" s="496">
        <f>+AW214*0.65/AW38</f>
        <v>0.46929970208096572</v>
      </c>
      <c r="AX215" s="620"/>
      <c r="AY215" s="621"/>
      <c r="AZ215" s="621"/>
      <c r="BA215" s="622"/>
      <c r="BB215" s="496">
        <f>+BB214*0.65/BB38</f>
        <v>-5.8067712138869902E-2</v>
      </c>
      <c r="BC215" s="620"/>
      <c r="BD215" s="621"/>
      <c r="BE215" s="621"/>
      <c r="BF215" s="622"/>
      <c r="BG215" s="496">
        <f>+BG214*0.65/BG38</f>
        <v>9.0044847149076665E-2</v>
      </c>
      <c r="BH215" s="620"/>
      <c r="BI215" s="621"/>
      <c r="BJ215" s="621"/>
      <c r="BK215" s="622"/>
      <c r="BL215" s="496">
        <f>+BL214*0.65/BL38</f>
        <v>0.14571136891713157</v>
      </c>
      <c r="BM215" s="620"/>
      <c r="BN215" s="621"/>
      <c r="BO215" s="621"/>
      <c r="BP215" s="622"/>
      <c r="BQ215" s="496">
        <f>+BQ214*0.65/BQ38</f>
        <v>0.14074803149606299</v>
      </c>
      <c r="CM215" s="2" t="s">
        <v>847</v>
      </c>
      <c r="CO215" s="1586">
        <f>CO216-SUM(CO209:CO214)</f>
        <v>8.5837921668573642</v>
      </c>
      <c r="CQ215" s="2" t="s">
        <v>773</v>
      </c>
      <c r="CS215" s="260"/>
      <c r="CT215" s="260"/>
      <c r="CU215" s="1638" t="s">
        <v>1058</v>
      </c>
      <c r="CV215" s="262">
        <f>0.000073*1000</f>
        <v>7.2999999999999995E-2</v>
      </c>
      <c r="CW215" s="2">
        <v>0.04</v>
      </c>
    </row>
    <row r="216" spans="1:105" s="2" customFormat="1" ht="13.5" customHeight="1">
      <c r="A216" s="1523"/>
      <c r="C216" s="565"/>
      <c r="D216" s="37"/>
      <c r="E216" s="417"/>
      <c r="F216" s="66"/>
      <c r="G216" s="66"/>
      <c r="H216" s="892"/>
      <c r="I216" s="37"/>
      <c r="J216" s="417"/>
      <c r="K216" s="66"/>
      <c r="L216" s="66"/>
      <c r="M216" s="892"/>
      <c r="N216" s="37"/>
      <c r="O216" s="417"/>
      <c r="P216" s="66"/>
      <c r="Q216" s="66"/>
      <c r="R216" s="892"/>
      <c r="S216" s="37"/>
      <c r="T216" s="620"/>
      <c r="U216" s="621"/>
      <c r="V216" s="621"/>
      <c r="W216" s="622"/>
      <c r="X216" s="496"/>
      <c r="Y216" s="620"/>
      <c r="Z216" s="621"/>
      <c r="AA216" s="621"/>
      <c r="AB216" s="622"/>
      <c r="AC216" s="496"/>
      <c r="AD216" s="620"/>
      <c r="AE216" s="621"/>
      <c r="AF216" s="621"/>
      <c r="AG216" s="622"/>
      <c r="AH216" s="496"/>
      <c r="AI216" s="620"/>
      <c r="AJ216" s="621"/>
      <c r="AK216" s="621"/>
      <c r="AL216" s="622"/>
      <c r="AM216" s="496"/>
      <c r="AN216" s="620"/>
      <c r="AO216" s="621"/>
      <c r="AP216" s="621"/>
      <c r="AQ216" s="622"/>
      <c r="AR216" s="496"/>
      <c r="AS216" s="620"/>
      <c r="AT216" s="621"/>
      <c r="AU216" s="621"/>
      <c r="AV216" s="622"/>
      <c r="AW216" s="496"/>
      <c r="AX216" s="620"/>
      <c r="AY216" s="621"/>
      <c r="AZ216" s="621"/>
      <c r="BA216" s="622"/>
      <c r="BB216" s="496"/>
      <c r="BC216" s="620"/>
      <c r="BD216" s="621"/>
      <c r="BE216" s="621"/>
      <c r="BF216" s="622"/>
      <c r="BG216" s="496"/>
      <c r="BH216" s="620"/>
      <c r="BI216" s="621"/>
      <c r="BJ216" s="621"/>
      <c r="BK216" s="622"/>
      <c r="BL216" s="496"/>
      <c r="BM216" s="620"/>
      <c r="BN216" s="621"/>
      <c r="BO216" s="621"/>
      <c r="BP216" s="622"/>
      <c r="BQ216" s="496"/>
      <c r="CM216" s="49" t="s">
        <v>449</v>
      </c>
      <c r="CO216" s="1191">
        <v>90.78</v>
      </c>
      <c r="CQ216" s="37" t="s">
        <v>849</v>
      </c>
      <c r="CS216" s="260"/>
      <c r="CT216" s="260"/>
      <c r="CU216" s="1639" t="s">
        <v>1069</v>
      </c>
      <c r="CV216" s="262">
        <f>0.002849*1000</f>
        <v>2.8489999999999998</v>
      </c>
      <c r="CW216" s="2">
        <v>2.8490000000000002</v>
      </c>
    </row>
    <row r="217" spans="1:105" s="2" customFormat="1" ht="13.5" customHeight="1">
      <c r="C217" s="610"/>
      <c r="E217" s="365"/>
      <c r="F217" s="6"/>
      <c r="G217" s="6"/>
      <c r="H217" s="366"/>
      <c r="I217" s="37"/>
      <c r="J217" s="365"/>
      <c r="K217" s="6"/>
      <c r="L217" s="6"/>
      <c r="M217" s="366"/>
      <c r="O217" s="365"/>
      <c r="P217" s="6"/>
      <c r="Q217" s="6"/>
      <c r="R217" s="366"/>
      <c r="T217" s="616"/>
      <c r="U217" s="617"/>
      <c r="V217" s="617"/>
      <c r="W217" s="618"/>
      <c r="X217" s="619"/>
      <c r="Y217" s="616"/>
      <c r="Z217" s="617"/>
      <c r="AA217" s="617"/>
      <c r="AB217" s="618"/>
      <c r="AC217" s="619"/>
      <c r="AD217" s="616"/>
      <c r="AE217" s="617"/>
      <c r="AF217" s="617"/>
      <c r="AG217" s="618"/>
      <c r="AH217" s="619"/>
      <c r="AI217" s="616"/>
      <c r="AJ217" s="617"/>
      <c r="AK217" s="617"/>
      <c r="AL217" s="618"/>
      <c r="AM217" s="619"/>
      <c r="AN217" s="616"/>
      <c r="AO217" s="617"/>
      <c r="AP217" s="617"/>
      <c r="AQ217" s="618"/>
      <c r="AR217" s="619"/>
      <c r="AS217" s="616"/>
      <c r="AT217" s="617"/>
      <c r="AU217" s="617"/>
      <c r="AV217" s="618"/>
      <c r="AW217" s="619"/>
      <c r="AX217" s="616"/>
      <c r="AY217" s="617"/>
      <c r="AZ217" s="617"/>
      <c r="BA217" s="618"/>
      <c r="BB217" s="1623"/>
      <c r="BC217" s="616"/>
      <c r="BD217" s="617"/>
      <c r="BE217" s="617"/>
      <c r="BF217" s="618"/>
      <c r="BG217" s="619"/>
      <c r="BH217" s="616"/>
      <c r="BI217" s="617"/>
      <c r="BJ217" s="617"/>
      <c r="BK217" s="618"/>
      <c r="BL217" s="619"/>
      <c r="BM217" s="616"/>
      <c r="BN217" s="617"/>
      <c r="BO217" s="617"/>
      <c r="BP217" s="618"/>
      <c r="BQ217" s="619"/>
      <c r="CS217" s="260"/>
      <c r="CT217" s="260"/>
      <c r="CU217" s="1637" t="s">
        <v>449</v>
      </c>
      <c r="CV217" s="260">
        <f>SUM(CV214:CV216)</f>
        <v>4.0699999999999994</v>
      </c>
      <c r="CW217" s="260">
        <f>SUM(CW214:CW216)</f>
        <v>4.226</v>
      </c>
    </row>
    <row r="218" spans="1:105" s="2" customFormat="1" ht="12.75" customHeight="1">
      <c r="B218" s="276" t="s">
        <v>234</v>
      </c>
      <c r="C218" s="19"/>
      <c r="D218" s="277"/>
      <c r="E218" s="365"/>
      <c r="F218" s="6"/>
      <c r="G218" s="6"/>
      <c r="H218" s="366"/>
      <c r="I218" s="37"/>
      <c r="J218" s="365"/>
      <c r="K218" s="6"/>
      <c r="L218" s="6"/>
      <c r="M218" s="366"/>
      <c r="O218" s="365"/>
      <c r="P218" s="6"/>
      <c r="Q218" s="6"/>
      <c r="R218" s="366"/>
      <c r="T218" s="365"/>
      <c r="U218" s="6"/>
      <c r="V218" s="6"/>
      <c r="W218" s="366"/>
      <c r="Y218" s="365"/>
      <c r="Z218" s="6"/>
      <c r="AA218" s="6"/>
      <c r="AB218" s="366"/>
      <c r="AD218" s="365"/>
      <c r="AE218" s="6"/>
      <c r="AF218" s="6"/>
      <c r="AG218" s="366"/>
      <c r="AI218" s="365"/>
      <c r="AJ218" s="6"/>
      <c r="AK218" s="6"/>
      <c r="AL218" s="366"/>
      <c r="AN218" s="365"/>
      <c r="AO218" s="6"/>
      <c r="AP218" s="6"/>
      <c r="AQ218" s="366"/>
      <c r="AS218" s="365"/>
      <c r="AT218" s="6"/>
      <c r="AU218" s="6"/>
      <c r="AV218" s="366"/>
      <c r="AX218" s="365"/>
      <c r="AY218" s="6"/>
      <c r="AZ218" s="6"/>
      <c r="BA218" s="366"/>
      <c r="BC218" s="365"/>
      <c r="BD218" s="6"/>
      <c r="BE218" s="6"/>
      <c r="BF218" s="366"/>
      <c r="BH218" s="365"/>
      <c r="BI218" s="6"/>
      <c r="BJ218" s="6"/>
      <c r="BK218" s="366"/>
      <c r="BM218" s="365"/>
      <c r="BN218" s="6"/>
      <c r="BO218" s="6"/>
      <c r="BP218" s="366"/>
      <c r="BU218" s="49" t="s">
        <v>679</v>
      </c>
      <c r="BV218" s="49"/>
      <c r="CQ218" s="1642"/>
    </row>
    <row r="219" spans="1:105" s="2" customFormat="1">
      <c r="E219" s="365"/>
      <c r="F219" s="6"/>
      <c r="G219" s="6"/>
      <c r="H219" s="366"/>
      <c r="I219" s="37"/>
      <c r="J219" s="365"/>
      <c r="K219" s="6"/>
      <c r="L219" s="6"/>
      <c r="M219" s="366"/>
      <c r="O219" s="365"/>
      <c r="P219" s="6"/>
      <c r="Q219" s="6"/>
      <c r="R219" s="366"/>
      <c r="T219" s="365"/>
      <c r="U219" s="6"/>
      <c r="V219" s="6"/>
      <c r="W219" s="366"/>
      <c r="Y219" s="365"/>
      <c r="Z219" s="6"/>
      <c r="AA219" s="6"/>
      <c r="AB219" s="366"/>
      <c r="AD219" s="365"/>
      <c r="AE219" s="6"/>
      <c r="AF219" s="6"/>
      <c r="AG219" s="366"/>
      <c r="AI219" s="365"/>
      <c r="AJ219" s="6"/>
      <c r="AK219" s="6"/>
      <c r="AL219" s="366"/>
      <c r="AN219" s="365"/>
      <c r="AO219" s="6"/>
      <c r="AP219" s="6"/>
      <c r="AQ219" s="366"/>
      <c r="AS219" s="365"/>
      <c r="AT219" s="6"/>
      <c r="AU219" s="6"/>
      <c r="AV219" s="366"/>
      <c r="AX219" s="365"/>
      <c r="AY219" s="6"/>
      <c r="AZ219" s="6"/>
      <c r="BA219" s="366"/>
      <c r="BC219" s="365"/>
      <c r="BD219" s="6"/>
      <c r="BE219" s="6"/>
      <c r="BF219" s="366"/>
      <c r="BH219" s="365"/>
      <c r="BI219" s="6"/>
      <c r="BJ219" s="6"/>
      <c r="BK219" s="366"/>
      <c r="BM219" s="365"/>
      <c r="BN219" s="6"/>
      <c r="BO219" s="6"/>
      <c r="BP219" s="366"/>
      <c r="BW219" s="49"/>
      <c r="BX219" s="49"/>
      <c r="BY219" s="49">
        <f>+BY200</f>
        <v>2014</v>
      </c>
      <c r="BZ219" s="49">
        <v>2015</v>
      </c>
      <c r="CA219" s="49">
        <v>2016</v>
      </c>
      <c r="CB219" s="49">
        <v>2017</v>
      </c>
      <c r="CC219" s="49">
        <v>2018</v>
      </c>
      <c r="CD219" s="49">
        <v>2019</v>
      </c>
      <c r="CE219" s="49">
        <v>2020</v>
      </c>
      <c r="CG219" s="49" t="s">
        <v>690</v>
      </c>
      <c r="CM219" s="49" t="s">
        <v>1004</v>
      </c>
      <c r="CO219" s="977" t="s">
        <v>914</v>
      </c>
      <c r="CQ219" s="49" t="s">
        <v>765</v>
      </c>
    </row>
    <row r="220" spans="1:105" s="2" customFormat="1">
      <c r="A220" s="1523"/>
      <c r="C220" s="592" t="s">
        <v>987</v>
      </c>
      <c r="E220" s="365"/>
      <c r="F220" s="6"/>
      <c r="G220" s="6"/>
      <c r="H220" s="366"/>
      <c r="I220" s="603"/>
      <c r="J220" s="365"/>
      <c r="K220" s="6"/>
      <c r="L220" s="6"/>
      <c r="M220" s="366"/>
      <c r="O220" s="365"/>
      <c r="P220" s="6"/>
      <c r="Q220" s="6"/>
      <c r="R220" s="366"/>
      <c r="T220" s="365"/>
      <c r="U220" s="6"/>
      <c r="V220" s="6"/>
      <c r="W220" s="366"/>
      <c r="Y220" s="365"/>
      <c r="Z220" s="6"/>
      <c r="AA220" s="6"/>
      <c r="AB220" s="366"/>
      <c r="AD220" s="365"/>
      <c r="AE220" s="6"/>
      <c r="AF220" s="6"/>
      <c r="AG220" s="366"/>
      <c r="AI220" s="365"/>
      <c r="AJ220" s="6"/>
      <c r="AK220" s="6"/>
      <c r="AL220" s="366"/>
      <c r="AN220" s="365"/>
      <c r="AO220" s="6"/>
      <c r="AP220" s="6"/>
      <c r="AQ220" s="366"/>
      <c r="AS220" s="365"/>
      <c r="AT220" s="6"/>
      <c r="AU220" s="6"/>
      <c r="AV220" s="366"/>
      <c r="AX220" s="365"/>
      <c r="AY220" s="6"/>
      <c r="AZ220" s="6"/>
      <c r="BA220" s="366"/>
      <c r="BC220" s="365"/>
      <c r="BD220" s="6"/>
      <c r="BE220" s="6"/>
      <c r="BF220" s="366"/>
      <c r="BH220" s="365"/>
      <c r="BI220" s="6"/>
      <c r="BJ220" s="6"/>
      <c r="BK220" s="366"/>
      <c r="BM220" s="365"/>
      <c r="BN220" s="6"/>
      <c r="BO220" s="6"/>
      <c r="BP220" s="366"/>
      <c r="BU220" s="2" t="s">
        <v>681</v>
      </c>
      <c r="BW220" s="979"/>
      <c r="BX220" s="979"/>
      <c r="BY220" s="979">
        <f t="shared" ref="BY220:CD220" si="215">+BY203</f>
        <v>72.354166666666671</v>
      </c>
      <c r="BZ220" s="979">
        <f t="shared" si="215"/>
        <v>72.21843522093522</v>
      </c>
      <c r="CA220" s="979">
        <f t="shared" si="215"/>
        <v>73.821824324324325</v>
      </c>
      <c r="CB220" s="979">
        <f t="shared" si="215"/>
        <v>73.746769454150723</v>
      </c>
      <c r="CC220" s="979">
        <f t="shared" si="215"/>
        <v>72.780807601797051</v>
      </c>
      <c r="CD220" s="979">
        <f t="shared" si="215"/>
        <v>71.381096822416097</v>
      </c>
      <c r="CE220" s="979">
        <f>+CE203</f>
        <v>71.250263852242753</v>
      </c>
      <c r="CG220" s="2" t="s">
        <v>691</v>
      </c>
      <c r="CM220" s="2" t="s">
        <v>850</v>
      </c>
      <c r="CO220" s="987">
        <f>AVERAGE(CC214:CE214)*365/(8.76*0.37)/1000</f>
        <v>24.737237237237235</v>
      </c>
      <c r="CQ220" s="37" t="s">
        <v>1008</v>
      </c>
    </row>
    <row r="221" spans="1:105" s="2" customFormat="1">
      <c r="A221" s="1523"/>
      <c r="C221" s="37" t="s">
        <v>271</v>
      </c>
      <c r="E221" s="365"/>
      <c r="F221" s="6"/>
      <c r="G221" s="6"/>
      <c r="H221" s="366"/>
      <c r="I221" s="37"/>
      <c r="J221" s="365"/>
      <c r="K221" s="6"/>
      <c r="L221" s="6"/>
      <c r="M221" s="366"/>
      <c r="O221" s="365"/>
      <c r="P221" s="6"/>
      <c r="Q221" s="6"/>
      <c r="R221" s="366"/>
      <c r="T221" s="598"/>
      <c r="U221" s="599"/>
      <c r="V221" s="599"/>
      <c r="W221" s="600"/>
      <c r="X221" s="601"/>
      <c r="Y221" s="598">
        <f t="shared" ref="Y221:AB222" si="216">Y75</f>
        <v>60.072575399806389</v>
      </c>
      <c r="Z221" s="599">
        <f t="shared" si="216"/>
        <v>48.241746980620576</v>
      </c>
      <c r="AA221" s="599">
        <f t="shared" si="216"/>
        <v>56.93264524603854</v>
      </c>
      <c r="AB221" s="600">
        <f t="shared" si="216"/>
        <v>43.991539906134847</v>
      </c>
      <c r="AC221" s="601">
        <f>AVERAGE(Y221:AB221)</f>
        <v>52.309626883150088</v>
      </c>
      <c r="AD221" s="598">
        <f t="shared" ref="AD221:AG222" si="217">AD75</f>
        <v>155.00912582306702</v>
      </c>
      <c r="AE221" s="599">
        <f t="shared" si="217"/>
        <v>54.009818571834465</v>
      </c>
      <c r="AF221" s="599">
        <f t="shared" si="217"/>
        <v>45.931597187228824</v>
      </c>
      <c r="AG221" s="600">
        <f t="shared" si="217"/>
        <v>53.019814720267888</v>
      </c>
      <c r="AH221" s="601">
        <f>AVERAGE(AD221:AG221)</f>
        <v>76.992589075599554</v>
      </c>
      <c r="AI221" s="598">
        <f t="shared" ref="AI221:AL222" si="218">AI75</f>
        <v>80.144879619790771</v>
      </c>
      <c r="AJ221" s="599">
        <f t="shared" si="218"/>
        <v>46.62317620621279</v>
      </c>
      <c r="AK221" s="599">
        <f t="shared" si="218"/>
        <v>52.954530305204671</v>
      </c>
      <c r="AL221" s="600">
        <f t="shared" si="218"/>
        <v>37.265780680916777</v>
      </c>
      <c r="AM221" s="601">
        <f>AVERAGE(AI221:AL221)</f>
        <v>54.247091703031252</v>
      </c>
      <c r="AN221" s="598">
        <f t="shared" ref="AN221:AQ222" si="219">AN75</f>
        <v>36.809918989597229</v>
      </c>
      <c r="AO221" s="599">
        <f t="shared" si="219"/>
        <v>29.745133981875227</v>
      </c>
      <c r="AP221" s="599">
        <f t="shared" si="219"/>
        <v>49.182862288820246</v>
      </c>
      <c r="AQ221" s="600">
        <f t="shared" si="219"/>
        <v>31.709247202503263</v>
      </c>
      <c r="AR221" s="601">
        <f>AVERAGE(AN221:AQ221)</f>
        <v>36.861790615698993</v>
      </c>
      <c r="AS221" s="598">
        <f t="shared" ref="AS221:AV222" si="220">AS75</f>
        <v>35.019879978771371</v>
      </c>
      <c r="AT221" s="599">
        <f t="shared" si="220"/>
        <v>33.502346099673559</v>
      </c>
      <c r="AU221" s="599">
        <f t="shared" si="220"/>
        <v>40.937408992850614</v>
      </c>
      <c r="AV221" s="600">
        <f t="shared" si="220"/>
        <v>44.516491215111813</v>
      </c>
      <c r="AW221" s="601">
        <f>AVERAGE(AS221:AV221)</f>
        <v>38.494031571601838</v>
      </c>
      <c r="AX221" s="598">
        <f t="shared" ref="AX221:BA222" si="221">AX75</f>
        <v>54.24235281693116</v>
      </c>
      <c r="AY221" s="599">
        <f t="shared" si="221"/>
        <v>36.47786338797814</v>
      </c>
      <c r="AZ221" s="599">
        <f>AZ75</f>
        <v>40.506055743243245</v>
      </c>
      <c r="BA221" s="600">
        <f t="shared" si="221"/>
        <v>37.665379474446503</v>
      </c>
      <c r="BB221" s="601">
        <f>AVERAGE(AX221:BA221)</f>
        <v>42.22291285564976</v>
      </c>
      <c r="BC221" s="598">
        <f t="shared" ref="BC221:BF222" si="222">BC75</f>
        <v>52.205811239970537</v>
      </c>
      <c r="BD221" s="599">
        <f t="shared" si="222"/>
        <v>30.871042380243491</v>
      </c>
      <c r="BE221" s="599">
        <f t="shared" si="222"/>
        <v>33.546837165007204</v>
      </c>
      <c r="BF221" s="600">
        <f t="shared" si="222"/>
        <v>39.83120835947696</v>
      </c>
      <c r="BG221" s="601">
        <f>AVERAGE(BC221:BF221)</f>
        <v>39.113724786174544</v>
      </c>
      <c r="BH221" s="598">
        <f t="shared" ref="BH221:BK222" si="223">BH75</f>
        <v>53.108165096572861</v>
      </c>
      <c r="BI221" s="599">
        <f t="shared" si="223"/>
        <v>31.359398839615835</v>
      </c>
      <c r="BJ221" s="599">
        <f t="shared" si="223"/>
        <v>34.060918482127512</v>
      </c>
      <c r="BK221" s="600">
        <f t="shared" si="223"/>
        <v>40.504709292894958</v>
      </c>
      <c r="BL221" s="601">
        <f>AVERAGE(BH221:BK221)</f>
        <v>39.758297927802786</v>
      </c>
      <c r="BM221" s="598">
        <f t="shared" ref="BM221:BP222" si="224">BM75</f>
        <v>50.525651986108691</v>
      </c>
      <c r="BN221" s="599">
        <f t="shared" si="224"/>
        <v>32.830007405332246</v>
      </c>
      <c r="BO221" s="599">
        <f t="shared" si="224"/>
        <v>31.861421843746999</v>
      </c>
      <c r="BP221" s="600">
        <f t="shared" si="224"/>
        <v>49.832984406708668</v>
      </c>
      <c r="BQ221" s="601">
        <f>AVERAGE(BM221:BP221)</f>
        <v>41.262516410474149</v>
      </c>
      <c r="BU221" s="2" t="s">
        <v>680</v>
      </c>
      <c r="BW221" s="462"/>
      <c r="BX221" s="298"/>
      <c r="BY221" s="298">
        <v>11</v>
      </c>
      <c r="BZ221" s="298">
        <v>11</v>
      </c>
      <c r="CA221" s="298">
        <v>11</v>
      </c>
      <c r="CB221" s="298">
        <v>11</v>
      </c>
      <c r="CC221" s="298">
        <f>11</f>
        <v>11</v>
      </c>
      <c r="CD221" s="298">
        <f>11*0.75</f>
        <v>8.25</v>
      </c>
      <c r="CE221" s="298">
        <f>11*0.5</f>
        <v>5.5</v>
      </c>
      <c r="CG221" s="2" t="s">
        <v>692</v>
      </c>
      <c r="CM221" s="2" t="s">
        <v>853</v>
      </c>
      <c r="CO221" s="987">
        <v>33.448281145812302</v>
      </c>
      <c r="CQ221" s="37" t="s">
        <v>1009</v>
      </c>
    </row>
    <row r="222" spans="1:105" s="2" customFormat="1">
      <c r="A222" s="1523"/>
      <c r="C222" s="37" t="s">
        <v>211</v>
      </c>
      <c r="E222" s="365"/>
      <c r="F222" s="6"/>
      <c r="G222" s="6"/>
      <c r="H222" s="366"/>
      <c r="I222" s="37"/>
      <c r="J222" s="365"/>
      <c r="K222" s="6"/>
      <c r="L222" s="6"/>
      <c r="M222" s="366"/>
      <c r="O222" s="365"/>
      <c r="P222" s="6"/>
      <c r="Q222" s="6"/>
      <c r="R222" s="366"/>
      <c r="T222" s="598"/>
      <c r="U222" s="599"/>
      <c r="V222" s="599"/>
      <c r="W222" s="600"/>
      <c r="X222" s="601"/>
      <c r="Y222" s="598">
        <f t="shared" si="216"/>
        <v>48.725526629839571</v>
      </c>
      <c r="Z222" s="599">
        <f t="shared" si="216"/>
        <v>32.039355217245912</v>
      </c>
      <c r="AA222" s="599">
        <f t="shared" si="216"/>
        <v>30.949138323300463</v>
      </c>
      <c r="AB222" s="600">
        <f t="shared" si="216"/>
        <v>33.569730385400234</v>
      </c>
      <c r="AC222" s="601">
        <f>AVERAGE(Y222:AB222)</f>
        <v>36.320937638946546</v>
      </c>
      <c r="AD222" s="598">
        <f t="shared" si="217"/>
        <v>106.3335806922798</v>
      </c>
      <c r="AE222" s="599">
        <f t="shared" si="217"/>
        <v>30.704599689637973</v>
      </c>
      <c r="AF222" s="599">
        <f t="shared" si="217"/>
        <v>26.854920220459153</v>
      </c>
      <c r="AG222" s="600">
        <f t="shared" si="217"/>
        <v>40.650296856432831</v>
      </c>
      <c r="AH222" s="601">
        <f>AVERAGE(AD222:AG222)</f>
        <v>51.135849364702437</v>
      </c>
      <c r="AI222" s="598">
        <f t="shared" si="218"/>
        <v>63.028800216291543</v>
      </c>
      <c r="AJ222" s="599">
        <f t="shared" si="218"/>
        <v>31.850275098629545</v>
      </c>
      <c r="AK222" s="599">
        <f t="shared" si="218"/>
        <v>27.655660412235989</v>
      </c>
      <c r="AL222" s="600">
        <f t="shared" si="218"/>
        <v>31.44339822824519</v>
      </c>
      <c r="AM222" s="601">
        <f>AVERAGE(AI222:AL222)</f>
        <v>38.494533488850571</v>
      </c>
      <c r="AN222" s="598">
        <f t="shared" si="219"/>
        <v>29.839934250766852</v>
      </c>
      <c r="AO222" s="599">
        <f t="shared" si="219"/>
        <v>19.950484011056208</v>
      </c>
      <c r="AP222" s="599">
        <f t="shared" si="219"/>
        <v>25.523905690310325</v>
      </c>
      <c r="AQ222" s="600">
        <f t="shared" si="219"/>
        <v>23.446904746815747</v>
      </c>
      <c r="AR222" s="601">
        <f>AVERAGE(AN222:AQ222)</f>
        <v>24.690307174737285</v>
      </c>
      <c r="AS222" s="598">
        <f t="shared" si="220"/>
        <v>30.891978746944265</v>
      </c>
      <c r="AT222" s="599">
        <f t="shared" si="220"/>
        <v>22.484615986393671</v>
      </c>
      <c r="AU222" s="599">
        <f t="shared" si="220"/>
        <v>22.856567778618018</v>
      </c>
      <c r="AV222" s="600">
        <f t="shared" si="220"/>
        <v>38.600884462636785</v>
      </c>
      <c r="AW222" s="601">
        <f>AVERAGE(AS222:AV222)</f>
        <v>28.708511743648184</v>
      </c>
      <c r="AX222" s="598">
        <f t="shared" si="221"/>
        <v>51.116038222334268</v>
      </c>
      <c r="AY222" s="599">
        <f t="shared" si="221"/>
        <v>26.700576227001555</v>
      </c>
      <c r="AZ222" s="599">
        <f>AZ76</f>
        <v>26.888513513513512</v>
      </c>
      <c r="BA222" s="600">
        <f t="shared" si="221"/>
        <v>27.747490895923857</v>
      </c>
      <c r="BB222" s="601">
        <f>AVERAGE(AX222:BA222)</f>
        <v>33.113154714693295</v>
      </c>
      <c r="BC222" s="598">
        <f t="shared" si="222"/>
        <v>41.92153915996483</v>
      </c>
      <c r="BD222" s="599">
        <f t="shared" si="222"/>
        <v>21.138572105001266</v>
      </c>
      <c r="BE222" s="599">
        <f t="shared" si="222"/>
        <v>20.944324858334284</v>
      </c>
      <c r="BF222" s="600">
        <f t="shared" si="222"/>
        <v>33.903359677808616</v>
      </c>
      <c r="BG222" s="601">
        <f>AVERAGE(BC222:BF222)</f>
        <v>29.476948950277247</v>
      </c>
      <c r="BH222" s="598">
        <f t="shared" si="223"/>
        <v>42.30061958894958</v>
      </c>
      <c r="BI222" s="599">
        <f t="shared" si="223"/>
        <v>21.298996571535817</v>
      </c>
      <c r="BJ222" s="599">
        <f t="shared" si="223"/>
        <v>21.092992630942074</v>
      </c>
      <c r="BK222" s="600">
        <f t="shared" si="223"/>
        <v>34.197301397536897</v>
      </c>
      <c r="BL222" s="601">
        <f>AVERAGE(BH222:BK222)</f>
        <v>29.722477547241091</v>
      </c>
      <c r="BM222" s="598">
        <f t="shared" si="224"/>
        <v>37.745847722956498</v>
      </c>
      <c r="BN222" s="599">
        <f t="shared" si="224"/>
        <v>24.526085494273367</v>
      </c>
      <c r="BO222" s="599">
        <f t="shared" si="224"/>
        <v>23.802491009549005</v>
      </c>
      <c r="BP222" s="600">
        <f t="shared" si="224"/>
        <v>37.228381367809796</v>
      </c>
      <c r="BQ222" s="601">
        <f>AVERAGE(BM222:BP222)</f>
        <v>30.825701398647169</v>
      </c>
      <c r="CM222" s="2" t="s">
        <v>848</v>
      </c>
      <c r="CO222" s="987">
        <v>3</v>
      </c>
      <c r="CQ222" s="2" t="s">
        <v>842</v>
      </c>
    </row>
    <row r="223" spans="1:105" s="2" customFormat="1">
      <c r="A223" s="1523"/>
      <c r="C223" s="37" t="s">
        <v>266</v>
      </c>
      <c r="E223" s="365"/>
      <c r="F223" s="6"/>
      <c r="G223" s="6"/>
      <c r="H223" s="366"/>
      <c r="I223" s="725">
        <v>7250</v>
      </c>
      <c r="J223" s="365"/>
      <c r="K223" s="6"/>
      <c r="L223" s="6"/>
      <c r="M223" s="366"/>
      <c r="O223" s="365"/>
      <c r="P223" s="6"/>
      <c r="Q223" s="6"/>
      <c r="R223" s="366"/>
      <c r="T223" s="598"/>
      <c r="U223" s="599"/>
      <c r="V223" s="599"/>
      <c r="W223" s="600"/>
      <c r="X223" s="601"/>
      <c r="Y223" s="598">
        <f>$I223/1000*(Y$46+AVERAGE(Y$56,Y$55))</f>
        <v>43.940135416666664</v>
      </c>
      <c r="Z223" s="599">
        <f>$I223/1000*(Z$46+AVERAGE(Z$56,Z$55))</f>
        <v>30.722781249999997</v>
      </c>
      <c r="AA223" s="599">
        <f>$I223/1000*(AA$46+AVERAGE(AA$56,AA$55))</f>
        <v>26.504640624999993</v>
      </c>
      <c r="AB223" s="600">
        <f>$I223/1000*(AB$46+AVERAGE(AB$56,AB$55))</f>
        <v>30.067392578124995</v>
      </c>
      <c r="AC223" s="601">
        <f>AVERAGE(Y223:AB223)</f>
        <v>32.808737467447912</v>
      </c>
      <c r="AD223" s="598">
        <f>$I223/1000*(AD$46+AVERAGE(AD$56,AD$55))</f>
        <v>107.79543647540983</v>
      </c>
      <c r="AE223" s="599">
        <f>$I223/1000*(AE$46+AVERAGE(AE$56,AE$55))</f>
        <v>26.978892578124995</v>
      </c>
      <c r="AF223" s="599">
        <f>$I223/1000*(AF$46+AVERAGE(AF$56,AF$55))</f>
        <v>18.579541015624994</v>
      </c>
      <c r="AG223" s="600">
        <f>$I223/1000*(AG$46+AVERAGE(AG$56,AG$55))</f>
        <v>21.585232421875002</v>
      </c>
      <c r="AH223" s="601">
        <f>AVERAGE(AD223:AG223)</f>
        <v>43.734775622758697</v>
      </c>
      <c r="AI223" s="598">
        <f>$I223/1000*(AI$46+AVERAGE(AI$56,AI$55))</f>
        <v>55.678889112903221</v>
      </c>
      <c r="AJ223" s="599">
        <f>$I223/1000*(AJ$46+AVERAGE(AJ$56,AJ$55))</f>
        <v>14.898232142857143</v>
      </c>
      <c r="AK223" s="599">
        <f>$I223/1000*(AK$46+AVERAGE(AK$56,AK$55))</f>
        <v>13.209783203124999</v>
      </c>
      <c r="AL223" s="600">
        <f>$I223/1000*(AL$46+AVERAGE(AL$56,AL$55))</f>
        <v>11.596490079365077</v>
      </c>
      <c r="AM223" s="601">
        <f>AVERAGE(AI223:AL223)</f>
        <v>23.845848634562611</v>
      </c>
      <c r="AN223" s="598">
        <f>$I223/1000*(AN$46+AVERAGE(AN$56,AN$55))</f>
        <v>15.651204918032789</v>
      </c>
      <c r="AO223" s="599">
        <f>$I223/1000*(AO$46+AVERAGE(AO$56,AO$55))</f>
        <v>11.888697265625003</v>
      </c>
      <c r="AP223" s="599">
        <f>$I223/1000*(AP$46+AVERAGE(AP$56,AP$55))</f>
        <v>11.835511718749999</v>
      </c>
      <c r="AQ223" s="600">
        <f>$I223/1000*(AQ$46+AVERAGE(AQ$56,AQ$55))</f>
        <v>17.809975806451614</v>
      </c>
      <c r="AR223" s="601">
        <f>AVERAGE(AN223:AQ223)</f>
        <v>14.296347427214851</v>
      </c>
      <c r="AS223" s="598">
        <f>$I223/1000*(AS$46+AVERAGE(AS$56,AS$55))</f>
        <v>22.849778225806457</v>
      </c>
      <c r="AT223" s="599">
        <f>$I223/1000*(AT$46+AVERAGE(AT$56,AT$55))</f>
        <v>18.858269531250002</v>
      </c>
      <c r="AU223" s="599">
        <f>$I223/1000*(AU$46+AVERAGE(AU$56,AU$55))</f>
        <v>15.058480158730163</v>
      </c>
      <c r="AV223" s="600">
        <f>$I223/1000*(AV$46+AVERAGE(AV$56,AV$55))</f>
        <v>22.733252016129036</v>
      </c>
      <c r="AW223" s="601">
        <f>AVERAGE(AS223:AV223)</f>
        <v>19.874944982978917</v>
      </c>
      <c r="AX223" s="598">
        <f>$I223/1000*(AX$46+AVERAGE(AX$56,AX$55))</f>
        <v>52.072233606557376</v>
      </c>
      <c r="AY223" s="599">
        <f>$I223/1000*(AY$46+AVERAGE(AY$56,AY$55))</f>
        <v>17.053208333333334</v>
      </c>
      <c r="AZ223" s="599">
        <f>$I223/1000*(AZ$46+AVERAGE(AZ$56,AZ$55))</f>
        <v>17.128125000000001</v>
      </c>
      <c r="BA223" s="600">
        <f>$I223/1000*(BA$46+AVERAGE(BA$56,BA$55))</f>
        <v>21.182083333333335</v>
      </c>
      <c r="BB223" s="601">
        <f>AVERAGE(AX223:BA223)</f>
        <v>26.85891256830601</v>
      </c>
      <c r="BC223" s="598">
        <f>$I223/1000*(BC$47+AVERAGE(BC$56,BC$55))+BC117</f>
        <v>29.680423939888399</v>
      </c>
      <c r="BD223" s="599">
        <f>$I223/1000*(BD$47+AVERAGE(BD$56,BD$55))+BD117</f>
        <v>13.148895711170805</v>
      </c>
      <c r="BE223" s="599">
        <f>$I223/1000*(BE$47+AVERAGE(BE$56,BE$55))+BE117</f>
        <v>12.858940554941436</v>
      </c>
      <c r="BF223" s="600">
        <f>$I223/1000*(BF$47+AVERAGE(BF$56,BF$55))+BF117</f>
        <v>30.43097640919936</v>
      </c>
      <c r="BG223" s="601">
        <f>AVERAGE(BC223:BF223)</f>
        <v>21.529809153800002</v>
      </c>
      <c r="BH223" s="598">
        <f>$I223/1000*(BH$47+AVERAGE(BH$56,BH$55))+BH117</f>
        <v>29.747315653820351</v>
      </c>
      <c r="BI223" s="599">
        <f>$I223/1000*(BI$47+AVERAGE(BI$56,BI$55))+BI117</f>
        <v>13.159547305190971</v>
      </c>
      <c r="BJ223" s="599">
        <f>$I223/1000*(BJ$47+AVERAGE(BJ$56,BJ$55))+BJ117</f>
        <v>12.863086702430417</v>
      </c>
      <c r="BK223" s="600">
        <f>$I223/1000*(BK$47+AVERAGE(BK$56,BK$55))+BK117</f>
        <v>30.48829648900826</v>
      </c>
      <c r="BL223" s="601">
        <f>$I223/1000*(BL$47+(BL$56))+BL117</f>
        <v>23.394571874999997</v>
      </c>
      <c r="BM223" s="598">
        <f>$I223/1000*(BM$47+AVERAGE(BM$56,BM$55))+BM117</f>
        <v>25.423129469512354</v>
      </c>
      <c r="BN223" s="599">
        <f>$I223/1000*(BN$47+AVERAGE(BN$56,BN$55))+BN117</f>
        <v>16.519163948251151</v>
      </c>
      <c r="BO223" s="599">
        <f>$I223/1000*(BO$47+AVERAGE(BO$56,BO$55))+BO117</f>
        <v>16.031798121853662</v>
      </c>
      <c r="BP223" s="600">
        <f>$I223/1000*(BP$47+AVERAGE(BP$56,BP$55))+BP117</f>
        <v>25.074598043232843</v>
      </c>
      <c r="BQ223" s="601">
        <f>$I223/1000*(BQ$47+(BQ$56))+BQ117</f>
        <v>23.399344791425005</v>
      </c>
      <c r="BU223" s="2" t="s">
        <v>859</v>
      </c>
      <c r="BW223" s="510"/>
      <c r="BX223" s="510"/>
      <c r="BY223" s="510">
        <f>+AH203+AH204</f>
        <v>43</v>
      </c>
      <c r="BZ223" s="510">
        <f>+AM203+AM204</f>
        <v>44.924999999999997</v>
      </c>
      <c r="CA223" s="510">
        <f>+AR203+AR204</f>
        <v>41.225000000000001</v>
      </c>
      <c r="CB223" s="510">
        <f>+AW203+AW204</f>
        <v>44.8</v>
      </c>
      <c r="CC223" s="510">
        <f>+BB203+BB204</f>
        <v>46.55</v>
      </c>
      <c r="CD223" s="510">
        <f>+BG203+BG204</f>
        <v>36.4</v>
      </c>
      <c r="CE223" s="510">
        <f>+BL203+BL204</f>
        <v>18.375</v>
      </c>
      <c r="CF223" s="437"/>
      <c r="CG223" s="2" t="s">
        <v>693</v>
      </c>
      <c r="CM223" s="2" t="s">
        <v>843</v>
      </c>
      <c r="CO223" s="987">
        <f>82546.44/365/24/0.37</f>
        <v>25.467863754165123</v>
      </c>
      <c r="CQ223" s="37" t="s">
        <v>1007</v>
      </c>
    </row>
    <row r="224" spans="1:105" s="49" customFormat="1">
      <c r="A224" s="1523"/>
      <c r="B224" s="2"/>
      <c r="C224" s="37"/>
      <c r="D224" s="2"/>
      <c r="E224" s="365"/>
      <c r="F224" s="6"/>
      <c r="G224" s="6"/>
      <c r="H224" s="366"/>
      <c r="I224" s="589"/>
      <c r="J224" s="365"/>
      <c r="K224" s="6"/>
      <c r="L224" s="6"/>
      <c r="M224" s="366"/>
      <c r="N224" s="2"/>
      <c r="O224" s="365"/>
      <c r="P224" s="6"/>
      <c r="Q224" s="6"/>
      <c r="R224" s="366"/>
      <c r="S224" s="2"/>
      <c r="T224" s="598"/>
      <c r="U224" s="599"/>
      <c r="V224" s="599"/>
      <c r="W224" s="600"/>
      <c r="X224" s="601"/>
      <c r="Y224" s="598"/>
      <c r="Z224" s="599"/>
      <c r="AA224" s="599"/>
      <c r="AB224" s="600"/>
      <c r="AC224" s="601"/>
      <c r="AD224" s="598"/>
      <c r="AE224" s="599"/>
      <c r="AF224" s="599"/>
      <c r="AG224" s="600"/>
      <c r="AH224" s="601"/>
      <c r="AI224" s="598"/>
      <c r="AJ224" s="599"/>
      <c r="AK224" s="599"/>
      <c r="AL224" s="600"/>
      <c r="AM224" s="601"/>
      <c r="AN224" s="598"/>
      <c r="AO224" s="599"/>
      <c r="AP224" s="599"/>
      <c r="AQ224" s="600"/>
      <c r="AR224" s="601"/>
      <c r="AS224" s="598"/>
      <c r="AT224" s="599"/>
      <c r="AU224" s="599"/>
      <c r="AV224" s="600"/>
      <c r="AW224" s="601"/>
      <c r="AX224" s="598"/>
      <c r="AY224" s="599"/>
      <c r="AZ224" s="599"/>
      <c r="BA224" s="600"/>
      <c r="BB224" s="601"/>
      <c r="BC224" s="598"/>
      <c r="BD224" s="599"/>
      <c r="BE224" s="599"/>
      <c r="BF224" s="600"/>
      <c r="BG224" s="601"/>
      <c r="BH224" s="598"/>
      <c r="BI224" s="599"/>
      <c r="BJ224" s="599"/>
      <c r="BK224" s="600"/>
      <c r="BL224" s="601"/>
      <c r="BM224" s="598"/>
      <c r="BN224" s="599"/>
      <c r="BO224" s="599"/>
      <c r="BP224" s="600"/>
      <c r="BQ224" s="601"/>
      <c r="BR224" s="2"/>
      <c r="BU224" s="2" t="s">
        <v>860</v>
      </c>
      <c r="BV224" s="2"/>
      <c r="BW224" s="987"/>
      <c r="BX224" s="987"/>
      <c r="BY224" s="987">
        <v>48</v>
      </c>
      <c r="BZ224" s="987">
        <v>52</v>
      </c>
      <c r="CA224" s="987">
        <v>49</v>
      </c>
      <c r="CB224" s="987">
        <v>45</v>
      </c>
      <c r="CC224" s="987">
        <v>40</v>
      </c>
      <c r="CD224" s="987">
        <v>38</v>
      </c>
      <c r="CE224" s="987">
        <v>38</v>
      </c>
      <c r="CF224" s="2"/>
      <c r="CG224" s="2" t="s">
        <v>693</v>
      </c>
      <c r="CH224" s="2"/>
      <c r="CI224" s="2"/>
      <c r="CJ224" s="2"/>
      <c r="CM224" s="2" t="s">
        <v>844</v>
      </c>
      <c r="CN224" s="2"/>
      <c r="CO224" s="987">
        <v>1.5</v>
      </c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</row>
    <row r="225" spans="1:105" s="2" customFormat="1">
      <c r="A225" s="49"/>
      <c r="B225" s="49"/>
      <c r="C225" s="49" t="s">
        <v>267</v>
      </c>
      <c r="D225" s="49"/>
      <c r="E225" s="396"/>
      <c r="F225" s="343"/>
      <c r="G225" s="343"/>
      <c r="H225" s="397"/>
      <c r="I225" s="725">
        <f>1188+1230</f>
        <v>2418</v>
      </c>
      <c r="J225" s="396"/>
      <c r="K225" s="343"/>
      <c r="L225" s="343"/>
      <c r="M225" s="397"/>
      <c r="N225" s="297"/>
      <c r="O225" s="396"/>
      <c r="P225" s="343"/>
      <c r="Q225" s="343"/>
      <c r="R225" s="397"/>
      <c r="S225" s="297"/>
      <c r="T225" s="396"/>
      <c r="U225" s="343"/>
      <c r="V225" s="343"/>
      <c r="W225" s="397"/>
      <c r="X225" s="297"/>
      <c r="Y225" s="396">
        <f>I225</f>
        <v>2418</v>
      </c>
      <c r="Z225" s="343">
        <f t="shared" ref="Z225:AR225" si="225">Y225</f>
        <v>2418</v>
      </c>
      <c r="AA225" s="343">
        <f t="shared" si="225"/>
        <v>2418</v>
      </c>
      <c r="AB225" s="397">
        <f t="shared" si="225"/>
        <v>2418</v>
      </c>
      <c r="AC225" s="297">
        <f t="shared" si="225"/>
        <v>2418</v>
      </c>
      <c r="AD225" s="396">
        <f>I225</f>
        <v>2418</v>
      </c>
      <c r="AE225" s="343">
        <f>AD225</f>
        <v>2418</v>
      </c>
      <c r="AF225" s="1317">
        <f>AE225+63</f>
        <v>2481</v>
      </c>
      <c r="AG225" s="397">
        <f t="shared" si="225"/>
        <v>2481</v>
      </c>
      <c r="AH225" s="297">
        <f t="shared" si="225"/>
        <v>2481</v>
      </c>
      <c r="AI225" s="396">
        <f t="shared" si="225"/>
        <v>2481</v>
      </c>
      <c r="AJ225" s="343">
        <f t="shared" si="225"/>
        <v>2481</v>
      </c>
      <c r="AK225" s="1317">
        <f>AJ225+31</f>
        <v>2512</v>
      </c>
      <c r="AL225" s="397">
        <f t="shared" si="225"/>
        <v>2512</v>
      </c>
      <c r="AM225" s="297">
        <f t="shared" si="225"/>
        <v>2512</v>
      </c>
      <c r="AN225" s="396">
        <f t="shared" si="225"/>
        <v>2512</v>
      </c>
      <c r="AO225" s="343">
        <f t="shared" si="225"/>
        <v>2512</v>
      </c>
      <c r="AP225" s="343">
        <f t="shared" si="225"/>
        <v>2512</v>
      </c>
      <c r="AQ225" s="397">
        <f t="shared" si="225"/>
        <v>2512</v>
      </c>
      <c r="AR225" s="297">
        <f t="shared" si="225"/>
        <v>2512</v>
      </c>
      <c r="AS225" s="396">
        <f t="shared" ref="AS225:BB225" si="226">AR225</f>
        <v>2512</v>
      </c>
      <c r="AT225" s="343">
        <f t="shared" si="226"/>
        <v>2512</v>
      </c>
      <c r="AU225" s="343">
        <f t="shared" si="226"/>
        <v>2512</v>
      </c>
      <c r="AV225" s="397">
        <f t="shared" si="226"/>
        <v>2512</v>
      </c>
      <c r="AW225" s="297">
        <f t="shared" si="226"/>
        <v>2512</v>
      </c>
      <c r="AX225" s="396">
        <f>AW225</f>
        <v>2512</v>
      </c>
      <c r="AY225" s="343">
        <f>AX225</f>
        <v>2512</v>
      </c>
      <c r="AZ225" s="1565">
        <f>AY225+540</f>
        <v>3052</v>
      </c>
      <c r="BA225" s="397">
        <f>AY225</f>
        <v>2512</v>
      </c>
      <c r="BB225" s="297">
        <f t="shared" si="226"/>
        <v>2512</v>
      </c>
      <c r="BC225" s="396">
        <f t="shared" ref="BC225:BL225" si="227">BB225</f>
        <v>2512</v>
      </c>
      <c r="BD225" s="343">
        <f t="shared" si="227"/>
        <v>2512</v>
      </c>
      <c r="BE225" s="343">
        <f t="shared" si="227"/>
        <v>2512</v>
      </c>
      <c r="BF225" s="397">
        <f t="shared" si="227"/>
        <v>2512</v>
      </c>
      <c r="BG225" s="297">
        <f t="shared" si="227"/>
        <v>2512</v>
      </c>
      <c r="BH225" s="396">
        <f t="shared" si="227"/>
        <v>2512</v>
      </c>
      <c r="BI225" s="343">
        <f t="shared" si="227"/>
        <v>2512</v>
      </c>
      <c r="BJ225" s="343">
        <f t="shared" si="227"/>
        <v>2512</v>
      </c>
      <c r="BK225" s="397">
        <f t="shared" si="227"/>
        <v>2512</v>
      </c>
      <c r="BL225" s="297">
        <f t="shared" si="227"/>
        <v>2512</v>
      </c>
      <c r="BM225" s="396">
        <f>BL225</f>
        <v>2512</v>
      </c>
      <c r="BN225" s="343">
        <f>BM225</f>
        <v>2512</v>
      </c>
      <c r="BO225" s="343">
        <f>BN225</f>
        <v>2512</v>
      </c>
      <c r="BP225" s="397">
        <f>BO225</f>
        <v>2512</v>
      </c>
      <c r="BQ225" s="297">
        <f>BP225</f>
        <v>2512</v>
      </c>
      <c r="BR225" s="49"/>
      <c r="CI225" s="49"/>
      <c r="CJ225" s="49"/>
      <c r="CM225" s="2" t="s">
        <v>846</v>
      </c>
      <c r="CO225" s="987">
        <v>-0.55000000000000004</v>
      </c>
      <c r="CQ225" s="2" t="s">
        <v>707</v>
      </c>
      <c r="CS225" s="37" t="s">
        <v>66</v>
      </c>
      <c r="CT225" s="37" t="s">
        <v>512</v>
      </c>
    </row>
    <row r="226" spans="1:105" s="2" customFormat="1">
      <c r="A226" s="1523"/>
      <c r="E226" s="365"/>
      <c r="F226" s="6"/>
      <c r="G226" s="6"/>
      <c r="H226" s="366"/>
      <c r="I226" s="37"/>
      <c r="J226" s="365"/>
      <c r="K226" s="6"/>
      <c r="L226" s="6"/>
      <c r="M226" s="366"/>
      <c r="O226" s="365"/>
      <c r="P226" s="6"/>
      <c r="Q226" s="6"/>
      <c r="R226" s="366"/>
      <c r="S226" s="293"/>
      <c r="T226" s="365"/>
      <c r="U226" s="6"/>
      <c r="V226" s="6"/>
      <c r="W226" s="366"/>
      <c r="Y226" s="365"/>
      <c r="Z226" s="6"/>
      <c r="AA226" s="6"/>
      <c r="AB226" s="366"/>
      <c r="AD226" s="365"/>
      <c r="AE226" s="6"/>
      <c r="AF226" s="6"/>
      <c r="AG226" s="366"/>
      <c r="AI226" s="365"/>
      <c r="AJ226" s="6"/>
      <c r="AK226" s="6"/>
      <c r="AL226" s="366"/>
      <c r="AN226" s="365"/>
      <c r="AO226" s="6"/>
      <c r="AP226" s="6"/>
      <c r="AQ226" s="366"/>
      <c r="AS226" s="365"/>
      <c r="AT226" s="6"/>
      <c r="AU226" s="6"/>
      <c r="AV226" s="366"/>
      <c r="AX226" s="365"/>
      <c r="AY226" s="6"/>
      <c r="AZ226" s="6"/>
      <c r="BA226" s="366"/>
      <c r="BC226" s="365"/>
      <c r="BD226" s="6"/>
      <c r="BE226" s="6"/>
      <c r="BF226" s="366"/>
      <c r="BH226" s="365"/>
      <c r="BI226" s="6"/>
      <c r="BJ226" s="6"/>
      <c r="BK226" s="366"/>
      <c r="BM226" s="365"/>
      <c r="BN226" s="6"/>
      <c r="BO226" s="6"/>
      <c r="BP226" s="366"/>
      <c r="BU226" s="49" t="s">
        <v>684</v>
      </c>
      <c r="BV226" s="49"/>
      <c r="BW226" s="830"/>
      <c r="BX226" s="830"/>
      <c r="BY226" s="830">
        <f t="shared" ref="BY226:CD226" si="228">((BY223*BY224)-(BY220*BY221))/(BY223-BY221)</f>
        <v>39.628255208333329</v>
      </c>
      <c r="BZ226" s="830">
        <f t="shared" si="228"/>
        <v>45.444280399991527</v>
      </c>
      <c r="CA226" s="830">
        <f t="shared" si="228"/>
        <v>39.966416292222746</v>
      </c>
      <c r="CB226" s="830">
        <f t="shared" si="228"/>
        <v>35.644542485335556</v>
      </c>
      <c r="CC226" s="830">
        <f t="shared" si="228"/>
        <v>29.856852781441141</v>
      </c>
      <c r="CD226" s="830">
        <f t="shared" si="228"/>
        <v>28.216907680819443</v>
      </c>
      <c r="CE226" s="830">
        <f>((CE223*CE224)-(CE220*CE221))/(CE223-CE221)</f>
        <v>23.796003791274941</v>
      </c>
      <c r="CF226" s="49"/>
      <c r="CG226" s="37" t="s">
        <v>694</v>
      </c>
      <c r="CH226" s="49"/>
      <c r="CM226" s="2" t="s">
        <v>847</v>
      </c>
      <c r="CO226" s="1586">
        <f>CO227-SUM(CO220:CO225)</f>
        <v>8.7766178627853293</v>
      </c>
      <c r="CQ226" s="2" t="s">
        <v>773</v>
      </c>
      <c r="CS226" s="260">
        <v>46.82</v>
      </c>
      <c r="CT226" s="260">
        <v>43.1</v>
      </c>
      <c r="CU226" s="260"/>
    </row>
    <row r="227" spans="1:105" s="2" customFormat="1">
      <c r="A227" s="1523"/>
      <c r="C227" s="37" t="s">
        <v>214</v>
      </c>
      <c r="E227" s="365"/>
      <c r="F227" s="6"/>
      <c r="G227" s="6"/>
      <c r="H227" s="366"/>
      <c r="I227" s="1622">
        <v>0.45</v>
      </c>
      <c r="J227" s="365"/>
      <c r="K227" s="6"/>
      <c r="L227" s="6"/>
      <c r="M227" s="366"/>
      <c r="O227" s="365"/>
      <c r="P227" s="6"/>
      <c r="Q227" s="6"/>
      <c r="R227" s="366"/>
      <c r="S227" s="293"/>
      <c r="T227" s="376"/>
      <c r="U227" s="334"/>
      <c r="V227" s="334"/>
      <c r="W227" s="377"/>
      <c r="X227" s="293"/>
      <c r="Y227" s="376">
        <f>IF(Y221&gt;Y223,$I227,0%)</f>
        <v>0.45</v>
      </c>
      <c r="Z227" s="334">
        <f>IF(Z221&gt;Z223,$I227,0%)</f>
        <v>0.45</v>
      </c>
      <c r="AA227" s="334">
        <f>IF(AA221&gt;AA223,$I227,0%)</f>
        <v>0.45</v>
      </c>
      <c r="AB227" s="377">
        <f>IF(AB221&gt;AB223,$I227,0%)</f>
        <v>0.45</v>
      </c>
      <c r="AC227" s="293">
        <f>AVERAGE(Y227:AB227)</f>
        <v>0.45</v>
      </c>
      <c r="AD227" s="376">
        <f>IF(AD221&gt;AD223,$I227,0%)</f>
        <v>0.45</v>
      </c>
      <c r="AE227" s="334">
        <f>IF(AE221&gt;AE223,$I227,0%)</f>
        <v>0.45</v>
      </c>
      <c r="AF227" s="334">
        <f>IF(AF221&gt;AF223,$I227,0%)</f>
        <v>0.45</v>
      </c>
      <c r="AG227" s="377">
        <f>IF(AG221&gt;AG223,$I227,0%)</f>
        <v>0.45</v>
      </c>
      <c r="AH227" s="293">
        <f>AVERAGE(AD227:AG227)</f>
        <v>0.45</v>
      </c>
      <c r="AI227" s="376">
        <f>IF(AI221&gt;AI223,$I227,0%)</f>
        <v>0.45</v>
      </c>
      <c r="AJ227" s="334">
        <f>IF(AJ221&gt;AJ223,$I227,0%)</f>
        <v>0.45</v>
      </c>
      <c r="AK227" s="334">
        <f>IF(AK221&gt;AK223,$I227,0%)</f>
        <v>0.45</v>
      </c>
      <c r="AL227" s="377">
        <f>IF(AL221&gt;AL223,$I227,0%)</f>
        <v>0.45</v>
      </c>
      <c r="AM227" s="293">
        <f>AVERAGE(AI227:AL227)</f>
        <v>0.45</v>
      </c>
      <c r="AN227" s="376">
        <f>IF(AN221&gt;AN223,$I227,0%)</f>
        <v>0.45</v>
      </c>
      <c r="AO227" s="334">
        <f>IF(AO221&gt;AO223,$I227,0%)</f>
        <v>0.45</v>
      </c>
      <c r="AP227" s="334">
        <f>IF(AP221&gt;AP223,$I227,0%)</f>
        <v>0.45</v>
      </c>
      <c r="AQ227" s="377">
        <f>IF(AQ221&gt;AQ223,$I227,0%)</f>
        <v>0.45</v>
      </c>
      <c r="AR227" s="293">
        <f>AVERAGE(AN227:AQ227)</f>
        <v>0.45</v>
      </c>
      <c r="AS227" s="376">
        <f>IF(AS221&gt;AS223,$I227,0%)</f>
        <v>0.45</v>
      </c>
      <c r="AT227" s="334">
        <f>IF(AT221&gt;AT223,$I227,0%)</f>
        <v>0.45</v>
      </c>
      <c r="AU227" s="334">
        <f>IF(AU221&gt;AU223,$I227,0%)</f>
        <v>0.45</v>
      </c>
      <c r="AV227" s="377">
        <f>IF(AV221&gt;AV223,$I227,0%)</f>
        <v>0.45</v>
      </c>
      <c r="AW227" s="293">
        <f>AVERAGE(AS227:AV227)</f>
        <v>0.45</v>
      </c>
      <c r="AX227" s="376">
        <f>IF(AX221&gt;AX223,$I227,0%)</f>
        <v>0.45</v>
      </c>
      <c r="AY227" s="334">
        <f>IF(AY221&gt;AY223,$I227,0%)</f>
        <v>0.45</v>
      </c>
      <c r="AZ227" s="334">
        <f>IF(AZ221&gt;AZ223,$I227,0%)</f>
        <v>0.45</v>
      </c>
      <c r="BA227" s="377">
        <f>IF(BA221&gt;BA223,$I227,0%)</f>
        <v>0.45</v>
      </c>
      <c r="BB227" s="293">
        <f>AVERAGE(AX227:BA227)</f>
        <v>0.45</v>
      </c>
      <c r="BC227" s="376">
        <f>IF(BC221&gt;BC223,$I227,0%)</f>
        <v>0.45</v>
      </c>
      <c r="BD227" s="334">
        <f>IF(BD221&gt;BD223,$I227,0%)</f>
        <v>0.45</v>
      </c>
      <c r="BE227" s="334">
        <f>IF(BE221&gt;BE223,$I227,0%)</f>
        <v>0.45</v>
      </c>
      <c r="BF227" s="377">
        <f>IF(BF221&gt;BF223,$I227,0%)</f>
        <v>0.45</v>
      </c>
      <c r="BG227" s="293">
        <f>AVERAGE(BC227:BF227)</f>
        <v>0.45</v>
      </c>
      <c r="BH227" s="376">
        <f>IF(BH221&gt;BH223,$I227,0%)</f>
        <v>0.45</v>
      </c>
      <c r="BI227" s="334">
        <f>IF(BI221&gt;BI223,$I227,0%)</f>
        <v>0.45</v>
      </c>
      <c r="BJ227" s="334">
        <f>IF(BJ221&gt;BJ223,$I227,0%)</f>
        <v>0.45</v>
      </c>
      <c r="BK227" s="377">
        <f>IF(BK221&gt;BK223,$I227,0%)</f>
        <v>0.45</v>
      </c>
      <c r="BL227" s="293">
        <f>AVERAGE(BH227:BK227)</f>
        <v>0.45</v>
      </c>
      <c r="BM227" s="376">
        <f>IF(BM221&gt;BM223,$I227,0%)</f>
        <v>0.45</v>
      </c>
      <c r="BN227" s="334">
        <f>IF(BN221&gt;BN223,$I227,0%)</f>
        <v>0.45</v>
      </c>
      <c r="BO227" s="334">
        <f>IF(BO221&gt;BO223,$I227,0%)</f>
        <v>0.45</v>
      </c>
      <c r="BP227" s="377">
        <f>IF(BP221&gt;BP223,$I227,0%)</f>
        <v>0.45</v>
      </c>
      <c r="BQ227" s="293">
        <f>AVERAGE(BM227:BP227)</f>
        <v>0.45</v>
      </c>
      <c r="BU227" s="497" t="s">
        <v>700</v>
      </c>
      <c r="BV227" s="982"/>
      <c r="BW227" s="983"/>
      <c r="BX227" s="983"/>
      <c r="BY227" s="983">
        <f>(AH73-AH69)+BY226</f>
        <v>46.296362504778365</v>
      </c>
      <c r="BZ227" s="983">
        <f>(AM73-AM69)+BZ226</f>
        <v>47.505844834101318</v>
      </c>
      <c r="CA227" s="983">
        <f>(AR73-AR69)+CA226</f>
        <v>38.456257910230853</v>
      </c>
      <c r="CB227" s="983">
        <f>(AW73-AW69)+CB226</f>
        <v>36.344271828563109</v>
      </c>
      <c r="CC227" s="983">
        <f>(BB73-BB69)+CC226</f>
        <v>30.57279811820468</v>
      </c>
      <c r="CD227" s="983">
        <f>(BG73-BG69)+CD226</f>
        <v>29.502178514171941</v>
      </c>
      <c r="CE227" s="984">
        <f>(BH73-BH69)+CE226</f>
        <v>29.138918537691623</v>
      </c>
      <c r="CG227" s="37" t="s">
        <v>707</v>
      </c>
      <c r="CM227" s="49" t="s">
        <v>449</v>
      </c>
      <c r="CO227" s="1191">
        <v>96.38</v>
      </c>
      <c r="CQ227" s="2" t="s">
        <v>849</v>
      </c>
      <c r="CS227" s="260">
        <v>32.869999999999997</v>
      </c>
      <c r="CT227" s="260">
        <v>30.58</v>
      </c>
      <c r="CU227" s="260"/>
    </row>
    <row r="228" spans="1:105" s="2" customFormat="1">
      <c r="A228" s="1523"/>
      <c r="C228" s="37" t="s">
        <v>212</v>
      </c>
      <c r="E228" s="365"/>
      <c r="F228" s="6"/>
      <c r="G228" s="6"/>
      <c r="H228" s="366"/>
      <c r="I228" s="37"/>
      <c r="J228" s="365"/>
      <c r="K228" s="6"/>
      <c r="L228" s="6"/>
      <c r="M228" s="366"/>
      <c r="O228" s="365"/>
      <c r="P228" s="6"/>
      <c r="Q228" s="6"/>
      <c r="R228" s="366"/>
      <c r="T228" s="453"/>
      <c r="U228" s="454"/>
      <c r="V228" s="454"/>
      <c r="W228" s="455"/>
      <c r="X228" s="452"/>
      <c r="Y228" s="453">
        <f>(Y225*Y227*(8760/1000))/4</f>
        <v>2382.9390000000003</v>
      </c>
      <c r="Z228" s="454">
        <f>(Z225*Z227*(8760/1000))/4</f>
        <v>2382.9390000000003</v>
      </c>
      <c r="AA228" s="454">
        <f>(AA225*AA227*(8760/1000))/4</f>
        <v>2382.9390000000003</v>
      </c>
      <c r="AB228" s="455">
        <f>(AB225*AB227*(8760/1000))/4</f>
        <v>2382.9390000000003</v>
      </c>
      <c r="AC228" s="452">
        <f>SUM(Y228:AB228)</f>
        <v>9531.7560000000012</v>
      </c>
      <c r="AD228" s="453">
        <f>(AD225*AD227*(8760/1000))/4</f>
        <v>2382.9390000000003</v>
      </c>
      <c r="AE228" s="454">
        <f>(AE225*AE227*(8760/1000))/4</f>
        <v>2382.9390000000003</v>
      </c>
      <c r="AF228" s="454">
        <f>(AF225*AF227*(8760/1000))/4</f>
        <v>2445.0255000000002</v>
      </c>
      <c r="AG228" s="455">
        <f>(AG225*AG227*(8760/1000))/4</f>
        <v>2445.0255000000002</v>
      </c>
      <c r="AH228" s="452">
        <f>SUM(AD228:AG228)</f>
        <v>9655.9290000000001</v>
      </c>
      <c r="AI228" s="453">
        <f>(AI225*AI227*(8760/1000))/4</f>
        <v>2445.0255000000002</v>
      </c>
      <c r="AJ228" s="454">
        <f>(AJ225*AJ227*(8760/1000))/4</f>
        <v>2445.0255000000002</v>
      </c>
      <c r="AK228" s="454">
        <f>(AK225*AK227*(8760/1000))/4</f>
        <v>2475.576</v>
      </c>
      <c r="AL228" s="455">
        <f>(AL225*AL227*(8760/1000))/4</f>
        <v>2475.576</v>
      </c>
      <c r="AM228" s="452">
        <f>SUM(AI228:AL228)</f>
        <v>9841.2030000000013</v>
      </c>
      <c r="AN228" s="453">
        <f>(AN225*AN227*(8760/1000))/4</f>
        <v>2475.576</v>
      </c>
      <c r="AO228" s="454">
        <f>(AO225*AO227*(8760/1000))/4</f>
        <v>2475.576</v>
      </c>
      <c r="AP228" s="454">
        <f>(AP225*AP227*(8760/1000))/4</f>
        <v>2475.576</v>
      </c>
      <c r="AQ228" s="455">
        <f>(AQ225*AQ227*(8760/1000))/4</f>
        <v>2475.576</v>
      </c>
      <c r="AR228" s="452">
        <f>SUM(AN228:AQ228)</f>
        <v>9902.3040000000001</v>
      </c>
      <c r="AS228" s="453">
        <f>(AS225*AS227*(8760/1000))/4</f>
        <v>2475.576</v>
      </c>
      <c r="AT228" s="454">
        <f>(AT225*AT227*(8760/1000))/4</f>
        <v>2475.576</v>
      </c>
      <c r="AU228" s="454">
        <f>(AU225*AU227*(8760/1000))/4</f>
        <v>2475.576</v>
      </c>
      <c r="AV228" s="455">
        <f>(AV225*AV227*(8760/1000))/4</f>
        <v>2475.576</v>
      </c>
      <c r="AW228" s="452">
        <f>SUM(AS228:AV228)</f>
        <v>9902.3040000000001</v>
      </c>
      <c r="AX228" s="453">
        <f>(AX225*AX227*(8760/1000))/4</f>
        <v>2475.576</v>
      </c>
      <c r="AY228" s="454">
        <f>(AY225*AY227*(8760/1000))/4</f>
        <v>2475.576</v>
      </c>
      <c r="AZ228" s="454">
        <f>(AZ225*AZ227*(8760/1000))/4</f>
        <v>3007.7460000000001</v>
      </c>
      <c r="BA228" s="455">
        <f>(BA225*BA227*(8760/1000))/4</f>
        <v>2475.576</v>
      </c>
      <c r="BB228" s="452">
        <f>SUM(AX228:BA228)</f>
        <v>10434.474</v>
      </c>
      <c r="BC228" s="453">
        <f>(BC225*BC227*(8760/1000))/4</f>
        <v>2475.576</v>
      </c>
      <c r="BD228" s="454">
        <f>(BD225*BD227*(8760/1000))/4</f>
        <v>2475.576</v>
      </c>
      <c r="BE228" s="454">
        <f>(BE225*BE227*(8760/1000))/4</f>
        <v>2475.576</v>
      </c>
      <c r="BF228" s="455">
        <f>(BF225*BF227*(8760/1000))/4</f>
        <v>2475.576</v>
      </c>
      <c r="BG228" s="452">
        <f>SUM(BC228:BF228)</f>
        <v>9902.3040000000001</v>
      </c>
      <c r="BH228" s="453">
        <f>(BH225*BH227*(8760/1000))/4</f>
        <v>2475.576</v>
      </c>
      <c r="BI228" s="454">
        <f>(BI225*BI227*(8760/1000))/4</f>
        <v>2475.576</v>
      </c>
      <c r="BJ228" s="454">
        <f>(BJ225*BJ227*(8760/1000))/4</f>
        <v>2475.576</v>
      </c>
      <c r="BK228" s="455">
        <f>(BK225*BK227*(8760/1000))/4</f>
        <v>2475.576</v>
      </c>
      <c r="BL228" s="452">
        <f>SUM(BH228:BK228)</f>
        <v>9902.3040000000001</v>
      </c>
      <c r="BM228" s="453">
        <f>(BM225*BM227*(8760/1000))/4</f>
        <v>2475.576</v>
      </c>
      <c r="BN228" s="454">
        <f>(BN225*BN227*(8760/1000))/4</f>
        <v>2475.576</v>
      </c>
      <c r="BO228" s="454">
        <f>(BO225*BO227*(8760/1000))/4</f>
        <v>2475.576</v>
      </c>
      <c r="BP228" s="455">
        <f>(BP225*BP227*(8760/1000))/4</f>
        <v>2475.576</v>
      </c>
      <c r="BQ228" s="452">
        <f>SUM(BM228:BP228)</f>
        <v>9902.3040000000001</v>
      </c>
      <c r="CS228" s="260">
        <f>CS226*0.475+CS227*0.525</f>
        <v>39.496250000000003</v>
      </c>
      <c r="CT228" s="260">
        <f>CT226*0.475+CT227*0.525</f>
        <v>36.527000000000001</v>
      </c>
      <c r="CU228" s="260">
        <f>CS228-CT228</f>
        <v>2.9692500000000024</v>
      </c>
    </row>
    <row r="229" spans="1:105" s="2" customFormat="1">
      <c r="A229" s="1523"/>
      <c r="C229" s="37"/>
      <c r="E229" s="365"/>
      <c r="F229" s="6"/>
      <c r="G229" s="6"/>
      <c r="H229" s="366"/>
      <c r="I229" s="37"/>
      <c r="J229" s="365"/>
      <c r="K229" s="6"/>
      <c r="L229" s="6"/>
      <c r="M229" s="366"/>
      <c r="O229" s="365"/>
      <c r="P229" s="6"/>
      <c r="Q229" s="6"/>
      <c r="R229" s="366"/>
      <c r="T229" s="365"/>
      <c r="U229" s="6"/>
      <c r="V229" s="6"/>
      <c r="W229" s="366"/>
      <c r="Y229" s="365"/>
      <c r="Z229" s="6"/>
      <c r="AA229" s="6"/>
      <c r="AB229" s="366"/>
      <c r="AD229" s="365"/>
      <c r="AE229" s="6"/>
      <c r="AF229" s="6"/>
      <c r="AG229" s="366"/>
      <c r="AI229" s="365"/>
      <c r="AJ229" s="6"/>
      <c r="AK229" s="6"/>
      <c r="AL229" s="366"/>
      <c r="AN229" s="365"/>
      <c r="AO229" s="6"/>
      <c r="AP229" s="6"/>
      <c r="AQ229" s="366"/>
      <c r="AS229" s="365"/>
      <c r="AT229" s="6"/>
      <c r="AU229" s="6"/>
      <c r="AV229" s="366"/>
      <c r="AX229" s="365"/>
      <c r="AY229" s="6"/>
      <c r="AZ229" s="6"/>
      <c r="BA229" s="366"/>
      <c r="BC229" s="365"/>
      <c r="BD229" s="6"/>
      <c r="BE229" s="6"/>
      <c r="BF229" s="366"/>
      <c r="BH229" s="365"/>
      <c r="BI229" s="6"/>
      <c r="BJ229" s="6"/>
      <c r="BK229" s="366"/>
      <c r="BM229" s="365"/>
      <c r="BN229" s="6"/>
      <c r="BO229" s="6"/>
      <c r="BP229" s="366"/>
      <c r="BU229" s="497" t="s">
        <v>687</v>
      </c>
      <c r="BV229" s="982"/>
      <c r="BW229" s="983"/>
      <c r="BX229" s="983"/>
      <c r="BY229" s="983">
        <f t="shared" ref="BY229:CD229" si="229">+BY205</f>
        <v>54.854166666666671</v>
      </c>
      <c r="BZ229" s="983">
        <f t="shared" si="229"/>
        <v>53.208863148863145</v>
      </c>
      <c r="CA229" s="983">
        <f t="shared" si="229"/>
        <v>51.820286313710973</v>
      </c>
      <c r="CB229" s="983">
        <f t="shared" si="229"/>
        <v>49.001003211347395</v>
      </c>
      <c r="CC229" s="983">
        <f t="shared" si="229"/>
        <v>46.317805240949554</v>
      </c>
      <c r="CD229" s="983">
        <f t="shared" si="229"/>
        <v>44.072694275220044</v>
      </c>
      <c r="CE229" s="984">
        <f>+CE205</f>
        <v>43.771591908531235</v>
      </c>
      <c r="CG229" s="2" t="s">
        <v>695</v>
      </c>
    </row>
    <row r="230" spans="1:105" s="2" customFormat="1">
      <c r="A230" s="1523"/>
      <c r="C230" s="37" t="s">
        <v>215</v>
      </c>
      <c r="E230" s="365"/>
      <c r="F230" s="6"/>
      <c r="G230" s="6"/>
      <c r="H230" s="366"/>
      <c r="I230" s="726">
        <v>0.15</v>
      </c>
      <c r="J230" s="365"/>
      <c r="K230" s="6"/>
      <c r="L230" s="6"/>
      <c r="M230" s="366"/>
      <c r="N230" s="302"/>
      <c r="O230" s="365"/>
      <c r="P230" s="6"/>
      <c r="Q230" s="6"/>
      <c r="R230" s="366"/>
      <c r="T230" s="376"/>
      <c r="U230" s="334"/>
      <c r="V230" s="334"/>
      <c r="W230" s="377"/>
      <c r="X230" s="293"/>
      <c r="Y230" s="376">
        <f>IF(Y222&gt;Y223,$I230,0%)</f>
        <v>0.15</v>
      </c>
      <c r="Z230" s="334">
        <f>IF(Z222&gt;Z223,$I230,0%)</f>
        <v>0.15</v>
      </c>
      <c r="AA230" s="334">
        <f>IF(AA222&gt;AA223,$I230,0%)</f>
        <v>0.15</v>
      </c>
      <c r="AB230" s="377">
        <f>IF(AB222&gt;AB223,$I230,0%)</f>
        <v>0.15</v>
      </c>
      <c r="AC230" s="293">
        <f>AVERAGE(Y230:AB230)</f>
        <v>0.15</v>
      </c>
      <c r="AD230" s="376">
        <f>IF(AD222&gt;AD223,$I230,0%)</f>
        <v>0</v>
      </c>
      <c r="AE230" s="334">
        <f>IF(AE222&gt;AE223,$I230,0%)</f>
        <v>0.15</v>
      </c>
      <c r="AF230" s="334">
        <f>IF(AF222&gt;AF223,$I230,0%)</f>
        <v>0.15</v>
      </c>
      <c r="AG230" s="377">
        <f>IF(AG222&gt;AG223,$I230,0%)</f>
        <v>0.15</v>
      </c>
      <c r="AH230" s="293">
        <f>AVERAGE(AD230:AG230)</f>
        <v>0.11249999999999999</v>
      </c>
      <c r="AI230" s="376">
        <f>IF(AI222&gt;AI223,$I230,0%)</f>
        <v>0.15</v>
      </c>
      <c r="AJ230" s="334">
        <f>IF(AJ222&gt;AJ223,$I230,0%)</f>
        <v>0.15</v>
      </c>
      <c r="AK230" s="334">
        <f>IF(AK222&gt;AK223,$I230,0%)</f>
        <v>0.15</v>
      </c>
      <c r="AL230" s="377">
        <f>IF(AL222&gt;AL223,$I230,0%)</f>
        <v>0.15</v>
      </c>
      <c r="AM230" s="293">
        <f>AVERAGE(AI230:AL230)</f>
        <v>0.15</v>
      </c>
      <c r="AN230" s="376">
        <f>IF(AN222&gt;AN223,$I230,0%)</f>
        <v>0.15</v>
      </c>
      <c r="AO230" s="334">
        <f>IF(AO222&gt;AO223,$I230,0%)</f>
        <v>0.15</v>
      </c>
      <c r="AP230" s="334">
        <f>IF(AP222&gt;AP223,$I230,0%)</f>
        <v>0.15</v>
      </c>
      <c r="AQ230" s="377">
        <f>IF(AQ222&gt;AQ223,$I230,0%)</f>
        <v>0.15</v>
      </c>
      <c r="AR230" s="293">
        <f>AVERAGE(AN230:AQ230)</f>
        <v>0.15</v>
      </c>
      <c r="AS230" s="376">
        <f>IF(AS222&gt;AS223,$I230,0%)</f>
        <v>0.15</v>
      </c>
      <c r="AT230" s="334">
        <f>IF(AT222&gt;AT223,$I230,0%)</f>
        <v>0.15</v>
      </c>
      <c r="AU230" s="334">
        <f>IF(AU222&gt;AU223,$I230,0%)</f>
        <v>0.15</v>
      </c>
      <c r="AV230" s="377">
        <f>IF(AV222&gt;AV223,$I230,0%)</f>
        <v>0.15</v>
      </c>
      <c r="AW230" s="293">
        <f>AVERAGE(AS230:AV230)</f>
        <v>0.15</v>
      </c>
      <c r="AX230" s="376">
        <f>IF(AX222&gt;AX223,$I230,0%)</f>
        <v>0</v>
      </c>
      <c r="AY230" s="334">
        <f>IF(AY222&gt;AY223,$I230,0%)</f>
        <v>0.15</v>
      </c>
      <c r="AZ230" s="334">
        <f>IF(AZ222&gt;AZ223,$I230,0%)</f>
        <v>0.15</v>
      </c>
      <c r="BA230" s="377">
        <f>IF(BA222&gt;BA223,$I230,0%)</f>
        <v>0.15</v>
      </c>
      <c r="BB230" s="293">
        <f>AVERAGE(AX230:BA230)</f>
        <v>0.11249999999999999</v>
      </c>
      <c r="BC230" s="376">
        <f>IF(BC222&gt;BC223,$I230,0%)</f>
        <v>0.15</v>
      </c>
      <c r="BD230" s="334">
        <f>IF(BD222&gt;BD223,$I230,0%)</f>
        <v>0.15</v>
      </c>
      <c r="BE230" s="334">
        <f>IF(BE222&gt;BE223,$I230,0%)</f>
        <v>0.15</v>
      </c>
      <c r="BF230" s="377">
        <f>IF(BF222&gt;BF223,$I230,0%)</f>
        <v>0.15</v>
      </c>
      <c r="BG230" s="293">
        <f>AVERAGE(BC230:BF230)</f>
        <v>0.15</v>
      </c>
      <c r="BH230" s="376">
        <f>IF(BH222&gt;BH223,$I230,0%)</f>
        <v>0.15</v>
      </c>
      <c r="BI230" s="334">
        <f>IF(BI222&gt;BI223,$I230,0%)</f>
        <v>0.15</v>
      </c>
      <c r="BJ230" s="334">
        <f>IF(BJ222&gt;BJ223,$I230,0%)</f>
        <v>0.15</v>
      </c>
      <c r="BK230" s="377">
        <f>IF(BK222&gt;BK223,$I230,0%)</f>
        <v>0.15</v>
      </c>
      <c r="BL230" s="293">
        <f>AVERAGE(BH230:BK230)</f>
        <v>0.15</v>
      </c>
      <c r="BM230" s="376">
        <f>IF(BM222&gt;BM223,$I230,0%)</f>
        <v>0.15</v>
      </c>
      <c r="BN230" s="334">
        <f>IF(BN222&gt;BN223,$I230,0%)</f>
        <v>0.15</v>
      </c>
      <c r="BO230" s="334">
        <f>IF(BO222&gt;BO223,$I230,0%)</f>
        <v>0.15</v>
      </c>
      <c r="BP230" s="377">
        <f>IF(BP222&gt;BP223,$I230,0%)</f>
        <v>0.15</v>
      </c>
      <c r="BQ230" s="293">
        <f>AVERAGE(BM230:BP230)</f>
        <v>0.15</v>
      </c>
      <c r="CM230" s="49" t="s">
        <v>1005</v>
      </c>
      <c r="CO230" s="977" t="s">
        <v>914</v>
      </c>
      <c r="CQ230" s="49" t="s">
        <v>765</v>
      </c>
    </row>
    <row r="231" spans="1:105" s="2" customFormat="1">
      <c r="A231" s="1523"/>
      <c r="C231" s="37" t="s">
        <v>213</v>
      </c>
      <c r="E231" s="365"/>
      <c r="F231" s="6"/>
      <c r="G231" s="6"/>
      <c r="H231" s="366"/>
      <c r="I231" s="732"/>
      <c r="J231" s="365"/>
      <c r="K231" s="6"/>
      <c r="L231" s="6"/>
      <c r="M231" s="366"/>
      <c r="O231" s="365"/>
      <c r="P231" s="6"/>
      <c r="Q231" s="6"/>
      <c r="R231" s="366"/>
      <c r="T231" s="453"/>
      <c r="U231" s="454"/>
      <c r="V231" s="454"/>
      <c r="W231" s="455"/>
      <c r="X231" s="452"/>
      <c r="Y231" s="453">
        <f>(Y225*Y230*(8760/1000))/4</f>
        <v>794.31299999999999</v>
      </c>
      <c r="Z231" s="454">
        <f>(Z225*Z230*(8760/1000))/4</f>
        <v>794.31299999999999</v>
      </c>
      <c r="AA231" s="454">
        <f>(AA225*AA230*(8760/1000))/4</f>
        <v>794.31299999999999</v>
      </c>
      <c r="AB231" s="455">
        <f>(AB225*AB230*(8760/1000))/4</f>
        <v>794.31299999999999</v>
      </c>
      <c r="AC231" s="452">
        <f>SUM(Y231:AB231)</f>
        <v>3177.252</v>
      </c>
      <c r="AD231" s="453">
        <f>(AD225*AD230*(8760/1000))/4</f>
        <v>0</v>
      </c>
      <c r="AE231" s="454">
        <f>(AE225*AE230*(8760/1000))/4</f>
        <v>794.31299999999999</v>
      </c>
      <c r="AF231" s="454">
        <f>(AF225*AF230*(8760/1000))/4</f>
        <v>815.00849999999991</v>
      </c>
      <c r="AG231" s="455">
        <f>(AG225*AG230*(8760/1000))/4</f>
        <v>815.00849999999991</v>
      </c>
      <c r="AH231" s="452">
        <f>SUM(AD231:AG231)</f>
        <v>2424.33</v>
      </c>
      <c r="AI231" s="453">
        <f>(AI225*AI230*(8760/1000))/4</f>
        <v>815.00849999999991</v>
      </c>
      <c r="AJ231" s="454">
        <f>(AJ225*AJ230*(8760/1000))/4</f>
        <v>815.00849999999991</v>
      </c>
      <c r="AK231" s="454">
        <f>(AK225*AK230*(8760/1000))/4</f>
        <v>825.19200000000001</v>
      </c>
      <c r="AL231" s="455">
        <f>(AL225*AL230*(8760/1000))/4</f>
        <v>825.19200000000001</v>
      </c>
      <c r="AM231" s="452">
        <f>SUM(AI231:AL231)</f>
        <v>3280.4009999999998</v>
      </c>
      <c r="AN231" s="453">
        <f>(AN225*AN230*(8760/1000))/4</f>
        <v>825.19200000000001</v>
      </c>
      <c r="AO231" s="454">
        <f>(AO225*AO230*(8760/1000))/4</f>
        <v>825.19200000000001</v>
      </c>
      <c r="AP231" s="454">
        <f>(AP225*AP230*(8760/1000))/4</f>
        <v>825.19200000000001</v>
      </c>
      <c r="AQ231" s="455">
        <f>(AQ225*AQ230*(8760/1000))/4</f>
        <v>825.19200000000001</v>
      </c>
      <c r="AR231" s="452">
        <f>SUM(AN231:AQ231)</f>
        <v>3300.768</v>
      </c>
      <c r="AS231" s="453">
        <f>(AS225*AS230*(8760/1000))/4</f>
        <v>825.19200000000001</v>
      </c>
      <c r="AT231" s="454">
        <f>(AT225*AT230*(8760/1000))/4</f>
        <v>825.19200000000001</v>
      </c>
      <c r="AU231" s="454">
        <f>(AU225*AU230*(8760/1000))/4</f>
        <v>825.19200000000001</v>
      </c>
      <c r="AV231" s="455">
        <f>(AV225*AV230*(8760/1000))/4</f>
        <v>825.19200000000001</v>
      </c>
      <c r="AW231" s="452">
        <f>SUM(AS231:AV231)</f>
        <v>3300.768</v>
      </c>
      <c r="AX231" s="453">
        <f>(AX225*AX230*(8760/1000))/4</f>
        <v>0</v>
      </c>
      <c r="AY231" s="454">
        <f>(AY225*AY230*(8760/1000))/4</f>
        <v>825.19200000000001</v>
      </c>
      <c r="AZ231" s="454">
        <f>(AZ225*AZ230*(8760/1000))/4</f>
        <v>1002.582</v>
      </c>
      <c r="BA231" s="455">
        <f>(BA225*BA230*(8760/1000))/4</f>
        <v>825.19200000000001</v>
      </c>
      <c r="BB231" s="452">
        <f>SUM(AX231:BA231)</f>
        <v>2652.9659999999999</v>
      </c>
      <c r="BC231" s="453">
        <f>(BC225*BC230*(8760/1000))/4</f>
        <v>825.19200000000001</v>
      </c>
      <c r="BD231" s="454">
        <f>(BD225*BD230*(8760/1000))/4</f>
        <v>825.19200000000001</v>
      </c>
      <c r="BE231" s="454">
        <f>(BE225*BE230*(8760/1000))/4</f>
        <v>825.19200000000001</v>
      </c>
      <c r="BF231" s="455">
        <f>(BF225*BF230*(8760/1000))/4</f>
        <v>825.19200000000001</v>
      </c>
      <c r="BG231" s="452">
        <f>SUM(BC231:BF231)</f>
        <v>3300.768</v>
      </c>
      <c r="BH231" s="453">
        <f>(BH225*BH230*(8760/1000))/4</f>
        <v>825.19200000000001</v>
      </c>
      <c r="BI231" s="454">
        <f>(BI225*BI230*(8760/1000))/4</f>
        <v>825.19200000000001</v>
      </c>
      <c r="BJ231" s="454">
        <f>(BJ225*BJ230*(8760/1000))/4</f>
        <v>825.19200000000001</v>
      </c>
      <c r="BK231" s="455">
        <f>(BK225*BK230*(8760/1000))/4</f>
        <v>825.19200000000001</v>
      </c>
      <c r="BL231" s="452">
        <f>SUM(BH231:BK231)</f>
        <v>3300.768</v>
      </c>
      <c r="BM231" s="453">
        <f>(BM225*BM230*(8760/1000))/4</f>
        <v>825.19200000000001</v>
      </c>
      <c r="BN231" s="454">
        <f>(BN225*BN230*(8760/1000))/4</f>
        <v>825.19200000000001</v>
      </c>
      <c r="BO231" s="454">
        <f>(BO225*BO230*(8760/1000))/4</f>
        <v>825.19200000000001</v>
      </c>
      <c r="BP231" s="455">
        <f>(BP225*BP230*(8760/1000))/4</f>
        <v>825.19200000000001</v>
      </c>
      <c r="BQ231" s="452">
        <f>SUM(BM231:BP231)</f>
        <v>3300.768</v>
      </c>
      <c r="BU231" s="324" t="s">
        <v>688</v>
      </c>
      <c r="BV231" s="925"/>
      <c r="BW231" s="985"/>
      <c r="BX231" s="985"/>
      <c r="BY231" s="985">
        <f t="shared" ref="BY231:CD231" si="230">(BY229*BY221+BY227*(BY223-BY221))/(BY223)</f>
        <v>48.485568220610254</v>
      </c>
      <c r="BZ231" s="985">
        <f t="shared" si="230"/>
        <v>48.902243308500431</v>
      </c>
      <c r="CA231" s="985">
        <f t="shared" si="230"/>
        <v>42.022159970589406</v>
      </c>
      <c r="CB231" s="985">
        <f t="shared" si="230"/>
        <v>39.451951409157466</v>
      </c>
      <c r="CC231" s="985">
        <f t="shared" si="230"/>
        <v>34.293422787381772</v>
      </c>
      <c r="CD231" s="985">
        <f t="shared" si="230"/>
        <v>32.804561894079825</v>
      </c>
      <c r="CE231" s="986">
        <f>(CE229*CE221+CE227*(CE223-CE221))/(CE223)</f>
        <v>33.518766349371504</v>
      </c>
      <c r="CG231" s="2" t="s">
        <v>696</v>
      </c>
      <c r="CM231" s="2" t="s">
        <v>850</v>
      </c>
      <c r="CO231" s="987">
        <f>AVERAGE(CB214:CD214)*365/(8.76*0.37)/1000</f>
        <v>22.56006006006006</v>
      </c>
      <c r="CQ231" s="37" t="s">
        <v>905</v>
      </c>
    </row>
    <row r="232" spans="1:105" s="2" customFormat="1">
      <c r="A232" s="1523"/>
      <c r="C232" s="37"/>
      <c r="E232" s="365"/>
      <c r="F232" s="6"/>
      <c r="G232" s="6"/>
      <c r="H232" s="366"/>
      <c r="I232" s="37"/>
      <c r="J232" s="365"/>
      <c r="K232" s="6"/>
      <c r="L232" s="6"/>
      <c r="M232" s="366"/>
      <c r="O232" s="365"/>
      <c r="P232" s="6"/>
      <c r="Q232" s="6"/>
      <c r="R232" s="366"/>
      <c r="T232" s="365"/>
      <c r="U232" s="6"/>
      <c r="V232" s="6"/>
      <c r="W232" s="366"/>
      <c r="Y232" s="365"/>
      <c r="Z232" s="6"/>
      <c r="AA232" s="6"/>
      <c r="AB232" s="366"/>
      <c r="AD232" s="365"/>
      <c r="AE232" s="6"/>
      <c r="AF232" s="6"/>
      <c r="AG232" s="366"/>
      <c r="AI232" s="365"/>
      <c r="AJ232" s="6"/>
      <c r="AK232" s="6"/>
      <c r="AL232" s="366"/>
      <c r="AN232" s="365"/>
      <c r="AO232" s="6"/>
      <c r="AP232" s="6"/>
      <c r="AQ232" s="366"/>
      <c r="AS232" s="365"/>
      <c r="AT232" s="6"/>
      <c r="AU232" s="6"/>
      <c r="AV232" s="366"/>
      <c r="AX232" s="365"/>
      <c r="AY232" s="6"/>
      <c r="AZ232" s="6"/>
      <c r="BA232" s="366"/>
      <c r="BC232" s="365"/>
      <c r="BD232" s="6"/>
      <c r="BE232" s="6"/>
      <c r="BF232" s="366"/>
      <c r="BH232" s="365"/>
      <c r="BI232" s="6"/>
      <c r="BJ232" s="6"/>
      <c r="BK232" s="366"/>
      <c r="BM232" s="365"/>
      <c r="BN232" s="6"/>
      <c r="BO232" s="6"/>
      <c r="BP232" s="366"/>
      <c r="CM232" s="2" t="s">
        <v>853</v>
      </c>
      <c r="CO232" s="987">
        <v>37</v>
      </c>
      <c r="CQ232" s="37" t="s">
        <v>904</v>
      </c>
    </row>
    <row r="233" spans="1:105" s="49" customFormat="1">
      <c r="A233" s="1523"/>
      <c r="B233" s="2"/>
      <c r="C233" s="37" t="s">
        <v>216</v>
      </c>
      <c r="D233" s="2"/>
      <c r="E233" s="365"/>
      <c r="F233" s="6"/>
      <c r="G233" s="6"/>
      <c r="H233" s="366"/>
      <c r="I233" s="37"/>
      <c r="J233" s="365"/>
      <c r="K233" s="6"/>
      <c r="L233" s="6"/>
      <c r="M233" s="366"/>
      <c r="N233" s="2"/>
      <c r="O233" s="365"/>
      <c r="P233" s="6"/>
      <c r="Q233" s="6"/>
      <c r="R233" s="366"/>
      <c r="S233" s="2"/>
      <c r="T233" s="376"/>
      <c r="U233" s="334"/>
      <c r="V233" s="334"/>
      <c r="W233" s="377"/>
      <c r="X233" s="293"/>
      <c r="Y233" s="376">
        <f>(Y231+Y228)/(8.76*Y225/4)</f>
        <v>0.60000000000000009</v>
      </c>
      <c r="Z233" s="334">
        <f>(Z231+Z228)/(8.76*Z225/4)</f>
        <v>0.60000000000000009</v>
      </c>
      <c r="AA233" s="334">
        <f>(AA231+AA228)/(8.76*AA225/4)</f>
        <v>0.60000000000000009</v>
      </c>
      <c r="AB233" s="377">
        <f>(AB231+AB228)/(8.76*AB225/4)</f>
        <v>0.60000000000000009</v>
      </c>
      <c r="AC233" s="293">
        <f>AVERAGE(Y233:AB233)</f>
        <v>0.60000000000000009</v>
      </c>
      <c r="AD233" s="376">
        <f>(AD231+AD228)/(8.76*AD225/4)</f>
        <v>0.45000000000000007</v>
      </c>
      <c r="AE233" s="334">
        <f>(AE231+AE228)/(8.76*AE225/4)</f>
        <v>0.60000000000000009</v>
      </c>
      <c r="AF233" s="334">
        <f>(AF231+AF228)/(8.76*AF225/4)</f>
        <v>0.60000000000000009</v>
      </c>
      <c r="AG233" s="377">
        <f>(AG231+AG228)/(8.76*AG225/4)</f>
        <v>0.60000000000000009</v>
      </c>
      <c r="AH233" s="293">
        <f>AVERAGE(AD233:AG233)</f>
        <v>0.56250000000000011</v>
      </c>
      <c r="AI233" s="376">
        <f>(AI231+AI228)/(8.76*AI225/4)</f>
        <v>0.60000000000000009</v>
      </c>
      <c r="AJ233" s="334">
        <f>(AJ231+AJ228)/(8.76*AJ225/4)</f>
        <v>0.60000000000000009</v>
      </c>
      <c r="AK233" s="334">
        <f>(AK231+AK228)/(8.76*AK225/4)</f>
        <v>0.6</v>
      </c>
      <c r="AL233" s="377">
        <f>(AL231+AL228)/(8.76*AL225/4)</f>
        <v>0.6</v>
      </c>
      <c r="AM233" s="293">
        <f>AVERAGE(AI233:AL233)</f>
        <v>0.60000000000000009</v>
      </c>
      <c r="AN233" s="376">
        <f>(AN231+AN228)/(8.76*AN225/4)</f>
        <v>0.6</v>
      </c>
      <c r="AO233" s="334">
        <f>(AO231+AO228)/(8.76*AO225/4)</f>
        <v>0.6</v>
      </c>
      <c r="AP233" s="334">
        <f>(AP231+AP228)/(8.76*AP225/4)</f>
        <v>0.6</v>
      </c>
      <c r="AQ233" s="377">
        <f>(AQ231+AQ228)/(8.76*AQ225/4)</f>
        <v>0.6</v>
      </c>
      <c r="AR233" s="293">
        <f>AVERAGE(AN233:AQ233)</f>
        <v>0.6</v>
      </c>
      <c r="AS233" s="376">
        <f>(AS231+AS228)/(8.76*AS225/4)</f>
        <v>0.6</v>
      </c>
      <c r="AT233" s="334">
        <f>(AT231+AT228)/(8.76*AT225/4)</f>
        <v>0.6</v>
      </c>
      <c r="AU233" s="334">
        <f>(AU231+AU228)/(8.76*AU225/4)</f>
        <v>0.6</v>
      </c>
      <c r="AV233" s="377">
        <f>(AV231+AV228)/(8.76*AV225/4)</f>
        <v>0.6</v>
      </c>
      <c r="AW233" s="293">
        <f>AVERAGE(AS233:AV233)</f>
        <v>0.6</v>
      </c>
      <c r="AX233" s="376">
        <f>(AX231+AX228)/(8.76*AX225/4)</f>
        <v>0.45</v>
      </c>
      <c r="AY233" s="334">
        <f>(AY231+AY228)/(8.76*AY225/4)</f>
        <v>0.6</v>
      </c>
      <c r="AZ233" s="334">
        <f>(AZ231+AZ228)/(8.76*AZ225/4)</f>
        <v>0.6</v>
      </c>
      <c r="BA233" s="377">
        <f>(BA231+BA228)/(8.76*BA225/4)</f>
        <v>0.6</v>
      </c>
      <c r="BB233" s="293">
        <f>AVERAGE(AX233:BA233)</f>
        <v>0.5625</v>
      </c>
      <c r="BC233" s="376">
        <f>(BC231+BC228)/(8.76*BC225/4)</f>
        <v>0.6</v>
      </c>
      <c r="BD233" s="334">
        <f>(BD231+BD228)/(8.76*BD225/4)</f>
        <v>0.6</v>
      </c>
      <c r="BE233" s="334">
        <f>(BE231+BE228)/(8.76*BE225/4)</f>
        <v>0.6</v>
      </c>
      <c r="BF233" s="377">
        <f>(BF231+BF228)/(8.76*BF225/4)</f>
        <v>0.6</v>
      </c>
      <c r="BG233" s="293">
        <f>AVERAGE(BC233:BF233)</f>
        <v>0.6</v>
      </c>
      <c r="BH233" s="376">
        <f>(BH231+BH228)/(8.76*BH225/4)</f>
        <v>0.6</v>
      </c>
      <c r="BI233" s="334">
        <f>(BI231+BI228)/(8.76*BI225/4)</f>
        <v>0.6</v>
      </c>
      <c r="BJ233" s="334">
        <f>(BJ231+BJ228)/(8.76*BJ225/4)</f>
        <v>0.6</v>
      </c>
      <c r="BK233" s="377">
        <f>(BK231+BK228)/(8.76*BK225/4)</f>
        <v>0.6</v>
      </c>
      <c r="BL233" s="293">
        <f>AVERAGE(BH233:BK233)</f>
        <v>0.6</v>
      </c>
      <c r="BM233" s="376">
        <f>(BM231+BM228)/(8.76*BM225/4)</f>
        <v>0.6</v>
      </c>
      <c r="BN233" s="334">
        <f>(BN231+BN228)/(8.76*BN225/4)</f>
        <v>0.6</v>
      </c>
      <c r="BO233" s="334">
        <f>(BO231+BO228)/(8.76*BO225/4)</f>
        <v>0.6</v>
      </c>
      <c r="BP233" s="377">
        <f>(BP231+BP228)/(8.76*BP225/4)</f>
        <v>0.6</v>
      </c>
      <c r="BQ233" s="293">
        <f>AVERAGE(BM233:BP233)</f>
        <v>0.6</v>
      </c>
      <c r="BR233" s="2"/>
      <c r="CM233" s="2" t="s">
        <v>848</v>
      </c>
      <c r="CN233" s="2"/>
      <c r="CO233" s="987">
        <v>3</v>
      </c>
      <c r="CP233" s="2"/>
      <c r="CQ233" s="2" t="s">
        <v>842</v>
      </c>
      <c r="CR233" s="1430"/>
      <c r="CS233" s="2"/>
      <c r="CT233" s="2"/>
      <c r="CU233" s="2"/>
      <c r="CV233" s="2"/>
      <c r="CW233" s="2"/>
      <c r="CX233" s="2"/>
      <c r="CY233" s="2"/>
      <c r="CZ233" s="2"/>
      <c r="DA233" s="2"/>
    </row>
    <row r="234" spans="1:105" s="2" customFormat="1">
      <c r="A234" s="49"/>
      <c r="B234" s="49"/>
      <c r="C234" s="49" t="s">
        <v>217</v>
      </c>
      <c r="D234" s="49"/>
      <c r="E234" s="663"/>
      <c r="F234" s="468"/>
      <c r="G234" s="468"/>
      <c r="H234" s="664"/>
      <c r="I234" s="49"/>
      <c r="J234" s="663"/>
      <c r="K234" s="468"/>
      <c r="L234" s="468"/>
      <c r="M234" s="664"/>
      <c r="N234" s="49"/>
      <c r="O234" s="663"/>
      <c r="P234" s="468"/>
      <c r="Q234" s="468"/>
      <c r="R234" s="664"/>
      <c r="S234" s="49"/>
      <c r="T234" s="396"/>
      <c r="U234" s="343"/>
      <c r="V234" s="343"/>
      <c r="W234" s="397"/>
      <c r="X234" s="475"/>
      <c r="Y234" s="396">
        <f>+Y231+Y228</f>
        <v>3177.2520000000004</v>
      </c>
      <c r="Z234" s="343">
        <f>+Z231+Z228</f>
        <v>3177.2520000000004</v>
      </c>
      <c r="AA234" s="343">
        <f>+AA231+AA228</f>
        <v>3177.2520000000004</v>
      </c>
      <c r="AB234" s="397">
        <f>+AB231+AB228</f>
        <v>3177.2520000000004</v>
      </c>
      <c r="AC234" s="475">
        <f>SUM(Y234:AB234)</f>
        <v>12709.008000000002</v>
      </c>
      <c r="AD234" s="396">
        <f>+AD231+AD228</f>
        <v>2382.9390000000003</v>
      </c>
      <c r="AE234" s="343">
        <f>+AE231+AE228</f>
        <v>3177.2520000000004</v>
      </c>
      <c r="AF234" s="343">
        <f>+AF231+AF228</f>
        <v>3260.0340000000001</v>
      </c>
      <c r="AG234" s="397">
        <f>+AG231+AG228</f>
        <v>3260.0340000000001</v>
      </c>
      <c r="AH234" s="475">
        <f>SUM(AD234:AG234)</f>
        <v>12080.259</v>
      </c>
      <c r="AI234" s="396">
        <f>+AI231+AI228</f>
        <v>3260.0340000000001</v>
      </c>
      <c r="AJ234" s="343">
        <f>+AJ231+AJ228</f>
        <v>3260.0340000000001</v>
      </c>
      <c r="AK234" s="343">
        <f>+AK231+AK228</f>
        <v>3300.768</v>
      </c>
      <c r="AL234" s="397">
        <f>+AL231+AL228</f>
        <v>3300.768</v>
      </c>
      <c r="AM234" s="475">
        <f>SUM(AI234:AL234)</f>
        <v>13121.603999999999</v>
      </c>
      <c r="AN234" s="396">
        <f>+AN231+AN228</f>
        <v>3300.768</v>
      </c>
      <c r="AO234" s="343">
        <f>+AO231+AO228</f>
        <v>3300.768</v>
      </c>
      <c r="AP234" s="343">
        <f>+AP231+AP228</f>
        <v>3300.768</v>
      </c>
      <c r="AQ234" s="397">
        <f>+AQ231+AQ228</f>
        <v>3300.768</v>
      </c>
      <c r="AR234" s="475">
        <f>SUM(AN234:AQ234)</f>
        <v>13203.072</v>
      </c>
      <c r="AS234" s="396">
        <f>+AS231+AS228</f>
        <v>3300.768</v>
      </c>
      <c r="AT234" s="343">
        <f>+AT231+AT228</f>
        <v>3300.768</v>
      </c>
      <c r="AU234" s="343">
        <f>+AU231+AU228</f>
        <v>3300.768</v>
      </c>
      <c r="AV234" s="397">
        <f>+AV231+AV228</f>
        <v>3300.768</v>
      </c>
      <c r="AW234" s="475">
        <f>SUM(AS234:AV234)</f>
        <v>13203.072</v>
      </c>
      <c r="AX234" s="396">
        <f>+AX231+AX228</f>
        <v>2475.576</v>
      </c>
      <c r="AY234" s="343">
        <f>+AY231+AY228</f>
        <v>3300.768</v>
      </c>
      <c r="AZ234" s="343">
        <f>+AZ231+AZ228</f>
        <v>4010.328</v>
      </c>
      <c r="BA234" s="397">
        <f>+BA231+BA228</f>
        <v>3300.768</v>
      </c>
      <c r="BB234" s="475">
        <f>SUM(AX234:BA234)</f>
        <v>13087.44</v>
      </c>
      <c r="BC234" s="396">
        <f>+BC231+BC228</f>
        <v>3300.768</v>
      </c>
      <c r="BD234" s="343">
        <f>+BD231+BD228</f>
        <v>3300.768</v>
      </c>
      <c r="BE234" s="343">
        <f>+BE231+BE228</f>
        <v>3300.768</v>
      </c>
      <c r="BF234" s="397">
        <f>+BF231+BF228</f>
        <v>3300.768</v>
      </c>
      <c r="BG234" s="475">
        <f>SUM(BC234:BF234)</f>
        <v>13203.072</v>
      </c>
      <c r="BH234" s="396">
        <f>+BH231+BH228</f>
        <v>3300.768</v>
      </c>
      <c r="BI234" s="343">
        <f>+BI231+BI228</f>
        <v>3300.768</v>
      </c>
      <c r="BJ234" s="343">
        <f>+BJ231+BJ228</f>
        <v>3300.768</v>
      </c>
      <c r="BK234" s="397">
        <f>+BK231+BK228</f>
        <v>3300.768</v>
      </c>
      <c r="BL234" s="475">
        <f>SUM(BH234:BK234)</f>
        <v>13203.072</v>
      </c>
      <c r="BM234" s="396">
        <f>+BM231+BM228</f>
        <v>3300.768</v>
      </c>
      <c r="BN234" s="343">
        <f>+BN231+BN228</f>
        <v>3300.768</v>
      </c>
      <c r="BO234" s="343">
        <f>+BO231+BO228</f>
        <v>3300.768</v>
      </c>
      <c r="BP234" s="397">
        <f>+BP231+BP228</f>
        <v>3300.768</v>
      </c>
      <c r="BQ234" s="475">
        <f>SUM(BM234:BP234)</f>
        <v>13203.072</v>
      </c>
      <c r="BR234" s="49"/>
      <c r="BY234" s="260"/>
      <c r="CM234" s="2" t="s">
        <v>843</v>
      </c>
      <c r="CO234" s="987">
        <f>199.15/24/0.37</f>
        <v>22.426801801801805</v>
      </c>
      <c r="CQ234" s="37" t="s">
        <v>906</v>
      </c>
    </row>
    <row r="235" spans="1:105" s="2" customFormat="1">
      <c r="A235" s="1523"/>
      <c r="C235" s="37"/>
      <c r="E235" s="365"/>
      <c r="F235" s="6"/>
      <c r="G235" s="6"/>
      <c r="H235" s="366"/>
      <c r="I235" s="37"/>
      <c r="J235" s="365"/>
      <c r="K235" s="6"/>
      <c r="L235" s="6"/>
      <c r="M235" s="366"/>
      <c r="O235" s="365"/>
      <c r="P235" s="6"/>
      <c r="Q235" s="6"/>
      <c r="R235" s="366"/>
      <c r="T235" s="365"/>
      <c r="U235" s="6"/>
      <c r="V235" s="6"/>
      <c r="W235" s="366"/>
      <c r="Y235" s="365"/>
      <c r="Z235" s="6"/>
      <c r="AA235" s="6"/>
      <c r="AB235" s="366"/>
      <c r="AD235" s="365"/>
      <c r="AE235" s="6"/>
      <c r="AF235" s="6"/>
      <c r="AG235" s="366"/>
      <c r="AI235" s="365"/>
      <c r="AJ235" s="6"/>
      <c r="AK235" s="6"/>
      <c r="AL235" s="366"/>
      <c r="AN235" s="365"/>
      <c r="AO235" s="6"/>
      <c r="AP235" s="6"/>
      <c r="AQ235" s="366"/>
      <c r="AS235" s="365"/>
      <c r="AT235" s="6"/>
      <c r="AU235" s="6"/>
      <c r="AV235" s="366"/>
      <c r="AX235" s="365"/>
      <c r="AY235" s="6"/>
      <c r="AZ235" s="6"/>
      <c r="BA235" s="366"/>
      <c r="BC235" s="365"/>
      <c r="BD235" s="6"/>
      <c r="BE235" s="6"/>
      <c r="BF235" s="366"/>
      <c r="BH235" s="365"/>
      <c r="BI235" s="6"/>
      <c r="BJ235" s="6"/>
      <c r="BK235" s="366"/>
      <c r="BM235" s="365"/>
      <c r="BN235" s="6"/>
      <c r="BO235" s="6"/>
      <c r="BP235" s="366"/>
      <c r="CM235" s="2" t="s">
        <v>844</v>
      </c>
      <c r="CO235" s="987">
        <v>1.5</v>
      </c>
      <c r="CQ235" s="2" t="s">
        <v>845</v>
      </c>
      <c r="CV235" s="49"/>
      <c r="CW235" s="49"/>
      <c r="CX235" s="49"/>
      <c r="CY235" s="49"/>
      <c r="CZ235" s="49"/>
      <c r="DA235" s="49"/>
    </row>
    <row r="236" spans="1:105" s="2" customFormat="1">
      <c r="A236" s="1523"/>
      <c r="C236" s="37" t="s">
        <v>663</v>
      </c>
      <c r="E236" s="365"/>
      <c r="F236" s="6"/>
      <c r="G236" s="6"/>
      <c r="H236" s="366"/>
      <c r="I236" s="37"/>
      <c r="J236" s="365"/>
      <c r="K236" s="6"/>
      <c r="L236" s="6"/>
      <c r="M236" s="366"/>
      <c r="O236" s="365"/>
      <c r="P236" s="6"/>
      <c r="Q236" s="6"/>
      <c r="R236" s="366"/>
      <c r="T236" s="392"/>
      <c r="U236" s="341"/>
      <c r="V236" s="341"/>
      <c r="W236" s="393"/>
      <c r="X236" s="296"/>
      <c r="Y236" s="392">
        <f>(Y221/1000*Y228)+(Y222/1000*Y231)</f>
        <v>181.85260198456703</v>
      </c>
      <c r="Z236" s="341">
        <f>(Z221/1000*Z228)+(Z222/1000*Z231)</f>
        <v>140.40641666892927</v>
      </c>
      <c r="AA236" s="341">
        <f>(AA221/1000*AA228)+(AA222/1000*AA231)</f>
        <v>160.25032363894562</v>
      </c>
      <c r="AB236" s="393">
        <f>(AB221/1000*AB228)+(AB222/1000*AB231)</f>
        <v>131.4940293640035</v>
      </c>
      <c r="AC236" s="296">
        <f>SUM(Y236:AB236)</f>
        <v>614.00337165644544</v>
      </c>
      <c r="AD236" s="392">
        <f>(AD221/1000*AD228)+(AD222/1000*AD231)</f>
        <v>369.37729127969357</v>
      </c>
      <c r="AE236" s="341">
        <f>(AE221/1000*AE228)+(AE222/1000*AE231)</f>
        <v>153.09116575102408</v>
      </c>
      <c r="AF236" s="341">
        <f>(AF221/1000*AF228)+(AF222/1000*AF231)</f>
        <v>134.19091462499884</v>
      </c>
      <c r="AG236" s="393">
        <f>(AG221/1000*AG228)+(AG222/1000*AG231)</f>
        <v>162.7651364618464</v>
      </c>
      <c r="AH236" s="296">
        <f>SUM(AD236:AG236)</f>
        <v>819.42450811756294</v>
      </c>
      <c r="AI236" s="392">
        <f>(AI221/1000*AI228)+(AI222/1000*AI231)</f>
        <v>247.3252822858982</v>
      </c>
      <c r="AJ236" s="341">
        <f>(AJ221/1000*AJ228)+(AJ222/1000*AJ231)</f>
        <v>139.95309964790496</v>
      </c>
      <c r="AK236" s="341">
        <f>(AK221/1000*AK228)+(AK222/1000*AK231)</f>
        <v>153.91419404173121</v>
      </c>
      <c r="AL236" s="393">
        <f>(AL221/1000*AL228)+(AL222/1000*AL231)</f>
        <v>118.20111294570336</v>
      </c>
      <c r="AM236" s="296">
        <f>SUM(AI236:AL236)</f>
        <v>659.39368892123775</v>
      </c>
      <c r="AN236" s="392">
        <f>(AN221/1000*AN228)+(AN222/1000*AN231)</f>
        <v>115.74942703684995</v>
      </c>
      <c r="AO236" s="341">
        <f>(AO221/1000*AO228)+(AO222/1000*AO231)</f>
        <v>90.099319604366244</v>
      </c>
      <c r="AP236" s="341">
        <f>(AP221/1000*AP228)+(AP222/1000*AP231)</f>
        <v>142.81803627790703</v>
      </c>
      <c r="AQ236" s="393">
        <f>(AQ221/1000*AQ228)+(AQ222/1000*AQ231)</f>
        <v>97.846849574418599</v>
      </c>
      <c r="AR236" s="296">
        <f>SUM(AN236:AQ236)</f>
        <v>446.51363249354176</v>
      </c>
      <c r="AS236" s="392">
        <f>(AS221/1000*AS228)+(AS222/1000*AS231)</f>
        <v>112.18618812447536</v>
      </c>
      <c r="AT236" s="341">
        <f>(AT221/1000*AT228)+(AT222/1000*AT231)</f>
        <v>101.49172918308963</v>
      </c>
      <c r="AU236" s="341">
        <f>(AU221/1000*AU228)+(AU222/1000*AU231)</f>
        <v>120.20472408325851</v>
      </c>
      <c r="AV236" s="393">
        <f>(AV221/1000*AV228)+(AV222/1000*AV231)</f>
        <v>142.05709830783383</v>
      </c>
      <c r="AW236" s="296">
        <f>SUM(AS236:AV236)</f>
        <v>475.93973969865732</v>
      </c>
      <c r="AX236" s="392">
        <f>(AX221/1000*AX228)+(AX222/1000*AX231)</f>
        <v>134.28106681712717</v>
      </c>
      <c r="AY236" s="341">
        <f>(AY221/1000*AY228)+(AY222/1000*AY231)</f>
        <v>112.33682503246925</v>
      </c>
      <c r="AZ236" s="341">
        <f>(AZ221/1000*AZ228)+(AZ222/1000*AZ231)</f>
        <v>148.78986679292231</v>
      </c>
      <c r="BA236" s="393">
        <f>(BA221/1000*BA228)+(BA222/1000*BA231)</f>
        <v>116.14051696522156</v>
      </c>
      <c r="BB236" s="296">
        <f>SUM(AX236:BA236)</f>
        <v>511.54827560774027</v>
      </c>
      <c r="BC236" s="392">
        <f>(BC221/1000*BC228)+(BC222/1000*BC231)</f>
        <v>163.83277210869099</v>
      </c>
      <c r="BD236" s="341">
        <f>(BD221/1000*BD228)+(BD222/1000*BD231)</f>
        <v>93.86699220398387</v>
      </c>
      <c r="BE236" s="341">
        <f>(BE221/1000*BE228)+(BE222/1000*BE231)</f>
        <v>100.33083428009846</v>
      </c>
      <c r="BF236" s="393">
        <f>(BF221/1000*BF228)+(BF222/1000*BF231)</f>
        <v>126.5819646449708</v>
      </c>
      <c r="BG236" s="296">
        <f>SUM(BC236:BF236)</f>
        <v>484.61256323774415</v>
      </c>
      <c r="BH236" s="392">
        <f>(BH221/1000*BH228)+(BH222/1000*BH231)</f>
        <v>166.37943179695793</v>
      </c>
      <c r="BI236" s="341">
        <f>(BI221/1000*BI228)+(BI222/1000*BI231)</f>
        <v>95.208336720639579</v>
      </c>
      <c r="BJ236" s="341">
        <f>(BJ221/1000*BJ228)+(BJ222/1000*BJ231)</f>
        <v>101.72616110742365</v>
      </c>
      <c r="BK236" s="393">
        <f>(BK221/1000*BK228)+(BK222/1000*BK231)</f>
        <v>128.49182574730401</v>
      </c>
      <c r="BL236" s="296">
        <f>SUM(BH236:BK236)</f>
        <v>491.80575537232517</v>
      </c>
      <c r="BM236" s="392">
        <f>(BM221/1000*BM228)+(BM222/1000*BM231)</f>
        <v>156.22766301536495</v>
      </c>
      <c r="BN236" s="341">
        <f>(BN221/1000*BN228)+(BN222/1000*BN231)</f>
        <v>101.51190795365321</v>
      </c>
      <c r="BO236" s="341">
        <f>(BO221/1000*BO228)+(BO222/1000*BO231)</f>
        <v>98.516996403407575</v>
      </c>
      <c r="BP236" s="393">
        <f>(BP221/1000*BP228)+(BP222/1000*BP231)</f>
        <v>154.08590268328794</v>
      </c>
      <c r="BQ236" s="296">
        <f>SUM(BM236:BP236)</f>
        <v>510.34247005571365</v>
      </c>
      <c r="BR236" s="261"/>
      <c r="BV236" s="299"/>
      <c r="BW236" s="299"/>
      <c r="CM236" s="2" t="s">
        <v>846</v>
      </c>
      <c r="CO236" s="987">
        <v>3</v>
      </c>
      <c r="CQ236" s="2" t="s">
        <v>707</v>
      </c>
    </row>
    <row r="237" spans="1:105" s="49" customFormat="1">
      <c r="A237" s="1523"/>
      <c r="B237" s="2"/>
      <c r="C237" s="37" t="s">
        <v>346</v>
      </c>
      <c r="D237" s="2"/>
      <c r="E237" s="365"/>
      <c r="F237" s="6"/>
      <c r="G237" s="6"/>
      <c r="H237" s="366"/>
      <c r="I237" s="37"/>
      <c r="J237" s="365"/>
      <c r="K237" s="6"/>
      <c r="L237" s="6"/>
      <c r="M237" s="366"/>
      <c r="N237" s="2"/>
      <c r="O237" s="365"/>
      <c r="P237" s="6"/>
      <c r="Q237" s="6"/>
      <c r="R237" s="366"/>
      <c r="S237" s="2"/>
      <c r="T237" s="392"/>
      <c r="U237" s="341"/>
      <c r="V237" s="341"/>
      <c r="W237" s="393"/>
      <c r="X237" s="296"/>
      <c r="Y237" s="392">
        <f>Y223/1000*Y234</f>
        <v>139.60888313287501</v>
      </c>
      <c r="Z237" s="341">
        <f>Z223/1000*Z234</f>
        <v>97.614018172125</v>
      </c>
      <c r="AA237" s="341">
        <f>AA223/1000*AA234</f>
        <v>84.21192243506249</v>
      </c>
      <c r="AB237" s="393">
        <f>AB223/1000*AB234</f>
        <v>95.531683203632809</v>
      </c>
      <c r="AC237" s="296">
        <f>SUM(Y237:AB237)</f>
        <v>416.96650694369532</v>
      </c>
      <c r="AD237" s="392">
        <f>AD223/1000*AD234</f>
        <v>256.86994959927665</v>
      </c>
      <c r="AE237" s="341">
        <f>AE223/1000*AE234</f>
        <v>85.718740401632814</v>
      </c>
      <c r="AF237" s="341">
        <f>AF223/1000*AF234</f>
        <v>60.569935415332012</v>
      </c>
      <c r="AG237" s="393">
        <f>AG223/1000*AG234</f>
        <v>70.368591593214859</v>
      </c>
      <c r="AH237" s="296">
        <f>SUM(AD237:AG237)</f>
        <v>473.52721700945631</v>
      </c>
      <c r="AI237" s="392">
        <f>AI223/1000*AI234</f>
        <v>181.51507159029435</v>
      </c>
      <c r="AJ237" s="341">
        <f>AJ223/1000*AJ234</f>
        <v>48.568743325607144</v>
      </c>
      <c r="AK237" s="341">
        <f>AK223/1000*AK234</f>
        <v>43.602429683812495</v>
      </c>
      <c r="AL237" s="393">
        <f>AL223/1000*AL234</f>
        <v>38.277323366285707</v>
      </c>
      <c r="AM237" s="296">
        <f>SUM(AI237:AL237)</f>
        <v>311.96356796599969</v>
      </c>
      <c r="AN237" s="392">
        <f>AN223/1000*AN234</f>
        <v>51.660996354885256</v>
      </c>
      <c r="AO237" s="341">
        <f>AO223/1000*AO234</f>
        <v>39.24183149606251</v>
      </c>
      <c r="AP237" s="341">
        <f>AP223/1000*AP234</f>
        <v>39.066278344874995</v>
      </c>
      <c r="AQ237" s="393">
        <f>AQ223/1000*AQ234</f>
        <v>58.786598222709685</v>
      </c>
      <c r="AR237" s="296">
        <f>SUM(AN237:AQ237)</f>
        <v>188.75570441853245</v>
      </c>
      <c r="AS237" s="392">
        <f>AS223/1000*AS234</f>
        <v>75.421816774838732</v>
      </c>
      <c r="AT237" s="341">
        <f>AT223/1000*AT234</f>
        <v>62.246772604125013</v>
      </c>
      <c r="AU237" s="341">
        <f>AU223/1000*AU234</f>
        <v>49.704549436571448</v>
      </c>
      <c r="AV237" s="393">
        <f>AV223/1000*AV234</f>
        <v>75.037190790774204</v>
      </c>
      <c r="AW237" s="296">
        <f>SUM(AS237:AV237)</f>
        <v>262.4103296063094</v>
      </c>
      <c r="AX237" s="392">
        <f>AX223/1000*AX234</f>
        <v>128.90877178278689</v>
      </c>
      <c r="AY237" s="341">
        <f>AY223/1000*AY234</f>
        <v>56.288684363999998</v>
      </c>
      <c r="AZ237" s="341">
        <f>AZ223/1000*AZ234</f>
        <v>68.689399275</v>
      </c>
      <c r="BA237" s="393">
        <f>BA223/1000*BA234</f>
        <v>69.917142839999997</v>
      </c>
      <c r="BB237" s="296">
        <f>SUM(AX237:BA237)</f>
        <v>323.80399826178689</v>
      </c>
      <c r="BC237" s="392">
        <f>BC223/1000*BC234</f>
        <v>97.968193567217554</v>
      </c>
      <c r="BD237" s="341">
        <f>BD223/1000*BD234</f>
        <v>43.401454198769834</v>
      </c>
      <c r="BE237" s="341">
        <f>BE223/1000*BE234</f>
        <v>42.444379497652932</v>
      </c>
      <c r="BF237" s="393">
        <f>BF223/1000*BF234</f>
        <v>100.44559314024015</v>
      </c>
      <c r="BG237" s="296">
        <f>SUM(BC237:BF237)</f>
        <v>284.25962040388049</v>
      </c>
      <c r="BH237" s="392">
        <f>BH223/1000*BH234</f>
        <v>98.188987596029293</v>
      </c>
      <c r="BI237" s="341">
        <f>BI223/1000*BI234</f>
        <v>43.436612639460591</v>
      </c>
      <c r="BJ237" s="341">
        <f>BJ223/1000*BJ234</f>
        <v>42.458064968607843</v>
      </c>
      <c r="BK237" s="393">
        <f>BK223/1000*BK234</f>
        <v>100.63479342543081</v>
      </c>
      <c r="BL237" s="296">
        <f>SUM(BH237:BK237)</f>
        <v>284.71845862952853</v>
      </c>
      <c r="BM237" s="392">
        <f>BM223/1000*BM234</f>
        <v>83.915852212823353</v>
      </c>
      <c r="BN237" s="341">
        <f>BN223/1000*BN234</f>
        <v>54.525927747141054</v>
      </c>
      <c r="BO237" s="341">
        <f>BO223/1000*BO234</f>
        <v>52.91724622307467</v>
      </c>
      <c r="BP237" s="393">
        <f>BP223/1000*BP234</f>
        <v>82.765430833965596</v>
      </c>
      <c r="BQ237" s="296">
        <f>SUM(BM237:BP237)</f>
        <v>274.12445701700466</v>
      </c>
      <c r="BR237" s="299"/>
      <c r="CM237" s="2" t="s">
        <v>847</v>
      </c>
      <c r="CN237" s="2"/>
      <c r="CO237" s="1192">
        <f>+CO238-SUM(CO231:CO236)</f>
        <v>10.053138138138138</v>
      </c>
      <c r="CP237" s="2"/>
      <c r="CQ237" s="2" t="s">
        <v>773</v>
      </c>
      <c r="CR237" s="2"/>
      <c r="CS237" s="2"/>
      <c r="CT237" s="2"/>
      <c r="CU237" s="2"/>
      <c r="CV237" s="2"/>
      <c r="CW237" s="2"/>
      <c r="CX237" s="2"/>
      <c r="CY237" s="2"/>
      <c r="CZ237" s="2"/>
      <c r="DA237" s="2"/>
    </row>
    <row r="238" spans="1:105" s="2" customFormat="1">
      <c r="A238" s="49"/>
      <c r="B238" s="49"/>
      <c r="C238" s="49" t="s">
        <v>270</v>
      </c>
      <c r="D238" s="49"/>
      <c r="E238" s="663"/>
      <c r="F238" s="468"/>
      <c r="G238" s="468"/>
      <c r="H238" s="664"/>
      <c r="I238" s="37"/>
      <c r="J238" s="663"/>
      <c r="K238" s="468"/>
      <c r="L238" s="468"/>
      <c r="M238" s="664"/>
      <c r="N238" s="49"/>
      <c r="O238" s="663"/>
      <c r="P238" s="468"/>
      <c r="Q238" s="468"/>
      <c r="R238" s="664"/>
      <c r="S238" s="49"/>
      <c r="T238" s="396"/>
      <c r="U238" s="343"/>
      <c r="V238" s="343"/>
      <c r="W238" s="397"/>
      <c r="X238" s="297"/>
      <c r="Y238" s="396">
        <f t="shared" ref="Y238:AR238" si="231">Y236-Y237</f>
        <v>42.243718851692023</v>
      </c>
      <c r="Z238" s="343">
        <f t="shared" si="231"/>
        <v>42.792398496804267</v>
      </c>
      <c r="AA238" s="343">
        <f t="shared" si="231"/>
        <v>76.038401203883126</v>
      </c>
      <c r="AB238" s="397">
        <f t="shared" si="231"/>
        <v>35.962346160370686</v>
      </c>
      <c r="AC238" s="297">
        <f t="shared" si="231"/>
        <v>197.03686471275012</v>
      </c>
      <c r="AD238" s="396">
        <f>AD236-AD237</f>
        <v>112.50734168041691</v>
      </c>
      <c r="AE238" s="343">
        <f>AE236-AE237</f>
        <v>67.372425349391264</v>
      </c>
      <c r="AF238" s="343">
        <f t="shared" si="231"/>
        <v>73.620979209666828</v>
      </c>
      <c r="AG238" s="397">
        <f t="shared" si="231"/>
        <v>92.396544868631537</v>
      </c>
      <c r="AH238" s="297">
        <f t="shared" si="231"/>
        <v>345.89729110810663</v>
      </c>
      <c r="AI238" s="396">
        <f t="shared" si="231"/>
        <v>65.810210695603843</v>
      </c>
      <c r="AJ238" s="343">
        <f t="shared" si="231"/>
        <v>91.384356322297819</v>
      </c>
      <c r="AK238" s="343">
        <f t="shared" si="231"/>
        <v>110.31176435791872</v>
      </c>
      <c r="AL238" s="397">
        <f t="shared" si="231"/>
        <v>79.923789579417644</v>
      </c>
      <c r="AM238" s="297">
        <f t="shared" si="231"/>
        <v>347.43012095523807</v>
      </c>
      <c r="AN238" s="396">
        <f t="shared" si="231"/>
        <v>64.088430681964695</v>
      </c>
      <c r="AO238" s="343">
        <f t="shared" si="231"/>
        <v>50.857488108303734</v>
      </c>
      <c r="AP238" s="343">
        <f t="shared" si="231"/>
        <v>103.75175793303202</v>
      </c>
      <c r="AQ238" s="397">
        <f t="shared" si="231"/>
        <v>39.060251351708914</v>
      </c>
      <c r="AR238" s="297">
        <f t="shared" si="231"/>
        <v>257.75792807500932</v>
      </c>
      <c r="AS238" s="396">
        <f t="shared" ref="AS238:BB238" si="232">AS236-AS237</f>
        <v>36.764371349636633</v>
      </c>
      <c r="AT238" s="343">
        <f t="shared" si="232"/>
        <v>39.244956578964619</v>
      </c>
      <c r="AU238" s="343">
        <f t="shared" si="232"/>
        <v>70.500174646687071</v>
      </c>
      <c r="AV238" s="397">
        <f t="shared" si="232"/>
        <v>67.019907517059622</v>
      </c>
      <c r="AW238" s="297">
        <f t="shared" si="232"/>
        <v>213.52941009234792</v>
      </c>
      <c r="AX238" s="396">
        <f>AX236-AX237</f>
        <v>5.3722950343402829</v>
      </c>
      <c r="AY238" s="343">
        <f>AY236-AY237</f>
        <v>56.048140668469252</v>
      </c>
      <c r="AZ238" s="343">
        <f>AZ236-AZ237</f>
        <v>80.100467517922311</v>
      </c>
      <c r="BA238" s="397">
        <f>BA236-BA237</f>
        <v>46.223374125221568</v>
      </c>
      <c r="BB238" s="297">
        <f t="shared" si="232"/>
        <v>187.74427734595338</v>
      </c>
      <c r="BC238" s="396">
        <f t="shared" ref="BC238:BL238" si="233">BC236-BC237</f>
        <v>65.864578541473435</v>
      </c>
      <c r="BD238" s="343">
        <f t="shared" si="233"/>
        <v>50.465538005214036</v>
      </c>
      <c r="BE238" s="343">
        <f t="shared" si="233"/>
        <v>57.886454782445526</v>
      </c>
      <c r="BF238" s="397">
        <f t="shared" si="233"/>
        <v>26.136371504730647</v>
      </c>
      <c r="BG238" s="297">
        <f t="shared" si="233"/>
        <v>200.35294283386366</v>
      </c>
      <c r="BH238" s="396">
        <f t="shared" si="233"/>
        <v>68.190444200928638</v>
      </c>
      <c r="BI238" s="343">
        <f t="shared" si="233"/>
        <v>51.771724081178988</v>
      </c>
      <c r="BJ238" s="343">
        <f t="shared" si="233"/>
        <v>59.268096138815807</v>
      </c>
      <c r="BK238" s="397">
        <f t="shared" si="233"/>
        <v>27.857032321873191</v>
      </c>
      <c r="BL238" s="297">
        <f t="shared" si="233"/>
        <v>207.08729674279664</v>
      </c>
      <c r="BM238" s="396">
        <f>BM236-BM237</f>
        <v>72.311810802541601</v>
      </c>
      <c r="BN238" s="343">
        <f>BN236-BN237</f>
        <v>46.985980206512153</v>
      </c>
      <c r="BO238" s="343">
        <f>BO236-BO237</f>
        <v>45.599750180332904</v>
      </c>
      <c r="BP238" s="397">
        <f>BP236-BP237</f>
        <v>71.320471849322345</v>
      </c>
      <c r="BQ238" s="297">
        <f>BQ236-BQ237</f>
        <v>236.21801303870899</v>
      </c>
      <c r="BR238" s="49"/>
      <c r="CM238" s="49" t="s">
        <v>449</v>
      </c>
      <c r="CO238" s="1191">
        <f>CH208</f>
        <v>99.54</v>
      </c>
      <c r="CQ238" s="2" t="s">
        <v>849</v>
      </c>
      <c r="CS238" s="2">
        <f>55352.82/365.25</f>
        <v>151.54776180698153</v>
      </c>
    </row>
    <row r="239" spans="1:105" s="2" customFormat="1">
      <c r="A239" s="1523"/>
      <c r="E239" s="365"/>
      <c r="F239" s="6"/>
      <c r="G239" s="6"/>
      <c r="H239" s="366"/>
      <c r="I239" s="37"/>
      <c r="J239" s="365"/>
      <c r="K239" s="6"/>
      <c r="L239" s="6"/>
      <c r="M239" s="366"/>
      <c r="O239" s="365"/>
      <c r="P239" s="6"/>
      <c r="Q239" s="6"/>
      <c r="R239" s="366"/>
      <c r="T239" s="598"/>
      <c r="U239" s="6"/>
      <c r="V239" s="6"/>
      <c r="W239" s="366"/>
      <c r="Y239" s="365"/>
      <c r="Z239" s="6"/>
      <c r="AA239" s="6"/>
      <c r="AB239" s="366"/>
      <c r="AD239" s="365"/>
      <c r="AE239" s="6"/>
      <c r="AF239" s="6"/>
      <c r="AG239" s="366"/>
      <c r="AI239" s="365"/>
      <c r="AJ239" s="6"/>
      <c r="AK239" s="6"/>
      <c r="AL239" s="366"/>
      <c r="AN239" s="365"/>
      <c r="AO239" s="6"/>
      <c r="AP239" s="6"/>
      <c r="AQ239" s="366"/>
      <c r="AS239" s="365"/>
      <c r="AT239" s="6"/>
      <c r="AU239" s="6"/>
      <c r="AV239" s="366"/>
      <c r="AX239" s="365"/>
      <c r="AY239" s="6"/>
      <c r="AZ239" s="6"/>
      <c r="BA239" s="366"/>
      <c r="BC239" s="365"/>
      <c r="BD239" s="6"/>
      <c r="BE239" s="6"/>
      <c r="BF239" s="366"/>
      <c r="BH239" s="365"/>
      <c r="BI239" s="6"/>
      <c r="BJ239" s="6"/>
      <c r="BK239" s="366"/>
      <c r="BM239" s="365"/>
      <c r="BN239" s="6"/>
      <c r="BO239" s="6"/>
      <c r="BP239" s="366"/>
    </row>
    <row r="240" spans="1:105" s="2" customFormat="1">
      <c r="A240" s="1523"/>
      <c r="C240" s="592" t="s">
        <v>219</v>
      </c>
      <c r="E240" s="365"/>
      <c r="F240" s="6"/>
      <c r="G240" s="6"/>
      <c r="H240" s="366"/>
      <c r="I240" s="603"/>
      <c r="J240" s="365"/>
      <c r="K240" s="6"/>
      <c r="L240" s="6"/>
      <c r="M240" s="366"/>
      <c r="O240" s="365"/>
      <c r="P240" s="6"/>
      <c r="Q240" s="6"/>
      <c r="R240" s="366"/>
      <c r="T240" s="365"/>
      <c r="U240" s="6"/>
      <c r="V240" s="6"/>
      <c r="W240" s="366"/>
      <c r="Y240" s="365"/>
      <c r="Z240" s="6"/>
      <c r="AA240" s="6"/>
      <c r="AB240" s="366"/>
      <c r="AD240" s="365"/>
      <c r="AE240" s="6"/>
      <c r="AF240" s="6"/>
      <c r="AG240" s="366"/>
      <c r="AI240" s="365"/>
      <c r="AJ240" s="6"/>
      <c r="AK240" s="6"/>
      <c r="AL240" s="366"/>
      <c r="AN240" s="365"/>
      <c r="AO240" s="6"/>
      <c r="AP240" s="6"/>
      <c r="AQ240" s="366"/>
      <c r="AS240" s="365"/>
      <c r="AT240" s="6"/>
      <c r="AU240" s="6"/>
      <c r="AV240" s="366"/>
      <c r="AX240" s="365"/>
      <c r="AY240" s="6"/>
      <c r="AZ240" s="6"/>
      <c r="BA240" s="366"/>
      <c r="BC240" s="365"/>
      <c r="BD240" s="6"/>
      <c r="BE240" s="6"/>
      <c r="BF240" s="366"/>
      <c r="BH240" s="365"/>
      <c r="BI240" s="6"/>
      <c r="BJ240" s="6"/>
      <c r="BK240" s="366"/>
      <c r="BM240" s="365"/>
      <c r="BN240" s="6"/>
      <c r="BO240" s="6"/>
      <c r="BP240" s="366"/>
    </row>
    <row r="241" spans="1:105" s="2" customFormat="1">
      <c r="A241" s="1523"/>
      <c r="C241" s="37" t="s">
        <v>271</v>
      </c>
      <c r="E241" s="365"/>
      <c r="F241" s="6"/>
      <c r="G241" s="6"/>
      <c r="H241" s="366"/>
      <c r="I241" s="37"/>
      <c r="J241" s="365"/>
      <c r="K241" s="6"/>
      <c r="L241" s="6"/>
      <c r="M241" s="366"/>
      <c r="O241" s="365"/>
      <c r="P241" s="6"/>
      <c r="Q241" s="6"/>
      <c r="R241" s="366"/>
      <c r="T241" s="598"/>
      <c r="U241" s="599"/>
      <c r="V241" s="599"/>
      <c r="W241" s="600"/>
      <c r="X241" s="601"/>
      <c r="Y241" s="598">
        <f t="shared" ref="Y241:AB242" si="234">Y71</f>
        <v>42.607887670634931</v>
      </c>
      <c r="Z241" s="599">
        <f t="shared" si="234"/>
        <v>47.166300820312507</v>
      </c>
      <c r="AA241" s="599">
        <f t="shared" si="234"/>
        <v>55.200128388671871</v>
      </c>
      <c r="AB241" s="600">
        <f t="shared" si="234"/>
        <v>42.19233237304686</v>
      </c>
      <c r="AC241" s="601">
        <f>AVERAGE(Y241:AB241)</f>
        <v>46.791662313166547</v>
      </c>
      <c r="AD241" s="598">
        <f t="shared" ref="AD241:AG242" si="235">AD71</f>
        <v>132.34547472222226</v>
      </c>
      <c r="AE241" s="599">
        <f t="shared" si="235"/>
        <v>53.887016669921877</v>
      </c>
      <c r="AF241" s="599">
        <f t="shared" si="235"/>
        <v>45.337472450195328</v>
      </c>
      <c r="AG241" s="600">
        <f t="shared" si="235"/>
        <v>49.12051941503907</v>
      </c>
      <c r="AH241" s="601">
        <f>AVERAGE(AD241:AG241)</f>
        <v>70.17262081434464</v>
      </c>
      <c r="AI241" s="598">
        <f t="shared" ref="AI241:AL242" si="236">AI71</f>
        <v>67.284598143849195</v>
      </c>
      <c r="AJ241" s="599">
        <f t="shared" si="236"/>
        <v>36.819058058593754</v>
      </c>
      <c r="AK241" s="599">
        <f t="shared" si="236"/>
        <v>39.898508561538463</v>
      </c>
      <c r="AL241" s="600">
        <f t="shared" si="236"/>
        <v>30.041686161132823</v>
      </c>
      <c r="AM241" s="601">
        <f>AVERAGE(AI241:AL241)</f>
        <v>43.510962731278553</v>
      </c>
      <c r="AN241" s="598">
        <f t="shared" ref="AN241:AQ242" si="237">AN71</f>
        <v>31.26632047949219</v>
      </c>
      <c r="AO241" s="599">
        <f t="shared" si="237"/>
        <v>28.707086242187497</v>
      </c>
      <c r="AP241" s="599">
        <f t="shared" si="237"/>
        <v>40.605906624023433</v>
      </c>
      <c r="AQ241" s="600">
        <f t="shared" si="237"/>
        <v>28.828253920634918</v>
      </c>
      <c r="AR241" s="601">
        <f>AVERAGE(AN241:AQ241)</f>
        <v>32.351891816584512</v>
      </c>
      <c r="AS241" s="598">
        <f t="shared" ref="AS241:AV242" si="238">AS71</f>
        <v>33.256564817382809</v>
      </c>
      <c r="AT241" s="599">
        <f t="shared" si="238"/>
        <v>32.387231337890618</v>
      </c>
      <c r="AU241" s="599">
        <f t="shared" si="238"/>
        <v>34.354411583333338</v>
      </c>
      <c r="AV241" s="600">
        <f t="shared" si="238"/>
        <v>39.044797251984129</v>
      </c>
      <c r="AW241" s="601">
        <f>AVERAGE(AS241:AV241)</f>
        <v>34.760751247647725</v>
      </c>
      <c r="AX241" s="598">
        <f t="shared" ref="AX241:BA242" si="239">AX71</f>
        <v>49.504310380859366</v>
      </c>
      <c r="AY241" s="599">
        <f t="shared" si="239"/>
        <v>34.371333333333332</v>
      </c>
      <c r="AZ241" s="599">
        <f>AZ71</f>
        <v>38.062833333333337</v>
      </c>
      <c r="BA241" s="600">
        <f t="shared" si="239"/>
        <v>34.614333333333327</v>
      </c>
      <c r="BB241" s="601">
        <f>AVERAGE(AX241:BA241)</f>
        <v>39.138202595214842</v>
      </c>
      <c r="BC241" s="598">
        <f t="shared" ref="BC241:BF242" si="240">BC71</f>
        <v>46.510944725679025</v>
      </c>
      <c r="BD241" s="599">
        <f t="shared" si="240"/>
        <v>30.296280173373429</v>
      </c>
      <c r="BE241" s="599">
        <f t="shared" si="240"/>
        <v>33.94738406386135</v>
      </c>
      <c r="BF241" s="600">
        <f t="shared" si="240"/>
        <v>36.410057703486217</v>
      </c>
      <c r="BG241" s="601">
        <f>AVERAGE(BC241:BF241)</f>
        <v>36.791166666600006</v>
      </c>
      <c r="BH241" s="598">
        <f t="shared" ref="BH241:BK242" si="241">BH71</f>
        <v>46.479340030218324</v>
      </c>
      <c r="BI241" s="599">
        <f t="shared" si="241"/>
        <v>30.275693519756331</v>
      </c>
      <c r="BJ241" s="599">
        <f t="shared" si="241"/>
        <v>33.924316445231916</v>
      </c>
      <c r="BK241" s="600">
        <f t="shared" si="241"/>
        <v>36.385316671193436</v>
      </c>
      <c r="BL241" s="601">
        <f>AVERAGE(BH241:BK241)</f>
        <v>36.7661666666</v>
      </c>
      <c r="BM241" s="598">
        <f t="shared" ref="BM241:BP242" si="242">BM71</f>
        <v>36.021428571428572</v>
      </c>
      <c r="BN241" s="599">
        <f t="shared" si="242"/>
        <v>36.021428571428572</v>
      </c>
      <c r="BO241" s="599">
        <f t="shared" si="242"/>
        <v>36.021428571428572</v>
      </c>
      <c r="BP241" s="600">
        <f t="shared" si="242"/>
        <v>36.021428571428572</v>
      </c>
      <c r="BQ241" s="601">
        <f>AVERAGE(BM241:BP241)</f>
        <v>36.021428571428572</v>
      </c>
      <c r="CM241" s="49" t="s">
        <v>901</v>
      </c>
      <c r="CO241" s="977" t="s">
        <v>759</v>
      </c>
      <c r="CQ241" s="49" t="s">
        <v>765</v>
      </c>
    </row>
    <row r="242" spans="1:105" s="2" customFormat="1">
      <c r="A242" s="1523"/>
      <c r="C242" s="37" t="s">
        <v>211</v>
      </c>
      <c r="E242" s="365"/>
      <c r="F242" s="6"/>
      <c r="G242" s="6"/>
      <c r="H242" s="366"/>
      <c r="I242" s="37"/>
      <c r="J242" s="365"/>
      <c r="K242" s="6"/>
      <c r="L242" s="6"/>
      <c r="M242" s="366"/>
      <c r="O242" s="365"/>
      <c r="P242" s="6"/>
      <c r="Q242" s="6"/>
      <c r="R242" s="366"/>
      <c r="T242" s="598"/>
      <c r="U242" s="599"/>
      <c r="V242" s="599"/>
      <c r="W242" s="600"/>
      <c r="X242" s="601"/>
      <c r="Y242" s="598">
        <f t="shared" si="234"/>
        <v>34.559726323027377</v>
      </c>
      <c r="Z242" s="599">
        <f t="shared" si="234"/>
        <v>31.325106590201472</v>
      </c>
      <c r="AA242" s="599">
        <f t="shared" si="234"/>
        <v>30.007325350543468</v>
      </c>
      <c r="AB242" s="600">
        <f t="shared" si="234"/>
        <v>32.19676385769926</v>
      </c>
      <c r="AC242" s="601">
        <f>AVERAGE(Y242:AB242)</f>
        <v>32.022230530367892</v>
      </c>
      <c r="AD242" s="598">
        <f t="shared" si="235"/>
        <v>90.786707820652154</v>
      </c>
      <c r="AE242" s="599">
        <f t="shared" si="235"/>
        <v>30.634786767857143</v>
      </c>
      <c r="AF242" s="599">
        <f t="shared" si="235"/>
        <v>26.507552103713767</v>
      </c>
      <c r="AG242" s="600">
        <f t="shared" si="235"/>
        <v>37.660706784782626</v>
      </c>
      <c r="AH242" s="601">
        <f>AVERAGE(AD242:AG242)</f>
        <v>46.397438369251425</v>
      </c>
      <c r="AI242" s="598">
        <f t="shared" si="236"/>
        <v>52.915014835144923</v>
      </c>
      <c r="AJ242" s="599">
        <f t="shared" si="236"/>
        <v>25.152664907509156</v>
      </c>
      <c r="AK242" s="599">
        <f t="shared" si="236"/>
        <v>20.837114357789854</v>
      </c>
      <c r="AL242" s="600">
        <f t="shared" si="236"/>
        <v>25.347991754166664</v>
      </c>
      <c r="AM242" s="601">
        <f>AVERAGE(AI242:AL242)</f>
        <v>31.063196463652652</v>
      </c>
      <c r="AN242" s="598">
        <f t="shared" si="237"/>
        <v>25.346020121237455</v>
      </c>
      <c r="AO242" s="599">
        <f t="shared" si="237"/>
        <v>19.254250642399263</v>
      </c>
      <c r="AP242" s="599">
        <f t="shared" si="237"/>
        <v>21.072814450181166</v>
      </c>
      <c r="AQ242" s="600">
        <f t="shared" si="237"/>
        <v>21.316599519927536</v>
      </c>
      <c r="AR242" s="601">
        <f>AVERAGE(AN242:AQ242)</f>
        <v>21.747421183436355</v>
      </c>
      <c r="AS242" s="598">
        <f t="shared" si="238"/>
        <v>29.336510980555559</v>
      </c>
      <c r="AT242" s="599">
        <f t="shared" si="238"/>
        <v>21.736222810439564</v>
      </c>
      <c r="AU242" s="599">
        <f t="shared" si="238"/>
        <v>19.181085373188402</v>
      </c>
      <c r="AV242" s="600">
        <f t="shared" si="238"/>
        <v>33.856300585507242</v>
      </c>
      <c r="AW242" s="601">
        <f>AVERAGE(AS242:AV242)</f>
        <v>26.027529937422692</v>
      </c>
      <c r="AX242" s="598">
        <f t="shared" si="239"/>
        <v>46.651077805173117</v>
      </c>
      <c r="AY242" s="599">
        <f t="shared" si="239"/>
        <v>25.158666666666669</v>
      </c>
      <c r="AZ242" s="599">
        <f>AZ72</f>
        <v>25.266666666666666</v>
      </c>
      <c r="BA242" s="600">
        <f t="shared" si="239"/>
        <v>25.499833333333331</v>
      </c>
      <c r="BB242" s="601">
        <f>AVERAGE(AX242:BA242)</f>
        <v>30.644061117959946</v>
      </c>
      <c r="BC242" s="598">
        <f t="shared" si="240"/>
        <v>37.348531597794086</v>
      </c>
      <c r="BD242" s="599">
        <f t="shared" si="240"/>
        <v>20.745010650110842</v>
      </c>
      <c r="BE242" s="599">
        <f t="shared" si="240"/>
        <v>21.194398638146538</v>
      </c>
      <c r="BF242" s="600">
        <f t="shared" si="240"/>
        <v>30.99135911394854</v>
      </c>
      <c r="BG242" s="601">
        <f>AVERAGE(BC242:BF242)</f>
        <v>27.569825000000002</v>
      </c>
      <c r="BH242" s="598">
        <f t="shared" si="241"/>
        <v>37.020764656216237</v>
      </c>
      <c r="BI242" s="599">
        <f t="shared" si="241"/>
        <v>20.562954531626438</v>
      </c>
      <c r="BJ242" s="599">
        <f t="shared" si="241"/>
        <v>21.008398736061572</v>
      </c>
      <c r="BK242" s="600">
        <f t="shared" si="241"/>
        <v>30.719382076095741</v>
      </c>
      <c r="BL242" s="601">
        <f>AVERAGE(BH242:BK242)</f>
        <v>27.327874999999999</v>
      </c>
      <c r="BM242" s="598">
        <f t="shared" si="242"/>
        <v>26.910278327419032</v>
      </c>
      <c r="BN242" s="599">
        <f t="shared" si="242"/>
        <v>26.910278327419032</v>
      </c>
      <c r="BO242" s="599">
        <f t="shared" si="242"/>
        <v>26.910278327419032</v>
      </c>
      <c r="BP242" s="600">
        <f t="shared" si="242"/>
        <v>26.910278327419032</v>
      </c>
      <c r="BQ242" s="601">
        <f>AVERAGE(BM242:BP242)</f>
        <v>26.910278327419032</v>
      </c>
      <c r="CM242" s="2" t="s">
        <v>850</v>
      </c>
      <c r="CO242" s="1310">
        <f>189*365/(8.76*0.37)/1000</f>
        <v>21.283783783783782</v>
      </c>
      <c r="CQ242" s="37" t="s">
        <v>908</v>
      </c>
    </row>
    <row r="243" spans="1:105" s="2" customFormat="1">
      <c r="A243" s="1523"/>
      <c r="C243" s="37" t="s">
        <v>266</v>
      </c>
      <c r="E243" s="365"/>
      <c r="F243" s="6"/>
      <c r="G243" s="6"/>
      <c r="H243" s="366"/>
      <c r="I243" s="725">
        <v>12000</v>
      </c>
      <c r="J243" s="365"/>
      <c r="K243" s="6"/>
      <c r="L243" s="6"/>
      <c r="M243" s="366"/>
      <c r="O243" s="365"/>
      <c r="P243" s="6"/>
      <c r="Q243" s="6"/>
      <c r="R243" s="366"/>
      <c r="T243" s="598"/>
      <c r="U243" s="599"/>
      <c r="V243" s="599"/>
      <c r="W243" s="600"/>
      <c r="X243" s="601"/>
      <c r="Y243" s="598">
        <f>Y$102/24*$I243/1000</f>
        <v>40.755769230769239</v>
      </c>
      <c r="Z243" s="599">
        <f>Z$102/24*$I243/1000</f>
        <v>40.957307692307687</v>
      </c>
      <c r="AA243" s="599">
        <f>AA$102/24*$I243/1000</f>
        <v>39.5026923076923</v>
      </c>
      <c r="AB243" s="600">
        <f>AB$102/24*$I243/1000</f>
        <v>38.723076923076924</v>
      </c>
      <c r="AC243" s="601">
        <f>AVERAGE(Y243:AB243)</f>
        <v>39.984711538461539</v>
      </c>
      <c r="AD243" s="598">
        <f>AD$102/24*$I243/1000</f>
        <v>39.406923076923078</v>
      </c>
      <c r="AE243" s="599">
        <f>AE$102/24*$I243/1000</f>
        <v>37.791153846153854</v>
      </c>
      <c r="AF243" s="599">
        <f>AF$102/24*$I243/1000</f>
        <v>36.16846153846155</v>
      </c>
      <c r="AG243" s="600">
        <f>AG$102/24*$I243/1000</f>
        <v>35.553461538461541</v>
      </c>
      <c r="AH243" s="601">
        <f>AVERAGE(AD243:AG243)</f>
        <v>37.230000000000004</v>
      </c>
      <c r="AI243" s="598">
        <f>AI$102/24*$I243/1000</f>
        <v>34.25692307692308</v>
      </c>
      <c r="AJ243" s="599">
        <f>AJ$102/24*$I243/1000</f>
        <v>33.92923076923077</v>
      </c>
      <c r="AK243" s="599">
        <f>AK$102/24*$I243/1000</f>
        <v>32.892307692307696</v>
      </c>
      <c r="AL243" s="600">
        <f>AL$102/24*$I243/1000</f>
        <v>30.651923076923083</v>
      </c>
      <c r="AM243" s="601">
        <f>AVERAGE(AI243:AL243)</f>
        <v>32.932596153846156</v>
      </c>
      <c r="AN243" s="598">
        <f>AN$102/24*$I243/1000</f>
        <v>28.690384615384616</v>
      </c>
      <c r="AO243" s="599">
        <f>AO$102/24*$I243/1000</f>
        <v>28.096153846153843</v>
      </c>
      <c r="AP243" s="599">
        <f>AP$102/24*$I243/1000</f>
        <v>27.964285714285719</v>
      </c>
      <c r="AQ243" s="600">
        <f>AQ$102/24*$I243/1000</f>
        <v>29.948076923076922</v>
      </c>
      <c r="AR243" s="601">
        <f>AVERAGE(AN243:AQ243)</f>
        <v>28.674725274725276</v>
      </c>
      <c r="AS243" s="598">
        <f>AS$102/24*$I243/1000</f>
        <v>32.52884615384616</v>
      </c>
      <c r="AT243" s="599">
        <f>AT$102/24*$I243/1000</f>
        <v>33.730769230769226</v>
      </c>
      <c r="AU243" s="599">
        <f>AU$102/24*$I243/1000</f>
        <v>33.994230769230775</v>
      </c>
      <c r="AV243" s="600">
        <f>AV$102/24*$I243/1000</f>
        <v>36.630769230769239</v>
      </c>
      <c r="AW243" s="601">
        <f>AVERAGE(AS243:AV243)</f>
        <v>34.221153846153847</v>
      </c>
      <c r="AX243" s="598">
        <f>AX$102/24*$I243/1000</f>
        <v>37.924999999999997</v>
      </c>
      <c r="AY243" s="599">
        <f>AY$102/24*$I243/1000</f>
        <v>32</v>
      </c>
      <c r="AZ243" s="599">
        <f>AZ$102/24*$I243/1000</f>
        <v>32</v>
      </c>
      <c r="BA243" s="600">
        <f>BA$102/24*$I243/1000</f>
        <v>32</v>
      </c>
      <c r="BB243" s="601">
        <f>AVERAGE(AX243:BA243)</f>
        <v>33.481250000000003</v>
      </c>
      <c r="BC243" s="598">
        <f t="shared" ref="BC243:BK243" si="243">BC$102/24*$I243/1000+BC118</f>
        <v>31.577143166706129</v>
      </c>
      <c r="BD243" s="599">
        <f t="shared" si="243"/>
        <v>31.577143166706129</v>
      </c>
      <c r="BE243" s="599">
        <f t="shared" si="243"/>
        <v>31.577143166706129</v>
      </c>
      <c r="BF243" s="600">
        <f t="shared" si="243"/>
        <v>35.268570499881619</v>
      </c>
      <c r="BG243" s="601">
        <f t="shared" si="243"/>
        <v>32.5</v>
      </c>
      <c r="BH243" s="598">
        <f t="shared" si="243"/>
        <v>31.577143166706129</v>
      </c>
      <c r="BI243" s="599">
        <f t="shared" si="243"/>
        <v>31.577143166706129</v>
      </c>
      <c r="BJ243" s="599">
        <f t="shared" si="243"/>
        <v>31.577143166706129</v>
      </c>
      <c r="BK243" s="600">
        <f t="shared" si="243"/>
        <v>35.268570499881619</v>
      </c>
      <c r="BL243" s="601">
        <f>AVERAGE(BH243:BK243)</f>
        <v>32.5</v>
      </c>
      <c r="BM243" s="598">
        <f>BM$102/24*$I243/1000+BM118</f>
        <v>31.577143166706129</v>
      </c>
      <c r="BN243" s="599">
        <f>BN$102/24*$I243/1000+BN118</f>
        <v>31.577143166706129</v>
      </c>
      <c r="BO243" s="599">
        <f>BO$102/24*$I243/1000+BO118</f>
        <v>31.577143166706129</v>
      </c>
      <c r="BP243" s="600">
        <f>BP$102/24*$I243/1000+BP118</f>
        <v>35.268570499881619</v>
      </c>
      <c r="BQ243" s="601">
        <f>AVERAGE(BM243:BP243)</f>
        <v>32.5</v>
      </c>
      <c r="CM243" s="2" t="s">
        <v>853</v>
      </c>
      <c r="CO243" s="1310">
        <v>38.837607314598003</v>
      </c>
      <c r="CQ243" s="2" t="s">
        <v>851</v>
      </c>
    </row>
    <row r="244" spans="1:105" s="49" customFormat="1">
      <c r="A244" s="1523"/>
      <c r="B244" s="2"/>
      <c r="C244" s="2"/>
      <c r="D244" s="2"/>
      <c r="E244" s="365"/>
      <c r="F244" s="6"/>
      <c r="G244" s="6"/>
      <c r="H244" s="366"/>
      <c r="I244" s="37"/>
      <c r="J244" s="365"/>
      <c r="K244" s="6"/>
      <c r="L244" s="6"/>
      <c r="M244" s="366"/>
      <c r="N244" s="2"/>
      <c r="O244" s="365"/>
      <c r="P244" s="6"/>
      <c r="Q244" s="6"/>
      <c r="R244" s="366"/>
      <c r="S244" s="2"/>
      <c r="T244" s="365"/>
      <c r="U244" s="6"/>
      <c r="V244" s="6"/>
      <c r="W244" s="366"/>
      <c r="X244" s="2"/>
      <c r="Y244" s="365"/>
      <c r="Z244" s="6"/>
      <c r="AA244" s="6"/>
      <c r="AB244" s="366"/>
      <c r="AC244" s="2"/>
      <c r="AD244" s="365"/>
      <c r="AE244" s="6"/>
      <c r="AF244" s="6"/>
      <c r="AG244" s="366"/>
      <c r="AH244" s="2"/>
      <c r="AI244" s="365"/>
      <c r="AJ244" s="6"/>
      <c r="AK244" s="6"/>
      <c r="AL244" s="366"/>
      <c r="AM244" s="2"/>
      <c r="AN244" s="365"/>
      <c r="AO244" s="6"/>
      <c r="AP244" s="6"/>
      <c r="AQ244" s="366"/>
      <c r="AR244" s="2"/>
      <c r="AS244" s="365"/>
      <c r="AT244" s="6"/>
      <c r="AU244" s="6"/>
      <c r="AV244" s="366"/>
      <c r="AW244" s="2"/>
      <c r="AX244" s="365"/>
      <c r="AY244" s="6"/>
      <c r="AZ244" s="6"/>
      <c r="BA244" s="366"/>
      <c r="BB244" s="2"/>
      <c r="BC244" s="365"/>
      <c r="BD244" s="6"/>
      <c r="BE244" s="6"/>
      <c r="BF244" s="366"/>
      <c r="BG244" s="2"/>
      <c r="BH244" s="365"/>
      <c r="BI244" s="6"/>
      <c r="BJ244" s="6"/>
      <c r="BK244" s="366"/>
      <c r="BL244" s="2"/>
      <c r="BM244" s="365"/>
      <c r="BN244" s="6"/>
      <c r="BO244" s="6"/>
      <c r="BP244" s="366"/>
      <c r="BQ244" s="2"/>
      <c r="BR244" s="2"/>
      <c r="CM244" s="2" t="s">
        <v>848</v>
      </c>
      <c r="CN244" s="2"/>
      <c r="CO244" s="1310">
        <v>3</v>
      </c>
      <c r="CP244" s="2"/>
      <c r="CQ244" s="2" t="s">
        <v>842</v>
      </c>
      <c r="CR244" s="2"/>
      <c r="CS244" s="2"/>
      <c r="CT244" s="2"/>
      <c r="CU244" s="2"/>
    </row>
    <row r="245" spans="1:105" s="2" customFormat="1">
      <c r="A245" s="49"/>
      <c r="B245" s="49"/>
      <c r="C245" s="49" t="s">
        <v>267</v>
      </c>
      <c r="D245" s="49"/>
      <c r="E245" s="663"/>
      <c r="F245" s="468"/>
      <c r="G245" s="468"/>
      <c r="H245" s="664"/>
      <c r="I245" s="725">
        <f>620+632</f>
        <v>1252</v>
      </c>
      <c r="J245" s="663"/>
      <c r="K245" s="468"/>
      <c r="L245" s="468"/>
      <c r="M245" s="664"/>
      <c r="N245" s="49"/>
      <c r="O245" s="396"/>
      <c r="P245" s="343"/>
      <c r="Q245" s="343"/>
      <c r="R245" s="397"/>
      <c r="S245" s="297"/>
      <c r="T245" s="396"/>
      <c r="U245" s="343"/>
      <c r="V245" s="343"/>
      <c r="W245" s="397"/>
      <c r="X245" s="297"/>
      <c r="Y245" s="396">
        <f>I245</f>
        <v>1252</v>
      </c>
      <c r="Z245" s="343">
        <f t="shared" ref="Z245:AR245" si="244">Y245</f>
        <v>1252</v>
      </c>
      <c r="AA245" s="343">
        <f t="shared" si="244"/>
        <v>1252</v>
      </c>
      <c r="AB245" s="397">
        <f t="shared" si="244"/>
        <v>1252</v>
      </c>
      <c r="AC245" s="297">
        <f t="shared" si="244"/>
        <v>1252</v>
      </c>
      <c r="AD245" s="396">
        <f>I245</f>
        <v>1252</v>
      </c>
      <c r="AE245" s="343">
        <f>AD245</f>
        <v>1252</v>
      </c>
      <c r="AF245" s="343">
        <f t="shared" si="244"/>
        <v>1252</v>
      </c>
      <c r="AG245" s="397">
        <f t="shared" si="244"/>
        <v>1252</v>
      </c>
      <c r="AH245" s="297">
        <f t="shared" si="244"/>
        <v>1252</v>
      </c>
      <c r="AI245" s="396">
        <f t="shared" si="244"/>
        <v>1252</v>
      </c>
      <c r="AJ245" s="343">
        <f t="shared" si="244"/>
        <v>1252</v>
      </c>
      <c r="AK245" s="343">
        <f t="shared" si="244"/>
        <v>1252</v>
      </c>
      <c r="AL245" s="397">
        <f t="shared" si="244"/>
        <v>1252</v>
      </c>
      <c r="AM245" s="297">
        <f t="shared" si="244"/>
        <v>1252</v>
      </c>
      <c r="AN245" s="396">
        <f t="shared" si="244"/>
        <v>1252</v>
      </c>
      <c r="AO245" s="343">
        <f t="shared" si="244"/>
        <v>1252</v>
      </c>
      <c r="AP245" s="343">
        <f t="shared" si="244"/>
        <v>1252</v>
      </c>
      <c r="AQ245" s="397">
        <f t="shared" si="244"/>
        <v>1252</v>
      </c>
      <c r="AR245" s="297">
        <f t="shared" si="244"/>
        <v>1252</v>
      </c>
      <c r="AS245" s="396">
        <f t="shared" ref="AS245:BB245" si="245">AR245</f>
        <v>1252</v>
      </c>
      <c r="AT245" s="343">
        <f t="shared" si="245"/>
        <v>1252</v>
      </c>
      <c r="AU245" s="1565">
        <v>0</v>
      </c>
      <c r="AV245" s="397">
        <f t="shared" si="245"/>
        <v>0</v>
      </c>
      <c r="AW245" s="297">
        <f t="shared" si="245"/>
        <v>0</v>
      </c>
      <c r="AX245" s="396">
        <f>AW245</f>
        <v>0</v>
      </c>
      <c r="AY245" s="343">
        <f>AX245</f>
        <v>0</v>
      </c>
      <c r="AZ245" s="343">
        <f>AY245</f>
        <v>0</v>
      </c>
      <c r="BA245" s="397">
        <f>AZ245</f>
        <v>0</v>
      </c>
      <c r="BB245" s="297">
        <f t="shared" si="245"/>
        <v>0</v>
      </c>
      <c r="BC245" s="396">
        <f t="shared" ref="BC245:BL245" si="246">BB245</f>
        <v>0</v>
      </c>
      <c r="BD245" s="343">
        <f t="shared" si="246"/>
        <v>0</v>
      </c>
      <c r="BE245" s="343">
        <f t="shared" si="246"/>
        <v>0</v>
      </c>
      <c r="BF245" s="397">
        <f t="shared" si="246"/>
        <v>0</v>
      </c>
      <c r="BG245" s="297">
        <f t="shared" si="246"/>
        <v>0</v>
      </c>
      <c r="BH245" s="396">
        <f t="shared" si="246"/>
        <v>0</v>
      </c>
      <c r="BI245" s="343">
        <f t="shared" si="246"/>
        <v>0</v>
      </c>
      <c r="BJ245" s="343">
        <f t="shared" si="246"/>
        <v>0</v>
      </c>
      <c r="BK245" s="397">
        <f t="shared" si="246"/>
        <v>0</v>
      </c>
      <c r="BL245" s="297">
        <f t="shared" si="246"/>
        <v>0</v>
      </c>
      <c r="BM245" s="396">
        <f>BL245</f>
        <v>0</v>
      </c>
      <c r="BN245" s="343">
        <f>BM245</f>
        <v>0</v>
      </c>
      <c r="BO245" s="343">
        <f>BN245</f>
        <v>0</v>
      </c>
      <c r="BP245" s="397">
        <f>BO245</f>
        <v>0</v>
      </c>
      <c r="BQ245" s="297">
        <f>BP245</f>
        <v>0</v>
      </c>
      <c r="BR245" s="49"/>
      <c r="CM245" s="2" t="s">
        <v>843</v>
      </c>
      <c r="CO245" s="1310">
        <f>156.39/24/0.37</f>
        <v>17.611486486486484</v>
      </c>
      <c r="CQ245" s="37" t="s">
        <v>902</v>
      </c>
    </row>
    <row r="246" spans="1:105" s="2" customFormat="1">
      <c r="A246" s="1523"/>
      <c r="E246" s="365"/>
      <c r="F246" s="6"/>
      <c r="G246" s="6"/>
      <c r="H246" s="366"/>
      <c r="I246" s="37"/>
      <c r="J246" s="365"/>
      <c r="K246" s="6"/>
      <c r="L246" s="6"/>
      <c r="M246" s="366"/>
      <c r="O246" s="365"/>
      <c r="P246" s="6"/>
      <c r="Q246" s="6"/>
      <c r="R246" s="366"/>
      <c r="T246" s="365"/>
      <c r="U246" s="6"/>
      <c r="V246" s="6"/>
      <c r="W246" s="366"/>
      <c r="Y246" s="365"/>
      <c r="Z246" s="6"/>
      <c r="AA246" s="6"/>
      <c r="AB246" s="366"/>
      <c r="AD246" s="365"/>
      <c r="AE246" s="6"/>
      <c r="AF246" s="6"/>
      <c r="AG246" s="366"/>
      <c r="AI246" s="365"/>
      <c r="AJ246" s="6"/>
      <c r="AK246" s="6"/>
      <c r="AL246" s="366"/>
      <c r="AN246" s="365"/>
      <c r="AO246" s="6"/>
      <c r="AP246" s="6"/>
      <c r="AQ246" s="366"/>
      <c r="AS246" s="365"/>
      <c r="AT246" s="6"/>
      <c r="AU246" s="6"/>
      <c r="AV246" s="366"/>
      <c r="AX246" s="365"/>
      <c r="AY246" s="6"/>
      <c r="AZ246" s="6"/>
      <c r="BA246" s="366"/>
      <c r="BC246" s="365"/>
      <c r="BD246" s="6"/>
      <c r="BE246" s="6"/>
      <c r="BF246" s="366"/>
      <c r="BH246" s="365"/>
      <c r="BI246" s="6"/>
      <c r="BJ246" s="6"/>
      <c r="BK246" s="366"/>
      <c r="BM246" s="365"/>
      <c r="BN246" s="6"/>
      <c r="BO246" s="6"/>
      <c r="BP246" s="366"/>
      <c r="CM246" s="2" t="s">
        <v>844</v>
      </c>
      <c r="CO246" s="1310">
        <v>1.5</v>
      </c>
      <c r="CQ246" s="1430" t="s">
        <v>907</v>
      </c>
      <c r="CU246" s="49"/>
    </row>
    <row r="247" spans="1:105" s="2" customFormat="1">
      <c r="A247" s="1523"/>
      <c r="C247" s="37" t="s">
        <v>214</v>
      </c>
      <c r="E247" s="365"/>
      <c r="F247" s="6"/>
      <c r="G247" s="6"/>
      <c r="H247" s="366"/>
      <c r="I247" s="1622">
        <v>0.05</v>
      </c>
      <c r="J247" s="365"/>
      <c r="K247" s="6"/>
      <c r="L247" s="6"/>
      <c r="M247" s="366"/>
      <c r="O247" s="365"/>
      <c r="P247" s="6"/>
      <c r="Q247" s="6"/>
      <c r="R247" s="366"/>
      <c r="S247" s="37"/>
      <c r="T247" s="376"/>
      <c r="U247" s="334"/>
      <c r="V247" s="334"/>
      <c r="W247" s="377"/>
      <c r="X247" s="293"/>
      <c r="Y247" s="376">
        <f>I247</f>
        <v>0.05</v>
      </c>
      <c r="Z247" s="334">
        <f>Y247</f>
        <v>0.05</v>
      </c>
      <c r="AA247" s="334">
        <f>Z247</f>
        <v>0.05</v>
      </c>
      <c r="AB247" s="377">
        <f>AA247</f>
        <v>0.05</v>
      </c>
      <c r="AC247" s="293">
        <f>AVERAGE(Y247:AB247)</f>
        <v>0.05</v>
      </c>
      <c r="AD247" s="376">
        <f>I247</f>
        <v>0.05</v>
      </c>
      <c r="AE247" s="334">
        <f>AD247</f>
        <v>0.05</v>
      </c>
      <c r="AF247" s="334">
        <f>AE247</f>
        <v>0.05</v>
      </c>
      <c r="AG247" s="377">
        <f>AF247</f>
        <v>0.05</v>
      </c>
      <c r="AH247" s="293">
        <f>AVERAGE(AD247:AG247)</f>
        <v>0.05</v>
      </c>
      <c r="AI247" s="1493">
        <v>0.4</v>
      </c>
      <c r="AJ247" s="334">
        <f>AH247</f>
        <v>0.05</v>
      </c>
      <c r="AK247" s="334">
        <f>AJ247</f>
        <v>0.05</v>
      </c>
      <c r="AL247" s="377">
        <f>AK247</f>
        <v>0.05</v>
      </c>
      <c r="AM247" s="293">
        <f>AVERAGE(AI247:AL247)</f>
        <v>0.13750000000000001</v>
      </c>
      <c r="AN247" s="376">
        <f>I247</f>
        <v>0.05</v>
      </c>
      <c r="AO247" s="334">
        <f>AN247</f>
        <v>0.05</v>
      </c>
      <c r="AP247" s="334">
        <f>AO247</f>
        <v>0.05</v>
      </c>
      <c r="AQ247" s="377">
        <f>AP247</f>
        <v>0.05</v>
      </c>
      <c r="AR247" s="293">
        <f>AVERAGE(AN247:AQ247)</f>
        <v>0.05</v>
      </c>
      <c r="AS247" s="376">
        <f>I247</f>
        <v>0.05</v>
      </c>
      <c r="AT247" s="334">
        <f>AS247</f>
        <v>0.05</v>
      </c>
      <c r="AU247" s="334">
        <f>AT247</f>
        <v>0.05</v>
      </c>
      <c r="AV247" s="377">
        <f>AU247</f>
        <v>0.05</v>
      </c>
      <c r="AW247" s="293">
        <f>AVERAGE(AS247:AV247)</f>
        <v>0.05</v>
      </c>
      <c r="AX247" s="376">
        <f>I247</f>
        <v>0.05</v>
      </c>
      <c r="AY247" s="334">
        <f>AX247</f>
        <v>0.05</v>
      </c>
      <c r="AZ247" s="334">
        <f>AY247</f>
        <v>0.05</v>
      </c>
      <c r="BA247" s="377">
        <f>AZ247</f>
        <v>0.05</v>
      </c>
      <c r="BB247" s="293">
        <f>AVERAGE(AX247:BA247)</f>
        <v>0.05</v>
      </c>
      <c r="BC247" s="376">
        <f>I247</f>
        <v>0.05</v>
      </c>
      <c r="BD247" s="334">
        <f>BC247</f>
        <v>0.05</v>
      </c>
      <c r="BE247" s="334">
        <f>BD247</f>
        <v>0.05</v>
      </c>
      <c r="BF247" s="377">
        <f>BE247</f>
        <v>0.05</v>
      </c>
      <c r="BG247" s="293">
        <f>AVERAGE(BC247:BF247)</f>
        <v>0.05</v>
      </c>
      <c r="BH247" s="376">
        <f>I247</f>
        <v>0.05</v>
      </c>
      <c r="BI247" s="334">
        <f>BH247</f>
        <v>0.05</v>
      </c>
      <c r="BJ247" s="334">
        <f>BI247</f>
        <v>0.05</v>
      </c>
      <c r="BK247" s="377">
        <f>BJ247</f>
        <v>0.05</v>
      </c>
      <c r="BL247" s="293">
        <f>AVERAGE(BH247:BK247)</f>
        <v>0.05</v>
      </c>
      <c r="BM247" s="376">
        <f>N247</f>
        <v>0</v>
      </c>
      <c r="BN247" s="334">
        <f>BM247</f>
        <v>0</v>
      </c>
      <c r="BO247" s="334">
        <f>BN247</f>
        <v>0</v>
      </c>
      <c r="BP247" s="377">
        <f>BO247</f>
        <v>0</v>
      </c>
      <c r="BQ247" s="293">
        <f>AVERAGE(BM247:BP247)</f>
        <v>0</v>
      </c>
      <c r="CM247" s="2" t="s">
        <v>846</v>
      </c>
      <c r="CO247" s="1310">
        <v>4.1732702691257657</v>
      </c>
      <c r="CQ247" s="2" t="s">
        <v>707</v>
      </c>
    </row>
    <row r="248" spans="1:105" s="2" customFormat="1">
      <c r="A248" s="1523"/>
      <c r="C248" s="37" t="s">
        <v>212</v>
      </c>
      <c r="E248" s="365"/>
      <c r="F248" s="6"/>
      <c r="G248" s="6"/>
      <c r="H248" s="366"/>
      <c r="I248" s="37"/>
      <c r="J248" s="365"/>
      <c r="K248" s="6"/>
      <c r="L248" s="6"/>
      <c r="M248" s="366"/>
      <c r="O248" s="365"/>
      <c r="P248" s="6"/>
      <c r="Q248" s="6"/>
      <c r="R248" s="366"/>
      <c r="T248" s="453"/>
      <c r="U248" s="454"/>
      <c r="V248" s="454"/>
      <c r="W248" s="455"/>
      <c r="X248" s="452"/>
      <c r="Y248" s="453">
        <f>(Y245*Y247*(8760/1000))/4</f>
        <v>137.09399999999999</v>
      </c>
      <c r="Z248" s="454">
        <f>(Z245*Z247*(8760/1000))/4</f>
        <v>137.09399999999999</v>
      </c>
      <c r="AA248" s="454">
        <f>(AA245*AA247*(8760/1000))/4</f>
        <v>137.09399999999999</v>
      </c>
      <c r="AB248" s="455">
        <f>(AB245*AB247*(8760/1000))/4</f>
        <v>137.09399999999999</v>
      </c>
      <c r="AC248" s="452">
        <f>SUM(Y248:AB248)</f>
        <v>548.37599999999998</v>
      </c>
      <c r="AD248" s="453">
        <f>(AD245*AD247*(8760/1000))/4</f>
        <v>137.09399999999999</v>
      </c>
      <c r="AE248" s="454">
        <f>(AE245*AE247*(8760/1000))/4</f>
        <v>137.09399999999999</v>
      </c>
      <c r="AF248" s="454">
        <f>(AF245*AF247*(8760/1000))/4</f>
        <v>137.09399999999999</v>
      </c>
      <c r="AG248" s="455">
        <f>(AG245*AG247*(8760/1000))/4</f>
        <v>137.09399999999999</v>
      </c>
      <c r="AH248" s="452">
        <f>SUM(AD248:AG248)</f>
        <v>548.37599999999998</v>
      </c>
      <c r="AI248" s="453">
        <f>(AI245*AI247*(8760/1000))/4</f>
        <v>1096.752</v>
      </c>
      <c r="AJ248" s="454">
        <f>(AJ245*AJ247*(8760/1000))/4</f>
        <v>137.09399999999999</v>
      </c>
      <c r="AK248" s="454">
        <f>(AK245*AK247*(8760/1000))/4</f>
        <v>137.09399999999999</v>
      </c>
      <c r="AL248" s="455">
        <f>(AL245*AL247*(8760/1000))/4</f>
        <v>137.09399999999999</v>
      </c>
      <c r="AM248" s="452">
        <f>SUM(AI248:AL248)</f>
        <v>1508.0340000000001</v>
      </c>
      <c r="AN248" s="453">
        <f>(AN245*AN247*(8760/1000))/4</f>
        <v>137.09399999999999</v>
      </c>
      <c r="AO248" s="454">
        <f>(AO245*AO247*(8760/1000))/4</f>
        <v>137.09399999999999</v>
      </c>
      <c r="AP248" s="454">
        <f>(AP245*AP247*(8760/1000))/4</f>
        <v>137.09399999999999</v>
      </c>
      <c r="AQ248" s="455">
        <f>(AQ245*AQ247*(8760/1000))/4</f>
        <v>137.09399999999999</v>
      </c>
      <c r="AR248" s="452">
        <f>SUM(AN248:AQ248)</f>
        <v>548.37599999999998</v>
      </c>
      <c r="AS248" s="453">
        <f>(AS245*AS247*(8760/1000))/4</f>
        <v>137.09399999999999</v>
      </c>
      <c r="AT248" s="454">
        <f>(AT245*AT247*(8760/1000))/4</f>
        <v>137.09399999999999</v>
      </c>
      <c r="AU248" s="454">
        <f>(AU245*AU247*(8760/1000))/4</f>
        <v>0</v>
      </c>
      <c r="AV248" s="455">
        <f>(AV245*AV247*(8760/1000))/4</f>
        <v>0</v>
      </c>
      <c r="AW248" s="452">
        <f>SUM(AS248:AV248)</f>
        <v>274.18799999999999</v>
      </c>
      <c r="AX248" s="453">
        <f>(AX245*AX247*(8760/1000))/4</f>
        <v>0</v>
      </c>
      <c r="AY248" s="454">
        <f>(AY245*AY247*(8760/1000))/4</f>
        <v>0</v>
      </c>
      <c r="AZ248" s="454">
        <f>(AZ245*AZ247*(8760/1000))/4</f>
        <v>0</v>
      </c>
      <c r="BA248" s="455">
        <f>(BA245*BA247*(8760/1000))/4</f>
        <v>0</v>
      </c>
      <c r="BB248" s="452">
        <f>SUM(AX248:BA248)</f>
        <v>0</v>
      </c>
      <c r="BC248" s="453">
        <f>(BC245*BC247*(8760/1000))/4</f>
        <v>0</v>
      </c>
      <c r="BD248" s="454">
        <f>(BD245*BD247*(8760/1000))/4</f>
        <v>0</v>
      </c>
      <c r="BE248" s="454">
        <f>(BE245*BE247*(8760/1000))/4</f>
        <v>0</v>
      </c>
      <c r="BF248" s="455">
        <f>(BF245*BF247*(8760/1000))/4</f>
        <v>0</v>
      </c>
      <c r="BG248" s="452">
        <f>SUM(BC248:BF248)</f>
        <v>0</v>
      </c>
      <c r="BH248" s="453">
        <f>(BH245*BH247*(8760/1000))/4</f>
        <v>0</v>
      </c>
      <c r="BI248" s="454">
        <f>(BI245*BI247*(8760/1000))/4</f>
        <v>0</v>
      </c>
      <c r="BJ248" s="454">
        <f>(BJ245*BJ247*(8760/1000))/4</f>
        <v>0</v>
      </c>
      <c r="BK248" s="455">
        <f>(BK245*BK247*(8760/1000))/4</f>
        <v>0</v>
      </c>
      <c r="BL248" s="452">
        <f>SUM(BH248:BK248)</f>
        <v>0</v>
      </c>
      <c r="BM248" s="453">
        <f>(BM245*BM247*(8760/1000))/4</f>
        <v>0</v>
      </c>
      <c r="BN248" s="454">
        <f>(BN245*BN247*(8760/1000))/4</f>
        <v>0</v>
      </c>
      <c r="BO248" s="454">
        <f>(BO245*BO247*(8760/1000))/4</f>
        <v>0</v>
      </c>
      <c r="BP248" s="455">
        <f>(BP245*BP247*(8760/1000))/4</f>
        <v>0</v>
      </c>
      <c r="BQ248" s="452">
        <f>SUM(BM248:BP248)</f>
        <v>0</v>
      </c>
      <c r="CM248" s="2" t="s">
        <v>847</v>
      </c>
      <c r="CO248" s="1192">
        <f>+CO249-SUM(CO242:CO247)</f>
        <v>10.983852146005958</v>
      </c>
      <c r="CQ248" s="37" t="s">
        <v>773</v>
      </c>
      <c r="CV248" s="49"/>
      <c r="CW248" s="49"/>
      <c r="CX248" s="49"/>
      <c r="CY248" s="49"/>
      <c r="CZ248" s="49"/>
      <c r="DA248" s="49"/>
    </row>
    <row r="249" spans="1:105" s="2" customFormat="1">
      <c r="A249" s="1523"/>
      <c r="C249" s="37"/>
      <c r="E249" s="365"/>
      <c r="F249" s="6"/>
      <c r="G249" s="6"/>
      <c r="H249" s="366"/>
      <c r="I249" s="37"/>
      <c r="J249" s="365"/>
      <c r="K249" s="6"/>
      <c r="L249" s="6"/>
      <c r="M249" s="366"/>
      <c r="O249" s="365"/>
      <c r="P249" s="6"/>
      <c r="Q249" s="6"/>
      <c r="R249" s="366"/>
      <c r="T249" s="365"/>
      <c r="U249" s="6"/>
      <c r="V249" s="6"/>
      <c r="W249" s="366"/>
      <c r="Y249" s="365"/>
      <c r="Z249" s="6"/>
      <c r="AA249" s="6"/>
      <c r="AB249" s="366"/>
      <c r="AD249" s="365"/>
      <c r="AE249" s="6"/>
      <c r="AF249" s="6"/>
      <c r="AG249" s="366"/>
      <c r="AI249" s="365"/>
      <c r="AJ249" s="6"/>
      <c r="AK249" s="6"/>
      <c r="AL249" s="366"/>
      <c r="AN249" s="365"/>
      <c r="AO249" s="6"/>
      <c r="AP249" s="6"/>
      <c r="AQ249" s="366"/>
      <c r="AS249" s="365"/>
      <c r="AT249" s="6"/>
      <c r="AU249" s="6"/>
      <c r="AV249" s="366"/>
      <c r="AX249" s="365"/>
      <c r="AY249" s="6"/>
      <c r="AZ249" s="6"/>
      <c r="BA249" s="366"/>
      <c r="BC249" s="365"/>
      <c r="BD249" s="6"/>
      <c r="BE249" s="6"/>
      <c r="BF249" s="366"/>
      <c r="BH249" s="365"/>
      <c r="BI249" s="6"/>
      <c r="BJ249" s="6"/>
      <c r="BK249" s="366"/>
      <c r="BM249" s="365"/>
      <c r="BN249" s="6"/>
      <c r="BO249" s="6"/>
      <c r="BP249" s="366"/>
      <c r="CM249" s="49" t="s">
        <v>449</v>
      </c>
      <c r="CO249" s="1191">
        <v>97.39</v>
      </c>
      <c r="CQ249" s="2" t="s">
        <v>849</v>
      </c>
    </row>
    <row r="250" spans="1:105" s="2" customFormat="1">
      <c r="A250" s="1523"/>
      <c r="C250" s="37" t="s">
        <v>215</v>
      </c>
      <c r="E250" s="365"/>
      <c r="F250" s="6"/>
      <c r="G250" s="6"/>
      <c r="H250" s="366"/>
      <c r="I250" s="726">
        <v>0.05</v>
      </c>
      <c r="J250" s="365"/>
      <c r="K250" s="6"/>
      <c r="L250" s="6"/>
      <c r="M250" s="366"/>
      <c r="N250" s="302"/>
      <c r="O250" s="365"/>
      <c r="P250" s="6"/>
      <c r="Q250" s="6"/>
      <c r="R250" s="366"/>
      <c r="T250" s="376"/>
      <c r="U250" s="334"/>
      <c r="V250" s="334"/>
      <c r="W250" s="377"/>
      <c r="X250" s="293"/>
      <c r="Y250" s="376">
        <f>IF(Y242&gt;Y243,$I250,0%)</f>
        <v>0</v>
      </c>
      <c r="Z250" s="334">
        <f>IF(Z242&gt;Z243,$I250,0%)</f>
        <v>0</v>
      </c>
      <c r="AA250" s="334">
        <f>IF(AA242&gt;AA243,$I250,0%)</f>
        <v>0</v>
      </c>
      <c r="AB250" s="377">
        <f>IF(AB242&gt;AB243,$I250,0%)</f>
        <v>0</v>
      </c>
      <c r="AC250" s="293">
        <f>AVERAGE(Y250:AB250)</f>
        <v>0</v>
      </c>
      <c r="AD250" s="376">
        <f>IF(AD242&gt;AD243,$I250,0%)</f>
        <v>0.05</v>
      </c>
      <c r="AE250" s="334">
        <f>IF(AE242&gt;AE243,$I250,0%)</f>
        <v>0</v>
      </c>
      <c r="AF250" s="334">
        <f>IF(AF242&gt;AF243,$I250,0%)</f>
        <v>0</v>
      </c>
      <c r="AG250" s="377">
        <f>IF(AG242&gt;AG243,$I250,0%)</f>
        <v>0.05</v>
      </c>
      <c r="AH250" s="293">
        <f>AVERAGE(AD250:AG250)</f>
        <v>2.5000000000000001E-2</v>
      </c>
      <c r="AI250" s="376">
        <f>IF(AI242&gt;AI243,$I250,0%)</f>
        <v>0.05</v>
      </c>
      <c r="AJ250" s="334">
        <f>IF(AJ242&gt;AJ243,$I250,0%)</f>
        <v>0</v>
      </c>
      <c r="AK250" s="334">
        <f>IF(AK242&gt;AK243,$I250,0%)</f>
        <v>0</v>
      </c>
      <c r="AL250" s="377">
        <f>IF(AL242&gt;AL243,$I250,0%)</f>
        <v>0</v>
      </c>
      <c r="AM250" s="293">
        <f>AVERAGE(AI250:AL250)</f>
        <v>1.2500000000000001E-2</v>
      </c>
      <c r="AN250" s="376">
        <f>IF(AN242&gt;AN243,$I250,0%)</f>
        <v>0</v>
      </c>
      <c r="AO250" s="334">
        <f>IF(AO242&gt;AO243,$I250,0%)</f>
        <v>0</v>
      </c>
      <c r="AP250" s="334">
        <f>IF(AP242&gt;AP243,$I250,0%)</f>
        <v>0</v>
      </c>
      <c r="AQ250" s="377">
        <f>IF(AQ242&gt;AQ243,$I250,0%)</f>
        <v>0</v>
      </c>
      <c r="AR250" s="293">
        <f>AVERAGE(AN250:AQ250)</f>
        <v>0</v>
      </c>
      <c r="AS250" s="376">
        <f>IF(AS242&gt;AS243,$I250,0%)</f>
        <v>0</v>
      </c>
      <c r="AT250" s="334">
        <f>IF(AT242&gt;AT243,$I250,0%)</f>
        <v>0</v>
      </c>
      <c r="AU250" s="334">
        <f>IF(AU242&gt;AU243,$I250,0%)</f>
        <v>0</v>
      </c>
      <c r="AV250" s="377">
        <f>IF(AV242&gt;AV243,$I250,0%)</f>
        <v>0</v>
      </c>
      <c r="AW250" s="293">
        <f>AVERAGE(AS250:AV250)</f>
        <v>0</v>
      </c>
      <c r="AX250" s="376">
        <f>IF(AX242&gt;AX243,$I250,0%)</f>
        <v>0.05</v>
      </c>
      <c r="AY250" s="334">
        <f>IF(AY242&gt;AY243,$I250,0%)</f>
        <v>0</v>
      </c>
      <c r="AZ250" s="334">
        <f>IF(AZ242&gt;AZ243,$I250,0%)</f>
        <v>0</v>
      </c>
      <c r="BA250" s="377">
        <f>IF(BA242&gt;BA243,$I250,0%)</f>
        <v>0</v>
      </c>
      <c r="BB250" s="293">
        <f>AVERAGE(AX250:BA250)</f>
        <v>1.2500000000000001E-2</v>
      </c>
      <c r="BC250" s="376">
        <f>IF(BC242&gt;BC243,$I250,0%)</f>
        <v>0.05</v>
      </c>
      <c r="BD250" s="334">
        <f>IF(BD242&gt;BD243,$I250,0%)</f>
        <v>0</v>
      </c>
      <c r="BE250" s="334">
        <f>IF(BE242&gt;BE243,$I250,0%)</f>
        <v>0</v>
      </c>
      <c r="BF250" s="377">
        <f>IF(BF242&gt;BF243,$I250,0%)</f>
        <v>0</v>
      </c>
      <c r="BG250" s="293">
        <f>AVERAGE(BC250:BF250)</f>
        <v>1.2500000000000001E-2</v>
      </c>
      <c r="BH250" s="376">
        <f>IF(BH242&gt;BH243,$I250,0%)</f>
        <v>0.05</v>
      </c>
      <c r="BI250" s="334">
        <f>IF(BI242&gt;BI243,$I250,0%)</f>
        <v>0</v>
      </c>
      <c r="BJ250" s="334">
        <f>IF(BJ242&gt;BJ243,$I250,0%)</f>
        <v>0</v>
      </c>
      <c r="BK250" s="377">
        <f>IF(BK242&gt;BK243,$I250,0%)</f>
        <v>0</v>
      </c>
      <c r="BL250" s="293">
        <f>AVERAGE(BH250:BK250)</f>
        <v>1.2500000000000001E-2</v>
      </c>
      <c r="BM250" s="376">
        <f>IF(BM242&gt;BM243,$I250,0%)</f>
        <v>0</v>
      </c>
      <c r="BN250" s="334">
        <f>IF(BN242&gt;BN243,$I250,0%)</f>
        <v>0</v>
      </c>
      <c r="BO250" s="334">
        <f>IF(BO242&gt;BO243,$I250,0%)</f>
        <v>0</v>
      </c>
      <c r="BP250" s="377">
        <f>IF(BP242&gt;BP243,$I250,0%)</f>
        <v>0</v>
      </c>
      <c r="BQ250" s="293">
        <f>AVERAGE(BM250:BP250)</f>
        <v>0</v>
      </c>
    </row>
    <row r="251" spans="1:105" s="2" customFormat="1">
      <c r="A251" s="1523"/>
      <c r="C251" s="37" t="s">
        <v>213</v>
      </c>
      <c r="E251" s="365"/>
      <c r="F251" s="6"/>
      <c r="G251" s="6"/>
      <c r="H251" s="366"/>
      <c r="I251" s="732"/>
      <c r="J251" s="365"/>
      <c r="K251" s="6"/>
      <c r="L251" s="6"/>
      <c r="M251" s="366"/>
      <c r="O251" s="365"/>
      <c r="P251" s="6"/>
      <c r="Q251" s="6"/>
      <c r="R251" s="366"/>
      <c r="T251" s="453"/>
      <c r="U251" s="454"/>
      <c r="V251" s="454"/>
      <c r="W251" s="455"/>
      <c r="X251" s="452"/>
      <c r="Y251" s="453">
        <f>(Y245*Y250*(8760/1000))/4</f>
        <v>0</v>
      </c>
      <c r="Z251" s="454">
        <f>(Z245*Z250*(8760/1000))/4</f>
        <v>0</v>
      </c>
      <c r="AA251" s="454">
        <f>(AA245*AA250*(8760/1000))/4</f>
        <v>0</v>
      </c>
      <c r="AB251" s="455">
        <f>(AB245*AB250*(8760/1000))/4</f>
        <v>0</v>
      </c>
      <c r="AC251" s="452">
        <f>SUM(Y251:AB251)</f>
        <v>0</v>
      </c>
      <c r="AD251" s="453">
        <f>(AD245*AD250*(8760/1000))/4</f>
        <v>137.09399999999999</v>
      </c>
      <c r="AE251" s="454">
        <f>(AE245*AE250*(8760/1000))/4</f>
        <v>0</v>
      </c>
      <c r="AF251" s="454">
        <f>(AF245*AF250*(8760/1000))/4</f>
        <v>0</v>
      </c>
      <c r="AG251" s="455">
        <f>(AG245*AG250*(8760/1000))/4</f>
        <v>137.09399999999999</v>
      </c>
      <c r="AH251" s="452">
        <f>SUM(AD251:AG251)</f>
        <v>274.18799999999999</v>
      </c>
      <c r="AI251" s="453">
        <f>(AI245*AI250*(8760/1000))/4</f>
        <v>137.09399999999999</v>
      </c>
      <c r="AJ251" s="454">
        <f>(AJ245*AJ250*(8760/1000))/4</f>
        <v>0</v>
      </c>
      <c r="AK251" s="454">
        <f>(AK245*AK250*(8760/1000))/4</f>
        <v>0</v>
      </c>
      <c r="AL251" s="455">
        <f>(AL245*AL250*(8760/1000))/4</f>
        <v>0</v>
      </c>
      <c r="AM251" s="452">
        <f>SUM(AI251:AL251)</f>
        <v>137.09399999999999</v>
      </c>
      <c r="AN251" s="453">
        <f>(AN245*AN250*(8760/1000))/4</f>
        <v>0</v>
      </c>
      <c r="AO251" s="454">
        <f>(AO245*AO250*(8760/1000))/4</f>
        <v>0</v>
      </c>
      <c r="AP251" s="454">
        <f>(AP245*AP250*(8760/1000))/4</f>
        <v>0</v>
      </c>
      <c r="AQ251" s="455">
        <f>(AQ245*AQ250*(8760/1000))/4</f>
        <v>0</v>
      </c>
      <c r="AR251" s="452">
        <f>SUM(AN251:AQ251)</f>
        <v>0</v>
      </c>
      <c r="AS251" s="453">
        <f>(AS245*AS250*(8760/1000))/4</f>
        <v>0</v>
      </c>
      <c r="AT251" s="454">
        <f>(AT245*AT250*(8760/1000))/4</f>
        <v>0</v>
      </c>
      <c r="AU251" s="454">
        <f>(AU245*AU250*(8760/1000))/4</f>
        <v>0</v>
      </c>
      <c r="AV251" s="455">
        <f>(AV245*AV250*(8760/1000))/4</f>
        <v>0</v>
      </c>
      <c r="AW251" s="452">
        <f>SUM(AS251:AV251)</f>
        <v>0</v>
      </c>
      <c r="AX251" s="453">
        <f>(AX245*AX250*(8760/1000))/4</f>
        <v>0</v>
      </c>
      <c r="AY251" s="454">
        <f>(AY245*AY250*(8760/1000))/4</f>
        <v>0</v>
      </c>
      <c r="AZ251" s="454">
        <f>(AZ245*AZ250*(8760/1000))/4</f>
        <v>0</v>
      </c>
      <c r="BA251" s="455">
        <f>(BA245*BA250*(8760/1000))/4</f>
        <v>0</v>
      </c>
      <c r="BB251" s="452">
        <f>SUM(AX251:BA251)</f>
        <v>0</v>
      </c>
      <c r="BC251" s="453">
        <f>(BC245*BC250*(8760/1000))/4</f>
        <v>0</v>
      </c>
      <c r="BD251" s="454">
        <f>(BD245*BD250*(8760/1000))/4</f>
        <v>0</v>
      </c>
      <c r="BE251" s="454">
        <f>(BE245*BE250*(8760/1000))/4</f>
        <v>0</v>
      </c>
      <c r="BF251" s="455">
        <f>(BF245*BF250*(8760/1000))/4</f>
        <v>0</v>
      </c>
      <c r="BG251" s="452">
        <f>SUM(BC251:BF251)</f>
        <v>0</v>
      </c>
      <c r="BH251" s="453">
        <f>(BH245*BH250*(8760/1000))/4</f>
        <v>0</v>
      </c>
      <c r="BI251" s="454">
        <f>(BI245*BI250*(8760/1000))/4</f>
        <v>0</v>
      </c>
      <c r="BJ251" s="454">
        <f>(BJ245*BJ250*(8760/1000))/4</f>
        <v>0</v>
      </c>
      <c r="BK251" s="455">
        <f>(BK245*BK250*(8760/1000))/4</f>
        <v>0</v>
      </c>
      <c r="BL251" s="452">
        <f>SUM(BH251:BK251)</f>
        <v>0</v>
      </c>
      <c r="BM251" s="453">
        <f>(BM245*BM250*(8760/1000))/4</f>
        <v>0</v>
      </c>
      <c r="BN251" s="454">
        <f>(BN245*BN250*(8760/1000))/4</f>
        <v>0</v>
      </c>
      <c r="BO251" s="454">
        <f>(BO245*BO250*(8760/1000))/4</f>
        <v>0</v>
      </c>
      <c r="BP251" s="455">
        <f>(BP245*BP250*(8760/1000))/4</f>
        <v>0</v>
      </c>
      <c r="BQ251" s="452">
        <f>SUM(BM251:BP251)</f>
        <v>0</v>
      </c>
    </row>
    <row r="252" spans="1:105" s="2" customFormat="1">
      <c r="A252" s="1523"/>
      <c r="C252" s="37"/>
      <c r="E252" s="365"/>
      <c r="F252" s="6"/>
      <c r="G252" s="6"/>
      <c r="H252" s="366"/>
      <c r="I252" s="37"/>
      <c r="J252" s="365"/>
      <c r="K252" s="6"/>
      <c r="L252" s="6"/>
      <c r="M252" s="366"/>
      <c r="O252" s="365"/>
      <c r="P252" s="6"/>
      <c r="Q252" s="6"/>
      <c r="R252" s="366"/>
      <c r="T252" s="365"/>
      <c r="U252" s="6"/>
      <c r="V252" s="6"/>
      <c r="W252" s="366"/>
      <c r="Y252" s="365"/>
      <c r="Z252" s="6"/>
      <c r="AA252" s="6"/>
      <c r="AB252" s="366"/>
      <c r="AD252" s="365"/>
      <c r="AE252" s="6"/>
      <c r="AF252" s="6"/>
      <c r="AG252" s="366"/>
      <c r="AI252" s="365"/>
      <c r="AJ252" s="6"/>
      <c r="AK252" s="6"/>
      <c r="AL252" s="366"/>
      <c r="AN252" s="365"/>
      <c r="AO252" s="6"/>
      <c r="AP252" s="6"/>
      <c r="AQ252" s="366"/>
      <c r="AS252" s="365"/>
      <c r="AT252" s="6"/>
      <c r="AU252" s="6"/>
      <c r="AV252" s="366"/>
      <c r="AX252" s="365"/>
      <c r="AY252" s="6"/>
      <c r="AZ252" s="6"/>
      <c r="BA252" s="366"/>
      <c r="BC252" s="365"/>
      <c r="BD252" s="6"/>
      <c r="BE252" s="6"/>
      <c r="BF252" s="366"/>
      <c r="BH252" s="365"/>
      <c r="BI252" s="6"/>
      <c r="BJ252" s="6"/>
      <c r="BK252" s="366"/>
      <c r="BM252" s="365"/>
      <c r="BN252" s="6"/>
      <c r="BO252" s="6"/>
      <c r="BP252" s="366"/>
      <c r="CM252" s="49" t="s">
        <v>764</v>
      </c>
      <c r="CQ252" s="49" t="s">
        <v>765</v>
      </c>
      <c r="CS252" s="49"/>
      <c r="CT252" s="49"/>
    </row>
    <row r="253" spans="1:105" s="49" customFormat="1">
      <c r="A253" s="1523"/>
      <c r="B253" s="2"/>
      <c r="C253" s="37" t="s">
        <v>216</v>
      </c>
      <c r="D253" s="2"/>
      <c r="E253" s="365"/>
      <c r="F253" s="6"/>
      <c r="G253" s="6"/>
      <c r="H253" s="366"/>
      <c r="I253" s="37"/>
      <c r="J253" s="365"/>
      <c r="K253" s="6"/>
      <c r="L253" s="6"/>
      <c r="M253" s="366"/>
      <c r="N253" s="2"/>
      <c r="O253" s="365"/>
      <c r="P253" s="6"/>
      <c r="Q253" s="6"/>
      <c r="R253" s="366"/>
      <c r="S253" s="2"/>
      <c r="T253" s="376"/>
      <c r="U253" s="334"/>
      <c r="V253" s="334"/>
      <c r="W253" s="377"/>
      <c r="X253" s="293"/>
      <c r="Y253" s="376">
        <f>(Y251+Y248)/(8.76*Y245/4)</f>
        <v>4.9999999999999996E-2</v>
      </c>
      <c r="Z253" s="334">
        <f>(Z251+Z248)/(8.76*Z245/4)</f>
        <v>4.9999999999999996E-2</v>
      </c>
      <c r="AA253" s="334">
        <f>(AA251+AA248)/(8.76*AA245/4)</f>
        <v>4.9999999999999996E-2</v>
      </c>
      <c r="AB253" s="377">
        <f>(AB251+AB248)/(8.76*AB245/4)</f>
        <v>4.9999999999999996E-2</v>
      </c>
      <c r="AC253" s="293">
        <f>AVERAGE(Y253:AB253)</f>
        <v>4.9999999999999996E-2</v>
      </c>
      <c r="AD253" s="376">
        <f>(AD251+AD248)/(8.76*AD245/4)</f>
        <v>9.9999999999999992E-2</v>
      </c>
      <c r="AE253" s="334">
        <f>(AE251+AE248)/(8.76*AE245/4)</f>
        <v>4.9999999999999996E-2</v>
      </c>
      <c r="AF253" s="334">
        <f>(AF251+AF248)/(8.76*AF245/4)</f>
        <v>4.9999999999999996E-2</v>
      </c>
      <c r="AG253" s="377">
        <f>(AG251+AG248)/(8.76*AG245/4)</f>
        <v>9.9999999999999992E-2</v>
      </c>
      <c r="AH253" s="293">
        <f>AVERAGE(AD253:AG253)</f>
        <v>7.4999999999999997E-2</v>
      </c>
      <c r="AI253" s="376">
        <f>(AI251+AI248)/(8.76*AI245/4)</f>
        <v>0.45</v>
      </c>
      <c r="AJ253" s="334">
        <f>(AJ251+AJ248)/(8.76*AJ245/4)</f>
        <v>4.9999999999999996E-2</v>
      </c>
      <c r="AK253" s="334">
        <f>(AK251+AK248)/(8.76*AK245/4)</f>
        <v>4.9999999999999996E-2</v>
      </c>
      <c r="AL253" s="377">
        <f>(AL251+AL248)/(8.76*AL245/4)</f>
        <v>4.9999999999999996E-2</v>
      </c>
      <c r="AM253" s="293">
        <f>AVERAGE(AI253:AL253)</f>
        <v>0.15000000000000002</v>
      </c>
      <c r="AN253" s="376">
        <f>(AN251+AN248)/(8.76*AN245/4)</f>
        <v>4.9999999999999996E-2</v>
      </c>
      <c r="AO253" s="334">
        <f>(AO251+AO248)/(8.76*AO245/4)</f>
        <v>4.9999999999999996E-2</v>
      </c>
      <c r="AP253" s="334">
        <f>(AP251+AP248)/(8.76*AP245/4)</f>
        <v>4.9999999999999996E-2</v>
      </c>
      <c r="AQ253" s="377">
        <f>(AQ251+AQ248)/(8.76*AQ245/4)</f>
        <v>4.9999999999999996E-2</v>
      </c>
      <c r="AR253" s="293">
        <f>AVERAGE(AN253:AQ253)</f>
        <v>4.9999999999999996E-2</v>
      </c>
      <c r="AS253" s="376">
        <f>IF(AS245=0,0,(AS251+AS248)/(8.76*AS245/4))</f>
        <v>4.9999999999999996E-2</v>
      </c>
      <c r="AT253" s="334">
        <f>IF(AT245=0,0,(AT251+AT248)/(8.76*AT245/4))</f>
        <v>4.9999999999999996E-2</v>
      </c>
      <c r="AU253" s="334">
        <f>IF(AU245=0,0,(AU251+AU248)/(8.76*AU245/4))</f>
        <v>0</v>
      </c>
      <c r="AV253" s="377">
        <f t="shared" ref="AV253:BK253" si="247">IF(AV245=0,0,(AV251+AV248)/(8.76*AV245/4))</f>
        <v>0</v>
      </c>
      <c r="AW253" s="293">
        <f>AVERAGE(AS253:AV253)</f>
        <v>2.4999999999999998E-2</v>
      </c>
      <c r="AX253" s="376">
        <f t="shared" si="247"/>
        <v>0</v>
      </c>
      <c r="AY253" s="334">
        <f t="shared" si="247"/>
        <v>0</v>
      </c>
      <c r="AZ253" s="334">
        <f>IF(AZ245=0,0,(AZ251+AZ248)/(8.76*AZ245/4))</f>
        <v>0</v>
      </c>
      <c r="BA253" s="377">
        <f>IF(BA245=0,0,(BA251+BA248)/(8.76*BA245/4))</f>
        <v>0</v>
      </c>
      <c r="BB253" s="293">
        <f>AVERAGE(AX253:BA253)</f>
        <v>0</v>
      </c>
      <c r="BC253" s="376">
        <f t="shared" si="247"/>
        <v>0</v>
      </c>
      <c r="BD253" s="334">
        <f t="shared" si="247"/>
        <v>0</v>
      </c>
      <c r="BE253" s="334">
        <f t="shared" si="247"/>
        <v>0</v>
      </c>
      <c r="BF253" s="377">
        <f t="shared" si="247"/>
        <v>0</v>
      </c>
      <c r="BG253" s="293">
        <f>AVERAGE(BC253:BF253)</f>
        <v>0</v>
      </c>
      <c r="BH253" s="376">
        <f t="shared" si="247"/>
        <v>0</v>
      </c>
      <c r="BI253" s="334">
        <f t="shared" si="247"/>
        <v>0</v>
      </c>
      <c r="BJ253" s="334">
        <f t="shared" si="247"/>
        <v>0</v>
      </c>
      <c r="BK253" s="377">
        <f t="shared" si="247"/>
        <v>0</v>
      </c>
      <c r="BL253" s="293">
        <f>AVERAGE(BH253:BK253)</f>
        <v>0</v>
      </c>
      <c r="BM253" s="376">
        <f>IF(BM245=0,0,(BM251+BM248)/(8.76*BM245/4))</f>
        <v>0</v>
      </c>
      <c r="BN253" s="334">
        <f>IF(BN245=0,0,(BN251+BN248)/(8.76*BN245/4))</f>
        <v>0</v>
      </c>
      <c r="BO253" s="334">
        <f>IF(BO245=0,0,(BO251+BO248)/(8.76*BO245/4))</f>
        <v>0</v>
      </c>
      <c r="BP253" s="377">
        <f>IF(BP245=0,0,(BP251+BP248)/(8.76*BP245/4))</f>
        <v>0</v>
      </c>
      <c r="BQ253" s="293">
        <f>AVERAGE(BM253:BP253)</f>
        <v>0</v>
      </c>
      <c r="BR253" s="2"/>
      <c r="CM253" s="2" t="s">
        <v>682</v>
      </c>
      <c r="CN253" s="2"/>
      <c r="CO253" s="1190">
        <f>AVERAGE(BZ214:CB214)*365/(8.76*0.37)/1000</f>
        <v>21.621621621621621</v>
      </c>
      <c r="CP253" s="2"/>
      <c r="CQ253" s="2" t="s">
        <v>775</v>
      </c>
      <c r="CR253" s="2"/>
      <c r="CS253" s="2"/>
      <c r="CT253" s="2"/>
      <c r="CU253" s="2"/>
      <c r="CV253" s="2"/>
      <c r="CW253" s="2"/>
      <c r="CX253" s="2"/>
      <c r="CY253" s="2"/>
      <c r="CZ253" s="2"/>
      <c r="DA253" s="2"/>
    </row>
    <row r="254" spans="1:105" s="2" customFormat="1">
      <c r="A254" s="49"/>
      <c r="B254" s="49"/>
      <c r="C254" s="49" t="s">
        <v>217</v>
      </c>
      <c r="D254" s="49"/>
      <c r="E254" s="663"/>
      <c r="F254" s="468"/>
      <c r="G254" s="468"/>
      <c r="H254" s="664"/>
      <c r="I254" s="49"/>
      <c r="J254" s="663"/>
      <c r="K254" s="468"/>
      <c r="L254" s="468"/>
      <c r="M254" s="664"/>
      <c r="N254" s="49"/>
      <c r="O254" s="663"/>
      <c r="P254" s="468"/>
      <c r="Q254" s="468"/>
      <c r="R254" s="664"/>
      <c r="S254" s="49"/>
      <c r="T254" s="396"/>
      <c r="U254" s="343"/>
      <c r="V254" s="343"/>
      <c r="W254" s="397"/>
      <c r="X254" s="475"/>
      <c r="Y254" s="396">
        <f>+Y251+Y248</f>
        <v>137.09399999999999</v>
      </c>
      <c r="Z254" s="343">
        <f>+Z251+Z248</f>
        <v>137.09399999999999</v>
      </c>
      <c r="AA254" s="343">
        <f>+AA251+AA248</f>
        <v>137.09399999999999</v>
      </c>
      <c r="AB254" s="397">
        <f>+AB251+AB248</f>
        <v>137.09399999999999</v>
      </c>
      <c r="AC254" s="475">
        <f>SUM(Y254:AB254)</f>
        <v>548.37599999999998</v>
      </c>
      <c r="AD254" s="396">
        <f>+AD251+AD248</f>
        <v>274.18799999999999</v>
      </c>
      <c r="AE254" s="343">
        <f>+AE251+AE248</f>
        <v>137.09399999999999</v>
      </c>
      <c r="AF254" s="343">
        <f>+AF251+AF248</f>
        <v>137.09399999999999</v>
      </c>
      <c r="AG254" s="397">
        <f>+AG251+AG248</f>
        <v>274.18799999999999</v>
      </c>
      <c r="AH254" s="475">
        <f>SUM(AD254:AG254)</f>
        <v>822.56399999999996</v>
      </c>
      <c r="AI254" s="396">
        <f>+AI251+AI248</f>
        <v>1233.846</v>
      </c>
      <c r="AJ254" s="343">
        <f>+AJ251+AJ248</f>
        <v>137.09399999999999</v>
      </c>
      <c r="AK254" s="343">
        <f>+AK251+AK248</f>
        <v>137.09399999999999</v>
      </c>
      <c r="AL254" s="397">
        <f>+AL251+AL248</f>
        <v>137.09399999999999</v>
      </c>
      <c r="AM254" s="475">
        <f>SUM(AI254:AL254)</f>
        <v>1645.1280000000002</v>
      </c>
      <c r="AN254" s="396">
        <f>+AN251+AN248</f>
        <v>137.09399999999999</v>
      </c>
      <c r="AO254" s="343">
        <f>+AO251+AO248</f>
        <v>137.09399999999999</v>
      </c>
      <c r="AP254" s="343">
        <f>+AP251+AP248</f>
        <v>137.09399999999999</v>
      </c>
      <c r="AQ254" s="397">
        <f>+AQ251+AQ248</f>
        <v>137.09399999999999</v>
      </c>
      <c r="AR254" s="475">
        <f>SUM(AN254:AQ254)</f>
        <v>548.37599999999998</v>
      </c>
      <c r="AS254" s="396">
        <f>+AS251+AS248</f>
        <v>137.09399999999999</v>
      </c>
      <c r="AT254" s="343">
        <f>+AT251+AT248</f>
        <v>137.09399999999999</v>
      </c>
      <c r="AU254" s="343">
        <f>+AU251+AU248</f>
        <v>0</v>
      </c>
      <c r="AV254" s="397">
        <f>+AV251+AV248</f>
        <v>0</v>
      </c>
      <c r="AW254" s="475">
        <f>SUM(AS254:AV254)</f>
        <v>274.18799999999999</v>
      </c>
      <c r="AX254" s="396">
        <f>+AX251+AX248</f>
        <v>0</v>
      </c>
      <c r="AY254" s="343">
        <f>+AY251+AY248</f>
        <v>0</v>
      </c>
      <c r="AZ254" s="343">
        <f>+AZ251+AZ248</f>
        <v>0</v>
      </c>
      <c r="BA254" s="397">
        <f>+BA251+BA248</f>
        <v>0</v>
      </c>
      <c r="BB254" s="475">
        <f>SUM(AX254:BA254)</f>
        <v>0</v>
      </c>
      <c r="BC254" s="396">
        <f>+BC251+BC248</f>
        <v>0</v>
      </c>
      <c r="BD254" s="343">
        <f>+BD251+BD248</f>
        <v>0</v>
      </c>
      <c r="BE254" s="343">
        <f>+BE251+BE248</f>
        <v>0</v>
      </c>
      <c r="BF254" s="397">
        <f>+BF251+BF248</f>
        <v>0</v>
      </c>
      <c r="BG254" s="475">
        <f>SUM(BC254:BF254)</f>
        <v>0</v>
      </c>
      <c r="BH254" s="396">
        <f>+BH251+BH248</f>
        <v>0</v>
      </c>
      <c r="BI254" s="343">
        <f>+BI251+BI248</f>
        <v>0</v>
      </c>
      <c r="BJ254" s="343">
        <f>+BJ251+BJ248</f>
        <v>0</v>
      </c>
      <c r="BK254" s="397">
        <f>+BK251+BK248</f>
        <v>0</v>
      </c>
      <c r="BL254" s="475">
        <f>SUM(BH254:BK254)</f>
        <v>0</v>
      </c>
      <c r="BM254" s="396">
        <f>+BM251+BM248</f>
        <v>0</v>
      </c>
      <c r="BN254" s="343">
        <f>+BN251+BN248</f>
        <v>0</v>
      </c>
      <c r="BO254" s="343">
        <f>+BO251+BO248</f>
        <v>0</v>
      </c>
      <c r="BP254" s="397">
        <f>+BP251+BP248</f>
        <v>0</v>
      </c>
      <c r="BQ254" s="475">
        <f>SUM(BM254:BP254)</f>
        <v>0</v>
      </c>
      <c r="BR254" s="49"/>
      <c r="CM254" s="2" t="s">
        <v>766</v>
      </c>
      <c r="CO254" s="1190">
        <f>+CI206</f>
        <v>39.5</v>
      </c>
      <c r="CQ254" s="2" t="s">
        <v>767</v>
      </c>
    </row>
    <row r="255" spans="1:105" s="2" customFormat="1">
      <c r="A255" s="1523"/>
      <c r="E255" s="365"/>
      <c r="F255" s="6"/>
      <c r="G255" s="6"/>
      <c r="H255" s="366"/>
      <c r="I255" s="37"/>
      <c r="J255" s="365"/>
      <c r="K255" s="6"/>
      <c r="L255" s="6"/>
      <c r="M255" s="366"/>
      <c r="O255" s="365"/>
      <c r="P255" s="6"/>
      <c r="Q255" s="6"/>
      <c r="R255" s="366"/>
      <c r="T255" s="365"/>
      <c r="U255" s="6"/>
      <c r="V255" s="6"/>
      <c r="W255" s="366"/>
      <c r="Y255" s="365"/>
      <c r="Z255" s="6"/>
      <c r="AA255" s="6"/>
      <c r="AB255" s="366"/>
      <c r="AD255" s="365"/>
      <c r="AE255" s="6"/>
      <c r="AF255" s="6"/>
      <c r="AG255" s="366"/>
      <c r="AI255" s="365"/>
      <c r="AJ255" s="6"/>
      <c r="AK255" s="6"/>
      <c r="AL255" s="366"/>
      <c r="AN255" s="365"/>
      <c r="AO255" s="6"/>
      <c r="AP255" s="6"/>
      <c r="AQ255" s="366"/>
      <c r="AS255" s="365"/>
      <c r="AT255" s="6"/>
      <c r="AU255" s="6"/>
      <c r="AV255" s="366"/>
      <c r="AX255" s="365"/>
      <c r="AY255" s="6"/>
      <c r="AZ255" s="6"/>
      <c r="BA255" s="366"/>
      <c r="BC255" s="365"/>
      <c r="BD255" s="6"/>
      <c r="BE255" s="6"/>
      <c r="BF255" s="366"/>
      <c r="BH255" s="365"/>
      <c r="BI255" s="6"/>
      <c r="BJ255" s="6"/>
      <c r="BK255" s="366"/>
      <c r="BM255" s="365"/>
      <c r="BN255" s="6"/>
      <c r="BO255" s="6"/>
      <c r="BP255" s="366"/>
      <c r="CM255" s="2" t="s">
        <v>768</v>
      </c>
      <c r="CO255" s="1190">
        <v>18</v>
      </c>
      <c r="CQ255" s="37" t="s">
        <v>841</v>
      </c>
      <c r="CS255" s="49"/>
      <c r="CT255" s="49"/>
      <c r="CU255" s="49"/>
      <c r="CV255" s="49"/>
      <c r="CW255" s="49"/>
      <c r="CX255" s="49"/>
      <c r="CY255" s="49"/>
      <c r="CZ255" s="49"/>
      <c r="DA255" s="49"/>
    </row>
    <row r="256" spans="1:105" s="2" customFormat="1">
      <c r="A256" s="1523"/>
      <c r="C256" s="37" t="s">
        <v>663</v>
      </c>
      <c r="E256" s="365"/>
      <c r="F256" s="6"/>
      <c r="G256" s="6"/>
      <c r="H256" s="366"/>
      <c r="I256" s="37"/>
      <c r="J256" s="365"/>
      <c r="K256" s="6"/>
      <c r="L256" s="6"/>
      <c r="M256" s="366"/>
      <c r="O256" s="365"/>
      <c r="P256" s="6"/>
      <c r="Q256" s="6"/>
      <c r="R256" s="366"/>
      <c r="T256" s="392"/>
      <c r="U256" s="341"/>
      <c r="V256" s="341"/>
      <c r="W256" s="393"/>
      <c r="X256" s="296"/>
      <c r="Y256" s="392">
        <f>(Y241/1000*Y248)+(Y242/1000*Y251)</f>
        <v>5.8412857523180257</v>
      </c>
      <c r="Z256" s="341">
        <f>(Z241/1000*Z248)+(Z242/1000*Z251)</f>
        <v>6.4662168446599226</v>
      </c>
      <c r="AA256" s="341">
        <f>(AA241/1000*AA248)+(AA242/1000*AA251)</f>
        <v>7.5676064013165814</v>
      </c>
      <c r="AB256" s="393">
        <f>(AB241/1000*AB248)+(AB242/1000*AB251)</f>
        <v>5.7843156143504855</v>
      </c>
      <c r="AC256" s="296">
        <f>SUM(Y256:AB256)</f>
        <v>25.659424612645015</v>
      </c>
      <c r="AD256" s="392">
        <f>(AD241/1000*AD248)+(AD242/1000*AD251)</f>
        <v>30.590083433532826</v>
      </c>
      <c r="AE256" s="341">
        <f>(AE241/1000*AE248)+(AE242/1000*AE251)</f>
        <v>7.3875866633462692</v>
      </c>
      <c r="AF256" s="341">
        <f>(AF241/1000*AF248)+(AF242/1000*AF251)</f>
        <v>6.2154954480870783</v>
      </c>
      <c r="AG256" s="393">
        <f>(AG241/1000*AG248)+(AG242/1000*AG251)</f>
        <v>11.897185424638355</v>
      </c>
      <c r="AH256" s="296">
        <f>SUM(AD256:AG256)</f>
        <v>56.090350969604529</v>
      </c>
      <c r="AI256" s="392">
        <f>(AI241/1000*AI248)+(AI242/1000*AI251)</f>
        <v>81.04884862727225</v>
      </c>
      <c r="AJ256" s="341">
        <f>(AJ241/1000*AJ248)+(AJ242/1000*AJ251)</f>
        <v>5.0476719454848524</v>
      </c>
      <c r="AK256" s="341">
        <f>(AK241/1000*AK248)+(AK242/1000*AK251)</f>
        <v>5.4698461327355536</v>
      </c>
      <c r="AL256" s="393">
        <f>(AL241/1000*AL248)+(AL242/1000*AL251)</f>
        <v>4.1185349225743435</v>
      </c>
      <c r="AM256" s="296">
        <f>SUM(AI256:AL256)</f>
        <v>95.684901628066996</v>
      </c>
      <c r="AN256" s="392">
        <f>(AN241/1000*AN248)+(AN242/1000*AN251)</f>
        <v>4.2864249398155021</v>
      </c>
      <c r="AO256" s="341">
        <f>(AO241/1000*AO248)+(AO242/1000*AO251)</f>
        <v>3.9355692812864524</v>
      </c>
      <c r="AP256" s="341">
        <f>(AP241/1000*AP248)+(AP242/1000*AP251)</f>
        <v>5.5668261627138689</v>
      </c>
      <c r="AQ256" s="393">
        <f>(AQ241/1000*AQ248)+(AQ242/1000*AQ251)</f>
        <v>3.9521806429955233</v>
      </c>
      <c r="AR256" s="296">
        <f>SUM(AN256:AQ256)</f>
        <v>17.741001026811347</v>
      </c>
      <c r="AS256" s="392">
        <f>(AS241/1000*AS248)+(AS242/1000*AS251)</f>
        <v>4.559275497074279</v>
      </c>
      <c r="AT256" s="341">
        <f>(AT241/1000*AT248)+(AT242/1000*AT251)</f>
        <v>4.4400950930367769</v>
      </c>
      <c r="AU256" s="341">
        <f>(AU241/1000*AU248)+(AU242/1000*AU251)</f>
        <v>0</v>
      </c>
      <c r="AV256" s="393">
        <f>(AV241/1000*AV248)+(AV242/1000*AV251)</f>
        <v>0</v>
      </c>
      <c r="AW256" s="296">
        <f>SUM(AS256:AV256)</f>
        <v>8.9993705901110559</v>
      </c>
      <c r="AX256" s="392">
        <f>(AX241/1000*AX248)+(AX242/1000*AX251)</f>
        <v>0</v>
      </c>
      <c r="AY256" s="341">
        <f>(AY241/1000*AY248)+(AY242/1000*AY251)</f>
        <v>0</v>
      </c>
      <c r="AZ256" s="341">
        <f>(AZ241/1000*AZ248)+(AZ242/1000*AZ251)</f>
        <v>0</v>
      </c>
      <c r="BA256" s="393">
        <f>(BA241/1000*BA248)+(BA242/1000*BA251)</f>
        <v>0</v>
      </c>
      <c r="BB256" s="296">
        <f>SUM(AX256:BA256)</f>
        <v>0</v>
      </c>
      <c r="BC256" s="392">
        <f>(BC241/1000*BC248)+(BC242/1000*BC251)</f>
        <v>0</v>
      </c>
      <c r="BD256" s="341">
        <f>(BD241/1000*BD248)+(BD242/1000*BD251)</f>
        <v>0</v>
      </c>
      <c r="BE256" s="341">
        <f>(BE241/1000*BE248)+(BE242/1000*BE251)</f>
        <v>0</v>
      </c>
      <c r="BF256" s="393">
        <f>(BF241/1000*BF248)+(BF242/1000*BF251)</f>
        <v>0</v>
      </c>
      <c r="BG256" s="296">
        <f>SUM(BC256:BF256)</f>
        <v>0</v>
      </c>
      <c r="BH256" s="392">
        <f>(BH241/1000*BH248)+(BH242/1000*BH251)</f>
        <v>0</v>
      </c>
      <c r="BI256" s="341">
        <f>(BI241/1000*BI248)+(BI242/1000*BI251)</f>
        <v>0</v>
      </c>
      <c r="BJ256" s="341">
        <f>(BJ241/1000*BJ248)+(BJ242/1000*BJ251)</f>
        <v>0</v>
      </c>
      <c r="BK256" s="393">
        <f>(BK241/1000*BK248)+(BK242/1000*BK251)</f>
        <v>0</v>
      </c>
      <c r="BL256" s="296">
        <f>SUM(BH256:BK256)</f>
        <v>0</v>
      </c>
      <c r="BM256" s="392">
        <f>(BM241/1000*BM248)+(BM242/1000*BM251)</f>
        <v>0</v>
      </c>
      <c r="BN256" s="341">
        <f>(BN241/1000*BN248)+(BN242/1000*BN251)</f>
        <v>0</v>
      </c>
      <c r="BO256" s="341">
        <f>(BO241/1000*BO248)+(BO242/1000*BO251)</f>
        <v>0</v>
      </c>
      <c r="BP256" s="393">
        <f>(BP241/1000*BP248)+(BP242/1000*BP251)</f>
        <v>0</v>
      </c>
      <c r="BQ256" s="296">
        <f>SUM(BM256:BP256)</f>
        <v>0</v>
      </c>
      <c r="CM256" s="2" t="s">
        <v>769</v>
      </c>
      <c r="CO256" s="1190">
        <v>4</v>
      </c>
      <c r="CQ256" s="2" t="s">
        <v>707</v>
      </c>
    </row>
    <row r="257" spans="1:105" s="49" customFormat="1">
      <c r="A257" s="1523"/>
      <c r="B257" s="2"/>
      <c r="C257" s="37" t="s">
        <v>346</v>
      </c>
      <c r="D257" s="2"/>
      <c r="E257" s="365"/>
      <c r="F257" s="6"/>
      <c r="G257" s="6"/>
      <c r="H257" s="366"/>
      <c r="I257" s="37"/>
      <c r="J257" s="365"/>
      <c r="K257" s="6"/>
      <c r="L257" s="6"/>
      <c r="M257" s="366"/>
      <c r="N257" s="2"/>
      <c r="O257" s="365"/>
      <c r="P257" s="6"/>
      <c r="Q257" s="6"/>
      <c r="R257" s="366"/>
      <c r="S257" s="2"/>
      <c r="T257" s="392"/>
      <c r="U257" s="341"/>
      <c r="V257" s="341"/>
      <c r="W257" s="393"/>
      <c r="X257" s="296"/>
      <c r="Y257" s="392">
        <f>Y243/1000*Y254</f>
        <v>5.5873714269230783</v>
      </c>
      <c r="Z257" s="341">
        <f>Z243/1000*Z254</f>
        <v>5.6150011407692304</v>
      </c>
      <c r="AA257" s="341">
        <f>AA243/1000*AA254</f>
        <v>5.4155820992307682</v>
      </c>
      <c r="AB257" s="393">
        <f>AB243/1000*AB254</f>
        <v>5.308701507692307</v>
      </c>
      <c r="AC257" s="296">
        <f>SUM(Y257:AB257)</f>
        <v>21.926656174615381</v>
      </c>
      <c r="AD257" s="392">
        <f>AD243/1000*AD254</f>
        <v>10.804905424615384</v>
      </c>
      <c r="AE257" s="341">
        <f>AE243/1000*AE254</f>
        <v>5.1809404453846168</v>
      </c>
      <c r="AF257" s="341">
        <f>AF243/1000*AF254</f>
        <v>4.9584790661538474</v>
      </c>
      <c r="AG257" s="393">
        <f>AG243/1000*AG254</f>
        <v>9.7483325123076927</v>
      </c>
      <c r="AH257" s="296">
        <f>SUM(AD257:AG257)</f>
        <v>30.692657448461539</v>
      </c>
      <c r="AI257" s="392">
        <f>AI243/1000*AI254</f>
        <v>42.267767510769232</v>
      </c>
      <c r="AJ257" s="341">
        <f>AJ243/1000*AJ254</f>
        <v>4.6514939630769225</v>
      </c>
      <c r="AK257" s="341">
        <f>AK243/1000*AK254</f>
        <v>4.5093380307692303</v>
      </c>
      <c r="AL257" s="393">
        <f>AL243/1000*AL254</f>
        <v>4.2021947423076931</v>
      </c>
      <c r="AM257" s="296">
        <f>SUM(AI257:AL257)</f>
        <v>55.630794246923074</v>
      </c>
      <c r="AN257" s="392">
        <f>AN243/1000*AN254</f>
        <v>3.9332795884615388</v>
      </c>
      <c r="AO257" s="341">
        <f>AO243/1000*AO254</f>
        <v>3.8518141153846148</v>
      </c>
      <c r="AP257" s="344">
        <f>(AP243/1000*AP254)+55</f>
        <v>58.833735785714289</v>
      </c>
      <c r="AQ257" s="393">
        <f>AQ243/1000*AQ254</f>
        <v>4.1057016576923075</v>
      </c>
      <c r="AR257" s="296">
        <f>SUM(AN257:AQ257)</f>
        <v>70.724531147252748</v>
      </c>
      <c r="AS257" s="392">
        <f>AS243/1000*AS254</f>
        <v>4.4595096346153849</v>
      </c>
      <c r="AT257" s="341">
        <f>AT243/1000*AT254</f>
        <v>4.6242860769230756</v>
      </c>
      <c r="AU257" s="341">
        <f>AU243/1000*AU254</f>
        <v>0</v>
      </c>
      <c r="AV257" s="393">
        <f>AV243/1000*AV254</f>
        <v>0</v>
      </c>
      <c r="AW257" s="296">
        <f>SUM(AS257:AV257)</f>
        <v>9.0837957115384604</v>
      </c>
      <c r="AX257" s="392">
        <f>AX243/1000*AX254</f>
        <v>0</v>
      </c>
      <c r="AY257" s="341">
        <f>AY243/1000*AY254</f>
        <v>0</v>
      </c>
      <c r="AZ257" s="341">
        <f>AZ243/1000*AZ254</f>
        <v>0</v>
      </c>
      <c r="BA257" s="393">
        <f>BA243/1000*BA254</f>
        <v>0</v>
      </c>
      <c r="BB257" s="296">
        <f>SUM(AX257:BA257)</f>
        <v>0</v>
      </c>
      <c r="BC257" s="392">
        <f>BC243/1000*BC254</f>
        <v>0</v>
      </c>
      <c r="BD257" s="341">
        <f>BD243/1000*BD254</f>
        <v>0</v>
      </c>
      <c r="BE257" s="341">
        <f>BE243/1000*BE254</f>
        <v>0</v>
      </c>
      <c r="BF257" s="393">
        <f>BF243/1000*BF254</f>
        <v>0</v>
      </c>
      <c r="BG257" s="296">
        <f>SUM(BC257:BF257)</f>
        <v>0</v>
      </c>
      <c r="BH257" s="392">
        <f>BH243/1000*BH254</f>
        <v>0</v>
      </c>
      <c r="BI257" s="341">
        <f>BI243/1000*BI254</f>
        <v>0</v>
      </c>
      <c r="BJ257" s="341">
        <f>BJ243/1000*BJ254</f>
        <v>0</v>
      </c>
      <c r="BK257" s="393">
        <f>BK243/1000*BK254</f>
        <v>0</v>
      </c>
      <c r="BL257" s="296">
        <f>SUM(BH257:BK257)</f>
        <v>0</v>
      </c>
      <c r="BM257" s="392">
        <f>BM243/1000*BM254</f>
        <v>0</v>
      </c>
      <c r="BN257" s="341">
        <f>BN243/1000*BN254</f>
        <v>0</v>
      </c>
      <c r="BO257" s="341">
        <f>BO243/1000*BO254</f>
        <v>0</v>
      </c>
      <c r="BP257" s="393">
        <f>BP243/1000*BP254</f>
        <v>0</v>
      </c>
      <c r="BQ257" s="296">
        <f>SUM(BM257:BP257)</f>
        <v>0</v>
      </c>
      <c r="BR257" s="2"/>
      <c r="CM257" s="2" t="s">
        <v>770</v>
      </c>
      <c r="CN257" s="2"/>
      <c r="CO257" s="1192">
        <f>+CO258-SUM(CO253:CO256)</f>
        <v>9.0583783783783929</v>
      </c>
      <c r="CP257" s="2"/>
      <c r="CQ257" s="2" t="s">
        <v>773</v>
      </c>
      <c r="CR257" s="2"/>
      <c r="CS257" s="2"/>
      <c r="CT257" s="2"/>
      <c r="CU257" s="2"/>
      <c r="CV257" s="2"/>
      <c r="CW257" s="2"/>
      <c r="CX257" s="2"/>
      <c r="CY257" s="2"/>
      <c r="CZ257" s="2"/>
      <c r="DA257" s="2"/>
    </row>
    <row r="258" spans="1:105" s="2" customFormat="1">
      <c r="A258" s="49"/>
      <c r="B258" s="49"/>
      <c r="C258" s="49" t="s">
        <v>270</v>
      </c>
      <c r="D258" s="49"/>
      <c r="E258" s="663"/>
      <c r="F258" s="468"/>
      <c r="G258" s="468"/>
      <c r="H258" s="664"/>
      <c r="I258" s="37"/>
      <c r="J258" s="663"/>
      <c r="K258" s="468"/>
      <c r="L258" s="468"/>
      <c r="M258" s="664"/>
      <c r="N258" s="49"/>
      <c r="O258" s="663"/>
      <c r="P258" s="468"/>
      <c r="Q258" s="468"/>
      <c r="R258" s="664"/>
      <c r="S258" s="49"/>
      <c r="T258" s="396"/>
      <c r="U258" s="343"/>
      <c r="V258" s="343"/>
      <c r="W258" s="397"/>
      <c r="X258" s="297"/>
      <c r="Y258" s="396">
        <f t="shared" ref="Y258:AR258" si="248">Y256-Y257</f>
        <v>0.2539143253949474</v>
      </c>
      <c r="Z258" s="343">
        <f t="shared" si="248"/>
        <v>0.85121570389069223</v>
      </c>
      <c r="AA258" s="343">
        <f t="shared" si="248"/>
        <v>2.1520243020858132</v>
      </c>
      <c r="AB258" s="397">
        <f t="shared" si="248"/>
        <v>0.47561410665817849</v>
      </c>
      <c r="AC258" s="297">
        <f t="shared" si="248"/>
        <v>3.732768438029634</v>
      </c>
      <c r="AD258" s="396">
        <f>AD256-AD257</f>
        <v>19.785178008917441</v>
      </c>
      <c r="AE258" s="343">
        <f>AE256-AE257</f>
        <v>2.2066462179616524</v>
      </c>
      <c r="AF258" s="343">
        <f t="shared" si="248"/>
        <v>1.257016381933231</v>
      </c>
      <c r="AG258" s="397">
        <f t="shared" si="248"/>
        <v>2.1488529123306623</v>
      </c>
      <c r="AH258" s="297">
        <f t="shared" si="248"/>
        <v>25.39769352114299</v>
      </c>
      <c r="AI258" s="396">
        <f t="shared" si="248"/>
        <v>38.781081116503017</v>
      </c>
      <c r="AJ258" s="343">
        <f t="shared" si="248"/>
        <v>0.3961779824079299</v>
      </c>
      <c r="AK258" s="343">
        <f t="shared" si="248"/>
        <v>0.9605081019663233</v>
      </c>
      <c r="AL258" s="397">
        <f t="shared" si="248"/>
        <v>-8.3659819733349572E-2</v>
      </c>
      <c r="AM258" s="297">
        <f t="shared" si="248"/>
        <v>40.054107381143922</v>
      </c>
      <c r="AN258" s="396">
        <f t="shared" si="248"/>
        <v>0.3531453513539633</v>
      </c>
      <c r="AO258" s="343">
        <f t="shared" si="248"/>
        <v>8.3755165901837625E-2</v>
      </c>
      <c r="AP258" s="343">
        <f t="shared" si="248"/>
        <v>-53.266909623000423</v>
      </c>
      <c r="AQ258" s="397">
        <f t="shared" si="248"/>
        <v>-0.15352101469678425</v>
      </c>
      <c r="AR258" s="297">
        <f t="shared" si="248"/>
        <v>-52.983530120441401</v>
      </c>
      <c r="AS258" s="396">
        <f t="shared" ref="AS258:BB258" si="249">AS256-AS257</f>
        <v>9.9765862458894183E-2</v>
      </c>
      <c r="AT258" s="343">
        <f t="shared" si="249"/>
        <v>-0.18419098388629873</v>
      </c>
      <c r="AU258" s="343">
        <f t="shared" si="249"/>
        <v>0</v>
      </c>
      <c r="AV258" s="397">
        <f t="shared" si="249"/>
        <v>0</v>
      </c>
      <c r="AW258" s="297">
        <f t="shared" si="249"/>
        <v>-8.4425121427404548E-2</v>
      </c>
      <c r="AX258" s="396">
        <f>AX256-AX257</f>
        <v>0</v>
      </c>
      <c r="AY258" s="343">
        <f>AY256-AY257</f>
        <v>0</v>
      </c>
      <c r="AZ258" s="343">
        <f>AZ256-AZ257</f>
        <v>0</v>
      </c>
      <c r="BA258" s="397">
        <f>BA256-BA257</f>
        <v>0</v>
      </c>
      <c r="BB258" s="297">
        <f t="shared" si="249"/>
        <v>0</v>
      </c>
      <c r="BC258" s="396">
        <f t="shared" ref="BC258:BL258" si="250">BC256-BC257</f>
        <v>0</v>
      </c>
      <c r="BD258" s="343">
        <f t="shared" si="250"/>
        <v>0</v>
      </c>
      <c r="BE258" s="343">
        <f t="shared" si="250"/>
        <v>0</v>
      </c>
      <c r="BF258" s="397">
        <f t="shared" si="250"/>
        <v>0</v>
      </c>
      <c r="BG258" s="297">
        <f t="shared" si="250"/>
        <v>0</v>
      </c>
      <c r="BH258" s="396">
        <f t="shared" si="250"/>
        <v>0</v>
      </c>
      <c r="BI258" s="343">
        <f t="shared" si="250"/>
        <v>0</v>
      </c>
      <c r="BJ258" s="343">
        <f t="shared" si="250"/>
        <v>0</v>
      </c>
      <c r="BK258" s="397">
        <f t="shared" si="250"/>
        <v>0</v>
      </c>
      <c r="BL258" s="297">
        <f t="shared" si="250"/>
        <v>0</v>
      </c>
      <c r="BM258" s="396">
        <f>BM256-BM257</f>
        <v>0</v>
      </c>
      <c r="BN258" s="343">
        <f>BN256-BN257</f>
        <v>0</v>
      </c>
      <c r="BO258" s="343">
        <f>BO256-BO257</f>
        <v>0</v>
      </c>
      <c r="BP258" s="397">
        <f>BP256-BP257</f>
        <v>0</v>
      </c>
      <c r="BQ258" s="297">
        <f>BQ256-BQ257</f>
        <v>0</v>
      </c>
      <c r="BR258" s="49"/>
      <c r="CM258" s="49" t="s">
        <v>449</v>
      </c>
      <c r="CO258" s="1191">
        <v>92.18</v>
      </c>
      <c r="CQ258" s="2" t="s">
        <v>782</v>
      </c>
    </row>
    <row r="259" spans="1:105" s="2" customFormat="1">
      <c r="A259" s="1523"/>
      <c r="E259" s="365"/>
      <c r="F259" s="6"/>
      <c r="G259" s="6"/>
      <c r="H259" s="366"/>
      <c r="I259" s="37"/>
      <c r="J259" s="365"/>
      <c r="K259" s="6"/>
      <c r="L259" s="6"/>
      <c r="M259" s="366"/>
      <c r="O259" s="365"/>
      <c r="P259" s="6"/>
      <c r="Q259" s="6"/>
      <c r="R259" s="366"/>
      <c r="T259" s="365"/>
      <c r="U259" s="6"/>
      <c r="V259" s="6"/>
      <c r="W259" s="366"/>
      <c r="Y259" s="365"/>
      <c r="Z259" s="6"/>
      <c r="AA259" s="6"/>
      <c r="AB259" s="366"/>
      <c r="AD259" s="365"/>
      <c r="AE259" s="6"/>
      <c r="AF259" s="6"/>
      <c r="AG259" s="366"/>
      <c r="AI259" s="365"/>
      <c r="AJ259" s="6"/>
      <c r="AK259" s="6"/>
      <c r="AL259" s="366"/>
      <c r="AN259" s="365"/>
      <c r="AO259" s="6"/>
      <c r="AP259" s="6"/>
      <c r="AQ259" s="366"/>
      <c r="AS259" s="365"/>
      <c r="AT259" s="6"/>
      <c r="AU259" s="6"/>
      <c r="AV259" s="366"/>
      <c r="AX259" s="365"/>
      <c r="AY259" s="6"/>
      <c r="AZ259" s="6"/>
      <c r="BA259" s="366"/>
      <c r="BC259" s="365"/>
      <c r="BD259" s="6"/>
      <c r="BE259" s="6"/>
      <c r="BF259" s="366"/>
      <c r="BH259" s="365"/>
      <c r="BI259" s="6"/>
      <c r="BJ259" s="6"/>
      <c r="BK259" s="366"/>
      <c r="BM259" s="365"/>
      <c r="BN259" s="6"/>
      <c r="BO259" s="6"/>
      <c r="BP259" s="366"/>
      <c r="CS259" s="49"/>
      <c r="CT259" s="49"/>
      <c r="CU259" s="49"/>
    </row>
    <row r="260" spans="1:105" s="2" customFormat="1">
      <c r="A260" s="1523"/>
      <c r="C260" s="592" t="s">
        <v>208</v>
      </c>
      <c r="E260" s="365"/>
      <c r="F260" s="6"/>
      <c r="G260" s="6"/>
      <c r="H260" s="366"/>
      <c r="I260" s="603"/>
      <c r="J260" s="365"/>
      <c r="K260" s="6"/>
      <c r="L260" s="6"/>
      <c r="M260" s="366"/>
      <c r="O260" s="365"/>
      <c r="P260" s="6"/>
      <c r="Q260" s="6"/>
      <c r="R260" s="366"/>
      <c r="T260" s="365"/>
      <c r="U260" s="6"/>
      <c r="V260" s="6"/>
      <c r="W260" s="366"/>
      <c r="Y260" s="365"/>
      <c r="Z260" s="6"/>
      <c r="AA260" s="6"/>
      <c r="AB260" s="366"/>
      <c r="AD260" s="365"/>
      <c r="AE260" s="6"/>
      <c r="AF260" s="6"/>
      <c r="AG260" s="366"/>
      <c r="AI260" s="365"/>
      <c r="AJ260" s="6"/>
      <c r="AK260" s="6"/>
      <c r="AL260" s="366"/>
      <c r="AN260" s="365"/>
      <c r="AO260" s="6"/>
      <c r="AP260" s="6"/>
      <c r="AQ260" s="366"/>
      <c r="AS260" s="365"/>
      <c r="AT260" s="6"/>
      <c r="AU260" s="6"/>
      <c r="AV260" s="366"/>
      <c r="AX260" s="365"/>
      <c r="AY260" s="6"/>
      <c r="AZ260" s="6"/>
      <c r="BA260" s="366"/>
      <c r="BC260" s="365"/>
      <c r="BD260" s="6"/>
      <c r="BE260" s="6"/>
      <c r="BF260" s="366"/>
      <c r="BH260" s="365"/>
      <c r="BI260" s="6"/>
      <c r="BJ260" s="6"/>
      <c r="BK260" s="366"/>
      <c r="BM260" s="365"/>
      <c r="BN260" s="6"/>
      <c r="BO260" s="6"/>
      <c r="BP260" s="366"/>
    </row>
    <row r="261" spans="1:105" s="2" customFormat="1">
      <c r="A261" s="1523"/>
      <c r="C261" s="37" t="s">
        <v>271</v>
      </c>
      <c r="E261" s="365"/>
      <c r="F261" s="6"/>
      <c r="G261" s="6"/>
      <c r="H261" s="366"/>
      <c r="I261" s="37"/>
      <c r="J261" s="365"/>
      <c r="K261" s="6"/>
      <c r="L261" s="6"/>
      <c r="M261" s="366"/>
      <c r="O261" s="365"/>
      <c r="P261" s="6"/>
      <c r="Q261" s="6"/>
      <c r="R261" s="366"/>
      <c r="T261" s="598"/>
      <c r="U261" s="599"/>
      <c r="V261" s="599"/>
      <c r="W261" s="600"/>
      <c r="X261" s="601"/>
      <c r="Y261" s="598">
        <f t="shared" ref="Y261:BL261" si="251">Y71</f>
        <v>42.607887670634931</v>
      </c>
      <c r="Z261" s="599">
        <f t="shared" si="251"/>
        <v>47.166300820312507</v>
      </c>
      <c r="AA261" s="599">
        <f t="shared" si="251"/>
        <v>55.200128388671871</v>
      </c>
      <c r="AB261" s="600">
        <f t="shared" si="251"/>
        <v>42.19233237304686</v>
      </c>
      <c r="AC261" s="601">
        <f t="shared" si="251"/>
        <v>46.791662313166547</v>
      </c>
      <c r="AD261" s="598">
        <f t="shared" si="251"/>
        <v>132.34547472222226</v>
      </c>
      <c r="AE261" s="599">
        <f t="shared" si="251"/>
        <v>53.887016669921877</v>
      </c>
      <c r="AF261" s="599">
        <f t="shared" si="251"/>
        <v>45.337472450195328</v>
      </c>
      <c r="AG261" s="600">
        <f t="shared" si="251"/>
        <v>49.12051941503907</v>
      </c>
      <c r="AH261" s="601">
        <f t="shared" si="251"/>
        <v>70.17262081434464</v>
      </c>
      <c r="AI261" s="598">
        <f t="shared" si="251"/>
        <v>67.284598143849195</v>
      </c>
      <c r="AJ261" s="599">
        <f t="shared" si="251"/>
        <v>36.819058058593754</v>
      </c>
      <c r="AK261" s="599">
        <f t="shared" si="251"/>
        <v>39.898508561538463</v>
      </c>
      <c r="AL261" s="600">
        <f t="shared" si="251"/>
        <v>30.041686161132823</v>
      </c>
      <c r="AM261" s="601">
        <f t="shared" si="251"/>
        <v>43.510962731278553</v>
      </c>
      <c r="AN261" s="598">
        <f t="shared" si="251"/>
        <v>31.26632047949219</v>
      </c>
      <c r="AO261" s="599">
        <f t="shared" si="251"/>
        <v>28.707086242187497</v>
      </c>
      <c r="AP261" s="599">
        <f t="shared" si="251"/>
        <v>40.605906624023433</v>
      </c>
      <c r="AQ261" s="600">
        <f t="shared" si="251"/>
        <v>28.828253920634918</v>
      </c>
      <c r="AR261" s="601">
        <f t="shared" si="251"/>
        <v>32.351891816584512</v>
      </c>
      <c r="AS261" s="598">
        <f t="shared" si="251"/>
        <v>33.256564817382809</v>
      </c>
      <c r="AT261" s="599">
        <f t="shared" si="251"/>
        <v>32.387231337890618</v>
      </c>
      <c r="AU261" s="599">
        <f t="shared" si="251"/>
        <v>34.354411583333338</v>
      </c>
      <c r="AV261" s="600">
        <f t="shared" si="251"/>
        <v>39.044797251984129</v>
      </c>
      <c r="AW261" s="601">
        <f t="shared" si="251"/>
        <v>34.760751247647725</v>
      </c>
      <c r="AX261" s="598">
        <f t="shared" si="251"/>
        <v>49.504310380859366</v>
      </c>
      <c r="AY261" s="599">
        <f t="shared" si="251"/>
        <v>34.371333333333332</v>
      </c>
      <c r="AZ261" s="599">
        <f>AZ71</f>
        <v>38.062833333333337</v>
      </c>
      <c r="BA261" s="600">
        <f t="shared" si="251"/>
        <v>34.614333333333327</v>
      </c>
      <c r="BB261" s="601">
        <f t="shared" si="251"/>
        <v>39.138202595214842</v>
      </c>
      <c r="BC261" s="598">
        <f t="shared" si="251"/>
        <v>46.510944725679025</v>
      </c>
      <c r="BD261" s="599">
        <f t="shared" si="251"/>
        <v>30.296280173373429</v>
      </c>
      <c r="BE261" s="599">
        <f t="shared" si="251"/>
        <v>33.94738406386135</v>
      </c>
      <c r="BF261" s="600">
        <f t="shared" si="251"/>
        <v>36.410057703486217</v>
      </c>
      <c r="BG261" s="601">
        <f t="shared" si="251"/>
        <v>36.791166666600006</v>
      </c>
      <c r="BH261" s="598">
        <f t="shared" si="251"/>
        <v>46.479340030218324</v>
      </c>
      <c r="BI261" s="599">
        <f t="shared" si="251"/>
        <v>30.275693519756331</v>
      </c>
      <c r="BJ261" s="599">
        <f t="shared" si="251"/>
        <v>33.924316445231916</v>
      </c>
      <c r="BK261" s="600">
        <f t="shared" si="251"/>
        <v>36.385316671193436</v>
      </c>
      <c r="BL261" s="601">
        <f t="shared" si="251"/>
        <v>36.7661666666</v>
      </c>
      <c r="BM261" s="598">
        <f>BM71</f>
        <v>36.021428571428572</v>
      </c>
      <c r="BN261" s="599">
        <f>BN71</f>
        <v>36.021428571428572</v>
      </c>
      <c r="BO261" s="599">
        <f>BO71</f>
        <v>36.021428571428572</v>
      </c>
      <c r="BP261" s="600">
        <f>BP71</f>
        <v>36.021428571428572</v>
      </c>
      <c r="BQ261" s="601">
        <f>BQ71</f>
        <v>36.021428571428572</v>
      </c>
      <c r="CM261" s="49" t="s">
        <v>771</v>
      </c>
    </row>
    <row r="262" spans="1:105" s="2" customFormat="1">
      <c r="A262" s="1523"/>
      <c r="C262" s="37" t="s">
        <v>266</v>
      </c>
      <c r="E262" s="365"/>
      <c r="F262" s="6"/>
      <c r="G262" s="6"/>
      <c r="H262" s="366"/>
      <c r="I262" s="725">
        <v>12500</v>
      </c>
      <c r="J262" s="365"/>
      <c r="K262" s="6"/>
      <c r="L262" s="6"/>
      <c r="M262" s="366"/>
      <c r="O262" s="365"/>
      <c r="P262" s="6"/>
      <c r="Q262" s="6"/>
      <c r="R262" s="366"/>
      <c r="T262" s="598"/>
      <c r="U262" s="599"/>
      <c r="V262" s="599"/>
      <c r="W262" s="600"/>
      <c r="X262" s="601"/>
      <c r="Y262" s="598">
        <f>$I262/1000*(Y$46+(Y$55+Y$56)/2)</f>
        <v>75.758854166666652</v>
      </c>
      <c r="Z262" s="599">
        <f t="shared" ref="Z262:BB262" si="252">$I262/1000*(Z$46+(Z$55+Z$56)/2)</f>
        <v>52.970312499999991</v>
      </c>
      <c r="AA262" s="599">
        <f t="shared" si="252"/>
        <v>45.697656249999987</v>
      </c>
      <c r="AB262" s="600">
        <f t="shared" si="252"/>
        <v>51.840332031249993</v>
      </c>
      <c r="AC262" s="601">
        <f t="shared" si="252"/>
        <v>56.566788736979156</v>
      </c>
      <c r="AD262" s="598">
        <f>$I262/1000*(AD$46+(AD$55+AD$56)/2)</f>
        <v>185.85420081967212</v>
      </c>
      <c r="AE262" s="599">
        <f t="shared" si="252"/>
        <v>46.51533203124999</v>
      </c>
      <c r="AF262" s="599">
        <f t="shared" si="252"/>
        <v>32.033691406249986</v>
      </c>
      <c r="AG262" s="600">
        <f t="shared" si="252"/>
        <v>37.215917968749999</v>
      </c>
      <c r="AH262" s="601">
        <f t="shared" si="252"/>
        <v>75.404785556480519</v>
      </c>
      <c r="AI262" s="598">
        <f t="shared" si="252"/>
        <v>95.998084677419342</v>
      </c>
      <c r="AJ262" s="599">
        <f t="shared" si="252"/>
        <v>25.686607142857142</v>
      </c>
      <c r="AK262" s="599">
        <f t="shared" si="252"/>
        <v>22.775488281249999</v>
      </c>
      <c r="AL262" s="600">
        <f t="shared" si="252"/>
        <v>19.993948412698408</v>
      </c>
      <c r="AM262" s="601">
        <f t="shared" si="252"/>
        <v>41.113532128556223</v>
      </c>
      <c r="AN262" s="598">
        <f t="shared" si="252"/>
        <v>26.984836065573774</v>
      </c>
      <c r="AO262" s="599">
        <f t="shared" si="252"/>
        <v>20.497753906250004</v>
      </c>
      <c r="AP262" s="599">
        <f t="shared" si="252"/>
        <v>20.406054687499996</v>
      </c>
      <c r="AQ262" s="600">
        <f t="shared" si="252"/>
        <v>30.706854838709681</v>
      </c>
      <c r="AR262" s="601">
        <f t="shared" si="252"/>
        <v>24.648874874508365</v>
      </c>
      <c r="AS262" s="598">
        <f t="shared" si="252"/>
        <v>39.396169354838719</v>
      </c>
      <c r="AT262" s="599">
        <f t="shared" si="252"/>
        <v>32.514257812500006</v>
      </c>
      <c r="AU262" s="599">
        <f t="shared" si="252"/>
        <v>25.962896825396832</v>
      </c>
      <c r="AV262" s="600">
        <f t="shared" si="252"/>
        <v>39.195262096774201</v>
      </c>
      <c r="AW262" s="601">
        <f t="shared" si="252"/>
        <v>34.267146522377438</v>
      </c>
      <c r="AX262" s="598">
        <f t="shared" si="252"/>
        <v>89.779713114754102</v>
      </c>
      <c r="AY262" s="599">
        <f t="shared" si="252"/>
        <v>29.402083333333334</v>
      </c>
      <c r="AZ262" s="599">
        <f t="shared" si="252"/>
        <v>29.531250000000004</v>
      </c>
      <c r="BA262" s="600">
        <f t="shared" si="252"/>
        <v>36.520833333333336</v>
      </c>
      <c r="BB262" s="601">
        <f t="shared" si="252"/>
        <v>46.308469945355192</v>
      </c>
      <c r="BC262" s="598">
        <f t="shared" ref="BC262:BK262" si="253">$I262/1000*(BC$47+(BC$55+BC$56)/2)+BC116</f>
        <v>51.173144723945519</v>
      </c>
      <c r="BD262" s="599">
        <f t="shared" si="253"/>
        <v>22.670509846846215</v>
      </c>
      <c r="BE262" s="599">
        <f t="shared" si="253"/>
        <v>22.170587163692129</v>
      </c>
      <c r="BF262" s="600">
        <f t="shared" si="253"/>
        <v>52.467200705516134</v>
      </c>
      <c r="BG262" s="601">
        <f t="shared" si="253"/>
        <v>37.120360609999999</v>
      </c>
      <c r="BH262" s="598">
        <f t="shared" si="253"/>
        <v>51.288475265207502</v>
      </c>
      <c r="BI262" s="599">
        <f t="shared" si="253"/>
        <v>22.688874664122363</v>
      </c>
      <c r="BJ262" s="599">
        <f t="shared" si="253"/>
        <v>22.177735693845545</v>
      </c>
      <c r="BK262" s="600">
        <f t="shared" si="253"/>
        <v>52.566028429324582</v>
      </c>
      <c r="BL262" s="601">
        <f>$I262/1000*(BL$46+(BL$55+BL$56)/2)</f>
        <v>37.180278513124996</v>
      </c>
      <c r="BM262" s="598">
        <f>$I262/1000*(BM$47+(BM$55+BM$56)/2)+BM116</f>
        <v>43.832981843986815</v>
      </c>
      <c r="BN262" s="599">
        <f>$I262/1000*(BN$47+(BN$55+BN$56)/2)+BN116</f>
        <v>28.48131715215716</v>
      </c>
      <c r="BO262" s="599">
        <f>$I262/1000*(BO$47+(BO$55+BO$56)/2)+BO116</f>
        <v>27.641031244575277</v>
      </c>
      <c r="BP262" s="600">
        <f>$I262/1000*(BP$47+(BP$55+BP$56)/2)+BP116</f>
        <v>43.232065591780767</v>
      </c>
      <c r="BQ262" s="601">
        <f>$I262/1000*(BQ$46+(BQ$55+BQ$56)/2)</f>
        <v>36.125755208125007</v>
      </c>
      <c r="CM262" s="2" t="s">
        <v>682</v>
      </c>
      <c r="CO262" s="1190">
        <f>AVERAGE(BY214:CA214)*365/(8.76*0.42)/1000</f>
        <v>18.650793650793648</v>
      </c>
      <c r="CQ262" s="2" t="s">
        <v>774</v>
      </c>
    </row>
    <row r="263" spans="1:105" s="49" customFormat="1">
      <c r="A263" s="1523"/>
      <c r="B263" s="2"/>
      <c r="C263" s="2"/>
      <c r="D263" s="2"/>
      <c r="E263" s="365"/>
      <c r="F263" s="6"/>
      <c r="G263" s="6"/>
      <c r="H263" s="366"/>
      <c r="I263" s="37"/>
      <c r="J263" s="365"/>
      <c r="K263" s="6"/>
      <c r="L263" s="6"/>
      <c r="M263" s="366"/>
      <c r="N263" s="2"/>
      <c r="O263" s="365"/>
      <c r="P263" s="6"/>
      <c r="Q263" s="6"/>
      <c r="R263" s="366"/>
      <c r="S263" s="2"/>
      <c r="T263" s="365"/>
      <c r="U263" s="6"/>
      <c r="V263" s="6"/>
      <c r="W263" s="366"/>
      <c r="X263" s="2"/>
      <c r="Y263" s="365"/>
      <c r="Z263" s="6"/>
      <c r="AA263" s="6"/>
      <c r="AB263" s="366"/>
      <c r="AC263" s="2"/>
      <c r="AD263" s="365"/>
      <c r="AE263" s="6"/>
      <c r="AF263" s="6"/>
      <c r="AG263" s="366"/>
      <c r="AH263" s="2"/>
      <c r="AI263" s="365"/>
      <c r="AJ263" s="6"/>
      <c r="AK263" s="6"/>
      <c r="AL263" s="366"/>
      <c r="AM263" s="2"/>
      <c r="AN263" s="365"/>
      <c r="AO263" s="6"/>
      <c r="AP263" s="6"/>
      <c r="AQ263" s="366"/>
      <c r="AR263" s="2"/>
      <c r="AS263" s="365"/>
      <c r="AT263" s="6"/>
      <c r="AU263" s="6"/>
      <c r="AV263" s="366"/>
      <c r="AW263" s="2"/>
      <c r="AX263" s="365"/>
      <c r="AY263" s="6"/>
      <c r="AZ263" s="6"/>
      <c r="BA263" s="366"/>
      <c r="BB263" s="2"/>
      <c r="BC263" s="365"/>
      <c r="BD263" s="6"/>
      <c r="BE263" s="6"/>
      <c r="BF263" s="366"/>
      <c r="BG263" s="2"/>
      <c r="BH263" s="365"/>
      <c r="BI263" s="6"/>
      <c r="BJ263" s="6"/>
      <c r="BK263" s="366"/>
      <c r="BL263" s="2"/>
      <c r="BM263" s="365"/>
      <c r="BN263" s="6"/>
      <c r="BO263" s="6"/>
      <c r="BP263" s="366"/>
      <c r="BQ263" s="2"/>
      <c r="BR263" s="2"/>
      <c r="CM263" s="2" t="s">
        <v>766</v>
      </c>
      <c r="CN263" s="2"/>
      <c r="CO263" s="1190">
        <f>+CI205</f>
        <v>38</v>
      </c>
      <c r="CP263" s="2"/>
      <c r="CQ263" s="2" t="s">
        <v>779</v>
      </c>
      <c r="CS263" s="2"/>
      <c r="CT263" s="2"/>
      <c r="CU263" s="2"/>
      <c r="CV263" s="2"/>
      <c r="CW263" s="2"/>
      <c r="CX263" s="2"/>
      <c r="CY263" s="2"/>
      <c r="CZ263" s="2"/>
      <c r="DA263" s="2"/>
    </row>
    <row r="264" spans="1:105" s="2" customFormat="1">
      <c r="A264" s="49"/>
      <c r="B264" s="49"/>
      <c r="C264" s="49" t="s">
        <v>267</v>
      </c>
      <c r="D264" s="49"/>
      <c r="E264" s="396"/>
      <c r="F264" s="343"/>
      <c r="G264" s="343"/>
      <c r="H264" s="397"/>
      <c r="I264" s="725">
        <f>617+516+463+560+340+21+453</f>
        <v>2970</v>
      </c>
      <c r="J264" s="396"/>
      <c r="K264" s="343"/>
      <c r="L264" s="343"/>
      <c r="M264" s="397"/>
      <c r="N264" s="297"/>
      <c r="O264" s="396"/>
      <c r="P264" s="343"/>
      <c r="Q264" s="343"/>
      <c r="R264" s="397"/>
      <c r="S264" s="297"/>
      <c r="T264" s="396"/>
      <c r="U264" s="343"/>
      <c r="V264" s="345"/>
      <c r="W264" s="397"/>
      <c r="X264" s="297"/>
      <c r="Y264" s="396">
        <f>I264</f>
        <v>2970</v>
      </c>
      <c r="Z264" s="343">
        <f t="shared" ref="Z264:AJ264" si="254">Y264</f>
        <v>2970</v>
      </c>
      <c r="AA264" s="343">
        <f t="shared" si="254"/>
        <v>2970</v>
      </c>
      <c r="AB264" s="397">
        <f t="shared" si="254"/>
        <v>2970</v>
      </c>
      <c r="AC264" s="297">
        <f t="shared" si="254"/>
        <v>2970</v>
      </c>
      <c r="AD264" s="396">
        <f>I264</f>
        <v>2970</v>
      </c>
      <c r="AE264" s="343">
        <f>AD264</f>
        <v>2970</v>
      </c>
      <c r="AF264" s="343">
        <f t="shared" si="254"/>
        <v>2970</v>
      </c>
      <c r="AG264" s="397">
        <f t="shared" si="254"/>
        <v>2970</v>
      </c>
      <c r="AH264" s="297">
        <f t="shared" si="254"/>
        <v>2970</v>
      </c>
      <c r="AI264" s="396">
        <f t="shared" si="254"/>
        <v>2970</v>
      </c>
      <c r="AJ264" s="343">
        <f t="shared" si="254"/>
        <v>2970</v>
      </c>
      <c r="AK264" s="345">
        <f>AJ264-1500</f>
        <v>1470</v>
      </c>
      <c r="AL264" s="397">
        <f t="shared" ref="AL264:AR264" si="255">AK264</f>
        <v>1470</v>
      </c>
      <c r="AM264" s="297">
        <f t="shared" si="255"/>
        <v>1470</v>
      </c>
      <c r="AN264" s="396">
        <f t="shared" si="255"/>
        <v>1470</v>
      </c>
      <c r="AO264" s="343">
        <f t="shared" si="255"/>
        <v>1470</v>
      </c>
      <c r="AP264" s="1565">
        <f>AO264+14.5</f>
        <v>1484.5</v>
      </c>
      <c r="AQ264" s="397">
        <f t="shared" si="255"/>
        <v>1484.5</v>
      </c>
      <c r="AR264" s="297">
        <f t="shared" si="255"/>
        <v>1484.5</v>
      </c>
      <c r="AS264" s="396">
        <f t="shared" ref="AS264:BB264" si="256">AR264</f>
        <v>1484.5</v>
      </c>
      <c r="AT264" s="343">
        <f t="shared" si="256"/>
        <v>1484.5</v>
      </c>
      <c r="AU264" s="343">
        <f t="shared" si="256"/>
        <v>1484.5</v>
      </c>
      <c r="AV264" s="397">
        <f t="shared" si="256"/>
        <v>1484.5</v>
      </c>
      <c r="AW264" s="297">
        <f t="shared" si="256"/>
        <v>1484.5</v>
      </c>
      <c r="AX264" s="396">
        <f>AW264</f>
        <v>1484.5</v>
      </c>
      <c r="AY264" s="343">
        <f>AX264</f>
        <v>1484.5</v>
      </c>
      <c r="AZ264" s="1565">
        <f>AY264-460</f>
        <v>1024.5</v>
      </c>
      <c r="BA264" s="397">
        <f>AY264</f>
        <v>1484.5</v>
      </c>
      <c r="BB264" s="297">
        <f t="shared" si="256"/>
        <v>1484.5</v>
      </c>
      <c r="BC264" s="396">
        <f t="shared" ref="BC264:BL264" si="257">BB264</f>
        <v>1484.5</v>
      </c>
      <c r="BD264" s="343">
        <f t="shared" si="257"/>
        <v>1484.5</v>
      </c>
      <c r="BE264" s="343">
        <f t="shared" si="257"/>
        <v>1484.5</v>
      </c>
      <c r="BF264" s="397">
        <f t="shared" si="257"/>
        <v>1484.5</v>
      </c>
      <c r="BG264" s="297">
        <f t="shared" si="257"/>
        <v>1484.5</v>
      </c>
      <c r="BH264" s="396">
        <f t="shared" si="257"/>
        <v>1484.5</v>
      </c>
      <c r="BI264" s="343">
        <f t="shared" si="257"/>
        <v>1484.5</v>
      </c>
      <c r="BJ264" s="343">
        <f t="shared" si="257"/>
        <v>1484.5</v>
      </c>
      <c r="BK264" s="397">
        <f t="shared" si="257"/>
        <v>1484.5</v>
      </c>
      <c r="BL264" s="297">
        <f t="shared" si="257"/>
        <v>1484.5</v>
      </c>
      <c r="BM264" s="396">
        <f>BL264</f>
        <v>1484.5</v>
      </c>
      <c r="BN264" s="343">
        <f>BM264</f>
        <v>1484.5</v>
      </c>
      <c r="BO264" s="343">
        <f>BN264</f>
        <v>1484.5</v>
      </c>
      <c r="BP264" s="397">
        <f>BO264</f>
        <v>1484.5</v>
      </c>
      <c r="BQ264" s="297">
        <f>BP264</f>
        <v>1484.5</v>
      </c>
      <c r="BR264" s="49"/>
      <c r="CM264" s="2" t="s">
        <v>768</v>
      </c>
      <c r="CO264" s="1190">
        <v>15</v>
      </c>
      <c r="CQ264" s="37" t="s">
        <v>772</v>
      </c>
      <c r="CV264" s="49"/>
      <c r="CW264" s="49"/>
      <c r="CX264" s="49"/>
      <c r="CY264" s="49"/>
      <c r="CZ264" s="49"/>
      <c r="DA264" s="49"/>
    </row>
    <row r="265" spans="1:105" s="2" customFormat="1">
      <c r="A265" s="1523"/>
      <c r="E265" s="365"/>
      <c r="F265" s="6"/>
      <c r="G265" s="6"/>
      <c r="H265" s="366"/>
      <c r="I265" s="37"/>
      <c r="J265" s="365"/>
      <c r="K265" s="6"/>
      <c r="L265" s="6"/>
      <c r="M265" s="366"/>
      <c r="O265" s="365"/>
      <c r="P265" s="6"/>
      <c r="Q265" s="6"/>
      <c r="R265" s="366"/>
      <c r="T265" s="365"/>
      <c r="U265" s="6"/>
      <c r="V265" s="6"/>
      <c r="W265" s="366"/>
      <c r="Y265" s="365"/>
      <c r="Z265" s="6"/>
      <c r="AA265" s="6"/>
      <c r="AB265" s="366"/>
      <c r="AD265" s="365"/>
      <c r="AE265" s="6"/>
      <c r="AF265" s="6"/>
      <c r="AG265" s="366"/>
      <c r="AI265" s="365"/>
      <c r="AJ265" s="6"/>
      <c r="AK265" s="6"/>
      <c r="AL265" s="366"/>
      <c r="AN265" s="365"/>
      <c r="AO265" s="6"/>
      <c r="AP265" s="6"/>
      <c r="AQ265" s="366"/>
      <c r="AS265" s="365"/>
      <c r="AT265" s="6"/>
      <c r="AU265" s="6"/>
      <c r="AV265" s="366"/>
      <c r="AX265" s="365"/>
      <c r="AY265" s="6"/>
      <c r="AZ265" s="6"/>
      <c r="BA265" s="366"/>
      <c r="BC265" s="365"/>
      <c r="BD265" s="6"/>
      <c r="BE265" s="6"/>
      <c r="BF265" s="366"/>
      <c r="BH265" s="365"/>
      <c r="BI265" s="6"/>
      <c r="BJ265" s="6"/>
      <c r="BK265" s="366"/>
      <c r="BM265" s="365"/>
      <c r="BN265" s="6"/>
      <c r="BO265" s="6"/>
      <c r="BP265" s="366"/>
      <c r="CM265" s="2" t="s">
        <v>769</v>
      </c>
      <c r="CO265" s="1190">
        <v>4</v>
      </c>
      <c r="CQ265" s="2" t="s">
        <v>707</v>
      </c>
    </row>
    <row r="266" spans="1:105" s="49" customFormat="1">
      <c r="A266" s="1523"/>
      <c r="B266" s="2"/>
      <c r="C266" s="37" t="s">
        <v>268</v>
      </c>
      <c r="D266" s="2"/>
      <c r="E266" s="365"/>
      <c r="F266" s="6"/>
      <c r="G266" s="6"/>
      <c r="H266" s="366"/>
      <c r="I266" s="726">
        <v>0.05</v>
      </c>
      <c r="J266" s="365"/>
      <c r="K266" s="6"/>
      <c r="L266" s="6"/>
      <c r="M266" s="366"/>
      <c r="N266" s="2"/>
      <c r="O266" s="365"/>
      <c r="P266" s="6"/>
      <c r="Q266" s="6"/>
      <c r="R266" s="366"/>
      <c r="S266" s="2"/>
      <c r="T266" s="376"/>
      <c r="U266" s="334"/>
      <c r="V266" s="334"/>
      <c r="W266" s="377"/>
      <c r="X266" s="293"/>
      <c r="Y266" s="376">
        <f>IF(Y261&gt;Y262,$I266,0%)</f>
        <v>0</v>
      </c>
      <c r="Z266" s="334">
        <f>IF(Z261&gt;Z262,$I266,0%)</f>
        <v>0</v>
      </c>
      <c r="AA266" s="334">
        <f>IF(AA261&gt;AA262,$I266,0%)</f>
        <v>0.05</v>
      </c>
      <c r="AB266" s="377">
        <f>IF(AB261&gt;AB262,$I266,0%)</f>
        <v>0</v>
      </c>
      <c r="AC266" s="293">
        <f>AVERAGE(Y266:AB266)</f>
        <v>1.2500000000000001E-2</v>
      </c>
      <c r="AD266" s="376">
        <f>IF(AD261&gt;AD262,$I266,0%)</f>
        <v>0</v>
      </c>
      <c r="AE266" s="334">
        <f>IF(AE261&gt;AE262,$I266,0%)</f>
        <v>0.05</v>
      </c>
      <c r="AF266" s="334">
        <f>IF(AF261&gt;AF262,$I266,0%)</f>
        <v>0.05</v>
      </c>
      <c r="AG266" s="377">
        <f>IF(AG261&gt;AG262,$I266,0%)</f>
        <v>0.05</v>
      </c>
      <c r="AH266" s="293">
        <f>AVERAGE(AD266:AG266)</f>
        <v>3.7500000000000006E-2</v>
      </c>
      <c r="AI266" s="376">
        <f>IF(AI261&gt;AI262,$I266,0%)</f>
        <v>0</v>
      </c>
      <c r="AJ266" s="334">
        <f>IF(AJ261&gt;AJ262,$I266,0%)</f>
        <v>0.05</v>
      </c>
      <c r="AK266" s="334">
        <f>IF(AK261&gt;AK262,$I266,0%)</f>
        <v>0.05</v>
      </c>
      <c r="AL266" s="377">
        <f>IF(AL261&gt;AL262,$I266,0%)</f>
        <v>0.05</v>
      </c>
      <c r="AM266" s="293">
        <f>AVERAGE(AI266:AL266)</f>
        <v>3.7500000000000006E-2</v>
      </c>
      <c r="AN266" s="376">
        <f>IF(AN261&gt;AN262,$I266,0%)</f>
        <v>0.05</v>
      </c>
      <c r="AO266" s="334">
        <f>IF(AO261&gt;AO262,$I266,0%)</f>
        <v>0.05</v>
      </c>
      <c r="AP266" s="334">
        <f>IF(AP261&gt;AP262,$I266,0%)</f>
        <v>0.05</v>
      </c>
      <c r="AQ266" s="377">
        <f>IF(AQ261&gt;AQ262,$I266,0%)</f>
        <v>0</v>
      </c>
      <c r="AR266" s="293">
        <f>AVERAGE(AN266:AQ266)</f>
        <v>3.7500000000000006E-2</v>
      </c>
      <c r="AS266" s="376">
        <f>IF(AS261&gt;AS262,$I266,0%)</f>
        <v>0</v>
      </c>
      <c r="AT266" s="334">
        <f>IF(AT261&gt;AT262,$I266,0%)</f>
        <v>0</v>
      </c>
      <c r="AU266" s="334">
        <f>IF(AU261&gt;AU262,$I266,0%)</f>
        <v>0.05</v>
      </c>
      <c r="AV266" s="377">
        <f>IF(AV261&gt;AV262,$I266,0%)</f>
        <v>0</v>
      </c>
      <c r="AW266" s="293">
        <f>AVERAGE(AS266:AV266)</f>
        <v>1.2500000000000001E-2</v>
      </c>
      <c r="AX266" s="376">
        <f>IF(AX261&gt;AX262,$I266,0%)</f>
        <v>0</v>
      </c>
      <c r="AY266" s="334">
        <f>IF(AY261&gt;AY262,$I266,0%)</f>
        <v>0.05</v>
      </c>
      <c r="AZ266" s="334">
        <f>IF(AZ261&gt;AZ262,$I266,0%)</f>
        <v>0.05</v>
      </c>
      <c r="BA266" s="377">
        <f>IF(BA261&gt;BA262,$I266,0%)</f>
        <v>0</v>
      </c>
      <c r="BB266" s="293">
        <f>AVERAGE(AX266:BA266)</f>
        <v>2.5000000000000001E-2</v>
      </c>
      <c r="BC266" s="376">
        <f>IF(BC261&gt;BC262,$I266,0%)</f>
        <v>0</v>
      </c>
      <c r="BD266" s="334">
        <f>IF(BD261&gt;BD262,$I266,0%)</f>
        <v>0.05</v>
      </c>
      <c r="BE266" s="334">
        <f>IF(BE261&gt;BE262,$I266,0%)</f>
        <v>0.05</v>
      </c>
      <c r="BF266" s="377">
        <f>IF(BF261&gt;BF262,$I266,0%)</f>
        <v>0</v>
      </c>
      <c r="BG266" s="293">
        <f>AVERAGE(BC266:BF266)</f>
        <v>2.5000000000000001E-2</v>
      </c>
      <c r="BH266" s="376">
        <f>IF(BH261&gt;BH262,$I266,0%)</f>
        <v>0</v>
      </c>
      <c r="BI266" s="334">
        <f>IF(BI261&gt;BI262,$I266,0%)</f>
        <v>0.05</v>
      </c>
      <c r="BJ266" s="334">
        <f>IF(BJ261&gt;BJ262,$I266,0%)</f>
        <v>0.05</v>
      </c>
      <c r="BK266" s="377">
        <f>IF(BK261&gt;BK262,$I266,0%)</f>
        <v>0</v>
      </c>
      <c r="BL266" s="293">
        <f>AVERAGE(BH266:BK266)</f>
        <v>2.5000000000000001E-2</v>
      </c>
      <c r="BM266" s="376">
        <f>IF(BM261&gt;BM262,$I266,0%)</f>
        <v>0</v>
      </c>
      <c r="BN266" s="334">
        <f>IF(BN261&gt;BN262,$I266,0%)</f>
        <v>0.05</v>
      </c>
      <c r="BO266" s="334">
        <f>IF(BO261&gt;BO262,$I266,0%)</f>
        <v>0.05</v>
      </c>
      <c r="BP266" s="377">
        <f>IF(BP261&gt;BP262,$I266,0%)</f>
        <v>0</v>
      </c>
      <c r="BQ266" s="293">
        <f>AVERAGE(BM266:BP266)</f>
        <v>2.5000000000000001E-2</v>
      </c>
      <c r="BR266" s="2"/>
      <c r="CM266" s="2" t="s">
        <v>770</v>
      </c>
      <c r="CN266" s="2"/>
      <c r="CO266" s="1192">
        <f>+CO267-SUM(CO262:CO265)</f>
        <v>8.2292063492063505</v>
      </c>
      <c r="CP266" s="2"/>
      <c r="CQ266" s="2" t="s">
        <v>776</v>
      </c>
      <c r="CR266" s="2"/>
      <c r="CS266" s="2"/>
      <c r="CT266" s="2"/>
      <c r="CU266" s="2"/>
      <c r="CV266" s="2"/>
      <c r="CW266" s="2"/>
      <c r="CX266" s="2"/>
      <c r="CY266" s="2"/>
      <c r="CZ266" s="2"/>
      <c r="DA266" s="2"/>
    </row>
    <row r="267" spans="1:105" s="2" customFormat="1">
      <c r="A267" s="49"/>
      <c r="B267" s="49"/>
      <c r="C267" s="49" t="s">
        <v>269</v>
      </c>
      <c r="D267" s="49"/>
      <c r="E267" s="663"/>
      <c r="F267" s="468"/>
      <c r="G267" s="468"/>
      <c r="H267" s="664"/>
      <c r="I267" s="49"/>
      <c r="J267" s="663"/>
      <c r="K267" s="468"/>
      <c r="L267" s="468"/>
      <c r="M267" s="664"/>
      <c r="N267" s="49"/>
      <c r="O267" s="663"/>
      <c r="P267" s="468"/>
      <c r="Q267" s="468"/>
      <c r="R267" s="664"/>
      <c r="S267" s="49"/>
      <c r="T267" s="407"/>
      <c r="U267" s="349"/>
      <c r="V267" s="349"/>
      <c r="W267" s="408"/>
      <c r="X267" s="608"/>
      <c r="Y267" s="407">
        <f>(Y264*Y266*(8760/1000))/4</f>
        <v>0</v>
      </c>
      <c r="Z267" s="349">
        <f>(Z264*Z266*(8760/1000))/4</f>
        <v>0</v>
      </c>
      <c r="AA267" s="349">
        <f>(AA264*AA266*(8760/1000))/4</f>
        <v>325.21499999999997</v>
      </c>
      <c r="AB267" s="408">
        <f>(AB264*AB266*(8760/1000))/4</f>
        <v>0</v>
      </c>
      <c r="AC267" s="608">
        <f>SUM(Y267:AB267)</f>
        <v>325.21499999999997</v>
      </c>
      <c r="AD267" s="407">
        <f>(AD264*AD266*(8760/1000))/4</f>
        <v>0</v>
      </c>
      <c r="AE267" s="349">
        <f>(AE264*AE266*(8760/1000))/4</f>
        <v>325.21499999999997</v>
      </c>
      <c r="AF267" s="349">
        <f>(AF264*AF266*(8760/1000))/4</f>
        <v>325.21499999999997</v>
      </c>
      <c r="AG267" s="408">
        <f>(AG264*AG266*(8760/1000))/4</f>
        <v>325.21499999999997</v>
      </c>
      <c r="AH267" s="608">
        <f>SUM(AD267:AG267)</f>
        <v>975.64499999999998</v>
      </c>
      <c r="AI267" s="407">
        <f>(AI264*AI266*(8760/1000))/4</f>
        <v>0</v>
      </c>
      <c r="AJ267" s="349">
        <f>(AJ264*AJ266*(8760/1000))/4</f>
        <v>325.21499999999997</v>
      </c>
      <c r="AK267" s="349">
        <f>(AK264*AK266*(8760/1000))/4</f>
        <v>160.965</v>
      </c>
      <c r="AL267" s="408">
        <f>(AL264*AL266*(8760/1000))/4</f>
        <v>160.965</v>
      </c>
      <c r="AM267" s="608">
        <f>SUM(AI267:AL267)</f>
        <v>647.14499999999998</v>
      </c>
      <c r="AN267" s="407">
        <f>(AN264*AN266*(8760/1000))/4</f>
        <v>160.965</v>
      </c>
      <c r="AO267" s="349">
        <f>(AO264*AO266*(8760/1000))/4</f>
        <v>160.965</v>
      </c>
      <c r="AP267" s="349">
        <f>(AP264*AP266*(8760/1000))/4</f>
        <v>162.55275</v>
      </c>
      <c r="AQ267" s="408">
        <f>(AQ264*AQ266*(8760/1000))/4</f>
        <v>0</v>
      </c>
      <c r="AR267" s="608">
        <f>SUM(AN267:AQ267)</f>
        <v>484.48275000000001</v>
      </c>
      <c r="AS267" s="407">
        <f>(AS264*AS266*(8760/1000))/4</f>
        <v>0</v>
      </c>
      <c r="AT267" s="349">
        <f>(AT264*AT266*(8760/1000))/4</f>
        <v>0</v>
      </c>
      <c r="AU267" s="349">
        <f>(AU264*AU266*(8760/1000))/4</f>
        <v>162.55275</v>
      </c>
      <c r="AV267" s="408">
        <f>(AV264*AV266*(8760/1000))/4</f>
        <v>0</v>
      </c>
      <c r="AW267" s="608">
        <f>SUM(AS267:AV267)</f>
        <v>162.55275</v>
      </c>
      <c r="AX267" s="407">
        <f>(AX264*AX266*(8760/1000))/4</f>
        <v>0</v>
      </c>
      <c r="AY267" s="349">
        <f>(AY264*AY266*(8760/1000))/4</f>
        <v>162.55275</v>
      </c>
      <c r="AZ267" s="349">
        <f>(AZ264*AZ266*(8760/1000))/4</f>
        <v>112.18275</v>
      </c>
      <c r="BA267" s="408">
        <f>(BA264*BA266*(8760/1000))/4</f>
        <v>0</v>
      </c>
      <c r="BB267" s="608">
        <f>SUM(AX267:BA267)</f>
        <v>274.7355</v>
      </c>
      <c r="BC267" s="407">
        <f>(BC264*BC266*(8760/1000))/4</f>
        <v>0</v>
      </c>
      <c r="BD267" s="349">
        <f>(BD264*BD266*(8760/1000))/4</f>
        <v>162.55275</v>
      </c>
      <c r="BE267" s="349">
        <f>(BE264*BE266*(8760/1000))/4</f>
        <v>162.55275</v>
      </c>
      <c r="BF267" s="408">
        <f>(BF264*BF266*(8760/1000))/4</f>
        <v>0</v>
      </c>
      <c r="BG267" s="608">
        <f>SUM(BC267:BF267)</f>
        <v>325.10550000000001</v>
      </c>
      <c r="BH267" s="407">
        <f>(BH264*BH266*(8760/1000))/4</f>
        <v>0</v>
      </c>
      <c r="BI267" s="349">
        <f>(BI264*BI266*(8760/1000))/4</f>
        <v>162.55275</v>
      </c>
      <c r="BJ267" s="349">
        <f>(BJ264*BJ266*(8760/1000))/4</f>
        <v>162.55275</v>
      </c>
      <c r="BK267" s="408">
        <f>(BK264*BK266*(8760/1000))/4</f>
        <v>0</v>
      </c>
      <c r="BL267" s="608">
        <f>SUM(BH267:BK267)</f>
        <v>325.10550000000001</v>
      </c>
      <c r="BM267" s="407">
        <f>(BM264*BM266*(8760/1000))/4</f>
        <v>0</v>
      </c>
      <c r="BN267" s="349">
        <f>(BN264*BN266*(8760/1000))/4</f>
        <v>162.55275</v>
      </c>
      <c r="BO267" s="349">
        <f>(BO264*BO266*(8760/1000))/4</f>
        <v>162.55275</v>
      </c>
      <c r="BP267" s="408">
        <f>(BP264*BP266*(8760/1000))/4</f>
        <v>0</v>
      </c>
      <c r="BQ267" s="608">
        <f>SUM(BM267:BP267)</f>
        <v>325.10550000000001</v>
      </c>
      <c r="BR267" s="49"/>
      <c r="CM267" s="49" t="s">
        <v>449</v>
      </c>
      <c r="CO267" s="1191">
        <f>+CH205</f>
        <v>83.88</v>
      </c>
      <c r="CQ267" s="2" t="s">
        <v>781</v>
      </c>
    </row>
    <row r="268" spans="1:105" s="2" customFormat="1">
      <c r="A268" s="1523"/>
      <c r="E268" s="365"/>
      <c r="F268" s="6"/>
      <c r="G268" s="6"/>
      <c r="H268" s="366"/>
      <c r="I268" s="37"/>
      <c r="J268" s="365"/>
      <c r="K268" s="6"/>
      <c r="L268" s="6"/>
      <c r="M268" s="366"/>
      <c r="O268" s="365"/>
      <c r="P268" s="6"/>
      <c r="Q268" s="6"/>
      <c r="R268" s="366"/>
      <c r="T268" s="365"/>
      <c r="U268" s="6"/>
      <c r="V268" s="6"/>
      <c r="W268" s="366"/>
      <c r="Y268" s="365"/>
      <c r="Z268" s="6"/>
      <c r="AA268" s="6"/>
      <c r="AB268" s="366"/>
      <c r="AD268" s="365"/>
      <c r="AE268" s="6"/>
      <c r="AF268" s="6"/>
      <c r="AG268" s="366"/>
      <c r="AI268" s="365"/>
      <c r="AJ268" s="6"/>
      <c r="AK268" s="6"/>
      <c r="AL268" s="366"/>
      <c r="AN268" s="365"/>
      <c r="AO268" s="6"/>
      <c r="AP268" s="6"/>
      <c r="AQ268" s="366"/>
      <c r="AS268" s="365"/>
      <c r="AT268" s="6"/>
      <c r="AU268" s="6"/>
      <c r="AV268" s="366"/>
      <c r="AX268" s="365"/>
      <c r="AY268" s="6"/>
      <c r="AZ268" s="6"/>
      <c r="BA268" s="366"/>
      <c r="BC268" s="365"/>
      <c r="BD268" s="6"/>
      <c r="BE268" s="6"/>
      <c r="BF268" s="366"/>
      <c r="BH268" s="365"/>
      <c r="BI268" s="6"/>
      <c r="BJ268" s="6"/>
      <c r="BK268" s="366"/>
      <c r="BM268" s="365"/>
      <c r="BN268" s="6"/>
      <c r="BO268" s="6"/>
      <c r="BP268" s="366"/>
      <c r="CR268" s="49"/>
      <c r="CS268" s="49"/>
      <c r="CT268" s="49"/>
      <c r="CU268" s="49"/>
      <c r="CV268" s="49"/>
      <c r="CW268" s="49"/>
      <c r="CX268" s="49"/>
      <c r="CY268" s="49"/>
      <c r="CZ268" s="49"/>
      <c r="DA268" s="49"/>
    </row>
    <row r="269" spans="1:105" s="2" customFormat="1">
      <c r="A269" s="1523"/>
      <c r="C269" s="37" t="s">
        <v>663</v>
      </c>
      <c r="E269" s="365"/>
      <c r="F269" s="6"/>
      <c r="G269" s="6"/>
      <c r="H269" s="366"/>
      <c r="I269" s="37"/>
      <c r="J269" s="365"/>
      <c r="K269" s="6"/>
      <c r="L269" s="6"/>
      <c r="M269" s="366"/>
      <c r="O269" s="365"/>
      <c r="P269" s="6"/>
      <c r="Q269" s="6"/>
      <c r="R269" s="366"/>
      <c r="T269" s="392"/>
      <c r="U269" s="341"/>
      <c r="V269" s="341"/>
      <c r="W269" s="393"/>
      <c r="X269" s="296"/>
      <c r="Y269" s="392">
        <f>(Y261/1000*Y267)</f>
        <v>0</v>
      </c>
      <c r="Z269" s="341">
        <f>(Z261/1000*Z267)</f>
        <v>0</v>
      </c>
      <c r="AA269" s="341">
        <f>(AA261/1000*AA267)</f>
        <v>17.951909753921921</v>
      </c>
      <c r="AB269" s="393">
        <f>(AB261/1000*AB267)</f>
        <v>0</v>
      </c>
      <c r="AC269" s="296">
        <f>SUM(Y269:AB269)</f>
        <v>17.951909753921921</v>
      </c>
      <c r="AD269" s="392">
        <f>(AD261/1000*AD267)</f>
        <v>0</v>
      </c>
      <c r="AE269" s="341">
        <f>(AE261/1000*AE267)</f>
        <v>17.524866126308641</v>
      </c>
      <c r="AF269" s="341">
        <f>(AF261/1000*AF267)</f>
        <v>14.744426102890273</v>
      </c>
      <c r="AG269" s="393">
        <f>(AG261/1000*AG267)</f>
        <v>15.974729721561928</v>
      </c>
      <c r="AH269" s="296">
        <f>SUM(AD269:AG269)</f>
        <v>48.244021950760839</v>
      </c>
      <c r="AI269" s="392">
        <f>(AI261/1000*AI267)</f>
        <v>0</v>
      </c>
      <c r="AJ269" s="341">
        <f>(AJ261/1000*AJ267)</f>
        <v>11.974109966525567</v>
      </c>
      <c r="AK269" s="341">
        <f>(AK261/1000*AK267)</f>
        <v>6.4222634306080382</v>
      </c>
      <c r="AL269" s="393">
        <f>(AL261/1000*AL267)</f>
        <v>4.8356600129267449</v>
      </c>
      <c r="AM269" s="296">
        <f>SUM(AI269:AL269)</f>
        <v>23.23203341006035</v>
      </c>
      <c r="AN269" s="392">
        <f>(AN261/1000*AN267)</f>
        <v>5.0327832759814601</v>
      </c>
      <c r="AO269" s="341">
        <f>(AO261/1000*AO267)</f>
        <v>4.6208361369737103</v>
      </c>
      <c r="AP269" s="341">
        <f>(AP261/1000*AP267)</f>
        <v>6.6006017879782251</v>
      </c>
      <c r="AQ269" s="393">
        <f>(AQ261/1000*AQ267)</f>
        <v>0</v>
      </c>
      <c r="AR269" s="296">
        <f>SUM(AN269:AQ269)</f>
        <v>16.254221200933394</v>
      </c>
      <c r="AS269" s="392">
        <f>(AS261/1000*AS267)</f>
        <v>0</v>
      </c>
      <c r="AT269" s="341">
        <f>(AT261/1000*AT267)</f>
        <v>0</v>
      </c>
      <c r="AU269" s="341">
        <f>(AU261/1000*AU267)</f>
        <v>5.5844040775026889</v>
      </c>
      <c r="AV269" s="393">
        <f>(AV261/1000*AV267)</f>
        <v>0</v>
      </c>
      <c r="AW269" s="296">
        <f>SUM(AS269:AV269)</f>
        <v>5.5844040775026889</v>
      </c>
      <c r="AX269" s="392">
        <f>(AX261/1000*AX267)</f>
        <v>0</v>
      </c>
      <c r="AY269" s="341">
        <f>(AY261/1000*AY267)</f>
        <v>5.5871547544999993</v>
      </c>
      <c r="AZ269" s="341">
        <f>(AZ261/1000*AZ267)</f>
        <v>4.2699933161250003</v>
      </c>
      <c r="BA269" s="393">
        <f>(BA261/1000*BA267)</f>
        <v>0</v>
      </c>
      <c r="BB269" s="296">
        <f>SUM(AX269:BA269)</f>
        <v>9.8571480706249996</v>
      </c>
      <c r="BC269" s="392">
        <f>(BC261/1000*BC267)</f>
        <v>0</v>
      </c>
      <c r="BD269" s="341">
        <f>(BD261/1000*BD267)</f>
        <v>4.9247436569523275</v>
      </c>
      <c r="BE269" s="341">
        <f>(BE261/1000*BE267)</f>
        <v>5.5182406348868387</v>
      </c>
      <c r="BF269" s="393">
        <f>(BF261/1000*BF267)</f>
        <v>0</v>
      </c>
      <c r="BG269" s="296">
        <f>SUM(BC269:BF269)</f>
        <v>10.442984291839167</v>
      </c>
      <c r="BH269" s="392">
        <f>(BH261/1000*BH267)</f>
        <v>0</v>
      </c>
      <c r="BI269" s="341">
        <f>(BI261/1000*BI267)</f>
        <v>4.9213972397935715</v>
      </c>
      <c r="BJ269" s="341">
        <f>(BJ261/1000*BJ267)</f>
        <v>5.5144909300426725</v>
      </c>
      <c r="BK269" s="393">
        <f>(BK261/1000*BK267)</f>
        <v>0</v>
      </c>
      <c r="BL269" s="296">
        <f>SUM(BH269:BK269)</f>
        <v>10.435888169836243</v>
      </c>
      <c r="BM269" s="392">
        <f>(BM261/1000*BM267)</f>
        <v>0</v>
      </c>
      <c r="BN269" s="341">
        <f>(BN261/1000*BN267)</f>
        <v>5.8553822732142864</v>
      </c>
      <c r="BO269" s="341">
        <f>(BO261/1000*BO267)</f>
        <v>5.8553822732142864</v>
      </c>
      <c r="BP269" s="393">
        <f>(BP261/1000*BP267)</f>
        <v>0</v>
      </c>
      <c r="BQ269" s="296">
        <f>SUM(BM269:BP269)</f>
        <v>11.710764546428573</v>
      </c>
    </row>
    <row r="270" spans="1:105" s="49" customFormat="1">
      <c r="A270" s="1523"/>
      <c r="B270" s="2"/>
      <c r="C270" s="37" t="s">
        <v>346</v>
      </c>
      <c r="D270" s="2"/>
      <c r="E270" s="365"/>
      <c r="F270" s="6"/>
      <c r="G270" s="6"/>
      <c r="H270" s="366"/>
      <c r="I270" s="37"/>
      <c r="J270" s="365"/>
      <c r="K270" s="6"/>
      <c r="L270" s="6"/>
      <c r="M270" s="366"/>
      <c r="N270" s="2"/>
      <c r="O270" s="365"/>
      <c r="P270" s="6"/>
      <c r="Q270" s="6"/>
      <c r="R270" s="366"/>
      <c r="S270" s="2"/>
      <c r="T270" s="392"/>
      <c r="U270" s="341"/>
      <c r="V270" s="341"/>
      <c r="W270" s="393"/>
      <c r="X270" s="296"/>
      <c r="Y270" s="392">
        <f>Y262/1000*Y267</f>
        <v>0</v>
      </c>
      <c r="Z270" s="341">
        <f>Z262/1000*Z267</f>
        <v>0</v>
      </c>
      <c r="AA270" s="341">
        <f>AA262/1000*AA267</f>
        <v>14.861563277343745</v>
      </c>
      <c r="AB270" s="393">
        <f>AB262/1000*AB267</f>
        <v>0</v>
      </c>
      <c r="AC270" s="296">
        <f>SUM(Y270:AB270)</f>
        <v>14.861563277343745</v>
      </c>
      <c r="AD270" s="392">
        <f>AD262/1000*AD267</f>
        <v>0</v>
      </c>
      <c r="AE270" s="341">
        <f>AE262/1000*AE267</f>
        <v>15.127483706542964</v>
      </c>
      <c r="AF270" s="341">
        <f>AF262/1000*AF267</f>
        <v>10.41783695068359</v>
      </c>
      <c r="AG270" s="393">
        <f>AG262/1000*AG267</f>
        <v>12.103174762207029</v>
      </c>
      <c r="AH270" s="296">
        <f>SUM(AD270:AG270)</f>
        <v>37.648495419433587</v>
      </c>
      <c r="AI270" s="392">
        <f>AI262/1000*AI267</f>
        <v>0</v>
      </c>
      <c r="AJ270" s="341">
        <f>AJ262/1000*AJ267</f>
        <v>8.3536699419642844</v>
      </c>
      <c r="AK270" s="341">
        <f>AK262/1000*AK267</f>
        <v>3.6660564711914061</v>
      </c>
      <c r="AL270" s="393">
        <f>AL262/1000*AL267</f>
        <v>3.2183259062499991</v>
      </c>
      <c r="AM270" s="296">
        <f>SUM(AI270:AL270)</f>
        <v>15.238052319405691</v>
      </c>
      <c r="AN270" s="392">
        <f>AN262/1000*AN267</f>
        <v>4.3436141372950825</v>
      </c>
      <c r="AO270" s="341">
        <f>AO262/1000*AO267</f>
        <v>3.2994209575195317</v>
      </c>
      <c r="AP270" s="341">
        <f>AP262/1000*AP267</f>
        <v>3.3170603061035147</v>
      </c>
      <c r="AQ270" s="393">
        <f>AQ262/1000*AQ267</f>
        <v>0</v>
      </c>
      <c r="AR270" s="296">
        <f>SUM(AN270:AQ270)</f>
        <v>10.960095400918128</v>
      </c>
      <c r="AS270" s="392">
        <f>AS262/1000*AS267</f>
        <v>0</v>
      </c>
      <c r="AT270" s="341">
        <f>AT262/1000*AT267</f>
        <v>0</v>
      </c>
      <c r="AU270" s="341">
        <f>AU262/1000*AU267</f>
        <v>4.2203402769345253</v>
      </c>
      <c r="AV270" s="393">
        <f>AV262/1000*AV267</f>
        <v>0</v>
      </c>
      <c r="AW270" s="296">
        <f>SUM(AS270:AV270)</f>
        <v>4.2203402769345253</v>
      </c>
      <c r="AX270" s="392">
        <f>AX262/1000*AX267</f>
        <v>0</v>
      </c>
      <c r="AY270" s="341">
        <f>AY262/1000*AY267</f>
        <v>4.7793895015625001</v>
      </c>
      <c r="AZ270" s="341">
        <f>AZ262/1000*AZ267</f>
        <v>3.3128968359375004</v>
      </c>
      <c r="BA270" s="393">
        <f>BA262/1000*BA267</f>
        <v>0</v>
      </c>
      <c r="BB270" s="296">
        <f>SUM(AX270:BA270)</f>
        <v>8.0922863375000009</v>
      </c>
      <c r="BC270" s="392">
        <f>BC262/1000*BC267</f>
        <v>0</v>
      </c>
      <c r="BD270" s="341">
        <f>BD262/1000*BD267</f>
        <v>3.6851537195069315</v>
      </c>
      <c r="BE270" s="341">
        <f>BE262/1000*BE267</f>
        <v>3.6038899125728556</v>
      </c>
      <c r="BF270" s="393">
        <f>BF262/1000*BF267</f>
        <v>0</v>
      </c>
      <c r="BG270" s="296">
        <f>SUM(BC270:BF270)</f>
        <v>7.2890436320797871</v>
      </c>
      <c r="BH270" s="392">
        <f>BH262/1000*BH267</f>
        <v>0</v>
      </c>
      <c r="BI270" s="341">
        <f>BI262/1000*BI267</f>
        <v>3.6881389710584163</v>
      </c>
      <c r="BJ270" s="341">
        <f>BJ262/1000*BJ267</f>
        <v>3.6050519258077514</v>
      </c>
      <c r="BK270" s="393">
        <f>BK262/1000*BK267</f>
        <v>0</v>
      </c>
      <c r="BL270" s="296">
        <f>SUM(BH270:BK270)</f>
        <v>7.2931908968661681</v>
      </c>
      <c r="BM270" s="392">
        <f>BM262/1000*BM267</f>
        <v>0</v>
      </c>
      <c r="BN270" s="341">
        <f>BN262/1000*BN267</f>
        <v>4.6297164267053148</v>
      </c>
      <c r="BO270" s="341">
        <f>BO262/1000*BO267</f>
        <v>4.4931256416416341</v>
      </c>
      <c r="BP270" s="393">
        <f>BP262/1000*BP267</f>
        <v>0</v>
      </c>
      <c r="BQ270" s="296">
        <f>SUM(BM270:BP270)</f>
        <v>9.122842068346948</v>
      </c>
      <c r="BR270" s="2"/>
      <c r="CM270" s="49" t="s">
        <v>777</v>
      </c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</row>
    <row r="271" spans="1:105" s="2" customFormat="1">
      <c r="A271" s="49"/>
      <c r="B271" s="49"/>
      <c r="C271" s="49" t="s">
        <v>270</v>
      </c>
      <c r="D271" s="49"/>
      <c r="E271" s="663"/>
      <c r="F271" s="468"/>
      <c r="G271" s="468"/>
      <c r="H271" s="664"/>
      <c r="I271" s="37"/>
      <c r="J271" s="663"/>
      <c r="K271" s="468"/>
      <c r="L271" s="468"/>
      <c r="M271" s="664"/>
      <c r="N271" s="49"/>
      <c r="O271" s="663"/>
      <c r="P271" s="468"/>
      <c r="Q271" s="468"/>
      <c r="R271" s="664"/>
      <c r="S271" s="49"/>
      <c r="T271" s="396"/>
      <c r="U271" s="343"/>
      <c r="V271" s="343"/>
      <c r="W271" s="397"/>
      <c r="X271" s="297"/>
      <c r="Y271" s="396">
        <f t="shared" ref="Y271:AR271" si="258">Y269-Y270</f>
        <v>0</v>
      </c>
      <c r="Z271" s="343">
        <f t="shared" si="258"/>
        <v>0</v>
      </c>
      <c r="AA271" s="343">
        <f t="shared" si="258"/>
        <v>3.0903464765781763</v>
      </c>
      <c r="AB271" s="397">
        <f t="shared" si="258"/>
        <v>0</v>
      </c>
      <c r="AC271" s="297">
        <f t="shared" si="258"/>
        <v>3.0903464765781763</v>
      </c>
      <c r="AD271" s="396">
        <f>AD269-AD270</f>
        <v>0</v>
      </c>
      <c r="AE271" s="343">
        <f>AE269-AE270</f>
        <v>2.3973824197656768</v>
      </c>
      <c r="AF271" s="343">
        <f t="shared" si="258"/>
        <v>4.3265891522066831</v>
      </c>
      <c r="AG271" s="397">
        <f t="shared" si="258"/>
        <v>3.8715549593548992</v>
      </c>
      <c r="AH271" s="297">
        <f t="shared" si="258"/>
        <v>10.595526531327252</v>
      </c>
      <c r="AI271" s="396">
        <f t="shared" si="258"/>
        <v>0</v>
      </c>
      <c r="AJ271" s="343">
        <f t="shared" si="258"/>
        <v>3.6204400245612831</v>
      </c>
      <c r="AK271" s="343">
        <f t="shared" si="258"/>
        <v>2.7562069594166321</v>
      </c>
      <c r="AL271" s="397">
        <f t="shared" si="258"/>
        <v>1.6173341066767457</v>
      </c>
      <c r="AM271" s="297">
        <f t="shared" si="258"/>
        <v>7.9939810906546587</v>
      </c>
      <c r="AN271" s="396">
        <f t="shared" si="258"/>
        <v>0.68916913868637764</v>
      </c>
      <c r="AO271" s="343">
        <f t="shared" si="258"/>
        <v>1.3214151794541786</v>
      </c>
      <c r="AP271" s="343">
        <f t="shared" si="258"/>
        <v>3.2835414818747104</v>
      </c>
      <c r="AQ271" s="397">
        <f t="shared" si="258"/>
        <v>0</v>
      </c>
      <c r="AR271" s="297">
        <f t="shared" si="258"/>
        <v>5.2941258000152658</v>
      </c>
      <c r="AS271" s="396">
        <f t="shared" ref="AS271:BB271" si="259">AS269-AS270</f>
        <v>0</v>
      </c>
      <c r="AT271" s="343">
        <f t="shared" si="259"/>
        <v>0</v>
      </c>
      <c r="AU271" s="343">
        <f t="shared" si="259"/>
        <v>1.3640638005681636</v>
      </c>
      <c r="AV271" s="397">
        <f t="shared" si="259"/>
        <v>0</v>
      </c>
      <c r="AW271" s="297">
        <f t="shared" si="259"/>
        <v>1.3640638005681636</v>
      </c>
      <c r="AX271" s="396">
        <f>AX269-AX270</f>
        <v>0</v>
      </c>
      <c r="AY271" s="343">
        <f>AY269-AY270</f>
        <v>0.80776525293749923</v>
      </c>
      <c r="AZ271" s="343">
        <f>AZ269-AZ270</f>
        <v>0.95709648018749993</v>
      </c>
      <c r="BA271" s="397">
        <f>BA269-BA270</f>
        <v>0</v>
      </c>
      <c r="BB271" s="297">
        <f t="shared" si="259"/>
        <v>1.7648617331249987</v>
      </c>
      <c r="BC271" s="396">
        <f t="shared" ref="BC271:BL271" si="260">BC269-BC270</f>
        <v>0</v>
      </c>
      <c r="BD271" s="343">
        <f t="shared" si="260"/>
        <v>1.239589937445396</v>
      </c>
      <c r="BE271" s="343">
        <f t="shared" si="260"/>
        <v>1.9143507223139831</v>
      </c>
      <c r="BF271" s="397">
        <f t="shared" si="260"/>
        <v>0</v>
      </c>
      <c r="BG271" s="297">
        <f t="shared" si="260"/>
        <v>3.15394065975938</v>
      </c>
      <c r="BH271" s="396">
        <f t="shared" si="260"/>
        <v>0</v>
      </c>
      <c r="BI271" s="343">
        <f t="shared" si="260"/>
        <v>1.2332582687351552</v>
      </c>
      <c r="BJ271" s="343">
        <f t="shared" si="260"/>
        <v>1.9094390042349212</v>
      </c>
      <c r="BK271" s="397">
        <f t="shared" si="260"/>
        <v>0</v>
      </c>
      <c r="BL271" s="297">
        <f t="shared" si="260"/>
        <v>3.1426972729700751</v>
      </c>
      <c r="BM271" s="396">
        <f>BM269-BM270</f>
        <v>0</v>
      </c>
      <c r="BN271" s="343">
        <f>BN269-BN270</f>
        <v>1.2256658465089716</v>
      </c>
      <c r="BO271" s="343">
        <f>BO269-BO270</f>
        <v>1.3622566315726523</v>
      </c>
      <c r="BP271" s="397">
        <f>BP269-BP270</f>
        <v>0</v>
      </c>
      <c r="BQ271" s="297">
        <f>BQ269-BQ270</f>
        <v>2.5879224780816248</v>
      </c>
      <c r="BR271" s="49"/>
      <c r="CM271" s="2" t="s">
        <v>682</v>
      </c>
      <c r="CO271" s="1190">
        <f>AVERAGE(BX214:BZ214)*365/(8.76*0.42)/1000</f>
        <v>18.353174603174605</v>
      </c>
      <c r="CQ271" s="2" t="s">
        <v>778</v>
      </c>
    </row>
    <row r="272" spans="1:105" s="2" customFormat="1">
      <c r="A272" s="1523"/>
      <c r="E272" s="365"/>
      <c r="F272" s="6"/>
      <c r="G272" s="6"/>
      <c r="H272" s="366"/>
      <c r="I272" s="37"/>
      <c r="J272" s="365"/>
      <c r="K272" s="6"/>
      <c r="L272" s="6"/>
      <c r="M272" s="366"/>
      <c r="O272" s="365"/>
      <c r="P272" s="6"/>
      <c r="Q272" s="6"/>
      <c r="R272" s="366"/>
      <c r="T272" s="365"/>
      <c r="U272" s="6"/>
      <c r="V272" s="6"/>
      <c r="W272" s="366"/>
      <c r="Y272" s="365"/>
      <c r="Z272" s="6"/>
      <c r="AA272" s="6"/>
      <c r="AB272" s="366"/>
      <c r="AD272" s="365"/>
      <c r="AE272" s="6"/>
      <c r="AF272" s="6"/>
      <c r="AG272" s="366"/>
      <c r="AI272" s="365"/>
      <c r="AJ272" s="6"/>
      <c r="AK272" s="6"/>
      <c r="AL272" s="366"/>
      <c r="AN272" s="365"/>
      <c r="AO272" s="6"/>
      <c r="AP272" s="6"/>
      <c r="AQ272" s="366"/>
      <c r="AS272" s="365"/>
      <c r="AT272" s="6"/>
      <c r="AU272" s="6"/>
      <c r="AV272" s="366"/>
      <c r="AX272" s="365"/>
      <c r="AY272" s="6"/>
      <c r="AZ272" s="6"/>
      <c r="BA272" s="366"/>
      <c r="BC272" s="365"/>
      <c r="BD272" s="6"/>
      <c r="BE272" s="6"/>
      <c r="BF272" s="366"/>
      <c r="BH272" s="365"/>
      <c r="BI272" s="6"/>
      <c r="BJ272" s="6"/>
      <c r="BK272" s="366"/>
      <c r="BM272" s="365"/>
      <c r="BN272" s="6"/>
      <c r="BO272" s="6"/>
      <c r="BP272" s="366"/>
      <c r="CM272" s="2" t="s">
        <v>766</v>
      </c>
      <c r="CO272" s="1190">
        <f>+CI204</f>
        <v>47</v>
      </c>
      <c r="CQ272" s="2" t="s">
        <v>780</v>
      </c>
    </row>
    <row r="273" spans="1:105" s="2" customFormat="1">
      <c r="A273" s="1523"/>
      <c r="C273" s="592" t="s">
        <v>209</v>
      </c>
      <c r="E273" s="365"/>
      <c r="F273" s="6"/>
      <c r="G273" s="6"/>
      <c r="H273" s="366"/>
      <c r="I273" s="603"/>
      <c r="J273" s="365"/>
      <c r="K273" s="6"/>
      <c r="L273" s="6"/>
      <c r="M273" s="366"/>
      <c r="O273" s="365"/>
      <c r="P273" s="6"/>
      <c r="Q273" s="6"/>
      <c r="R273" s="366"/>
      <c r="T273" s="365"/>
      <c r="U273" s="6"/>
      <c r="V273" s="6"/>
      <c r="W273" s="366"/>
      <c r="Y273" s="365"/>
      <c r="Z273" s="6"/>
      <c r="AA273" s="6"/>
      <c r="AB273" s="366"/>
      <c r="AD273" s="365"/>
      <c r="AE273" s="6"/>
      <c r="AF273" s="6"/>
      <c r="AG273" s="366"/>
      <c r="AI273" s="365"/>
      <c r="AJ273" s="6"/>
      <c r="AK273" s="6"/>
      <c r="AL273" s="366"/>
      <c r="AN273" s="365"/>
      <c r="AO273" s="6"/>
      <c r="AP273" s="6"/>
      <c r="AQ273" s="366"/>
      <c r="AS273" s="365"/>
      <c r="AT273" s="6"/>
      <c r="AU273" s="6"/>
      <c r="AV273" s="366"/>
      <c r="AX273" s="365"/>
      <c r="AY273" s="6"/>
      <c r="AZ273" s="6"/>
      <c r="BA273" s="366"/>
      <c r="BC273" s="365"/>
      <c r="BD273" s="6"/>
      <c r="BE273" s="6"/>
      <c r="BF273" s="366"/>
      <c r="BH273" s="365"/>
      <c r="BI273" s="6"/>
      <c r="BJ273" s="6"/>
      <c r="BK273" s="366"/>
      <c r="BM273" s="365"/>
      <c r="BN273" s="6"/>
      <c r="BO273" s="6"/>
      <c r="BP273" s="366"/>
      <c r="CM273" s="2" t="s">
        <v>768</v>
      </c>
      <c r="CO273" s="1190">
        <v>15</v>
      </c>
      <c r="CQ273" s="2" t="s">
        <v>772</v>
      </c>
    </row>
    <row r="274" spans="1:105" s="2" customFormat="1">
      <c r="A274" s="1523"/>
      <c r="C274" s="37" t="s">
        <v>271</v>
      </c>
      <c r="E274" s="365"/>
      <c r="F274" s="6"/>
      <c r="G274" s="6"/>
      <c r="H274" s="366"/>
      <c r="I274" s="37"/>
      <c r="J274" s="365"/>
      <c r="K274" s="6"/>
      <c r="L274" s="6"/>
      <c r="M274" s="366"/>
      <c r="O274" s="365"/>
      <c r="P274" s="6"/>
      <c r="Q274" s="6"/>
      <c r="R274" s="366"/>
      <c r="T274" s="598"/>
      <c r="U274" s="599"/>
      <c r="V274" s="599"/>
      <c r="W274" s="600"/>
      <c r="X274" s="601"/>
      <c r="Y274" s="598">
        <f t="shared" ref="Y274:BL274" si="261">Y71</f>
        <v>42.607887670634931</v>
      </c>
      <c r="Z274" s="599">
        <f t="shared" si="261"/>
        <v>47.166300820312507</v>
      </c>
      <c r="AA274" s="599">
        <f t="shared" si="261"/>
        <v>55.200128388671871</v>
      </c>
      <c r="AB274" s="600">
        <f t="shared" si="261"/>
        <v>42.19233237304686</v>
      </c>
      <c r="AC274" s="601">
        <f t="shared" si="261"/>
        <v>46.791662313166547</v>
      </c>
      <c r="AD274" s="598">
        <f t="shared" si="261"/>
        <v>132.34547472222226</v>
      </c>
      <c r="AE274" s="599">
        <f t="shared" si="261"/>
        <v>53.887016669921877</v>
      </c>
      <c r="AF274" s="599">
        <f t="shared" si="261"/>
        <v>45.337472450195328</v>
      </c>
      <c r="AG274" s="600">
        <f t="shared" si="261"/>
        <v>49.12051941503907</v>
      </c>
      <c r="AH274" s="601">
        <f t="shared" si="261"/>
        <v>70.17262081434464</v>
      </c>
      <c r="AI274" s="598">
        <f t="shared" si="261"/>
        <v>67.284598143849195</v>
      </c>
      <c r="AJ274" s="599">
        <f t="shared" si="261"/>
        <v>36.819058058593754</v>
      </c>
      <c r="AK274" s="599">
        <f t="shared" si="261"/>
        <v>39.898508561538463</v>
      </c>
      <c r="AL274" s="600">
        <f t="shared" si="261"/>
        <v>30.041686161132823</v>
      </c>
      <c r="AM274" s="601">
        <f t="shared" si="261"/>
        <v>43.510962731278553</v>
      </c>
      <c r="AN274" s="598">
        <f t="shared" si="261"/>
        <v>31.26632047949219</v>
      </c>
      <c r="AO274" s="599">
        <f t="shared" si="261"/>
        <v>28.707086242187497</v>
      </c>
      <c r="AP274" s="599">
        <f t="shared" si="261"/>
        <v>40.605906624023433</v>
      </c>
      <c r="AQ274" s="600">
        <f t="shared" si="261"/>
        <v>28.828253920634918</v>
      </c>
      <c r="AR274" s="601">
        <f t="shared" si="261"/>
        <v>32.351891816584512</v>
      </c>
      <c r="AS274" s="598">
        <f t="shared" si="261"/>
        <v>33.256564817382809</v>
      </c>
      <c r="AT274" s="599">
        <f t="shared" si="261"/>
        <v>32.387231337890618</v>
      </c>
      <c r="AU274" s="599">
        <f t="shared" si="261"/>
        <v>34.354411583333338</v>
      </c>
      <c r="AV274" s="600">
        <f t="shared" si="261"/>
        <v>39.044797251984129</v>
      </c>
      <c r="AW274" s="601">
        <f t="shared" si="261"/>
        <v>34.760751247647725</v>
      </c>
      <c r="AX274" s="598">
        <f t="shared" si="261"/>
        <v>49.504310380859366</v>
      </c>
      <c r="AY274" s="599">
        <f t="shared" si="261"/>
        <v>34.371333333333332</v>
      </c>
      <c r="AZ274" s="599">
        <f>AZ71</f>
        <v>38.062833333333337</v>
      </c>
      <c r="BA274" s="600">
        <f t="shared" si="261"/>
        <v>34.614333333333327</v>
      </c>
      <c r="BB274" s="601">
        <f t="shared" si="261"/>
        <v>39.138202595214842</v>
      </c>
      <c r="BC274" s="598">
        <f t="shared" si="261"/>
        <v>46.510944725679025</v>
      </c>
      <c r="BD274" s="599">
        <f t="shared" si="261"/>
        <v>30.296280173373429</v>
      </c>
      <c r="BE274" s="599">
        <f t="shared" si="261"/>
        <v>33.94738406386135</v>
      </c>
      <c r="BF274" s="600">
        <f t="shared" si="261"/>
        <v>36.410057703486217</v>
      </c>
      <c r="BG274" s="601">
        <f t="shared" si="261"/>
        <v>36.791166666600006</v>
      </c>
      <c r="BH274" s="598">
        <f t="shared" si="261"/>
        <v>46.479340030218324</v>
      </c>
      <c r="BI274" s="599">
        <f t="shared" si="261"/>
        <v>30.275693519756331</v>
      </c>
      <c r="BJ274" s="599">
        <f t="shared" si="261"/>
        <v>33.924316445231916</v>
      </c>
      <c r="BK274" s="600">
        <f t="shared" si="261"/>
        <v>36.385316671193436</v>
      </c>
      <c r="BL274" s="601">
        <f t="shared" si="261"/>
        <v>36.7661666666</v>
      </c>
      <c r="BM274" s="598">
        <f>BM71</f>
        <v>36.021428571428572</v>
      </c>
      <c r="BN274" s="599">
        <f>BN71</f>
        <v>36.021428571428572</v>
      </c>
      <c r="BO274" s="599">
        <f>BO71</f>
        <v>36.021428571428572</v>
      </c>
      <c r="BP274" s="600">
        <f>BP71</f>
        <v>36.021428571428572</v>
      </c>
      <c r="BQ274" s="601">
        <f>BQ71</f>
        <v>36.021428571428572</v>
      </c>
      <c r="CM274" s="2" t="s">
        <v>769</v>
      </c>
      <c r="CO274" s="1190">
        <v>6</v>
      </c>
      <c r="CP274" s="49"/>
      <c r="CQ274" s="2" t="s">
        <v>707</v>
      </c>
      <c r="CR274" s="49"/>
      <c r="CS274" s="49"/>
      <c r="CT274" s="49"/>
      <c r="CU274" s="49"/>
      <c r="CV274" s="49"/>
      <c r="CW274" s="49"/>
      <c r="CX274" s="49"/>
      <c r="CY274" s="49"/>
      <c r="CZ274" s="49"/>
      <c r="DA274" s="49"/>
    </row>
    <row r="275" spans="1:105" s="2" customFormat="1">
      <c r="A275" s="1523"/>
      <c r="C275" s="37" t="s">
        <v>266</v>
      </c>
      <c r="E275" s="365"/>
      <c r="F275" s="6"/>
      <c r="G275" s="6"/>
      <c r="H275" s="366"/>
      <c r="I275" s="733">
        <v>0</v>
      </c>
      <c r="J275" s="365"/>
      <c r="K275" s="6"/>
      <c r="L275" s="6"/>
      <c r="M275" s="366"/>
      <c r="O275" s="365"/>
      <c r="P275" s="6"/>
      <c r="Q275" s="6"/>
      <c r="R275" s="366"/>
      <c r="T275" s="598"/>
      <c r="U275" s="599"/>
      <c r="V275" s="599"/>
      <c r="W275" s="600"/>
      <c r="X275" s="601"/>
      <c r="Y275" s="598">
        <f>I275</f>
        <v>0</v>
      </c>
      <c r="Z275" s="599">
        <f t="shared" ref="Z275:AQ275" si="262">Y275</f>
        <v>0</v>
      </c>
      <c r="AA275" s="599">
        <f t="shared" si="262"/>
        <v>0</v>
      </c>
      <c r="AB275" s="600">
        <f t="shared" si="262"/>
        <v>0</v>
      </c>
      <c r="AC275" s="601">
        <f>AB275</f>
        <v>0</v>
      </c>
      <c r="AD275" s="598">
        <f>I275</f>
        <v>0</v>
      </c>
      <c r="AE275" s="599">
        <f>AD275</f>
        <v>0</v>
      </c>
      <c r="AF275" s="599">
        <f t="shared" si="262"/>
        <v>0</v>
      </c>
      <c r="AG275" s="600">
        <f t="shared" si="262"/>
        <v>0</v>
      </c>
      <c r="AH275" s="601">
        <f>AG275</f>
        <v>0</v>
      </c>
      <c r="AI275" s="598">
        <f t="shared" si="262"/>
        <v>0</v>
      </c>
      <c r="AJ275" s="599">
        <f t="shared" si="262"/>
        <v>0</v>
      </c>
      <c r="AK275" s="599">
        <f t="shared" si="262"/>
        <v>0</v>
      </c>
      <c r="AL275" s="600">
        <f t="shared" si="262"/>
        <v>0</v>
      </c>
      <c r="AM275" s="601">
        <f>AL275</f>
        <v>0</v>
      </c>
      <c r="AN275" s="598">
        <f t="shared" si="262"/>
        <v>0</v>
      </c>
      <c r="AO275" s="599">
        <f t="shared" si="262"/>
        <v>0</v>
      </c>
      <c r="AP275" s="599">
        <f t="shared" si="262"/>
        <v>0</v>
      </c>
      <c r="AQ275" s="600">
        <f t="shared" si="262"/>
        <v>0</v>
      </c>
      <c r="AR275" s="601">
        <f t="shared" ref="AR275:AW275" si="263">AQ275</f>
        <v>0</v>
      </c>
      <c r="AS275" s="598">
        <f t="shared" si="263"/>
        <v>0</v>
      </c>
      <c r="AT275" s="599">
        <f t="shared" si="263"/>
        <v>0</v>
      </c>
      <c r="AU275" s="599">
        <f t="shared" si="263"/>
        <v>0</v>
      </c>
      <c r="AV275" s="600">
        <f t="shared" si="263"/>
        <v>0</v>
      </c>
      <c r="AW275" s="601">
        <f t="shared" si="263"/>
        <v>0</v>
      </c>
      <c r="AX275" s="598">
        <f t="shared" ref="AX275:BL275" si="264">AW275</f>
        <v>0</v>
      </c>
      <c r="AY275" s="599">
        <f t="shared" si="264"/>
        <v>0</v>
      </c>
      <c r="AZ275" s="599">
        <f>AY275</f>
        <v>0</v>
      </c>
      <c r="BA275" s="600">
        <f>AY275</f>
        <v>0</v>
      </c>
      <c r="BB275" s="601">
        <f t="shared" si="264"/>
        <v>0</v>
      </c>
      <c r="BC275" s="598">
        <f t="shared" si="264"/>
        <v>0</v>
      </c>
      <c r="BD275" s="599">
        <f t="shared" si="264"/>
        <v>0</v>
      </c>
      <c r="BE275" s="599">
        <f t="shared" si="264"/>
        <v>0</v>
      </c>
      <c r="BF275" s="600">
        <f t="shared" si="264"/>
        <v>0</v>
      </c>
      <c r="BG275" s="601">
        <f t="shared" si="264"/>
        <v>0</v>
      </c>
      <c r="BH275" s="598">
        <f t="shared" si="264"/>
        <v>0</v>
      </c>
      <c r="BI275" s="599">
        <f t="shared" si="264"/>
        <v>0</v>
      </c>
      <c r="BJ275" s="599">
        <f t="shared" si="264"/>
        <v>0</v>
      </c>
      <c r="BK275" s="600">
        <f t="shared" si="264"/>
        <v>0</v>
      </c>
      <c r="BL275" s="601">
        <f t="shared" si="264"/>
        <v>0</v>
      </c>
      <c r="BM275" s="598">
        <f>BL275</f>
        <v>0</v>
      </c>
      <c r="BN275" s="599">
        <f>BM275</f>
        <v>0</v>
      </c>
      <c r="BO275" s="599">
        <f>BN275</f>
        <v>0</v>
      </c>
      <c r="BP275" s="600">
        <f>BO275</f>
        <v>0</v>
      </c>
      <c r="BQ275" s="601">
        <f>BP275</f>
        <v>0</v>
      </c>
      <c r="CM275" s="2" t="s">
        <v>770</v>
      </c>
      <c r="CO275" s="1192">
        <f>+CO276-SUM(CO271:CO274)</f>
        <v>7.946825396825389</v>
      </c>
      <c r="CQ275" s="2" t="s">
        <v>776</v>
      </c>
    </row>
    <row r="276" spans="1:105" s="2" customFormat="1">
      <c r="A276" s="1523"/>
      <c r="C276" s="37" t="s">
        <v>440</v>
      </c>
      <c r="E276" s="365"/>
      <c r="F276" s="6"/>
      <c r="G276" s="6"/>
      <c r="H276" s="366"/>
      <c r="I276" s="37"/>
      <c r="J276" s="365"/>
      <c r="K276" s="6"/>
      <c r="L276" s="6"/>
      <c r="M276" s="366"/>
      <c r="O276" s="365"/>
      <c r="P276" s="6"/>
      <c r="Q276" s="6"/>
      <c r="R276" s="366"/>
      <c r="T276" s="612"/>
      <c r="U276" s="613"/>
      <c r="V276" s="613"/>
      <c r="W276" s="614"/>
      <c r="X276" s="615"/>
      <c r="Y276" s="612">
        <f t="shared" ref="Y276:BL276" si="265">Y94</f>
        <v>139.72999999999999</v>
      </c>
      <c r="Z276" s="613">
        <f t="shared" si="265"/>
        <v>174.82</v>
      </c>
      <c r="AA276" s="613">
        <f t="shared" si="265"/>
        <v>245</v>
      </c>
      <c r="AB276" s="614">
        <f t="shared" si="265"/>
        <v>245</v>
      </c>
      <c r="AC276" s="615">
        <f t="shared" si="265"/>
        <v>201.13749999999999</v>
      </c>
      <c r="AD276" s="612">
        <f t="shared" si="265"/>
        <v>245</v>
      </c>
      <c r="AE276" s="613">
        <f t="shared" si="265"/>
        <v>208.83333333333334</v>
      </c>
      <c r="AF276" s="613">
        <f t="shared" si="265"/>
        <v>136.5</v>
      </c>
      <c r="AG276" s="614">
        <f t="shared" si="265"/>
        <v>136.5</v>
      </c>
      <c r="AH276" s="615">
        <f t="shared" si="265"/>
        <v>181.70833333333334</v>
      </c>
      <c r="AI276" s="612">
        <f t="shared" si="265"/>
        <v>136.5</v>
      </c>
      <c r="AJ276" s="613">
        <f t="shared" si="265"/>
        <v>146.82</v>
      </c>
      <c r="AK276" s="613">
        <f t="shared" si="265"/>
        <v>167.46</v>
      </c>
      <c r="AL276" s="614">
        <f t="shared" si="265"/>
        <v>167.46</v>
      </c>
      <c r="AM276" s="615">
        <f t="shared" si="265"/>
        <v>154.56</v>
      </c>
      <c r="AN276" s="612">
        <f t="shared" si="265"/>
        <v>167.46</v>
      </c>
      <c r="AO276" s="613">
        <f t="shared" si="265"/>
        <v>151.35</v>
      </c>
      <c r="AP276" s="613">
        <f t="shared" si="265"/>
        <v>119.13</v>
      </c>
      <c r="AQ276" s="614">
        <f t="shared" si="265"/>
        <v>119.13</v>
      </c>
      <c r="AR276" s="615">
        <f t="shared" si="265"/>
        <v>139.26749999999998</v>
      </c>
      <c r="AS276" s="612">
        <f t="shared" si="265"/>
        <v>119.13</v>
      </c>
      <c r="AT276" s="613">
        <f t="shared" si="265"/>
        <v>119.41999999999999</v>
      </c>
      <c r="AU276" s="613">
        <f t="shared" si="265"/>
        <v>120</v>
      </c>
      <c r="AV276" s="614">
        <f t="shared" si="265"/>
        <v>120</v>
      </c>
      <c r="AW276" s="615">
        <f t="shared" si="265"/>
        <v>119.63749999999999</v>
      </c>
      <c r="AX276" s="612">
        <f t="shared" si="265"/>
        <v>120</v>
      </c>
      <c r="AY276" s="613">
        <f t="shared" si="265"/>
        <v>155.13999999999999</v>
      </c>
      <c r="AZ276" s="613">
        <f>AZ94</f>
        <v>225.42</v>
      </c>
      <c r="BA276" s="614">
        <f t="shared" si="265"/>
        <v>225.42</v>
      </c>
      <c r="BB276" s="615">
        <f t="shared" si="265"/>
        <v>181.49499999999998</v>
      </c>
      <c r="BC276" s="612">
        <f t="shared" si="265"/>
        <v>225.42</v>
      </c>
      <c r="BD276" s="613">
        <f t="shared" si="265"/>
        <v>190.27999999999997</v>
      </c>
      <c r="BE276" s="613">
        <f t="shared" si="265"/>
        <v>120</v>
      </c>
      <c r="BF276" s="614">
        <f t="shared" si="265"/>
        <v>120</v>
      </c>
      <c r="BG276" s="615">
        <f t="shared" si="265"/>
        <v>163.92499999999998</v>
      </c>
      <c r="BH276" s="612">
        <f t="shared" si="265"/>
        <v>120</v>
      </c>
      <c r="BI276" s="613">
        <f t="shared" si="265"/>
        <v>142.62333333333333</v>
      </c>
      <c r="BJ276" s="613">
        <f t="shared" si="265"/>
        <v>187.87</v>
      </c>
      <c r="BK276" s="614">
        <f t="shared" si="265"/>
        <v>187.87</v>
      </c>
      <c r="BL276" s="615">
        <f t="shared" si="265"/>
        <v>159.59083333333334</v>
      </c>
      <c r="BM276" s="612">
        <f>BM94</f>
        <v>225</v>
      </c>
      <c r="BN276" s="613">
        <f>BN94</f>
        <v>225</v>
      </c>
      <c r="BO276" s="613">
        <f>BO94</f>
        <v>225</v>
      </c>
      <c r="BP276" s="614">
        <f>BP94</f>
        <v>225</v>
      </c>
      <c r="BQ276" s="615">
        <f>BQ94</f>
        <v>225</v>
      </c>
      <c r="CM276" s="49" t="s">
        <v>449</v>
      </c>
      <c r="CO276" s="1191">
        <f>+CH204</f>
        <v>94.3</v>
      </c>
      <c r="CQ276" s="2" t="s">
        <v>781</v>
      </c>
    </row>
    <row r="277" spans="1:105" s="49" customFormat="1">
      <c r="A277" s="1523"/>
      <c r="B277" s="2"/>
      <c r="C277" s="2"/>
      <c r="D277" s="2"/>
      <c r="E277" s="365"/>
      <c r="F277" s="6"/>
      <c r="G277" s="6"/>
      <c r="H277" s="366"/>
      <c r="I277" s="37"/>
      <c r="J277" s="365"/>
      <c r="K277" s="6"/>
      <c r="L277" s="6"/>
      <c r="M277" s="366"/>
      <c r="N277" s="2"/>
      <c r="O277" s="365"/>
      <c r="P277" s="6"/>
      <c r="Q277" s="6"/>
      <c r="R277" s="366"/>
      <c r="S277" s="2"/>
      <c r="T277" s="365"/>
      <c r="U277" s="6"/>
      <c r="V277" s="6"/>
      <c r="W277" s="366"/>
      <c r="X277" s="2"/>
      <c r="Y277" s="365"/>
      <c r="Z277" s="6"/>
      <c r="AA277" s="6"/>
      <c r="AB277" s="366"/>
      <c r="AC277" s="2"/>
      <c r="AD277" s="365"/>
      <c r="AE277" s="6"/>
      <c r="AF277" s="6"/>
      <c r="AG277" s="366"/>
      <c r="AH277" s="2"/>
      <c r="AI277" s="365"/>
      <c r="AJ277" s="6"/>
      <c r="AK277" s="6"/>
      <c r="AL277" s="366"/>
      <c r="AM277" s="2"/>
      <c r="AN277" s="365"/>
      <c r="AO277" s="6"/>
      <c r="AP277" s="6"/>
      <c r="AQ277" s="366"/>
      <c r="AR277" s="2"/>
      <c r="AS277" s="365"/>
      <c r="AT277" s="6"/>
      <c r="AU277" s="6"/>
      <c r="AV277" s="366"/>
      <c r="AW277" s="2"/>
      <c r="AX277" s="365"/>
      <c r="AY277" s="6"/>
      <c r="AZ277" s="6"/>
      <c r="BA277" s="366"/>
      <c r="BB277" s="2"/>
      <c r="BC277" s="365"/>
      <c r="BD277" s="6"/>
      <c r="BE277" s="6"/>
      <c r="BF277" s="366"/>
      <c r="BG277" s="2"/>
      <c r="BH277" s="365"/>
      <c r="BI277" s="6"/>
      <c r="BJ277" s="6"/>
      <c r="BK277" s="366"/>
      <c r="BL277" s="2"/>
      <c r="BM277" s="365"/>
      <c r="BN277" s="6"/>
      <c r="BO277" s="6"/>
      <c r="BP277" s="366"/>
      <c r="BQ277" s="2"/>
      <c r="BR277" s="2"/>
    </row>
    <row r="278" spans="1:105" s="2" customFormat="1">
      <c r="A278" s="49"/>
      <c r="B278" s="49"/>
      <c r="C278" s="49" t="s">
        <v>267</v>
      </c>
      <c r="D278" s="49"/>
      <c r="E278" s="396"/>
      <c r="F278" s="343"/>
      <c r="G278" s="343"/>
      <c r="H278" s="397"/>
      <c r="I278" s="725">
        <f>115+105+21+22</f>
        <v>263</v>
      </c>
      <c r="J278" s="396"/>
      <c r="K278" s="343"/>
      <c r="L278" s="343"/>
      <c r="M278" s="397"/>
      <c r="N278" s="297"/>
      <c r="O278" s="396"/>
      <c r="P278" s="343"/>
      <c r="Q278" s="343"/>
      <c r="R278" s="397"/>
      <c r="S278" s="297"/>
      <c r="T278" s="396"/>
      <c r="U278" s="343"/>
      <c r="V278" s="343"/>
      <c r="W278" s="397"/>
      <c r="X278" s="297"/>
      <c r="Y278" s="396">
        <f>I278</f>
        <v>263</v>
      </c>
      <c r="Z278" s="343">
        <f t="shared" ref="Z278:AJ278" si="266">Y278</f>
        <v>263</v>
      </c>
      <c r="AA278" s="343">
        <f t="shared" si="266"/>
        <v>263</v>
      </c>
      <c r="AB278" s="397">
        <f t="shared" si="266"/>
        <v>263</v>
      </c>
      <c r="AC278" s="297">
        <f>AB278</f>
        <v>263</v>
      </c>
      <c r="AD278" s="396">
        <f>I278</f>
        <v>263</v>
      </c>
      <c r="AE278" s="343">
        <f>AD278</f>
        <v>263</v>
      </c>
      <c r="AF278" s="343">
        <f t="shared" si="266"/>
        <v>263</v>
      </c>
      <c r="AG278" s="397">
        <f t="shared" si="266"/>
        <v>263</v>
      </c>
      <c r="AH278" s="297">
        <f>AG278</f>
        <v>263</v>
      </c>
      <c r="AI278" s="396">
        <f t="shared" si="266"/>
        <v>263</v>
      </c>
      <c r="AJ278" s="343">
        <f t="shared" si="266"/>
        <v>263</v>
      </c>
      <c r="AK278" s="345">
        <v>0</v>
      </c>
      <c r="AL278" s="397">
        <f t="shared" ref="AL278:AQ278" si="267">AK278</f>
        <v>0</v>
      </c>
      <c r="AM278" s="297">
        <f>AL278</f>
        <v>0</v>
      </c>
      <c r="AN278" s="396">
        <f t="shared" si="267"/>
        <v>0</v>
      </c>
      <c r="AO278" s="343">
        <f t="shared" si="267"/>
        <v>0</v>
      </c>
      <c r="AP278" s="343">
        <f t="shared" si="267"/>
        <v>0</v>
      </c>
      <c r="AQ278" s="397">
        <f t="shared" si="267"/>
        <v>0</v>
      </c>
      <c r="AR278" s="297">
        <f t="shared" ref="AR278:AW278" si="268">AQ278</f>
        <v>0</v>
      </c>
      <c r="AS278" s="396">
        <f t="shared" si="268"/>
        <v>0</v>
      </c>
      <c r="AT278" s="343">
        <f t="shared" si="268"/>
        <v>0</v>
      </c>
      <c r="AU278" s="343">
        <f t="shared" si="268"/>
        <v>0</v>
      </c>
      <c r="AV278" s="397">
        <f t="shared" si="268"/>
        <v>0</v>
      </c>
      <c r="AW278" s="297">
        <f t="shared" si="268"/>
        <v>0</v>
      </c>
      <c r="AX278" s="396">
        <f t="shared" ref="AX278:BL278" si="269">AW278</f>
        <v>0</v>
      </c>
      <c r="AY278" s="343">
        <f t="shared" si="269"/>
        <v>0</v>
      </c>
      <c r="AZ278" s="343">
        <f>AY278</f>
        <v>0</v>
      </c>
      <c r="BA278" s="397">
        <f>AY278</f>
        <v>0</v>
      </c>
      <c r="BB278" s="297">
        <f t="shared" si="269"/>
        <v>0</v>
      </c>
      <c r="BC278" s="396">
        <f t="shared" si="269"/>
        <v>0</v>
      </c>
      <c r="BD278" s="343">
        <f t="shared" si="269"/>
        <v>0</v>
      </c>
      <c r="BE278" s="343">
        <f t="shared" si="269"/>
        <v>0</v>
      </c>
      <c r="BF278" s="397">
        <f t="shared" si="269"/>
        <v>0</v>
      </c>
      <c r="BG278" s="297">
        <f t="shared" si="269"/>
        <v>0</v>
      </c>
      <c r="BH278" s="396">
        <f t="shared" si="269"/>
        <v>0</v>
      </c>
      <c r="BI278" s="343">
        <f t="shared" si="269"/>
        <v>0</v>
      </c>
      <c r="BJ278" s="343">
        <f t="shared" si="269"/>
        <v>0</v>
      </c>
      <c r="BK278" s="397">
        <f t="shared" si="269"/>
        <v>0</v>
      </c>
      <c r="BL278" s="297">
        <f t="shared" si="269"/>
        <v>0</v>
      </c>
      <c r="BM278" s="396">
        <f>BL278</f>
        <v>0</v>
      </c>
      <c r="BN278" s="343">
        <f>BM278</f>
        <v>0</v>
      </c>
      <c r="BO278" s="343">
        <f>BN278</f>
        <v>0</v>
      </c>
      <c r="BP278" s="397">
        <f>BO278</f>
        <v>0</v>
      </c>
      <c r="BQ278" s="297">
        <f>BP278</f>
        <v>0</v>
      </c>
      <c r="BR278" s="49"/>
    </row>
    <row r="279" spans="1:105" s="2" customFormat="1">
      <c r="A279" s="1523"/>
      <c r="E279" s="365"/>
      <c r="F279" s="6"/>
      <c r="G279" s="6"/>
      <c r="H279" s="366"/>
      <c r="I279" s="37"/>
      <c r="J279" s="365"/>
      <c r="K279" s="6"/>
      <c r="L279" s="6"/>
      <c r="M279" s="366"/>
      <c r="O279" s="365"/>
      <c r="P279" s="6"/>
      <c r="Q279" s="6"/>
      <c r="R279" s="366"/>
      <c r="T279" s="365"/>
      <c r="U279" s="6"/>
      <c r="V279" s="6"/>
      <c r="W279" s="366"/>
      <c r="Y279" s="365"/>
      <c r="Z279" s="6"/>
      <c r="AA279" s="6"/>
      <c r="AB279" s="366"/>
      <c r="AD279" s="365"/>
      <c r="AE279" s="6"/>
      <c r="AF279" s="6"/>
      <c r="AG279" s="366"/>
      <c r="AI279" s="365"/>
      <c r="AJ279" s="6"/>
      <c r="AK279" s="6"/>
      <c r="AL279" s="366"/>
      <c r="AN279" s="365"/>
      <c r="AO279" s="6"/>
      <c r="AP279" s="6"/>
      <c r="AQ279" s="366"/>
      <c r="AS279" s="365"/>
      <c r="AT279" s="6"/>
      <c r="AU279" s="6"/>
      <c r="AV279" s="366"/>
      <c r="AX279" s="365"/>
      <c r="AY279" s="6"/>
      <c r="AZ279" s="6"/>
      <c r="BA279" s="366"/>
      <c r="BC279" s="365"/>
      <c r="BD279" s="6"/>
      <c r="BE279" s="6"/>
      <c r="BF279" s="366"/>
      <c r="BH279" s="365"/>
      <c r="BI279" s="6"/>
      <c r="BJ279" s="6"/>
      <c r="BK279" s="366"/>
      <c r="BM279" s="365"/>
      <c r="BN279" s="6"/>
      <c r="BO279" s="6"/>
      <c r="BP279" s="366"/>
    </row>
    <row r="280" spans="1:105" s="49" customFormat="1">
      <c r="A280" s="1523"/>
      <c r="B280" s="2"/>
      <c r="C280" s="37" t="s">
        <v>268</v>
      </c>
      <c r="D280" s="2"/>
      <c r="E280" s="365"/>
      <c r="F280" s="6"/>
      <c r="G280" s="6"/>
      <c r="H280" s="366"/>
      <c r="I280" s="726">
        <v>0</v>
      </c>
      <c r="J280" s="365"/>
      <c r="K280" s="6"/>
      <c r="L280" s="6"/>
      <c r="M280" s="366"/>
      <c r="N280" s="2"/>
      <c r="O280" s="365"/>
      <c r="P280" s="6"/>
      <c r="Q280" s="6"/>
      <c r="R280" s="366"/>
      <c r="S280" s="2"/>
      <c r="T280" s="376"/>
      <c r="U280" s="334"/>
      <c r="V280" s="334"/>
      <c r="W280" s="377"/>
      <c r="X280" s="973"/>
      <c r="Y280" s="376">
        <f>+I280</f>
        <v>0</v>
      </c>
      <c r="Z280" s="334">
        <f>+U280</f>
        <v>0</v>
      </c>
      <c r="AA280" s="334">
        <f>+V280</f>
        <v>0</v>
      </c>
      <c r="AB280" s="377">
        <f>+W280</f>
        <v>0</v>
      </c>
      <c r="AC280" s="973">
        <f>IF(AVERAGE(Y278:AB278)=0,0,AC281/(AVERAGE(Y278:AB278)*8.76))</f>
        <v>0</v>
      </c>
      <c r="AD280" s="376">
        <f>+I280</f>
        <v>0</v>
      </c>
      <c r="AE280" s="334">
        <f>+Z280</f>
        <v>0</v>
      </c>
      <c r="AF280" s="334">
        <f>+AA280</f>
        <v>0</v>
      </c>
      <c r="AG280" s="377">
        <f>+AB280</f>
        <v>0</v>
      </c>
      <c r="AH280" s="973">
        <f>IF(AVERAGE(AD278:AG278)=0,0,AH281/(AVERAGE(AD278:AG278)*8.76))</f>
        <v>0</v>
      </c>
      <c r="AI280" s="376">
        <f>+AG280</f>
        <v>0</v>
      </c>
      <c r="AJ280" s="334">
        <f>+AE280</f>
        <v>0</v>
      </c>
      <c r="AK280" s="334">
        <f>+AF280</f>
        <v>0</v>
      </c>
      <c r="AL280" s="377">
        <f>+AG280</f>
        <v>0</v>
      </c>
      <c r="AM280" s="973">
        <f>IF(AVERAGE(AI278:AL278)=0,0,AM281/(AVERAGE(AI278:AL278)*8.76))</f>
        <v>0</v>
      </c>
      <c r="AN280" s="376">
        <f>+AL280</f>
        <v>0</v>
      </c>
      <c r="AO280" s="334">
        <f>+AJ280</f>
        <v>0</v>
      </c>
      <c r="AP280" s="334">
        <f>+AK280</f>
        <v>0</v>
      </c>
      <c r="AQ280" s="377">
        <f>+AL280</f>
        <v>0</v>
      </c>
      <c r="AR280" s="973">
        <f>IF(AVERAGE(AN278:AQ278)=0,0,AR281/(AVERAGE(AN278:AQ278)*8.76))</f>
        <v>0</v>
      </c>
      <c r="AS280" s="376">
        <f>+AQ280</f>
        <v>0</v>
      </c>
      <c r="AT280" s="334">
        <f>+AO280</f>
        <v>0</v>
      </c>
      <c r="AU280" s="334">
        <f>+AP280</f>
        <v>0</v>
      </c>
      <c r="AV280" s="377">
        <f>+AQ280</f>
        <v>0</v>
      </c>
      <c r="AW280" s="973">
        <f>IF(AVERAGE(AS278:AV278)=0,0,AW281/(AVERAGE(AS278:AV278)*8.76))</f>
        <v>0</v>
      </c>
      <c r="AX280" s="376">
        <f>+AV280</f>
        <v>0</v>
      </c>
      <c r="AY280" s="334">
        <f>+AT280</f>
        <v>0</v>
      </c>
      <c r="AZ280" s="334">
        <f>+AU280</f>
        <v>0</v>
      </c>
      <c r="BA280" s="377">
        <f>+AV280</f>
        <v>0</v>
      </c>
      <c r="BB280" s="973">
        <f>IF(AVERAGE(AX278:BA278)=0,0,BB281/(AVERAGE(AX278:BA278)*8.76))</f>
        <v>0</v>
      </c>
      <c r="BC280" s="376">
        <f>+BA280</f>
        <v>0</v>
      </c>
      <c r="BD280" s="334">
        <f>+AY280</f>
        <v>0</v>
      </c>
      <c r="BE280" s="334">
        <f>+AY280</f>
        <v>0</v>
      </c>
      <c r="BF280" s="377">
        <f>+BA280</f>
        <v>0</v>
      </c>
      <c r="BG280" s="973">
        <f>IF(AVERAGE(BC278:BF278)=0,0,BG281/(AVERAGE(BC278:BF278)*8.76))</f>
        <v>0</v>
      </c>
      <c r="BH280" s="376">
        <f>+BF280</f>
        <v>0</v>
      </c>
      <c r="BI280" s="334">
        <f>+BD280</f>
        <v>0</v>
      </c>
      <c r="BJ280" s="334">
        <f>+BE280</f>
        <v>0</v>
      </c>
      <c r="BK280" s="377">
        <f>+BF280</f>
        <v>0</v>
      </c>
      <c r="BL280" s="973">
        <f>IF(AVERAGE(BH278:BK278)=0,0,BL281/(AVERAGE(BH278:BK278)*8.76))</f>
        <v>0</v>
      </c>
      <c r="BM280" s="376">
        <f>+BK280</f>
        <v>0</v>
      </c>
      <c r="BN280" s="334">
        <f>+BI280</f>
        <v>0</v>
      </c>
      <c r="BO280" s="334">
        <f>+BJ280</f>
        <v>0</v>
      </c>
      <c r="BP280" s="377">
        <f>+BK280</f>
        <v>0</v>
      </c>
      <c r="BQ280" s="973">
        <f>IF(AVERAGE(BM278:BP278)=0,0,BQ281/(AVERAGE(BM278:BP278)*8.76))</f>
        <v>0</v>
      </c>
      <c r="BR280" s="2"/>
    </row>
    <row r="281" spans="1:105" s="2" customFormat="1">
      <c r="A281" s="49"/>
      <c r="B281" s="49"/>
      <c r="C281" s="49" t="s">
        <v>269</v>
      </c>
      <c r="D281" s="49"/>
      <c r="E281" s="663"/>
      <c r="F281" s="468"/>
      <c r="G281" s="468"/>
      <c r="H281" s="664"/>
      <c r="I281" s="49"/>
      <c r="J281" s="663"/>
      <c r="K281" s="468"/>
      <c r="L281" s="468"/>
      <c r="M281" s="664"/>
      <c r="N281" s="49"/>
      <c r="O281" s="663"/>
      <c r="P281" s="468"/>
      <c r="Q281" s="468"/>
      <c r="R281" s="664"/>
      <c r="S281" s="49"/>
      <c r="T281" s="407"/>
      <c r="U281" s="349"/>
      <c r="V281" s="349"/>
      <c r="W281" s="408"/>
      <c r="X281" s="608"/>
      <c r="Y281" s="407">
        <f>(Y278*Y280*(8760/1000))/4</f>
        <v>0</v>
      </c>
      <c r="Z281" s="349">
        <f>(Z278*Z280*(8760/1000))/4</f>
        <v>0</v>
      </c>
      <c r="AA281" s="349">
        <f>(AA278*AA280*(8760/1000))/4</f>
        <v>0</v>
      </c>
      <c r="AB281" s="408">
        <f>(AB278*AB280*(8760/1000))/4</f>
        <v>0</v>
      </c>
      <c r="AC281" s="608">
        <f>SUM(Y281:AB281)</f>
        <v>0</v>
      </c>
      <c r="AD281" s="407">
        <f>(AD278*AD280*(8760/1000))/4</f>
        <v>0</v>
      </c>
      <c r="AE281" s="349">
        <f>(AE278*AE280*(8760/1000))/4</f>
        <v>0</v>
      </c>
      <c r="AF281" s="349">
        <f>(AF278*AF280*(8760/1000))/4</f>
        <v>0</v>
      </c>
      <c r="AG281" s="408">
        <f>(AG278*AG280*(8760/1000))/4</f>
        <v>0</v>
      </c>
      <c r="AH281" s="608">
        <f>SUM(AD281:AG281)</f>
        <v>0</v>
      </c>
      <c r="AI281" s="407">
        <f>(AI278*AI280*(8760/1000))/4</f>
        <v>0</v>
      </c>
      <c r="AJ281" s="349">
        <f>(AJ278*AJ280*(8760/1000))/4</f>
        <v>0</v>
      </c>
      <c r="AK281" s="349">
        <f>(AK278*AK280*(8760/1000))/4</f>
        <v>0</v>
      </c>
      <c r="AL281" s="408">
        <f>(AL278*AL280*(8760/1000))/4</f>
        <v>0</v>
      </c>
      <c r="AM281" s="608">
        <f>SUM(AI281:AL281)</f>
        <v>0</v>
      </c>
      <c r="AN281" s="407">
        <f>(AN278*AN280*(8760/1000))/4</f>
        <v>0</v>
      </c>
      <c r="AO281" s="349">
        <f>(AO278*AO280*(8760/1000))/4</f>
        <v>0</v>
      </c>
      <c r="AP281" s="349">
        <f>(AP278*AP280*(8760/1000))/4</f>
        <v>0</v>
      </c>
      <c r="AQ281" s="408">
        <f>(AQ278*AQ280*(8760/1000))/4</f>
        <v>0</v>
      </c>
      <c r="AR281" s="608">
        <f>SUM(AN281:AQ281)</f>
        <v>0</v>
      </c>
      <c r="AS281" s="407">
        <f>(AS278*AS280*(8760/1000))/4</f>
        <v>0</v>
      </c>
      <c r="AT281" s="349">
        <f>(AT278*AT280*(8760/1000))/4</f>
        <v>0</v>
      </c>
      <c r="AU281" s="349">
        <f>(AU278*AU280*(8760/1000))/4</f>
        <v>0</v>
      </c>
      <c r="AV281" s="408">
        <f>(AV278*AV280*(8760/1000))/4</f>
        <v>0</v>
      </c>
      <c r="AW281" s="608">
        <f>SUM(AS281:AV281)</f>
        <v>0</v>
      </c>
      <c r="AX281" s="407">
        <f>(AX278*AX280*(8760/1000))/4</f>
        <v>0</v>
      </c>
      <c r="AY281" s="349">
        <f>(AY278*AY280*(8760/1000))/4</f>
        <v>0</v>
      </c>
      <c r="AZ281" s="349">
        <f>(AZ278*AZ280*(8760/1000))/4</f>
        <v>0</v>
      </c>
      <c r="BA281" s="408">
        <f>(BA278*BA280*(8760/1000))/4</f>
        <v>0</v>
      </c>
      <c r="BB281" s="608">
        <f>SUM(AX281:BA281)</f>
        <v>0</v>
      </c>
      <c r="BC281" s="407">
        <f>(BC278*BC280*(8760/1000))/4</f>
        <v>0</v>
      </c>
      <c r="BD281" s="349">
        <f>(BD278*BD280*(8760/1000))/4</f>
        <v>0</v>
      </c>
      <c r="BE281" s="349">
        <f>(BE278*BE280*(8760/1000))/4</f>
        <v>0</v>
      </c>
      <c r="BF281" s="408">
        <f>(BF278*BF280*(8760/1000))/4</f>
        <v>0</v>
      </c>
      <c r="BG281" s="608">
        <f>SUM(BC281:BF281)</f>
        <v>0</v>
      </c>
      <c r="BH281" s="407">
        <f>(BH278*BH280*(8760/1000))/4</f>
        <v>0</v>
      </c>
      <c r="BI281" s="349">
        <f>(BI278*BI280*(8760/1000))/4</f>
        <v>0</v>
      </c>
      <c r="BJ281" s="349">
        <f>(BJ278*BJ280*(8760/1000))/4</f>
        <v>0</v>
      </c>
      <c r="BK281" s="408">
        <f>(BK278*BK280*(8760/1000))/4</f>
        <v>0</v>
      </c>
      <c r="BL281" s="608">
        <f>SUM(BH281:BK281)</f>
        <v>0</v>
      </c>
      <c r="BM281" s="407">
        <f>(BM278*BM280*(8760/1000))/4</f>
        <v>0</v>
      </c>
      <c r="BN281" s="349">
        <f>(BN278*BN280*(8760/1000))/4</f>
        <v>0</v>
      </c>
      <c r="BO281" s="349">
        <f>(BO278*BO280*(8760/1000))/4</f>
        <v>0</v>
      </c>
      <c r="BP281" s="408">
        <f>(BP278*BP280*(8760/1000))/4</f>
        <v>0</v>
      </c>
      <c r="BQ281" s="608">
        <f>SUM(BM281:BP281)</f>
        <v>0</v>
      </c>
      <c r="BR281" s="49"/>
    </row>
    <row r="282" spans="1:105" s="2" customFormat="1">
      <c r="A282" s="1523"/>
      <c r="E282" s="365"/>
      <c r="F282" s="6"/>
      <c r="G282" s="6"/>
      <c r="H282" s="366"/>
      <c r="I282" s="37"/>
      <c r="J282" s="365"/>
      <c r="K282" s="6"/>
      <c r="L282" s="6"/>
      <c r="M282" s="366"/>
      <c r="O282" s="365"/>
      <c r="P282" s="6"/>
      <c r="Q282" s="6"/>
      <c r="R282" s="366"/>
      <c r="T282" s="365"/>
      <c r="U282" s="6"/>
      <c r="V282" s="6"/>
      <c r="W282" s="366"/>
      <c r="Y282" s="365"/>
      <c r="Z282" s="6"/>
      <c r="AA282" s="6"/>
      <c r="AB282" s="366"/>
      <c r="AD282" s="365"/>
      <c r="AE282" s="6"/>
      <c r="AF282" s="6"/>
      <c r="AG282" s="366"/>
      <c r="AI282" s="365"/>
      <c r="AJ282" s="6"/>
      <c r="AK282" s="6"/>
      <c r="AL282" s="366"/>
      <c r="AN282" s="365"/>
      <c r="AO282" s="6"/>
      <c r="AP282" s="6"/>
      <c r="AQ282" s="366"/>
      <c r="AS282" s="365"/>
      <c r="AT282" s="6"/>
      <c r="AU282" s="6"/>
      <c r="AV282" s="366"/>
      <c r="AX282" s="365"/>
      <c r="AY282" s="6"/>
      <c r="AZ282" s="6"/>
      <c r="BA282" s="366"/>
      <c r="BC282" s="365"/>
      <c r="BD282" s="6"/>
      <c r="BE282" s="6"/>
      <c r="BF282" s="366"/>
      <c r="BH282" s="365"/>
      <c r="BI282" s="6"/>
      <c r="BJ282" s="6"/>
      <c r="BK282" s="366"/>
      <c r="BM282" s="365"/>
      <c r="BN282" s="6"/>
      <c r="BO282" s="6"/>
      <c r="BP282" s="366"/>
    </row>
    <row r="283" spans="1:105" s="2" customFormat="1">
      <c r="A283" s="1523"/>
      <c r="C283" s="37" t="s">
        <v>809</v>
      </c>
      <c r="E283" s="365"/>
      <c r="F283" s="6"/>
      <c r="G283" s="6"/>
      <c r="H283" s="366"/>
      <c r="I283" s="37"/>
      <c r="J283" s="365"/>
      <c r="K283" s="6"/>
      <c r="L283" s="6"/>
      <c r="M283" s="366"/>
      <c r="O283" s="365"/>
      <c r="P283" s="6"/>
      <c r="Q283" s="6"/>
      <c r="R283" s="366"/>
      <c r="T283" s="392"/>
      <c r="U283" s="341"/>
      <c r="V283" s="341"/>
      <c r="W283" s="393"/>
      <c r="X283" s="296"/>
      <c r="Y283" s="392">
        <f>(Y274/1000*Y281)+(Y278*Y276*365/1000000/4)</f>
        <v>3.3533453375</v>
      </c>
      <c r="Z283" s="341">
        <f>(Z274/1000*Z281)+(Z278*Z276*365/1000000/4)</f>
        <v>4.1954614749999992</v>
      </c>
      <c r="AA283" s="341">
        <f>(AA274/1000*AA281)+(AA278*AA276*365/1000000/4)</f>
        <v>5.8796937500000004</v>
      </c>
      <c r="AB283" s="393">
        <f>(AB274/1000*AB281)+(AB278*AB276*365/1000000/4)</f>
        <v>5.8796937500000004</v>
      </c>
      <c r="AC283" s="296">
        <f t="shared" ref="AC283:AR283" si="270">(AC274/1000*AC281)+(AC278*AC276*365/1000000/4)</f>
        <v>4.8270485781249999</v>
      </c>
      <c r="AD283" s="392">
        <f>(AD274/1000*AD281)+(AD278*AD276*365/1000000/4)</f>
        <v>5.8796937500000004</v>
      </c>
      <c r="AE283" s="341">
        <f>(AE274/1000*AE281)+(AE278*AE276*365/1000000/4)</f>
        <v>5.0117389583333338</v>
      </c>
      <c r="AF283" s="341">
        <f t="shared" si="270"/>
        <v>3.2758293749999998</v>
      </c>
      <c r="AG283" s="393">
        <f t="shared" si="270"/>
        <v>3.2758293749999998</v>
      </c>
      <c r="AH283" s="296">
        <f t="shared" si="270"/>
        <v>4.3607728645833337</v>
      </c>
      <c r="AI283" s="392">
        <f t="shared" si="270"/>
        <v>3.2758293749999998</v>
      </c>
      <c r="AJ283" s="341">
        <f t="shared" si="270"/>
        <v>3.5234964749999995</v>
      </c>
      <c r="AK283" s="341">
        <f t="shared" si="270"/>
        <v>0</v>
      </c>
      <c r="AL283" s="393">
        <f t="shared" si="270"/>
        <v>0</v>
      </c>
      <c r="AM283" s="296">
        <f t="shared" si="270"/>
        <v>0</v>
      </c>
      <c r="AN283" s="392">
        <f t="shared" si="270"/>
        <v>0</v>
      </c>
      <c r="AO283" s="341">
        <f t="shared" si="270"/>
        <v>0</v>
      </c>
      <c r="AP283" s="341">
        <f t="shared" si="270"/>
        <v>0</v>
      </c>
      <c r="AQ283" s="393">
        <f t="shared" si="270"/>
        <v>0</v>
      </c>
      <c r="AR283" s="296">
        <f t="shared" si="270"/>
        <v>0</v>
      </c>
      <c r="AS283" s="392">
        <f t="shared" ref="AS283:BB283" si="271">(AS274/1000*AS281)+(AS278*AS276*365/1000000/4)</f>
        <v>0</v>
      </c>
      <c r="AT283" s="341">
        <f t="shared" si="271"/>
        <v>0</v>
      </c>
      <c r="AU283" s="341">
        <f t="shared" si="271"/>
        <v>0</v>
      </c>
      <c r="AV283" s="393">
        <f t="shared" si="271"/>
        <v>0</v>
      </c>
      <c r="AW283" s="296">
        <f t="shared" si="271"/>
        <v>0</v>
      </c>
      <c r="AX283" s="392">
        <f>(AX274/1000*AX281)+(AX278*AX276*365/1000000/4)</f>
        <v>0</v>
      </c>
      <c r="AY283" s="341">
        <f>(AY274/1000*AY281)+(AY278*AY276*365/1000000/4)</f>
        <v>0</v>
      </c>
      <c r="AZ283" s="341">
        <f>(AZ274/1000*AZ281)+(AZ278*AZ276*365/1000000/4)</f>
        <v>0</v>
      </c>
      <c r="BA283" s="393">
        <f>(BA274/1000*BA281)+(BA278*BA276*365/1000000/4)</f>
        <v>0</v>
      </c>
      <c r="BB283" s="296">
        <f t="shared" si="271"/>
        <v>0</v>
      </c>
      <c r="BC283" s="392">
        <f t="shared" ref="BC283:BL283" si="272">(BC274/1000*BC281)+(BC278*BC276*365/1000000/4)</f>
        <v>0</v>
      </c>
      <c r="BD283" s="341">
        <f t="shared" si="272"/>
        <v>0</v>
      </c>
      <c r="BE283" s="341">
        <f t="shared" si="272"/>
        <v>0</v>
      </c>
      <c r="BF283" s="393">
        <f t="shared" si="272"/>
        <v>0</v>
      </c>
      <c r="BG283" s="296">
        <f t="shared" si="272"/>
        <v>0</v>
      </c>
      <c r="BH283" s="392">
        <f t="shared" si="272"/>
        <v>0</v>
      </c>
      <c r="BI283" s="341">
        <f t="shared" si="272"/>
        <v>0</v>
      </c>
      <c r="BJ283" s="341">
        <f t="shared" si="272"/>
        <v>0</v>
      </c>
      <c r="BK283" s="393">
        <f t="shared" si="272"/>
        <v>0</v>
      </c>
      <c r="BL283" s="296">
        <f t="shared" si="272"/>
        <v>0</v>
      </c>
      <c r="BM283" s="392">
        <f>(BM274/1000*BM281)+(BM278*BM276*365/1000000/4)</f>
        <v>0</v>
      </c>
      <c r="BN283" s="341">
        <f>(BN274/1000*BN281)+(BN278*BN276*365/1000000/4)</f>
        <v>0</v>
      </c>
      <c r="BO283" s="341">
        <f>(BO274/1000*BO281)+(BO278*BO276*365/1000000/4)</f>
        <v>0</v>
      </c>
      <c r="BP283" s="393">
        <f>(BP274/1000*BP281)+(BP278*BP276*365/1000000/4)</f>
        <v>0</v>
      </c>
      <c r="BQ283" s="296">
        <f>(BQ274/1000*BQ281)+(BQ278*BQ276*365/1000000/4)</f>
        <v>0</v>
      </c>
    </row>
    <row r="284" spans="1:105" s="49" customFormat="1">
      <c r="A284" s="1523"/>
      <c r="B284" s="2"/>
      <c r="C284" s="37" t="s">
        <v>346</v>
      </c>
      <c r="D284" s="2"/>
      <c r="E284" s="365"/>
      <c r="F284" s="6"/>
      <c r="G284" s="6"/>
      <c r="H284" s="366"/>
      <c r="I284" s="37"/>
      <c r="J284" s="365"/>
      <c r="K284" s="6"/>
      <c r="L284" s="6"/>
      <c r="M284" s="366"/>
      <c r="N284" s="2"/>
      <c r="O284" s="365"/>
      <c r="P284" s="6"/>
      <c r="Q284" s="6"/>
      <c r="R284" s="366"/>
      <c r="S284" s="2"/>
      <c r="T284" s="392"/>
      <c r="U284" s="341"/>
      <c r="V284" s="341"/>
      <c r="W284" s="393"/>
      <c r="X284" s="296"/>
      <c r="Y284" s="392">
        <f t="shared" ref="Y284:AR284" si="273">Y275/1000*Y281</f>
        <v>0</v>
      </c>
      <c r="Z284" s="341">
        <f t="shared" si="273"/>
        <v>0</v>
      </c>
      <c r="AA284" s="341">
        <f t="shared" si="273"/>
        <v>0</v>
      </c>
      <c r="AB284" s="393">
        <f t="shared" si="273"/>
        <v>0</v>
      </c>
      <c r="AC284" s="296">
        <f t="shared" si="273"/>
        <v>0</v>
      </c>
      <c r="AD284" s="392">
        <f>AD275/1000*AD281</f>
        <v>0</v>
      </c>
      <c r="AE284" s="341">
        <f>AE275/1000*AE281</f>
        <v>0</v>
      </c>
      <c r="AF284" s="341">
        <f t="shared" si="273"/>
        <v>0</v>
      </c>
      <c r="AG284" s="393">
        <f t="shared" si="273"/>
        <v>0</v>
      </c>
      <c r="AH284" s="296">
        <f t="shared" si="273"/>
        <v>0</v>
      </c>
      <c r="AI284" s="392">
        <f t="shared" si="273"/>
        <v>0</v>
      </c>
      <c r="AJ284" s="341">
        <f t="shared" si="273"/>
        <v>0</v>
      </c>
      <c r="AK284" s="341">
        <f t="shared" si="273"/>
        <v>0</v>
      </c>
      <c r="AL284" s="393">
        <f t="shared" si="273"/>
        <v>0</v>
      </c>
      <c r="AM284" s="296">
        <f t="shared" si="273"/>
        <v>0</v>
      </c>
      <c r="AN284" s="392">
        <f t="shared" si="273"/>
        <v>0</v>
      </c>
      <c r="AO284" s="341">
        <f t="shared" si="273"/>
        <v>0</v>
      </c>
      <c r="AP284" s="341">
        <f t="shared" si="273"/>
        <v>0</v>
      </c>
      <c r="AQ284" s="393">
        <f t="shared" si="273"/>
        <v>0</v>
      </c>
      <c r="AR284" s="296">
        <f t="shared" si="273"/>
        <v>0</v>
      </c>
      <c r="AS284" s="392">
        <f t="shared" ref="AS284:BB284" si="274">AS275/1000*AS281</f>
        <v>0</v>
      </c>
      <c r="AT284" s="341">
        <f t="shared" si="274"/>
        <v>0</v>
      </c>
      <c r="AU284" s="341">
        <f t="shared" si="274"/>
        <v>0</v>
      </c>
      <c r="AV284" s="393">
        <f t="shared" si="274"/>
        <v>0</v>
      </c>
      <c r="AW284" s="296">
        <f t="shared" si="274"/>
        <v>0</v>
      </c>
      <c r="AX284" s="392">
        <f>AX275/1000*AX281</f>
        <v>0</v>
      </c>
      <c r="AY284" s="341">
        <f>AY275/1000*AY281</f>
        <v>0</v>
      </c>
      <c r="AZ284" s="341">
        <f>AZ275/1000*AZ281</f>
        <v>0</v>
      </c>
      <c r="BA284" s="393">
        <f>BA275/1000*BA281</f>
        <v>0</v>
      </c>
      <c r="BB284" s="296">
        <f t="shared" si="274"/>
        <v>0</v>
      </c>
      <c r="BC284" s="392">
        <f t="shared" ref="BC284:BL284" si="275">BC275/1000*BC281</f>
        <v>0</v>
      </c>
      <c r="BD284" s="341">
        <f t="shared" si="275"/>
        <v>0</v>
      </c>
      <c r="BE284" s="341">
        <f t="shared" si="275"/>
        <v>0</v>
      </c>
      <c r="BF284" s="393">
        <f t="shared" si="275"/>
        <v>0</v>
      </c>
      <c r="BG284" s="296">
        <f t="shared" si="275"/>
        <v>0</v>
      </c>
      <c r="BH284" s="392">
        <f t="shared" si="275"/>
        <v>0</v>
      </c>
      <c r="BI284" s="341">
        <f t="shared" si="275"/>
        <v>0</v>
      </c>
      <c r="BJ284" s="341">
        <f t="shared" si="275"/>
        <v>0</v>
      </c>
      <c r="BK284" s="393">
        <f t="shared" si="275"/>
        <v>0</v>
      </c>
      <c r="BL284" s="296">
        <f t="shared" si="275"/>
        <v>0</v>
      </c>
      <c r="BM284" s="392">
        <f>BM275/1000*BM281</f>
        <v>0</v>
      </c>
      <c r="BN284" s="341">
        <f>BN275/1000*BN281</f>
        <v>0</v>
      </c>
      <c r="BO284" s="341">
        <f>BO275/1000*BO281</f>
        <v>0</v>
      </c>
      <c r="BP284" s="393">
        <f>BP275/1000*BP281</f>
        <v>0</v>
      </c>
      <c r="BQ284" s="296">
        <f>BQ275/1000*BQ281</f>
        <v>0</v>
      </c>
      <c r="BR284" s="2"/>
    </row>
    <row r="285" spans="1:105" s="2" customFormat="1">
      <c r="A285" s="49"/>
      <c r="B285" s="49"/>
      <c r="C285" s="49" t="s">
        <v>270</v>
      </c>
      <c r="D285" s="49"/>
      <c r="E285" s="663"/>
      <c r="F285" s="468"/>
      <c r="G285" s="468"/>
      <c r="H285" s="664"/>
      <c r="I285" s="37"/>
      <c r="J285" s="663"/>
      <c r="K285" s="468"/>
      <c r="L285" s="468"/>
      <c r="M285" s="664"/>
      <c r="N285" s="49"/>
      <c r="O285" s="663"/>
      <c r="P285" s="468"/>
      <c r="Q285" s="468"/>
      <c r="R285" s="664"/>
      <c r="S285" s="49"/>
      <c r="T285" s="396"/>
      <c r="U285" s="343"/>
      <c r="V285" s="343"/>
      <c r="W285" s="397"/>
      <c r="X285" s="297"/>
      <c r="Y285" s="396">
        <f t="shared" ref="Y285:AR285" si="276">Y283-Y284</f>
        <v>3.3533453375</v>
      </c>
      <c r="Z285" s="343">
        <f t="shared" si="276"/>
        <v>4.1954614749999992</v>
      </c>
      <c r="AA285" s="343">
        <f t="shared" si="276"/>
        <v>5.8796937500000004</v>
      </c>
      <c r="AB285" s="397">
        <f t="shared" si="276"/>
        <v>5.8796937500000004</v>
      </c>
      <c r="AC285" s="297">
        <f t="shared" si="276"/>
        <v>4.8270485781249999</v>
      </c>
      <c r="AD285" s="396">
        <f>AD283-AD284</f>
        <v>5.8796937500000004</v>
      </c>
      <c r="AE285" s="343">
        <f>AE283-AE284</f>
        <v>5.0117389583333338</v>
      </c>
      <c r="AF285" s="343">
        <f t="shared" si="276"/>
        <v>3.2758293749999998</v>
      </c>
      <c r="AG285" s="397">
        <f t="shared" si="276"/>
        <v>3.2758293749999998</v>
      </c>
      <c r="AH285" s="297">
        <f t="shared" si="276"/>
        <v>4.3607728645833337</v>
      </c>
      <c r="AI285" s="396">
        <f t="shared" si="276"/>
        <v>3.2758293749999998</v>
      </c>
      <c r="AJ285" s="343">
        <f t="shared" si="276"/>
        <v>3.5234964749999995</v>
      </c>
      <c r="AK285" s="343">
        <f t="shared" si="276"/>
        <v>0</v>
      </c>
      <c r="AL285" s="397">
        <f t="shared" si="276"/>
        <v>0</v>
      </c>
      <c r="AM285" s="297">
        <f t="shared" si="276"/>
        <v>0</v>
      </c>
      <c r="AN285" s="396">
        <f t="shared" si="276"/>
        <v>0</v>
      </c>
      <c r="AO285" s="343">
        <f t="shared" si="276"/>
        <v>0</v>
      </c>
      <c r="AP285" s="343">
        <f t="shared" si="276"/>
        <v>0</v>
      </c>
      <c r="AQ285" s="397">
        <f t="shared" si="276"/>
        <v>0</v>
      </c>
      <c r="AR285" s="297">
        <f t="shared" si="276"/>
        <v>0</v>
      </c>
      <c r="AS285" s="396">
        <f t="shared" ref="AS285:BB285" si="277">AS283-AS284</f>
        <v>0</v>
      </c>
      <c r="AT285" s="343">
        <f t="shared" si="277"/>
        <v>0</v>
      </c>
      <c r="AU285" s="343">
        <f t="shared" si="277"/>
        <v>0</v>
      </c>
      <c r="AV285" s="397">
        <f t="shared" si="277"/>
        <v>0</v>
      </c>
      <c r="AW285" s="297">
        <f t="shared" si="277"/>
        <v>0</v>
      </c>
      <c r="AX285" s="396">
        <f>AX283-AX284</f>
        <v>0</v>
      </c>
      <c r="AY285" s="343">
        <f>AY283-AY284</f>
        <v>0</v>
      </c>
      <c r="AZ285" s="343">
        <f>AZ283-AZ284</f>
        <v>0</v>
      </c>
      <c r="BA285" s="397">
        <f>BA283-BA284</f>
        <v>0</v>
      </c>
      <c r="BB285" s="297">
        <f t="shared" si="277"/>
        <v>0</v>
      </c>
      <c r="BC285" s="396">
        <f t="shared" ref="BC285:BL285" si="278">BC283-BC284</f>
        <v>0</v>
      </c>
      <c r="BD285" s="343">
        <f t="shared" si="278"/>
        <v>0</v>
      </c>
      <c r="BE285" s="343">
        <f t="shared" si="278"/>
        <v>0</v>
      </c>
      <c r="BF285" s="397">
        <f t="shared" si="278"/>
        <v>0</v>
      </c>
      <c r="BG285" s="297">
        <f t="shared" si="278"/>
        <v>0</v>
      </c>
      <c r="BH285" s="396">
        <f t="shared" si="278"/>
        <v>0</v>
      </c>
      <c r="BI285" s="343">
        <f t="shared" si="278"/>
        <v>0</v>
      </c>
      <c r="BJ285" s="343">
        <f t="shared" si="278"/>
        <v>0</v>
      </c>
      <c r="BK285" s="397">
        <f t="shared" si="278"/>
        <v>0</v>
      </c>
      <c r="BL285" s="297">
        <f t="shared" si="278"/>
        <v>0</v>
      </c>
      <c r="BM285" s="396">
        <f>BM283-BM284</f>
        <v>0</v>
      </c>
      <c r="BN285" s="343">
        <f>BN283-BN284</f>
        <v>0</v>
      </c>
      <c r="BO285" s="343">
        <f>BO283-BO284</f>
        <v>0</v>
      </c>
      <c r="BP285" s="397">
        <f>BP283-BP284</f>
        <v>0</v>
      </c>
      <c r="BQ285" s="297">
        <f>BQ283-BQ284</f>
        <v>0</v>
      </c>
      <c r="BR285" s="49"/>
    </row>
    <row r="286" spans="1:105" s="2" customFormat="1">
      <c r="A286" s="1523"/>
      <c r="C286" s="49"/>
      <c r="E286" s="365"/>
      <c r="F286" s="6"/>
      <c r="G286" s="6"/>
      <c r="H286" s="366"/>
      <c r="I286" s="37"/>
      <c r="J286" s="365"/>
      <c r="K286" s="6"/>
      <c r="L286" s="6"/>
      <c r="M286" s="366"/>
      <c r="O286" s="365"/>
      <c r="P286" s="6"/>
      <c r="Q286" s="6"/>
      <c r="R286" s="366"/>
      <c r="T286" s="365"/>
      <c r="U286" s="6"/>
      <c r="V286" s="6"/>
      <c r="W286" s="366"/>
      <c r="Y286" s="365"/>
      <c r="Z286" s="6"/>
      <c r="AA286" s="6"/>
      <c r="AB286" s="366"/>
      <c r="AD286" s="365"/>
      <c r="AE286" s="6"/>
      <c r="AF286" s="6"/>
      <c r="AG286" s="366"/>
      <c r="AI286" s="365"/>
      <c r="AJ286" s="6"/>
      <c r="AK286" s="6"/>
      <c r="AL286" s="366"/>
      <c r="AN286" s="365"/>
      <c r="AO286" s="6"/>
      <c r="AP286" s="6"/>
      <c r="AQ286" s="366"/>
      <c r="AS286" s="365"/>
      <c r="AT286" s="6"/>
      <c r="AU286" s="6"/>
      <c r="AV286" s="366"/>
      <c r="AX286" s="365"/>
      <c r="AY286" s="6"/>
      <c r="AZ286" s="6"/>
      <c r="BA286" s="366"/>
      <c r="BC286" s="365"/>
      <c r="BD286" s="6"/>
      <c r="BE286" s="6"/>
      <c r="BF286" s="366"/>
      <c r="BH286" s="365"/>
      <c r="BI286" s="6"/>
      <c r="BJ286" s="6"/>
      <c r="BK286" s="366"/>
      <c r="BM286" s="365"/>
      <c r="BN286" s="6"/>
      <c r="BO286" s="6"/>
      <c r="BP286" s="366"/>
    </row>
    <row r="287" spans="1:105" s="2" customFormat="1">
      <c r="A287" s="1523"/>
      <c r="C287" s="592" t="s">
        <v>699</v>
      </c>
      <c r="E287" s="365"/>
      <c r="F287" s="6"/>
      <c r="G287" s="6"/>
      <c r="H287" s="366"/>
      <c r="I287" s="37"/>
      <c r="J287" s="365"/>
      <c r="K287" s="6"/>
      <c r="L287" s="6"/>
      <c r="M287" s="366"/>
      <c r="O287" s="365"/>
      <c r="P287" s="6"/>
      <c r="Q287" s="6"/>
      <c r="R287" s="366"/>
      <c r="T287" s="365"/>
      <c r="U287" s="6"/>
      <c r="V287" s="6"/>
      <c r="W287" s="366"/>
      <c r="Y287" s="365"/>
      <c r="Z287" s="6"/>
      <c r="AA287" s="6"/>
      <c r="AB287" s="366"/>
      <c r="AD287" s="365"/>
      <c r="AE287" s="6"/>
      <c r="AF287" s="6"/>
      <c r="AG287" s="366"/>
      <c r="AI287" s="365"/>
      <c r="AJ287" s="6"/>
      <c r="AK287" s="6"/>
      <c r="AL287" s="366"/>
      <c r="AN287" s="365"/>
      <c r="AO287" s="6"/>
      <c r="AP287" s="6"/>
      <c r="AQ287" s="366"/>
      <c r="AS287" s="365"/>
      <c r="AT287" s="6"/>
      <c r="AU287" s="6"/>
      <c r="AV287" s="366"/>
      <c r="AX287" s="365"/>
      <c r="AY287" s="6"/>
      <c r="AZ287" s="6"/>
      <c r="BA287" s="366"/>
      <c r="BC287" s="365"/>
      <c r="BD287" s="6"/>
      <c r="BE287" s="6"/>
      <c r="BF287" s="366"/>
      <c r="BH287" s="365"/>
      <c r="BI287" s="6"/>
      <c r="BJ287" s="6"/>
      <c r="BK287" s="366"/>
      <c r="BM287" s="365"/>
      <c r="BN287" s="6"/>
      <c r="BO287" s="6"/>
      <c r="BP287" s="366"/>
    </row>
    <row r="288" spans="1:105" s="2" customFormat="1">
      <c r="A288" s="1523"/>
      <c r="C288" s="37" t="s">
        <v>265</v>
      </c>
      <c r="E288" s="365"/>
      <c r="F288" s="6"/>
      <c r="G288" s="6"/>
      <c r="H288" s="366"/>
      <c r="I288" s="37"/>
      <c r="J288" s="365"/>
      <c r="K288" s="6"/>
      <c r="L288" s="6"/>
      <c r="M288" s="366"/>
      <c r="O288" s="365"/>
      <c r="P288" s="6"/>
      <c r="Q288" s="6"/>
      <c r="R288" s="366"/>
      <c r="T288" s="598"/>
      <c r="U288" s="599"/>
      <c r="V288" s="599"/>
      <c r="W288" s="600"/>
      <c r="X288" s="601"/>
      <c r="Y288" s="598">
        <f t="shared" ref="Y288:BQ288" si="279">Y$73</f>
        <v>38.382602963140968</v>
      </c>
      <c r="Z288" s="599">
        <f t="shared" si="279"/>
        <v>38.849673849504214</v>
      </c>
      <c r="AA288" s="599">
        <f t="shared" si="279"/>
        <v>41.973906793654457</v>
      </c>
      <c r="AB288" s="600">
        <f t="shared" si="279"/>
        <v>36.944658902489365</v>
      </c>
      <c r="AC288" s="601">
        <f t="shared" si="279"/>
        <v>39.037710627197256</v>
      </c>
      <c r="AD288" s="598">
        <f t="shared" si="279"/>
        <v>110.52712209889796</v>
      </c>
      <c r="AE288" s="599">
        <f t="shared" si="279"/>
        <v>41.679595971337889</v>
      </c>
      <c r="AF288" s="599">
        <f t="shared" si="279"/>
        <v>35.451764268292507</v>
      </c>
      <c r="AG288" s="600">
        <f t="shared" si="279"/>
        <v>43.10411778415444</v>
      </c>
      <c r="AH288" s="601">
        <f t="shared" si="279"/>
        <v>57.690650030670703</v>
      </c>
      <c r="AI288" s="598">
        <f t="shared" si="279"/>
        <v>59.740566906779449</v>
      </c>
      <c r="AJ288" s="599">
        <f t="shared" si="279"/>
        <v>30.694201654274341</v>
      </c>
      <c r="AK288" s="599">
        <f t="shared" si="279"/>
        <v>29.891276604570443</v>
      </c>
      <c r="AL288" s="600">
        <f t="shared" si="279"/>
        <v>27.577496597475587</v>
      </c>
      <c r="AM288" s="601">
        <f t="shared" si="279"/>
        <v>36.975885440774952</v>
      </c>
      <c r="AN288" s="598">
        <f t="shared" si="279"/>
        <v>28.158162791408454</v>
      </c>
      <c r="AO288" s="599">
        <f t="shared" si="279"/>
        <v>23.744347552298677</v>
      </c>
      <c r="AP288" s="599">
        <f t="shared" si="279"/>
        <v>30.351033232756244</v>
      </c>
      <c r="AQ288" s="600">
        <f t="shared" si="279"/>
        <v>24.884635360263541</v>
      </c>
      <c r="AR288" s="601">
        <f t="shared" si="279"/>
        <v>26.784544734181729</v>
      </c>
      <c r="AS288" s="598">
        <f t="shared" si="279"/>
        <v>31.198536553048502</v>
      </c>
      <c r="AT288" s="599">
        <f t="shared" si="279"/>
        <v>26.795451860978815</v>
      </c>
      <c r="AU288" s="599">
        <f t="shared" si="279"/>
        <v>26.388415323007248</v>
      </c>
      <c r="AV288" s="600">
        <f t="shared" si="279"/>
        <v>36.320836502083765</v>
      </c>
      <c r="AW288" s="601">
        <f t="shared" si="279"/>
        <v>30.175810059779582</v>
      </c>
      <c r="AX288" s="598">
        <f t="shared" si="279"/>
        <v>48.006363278624086</v>
      </c>
      <c r="AY288" s="599">
        <f t="shared" si="279"/>
        <v>29.534683333333334</v>
      </c>
      <c r="AZ288" s="599">
        <f t="shared" si="279"/>
        <v>31.344845833333334</v>
      </c>
      <c r="BA288" s="600">
        <f t="shared" si="279"/>
        <v>29.829220833333331</v>
      </c>
      <c r="BB288" s="601">
        <f t="shared" si="279"/>
        <v>34.678778319656018</v>
      </c>
      <c r="BC288" s="598">
        <f t="shared" si="279"/>
        <v>41.70067783353943</v>
      </c>
      <c r="BD288" s="599">
        <f t="shared" si="279"/>
        <v>25.28186367366057</v>
      </c>
      <c r="BE288" s="599">
        <f t="shared" si="279"/>
        <v>27.252066715361075</v>
      </c>
      <c r="BF288" s="600">
        <f t="shared" si="279"/>
        <v>33.565240943978935</v>
      </c>
      <c r="BG288" s="601">
        <f t="shared" si="279"/>
        <v>31.949962291635003</v>
      </c>
      <c r="BH288" s="598">
        <f t="shared" si="279"/>
        <v>41.513587958867234</v>
      </c>
      <c r="BI288" s="599">
        <f>BI$73</f>
        <v>25.176505550988139</v>
      </c>
      <c r="BJ288" s="599">
        <f t="shared" si="279"/>
        <v>27.143459647917485</v>
      </c>
      <c r="BK288" s="600">
        <f t="shared" si="279"/>
        <v>33.410701008767148</v>
      </c>
      <c r="BL288" s="601">
        <f t="shared" si="279"/>
        <v>31.811063541634997</v>
      </c>
      <c r="BM288" s="598">
        <f t="shared" si="279"/>
        <v>31.238074693323561</v>
      </c>
      <c r="BN288" s="599">
        <f>BN$73</f>
        <v>31.238074693323561</v>
      </c>
      <c r="BO288" s="599">
        <f t="shared" si="279"/>
        <v>31.238074693323561</v>
      </c>
      <c r="BP288" s="600">
        <f t="shared" si="279"/>
        <v>31.238074693323561</v>
      </c>
      <c r="BQ288" s="601">
        <f t="shared" si="279"/>
        <v>31.238074693323561</v>
      </c>
    </row>
    <row r="289" spans="1:71" s="2" customFormat="1">
      <c r="A289" s="1523"/>
      <c r="C289" s="37" t="s">
        <v>266</v>
      </c>
      <c r="E289" s="365"/>
      <c r="F289" s="6"/>
      <c r="G289" s="6"/>
      <c r="H289" s="366"/>
      <c r="I289" s="733">
        <v>8</v>
      </c>
      <c r="J289" s="365"/>
      <c r="K289" s="6"/>
      <c r="L289" s="6"/>
      <c r="M289" s="366"/>
      <c r="O289" s="365"/>
      <c r="P289" s="6"/>
      <c r="Q289" s="6"/>
      <c r="R289" s="366"/>
      <c r="T289" s="598"/>
      <c r="U289" s="599"/>
      <c r="V289" s="599"/>
      <c r="W289" s="600"/>
      <c r="X289" s="929"/>
      <c r="Y289" s="598">
        <f>+Z289</f>
        <v>8</v>
      </c>
      <c r="Z289" s="599">
        <f>+AA289</f>
        <v>8</v>
      </c>
      <c r="AA289" s="599">
        <f>+AB289</f>
        <v>8</v>
      </c>
      <c r="AB289" s="600">
        <f>+AC289</f>
        <v>8</v>
      </c>
      <c r="AC289" s="929">
        <f>+I289</f>
        <v>8</v>
      </c>
      <c r="AD289" s="598">
        <f>+AE289</f>
        <v>7.4</v>
      </c>
      <c r="AE289" s="599">
        <f>+AF289</f>
        <v>7.4</v>
      </c>
      <c r="AF289" s="599">
        <f>AH289</f>
        <v>7.4</v>
      </c>
      <c r="AG289" s="600">
        <f>AH289</f>
        <v>7.4</v>
      </c>
      <c r="AH289" s="929">
        <f>AC289*1.05-1</f>
        <v>7.4</v>
      </c>
      <c r="AI289" s="598">
        <f>AM289</f>
        <v>7.5480000000000009</v>
      </c>
      <c r="AJ289" s="599">
        <f>AM289</f>
        <v>7.5480000000000009</v>
      </c>
      <c r="AK289" s="599">
        <f>AM289</f>
        <v>7.5480000000000009</v>
      </c>
      <c r="AL289" s="600">
        <f>AM289</f>
        <v>7.5480000000000009</v>
      </c>
      <c r="AM289" s="929">
        <f>AH289*1.02</f>
        <v>7.5480000000000009</v>
      </c>
      <c r="AN289" s="598">
        <f>AR289</f>
        <v>7.6989600000000014</v>
      </c>
      <c r="AO289" s="599">
        <f>AR289</f>
        <v>7.6989600000000014</v>
      </c>
      <c r="AP289" s="599">
        <f>AR289</f>
        <v>7.6989600000000014</v>
      </c>
      <c r="AQ289" s="600">
        <f>AR289</f>
        <v>7.6989600000000014</v>
      </c>
      <c r="AR289" s="929">
        <f>AM289*1.02</f>
        <v>7.6989600000000014</v>
      </c>
      <c r="AS289" s="598">
        <f>AW289</f>
        <v>7.5</v>
      </c>
      <c r="AT289" s="599">
        <f>AW289</f>
        <v>7.5</v>
      </c>
      <c r="AU289" s="599">
        <f>AW289</f>
        <v>7.5</v>
      </c>
      <c r="AV289" s="600">
        <f>AW289</f>
        <v>7.5</v>
      </c>
      <c r="AW289" s="929">
        <v>7.5</v>
      </c>
      <c r="AX289" s="598">
        <f>BB289</f>
        <v>7.5750000000000002</v>
      </c>
      <c r="AY289" s="599">
        <f>BB289</f>
        <v>7.5750000000000002</v>
      </c>
      <c r="AZ289" s="599">
        <f>BC289</f>
        <v>7.6507500000000004</v>
      </c>
      <c r="BA289" s="600">
        <f>BB289</f>
        <v>7.5750000000000002</v>
      </c>
      <c r="BB289" s="929">
        <f>AW289*1.01</f>
        <v>7.5750000000000002</v>
      </c>
      <c r="BC289" s="598">
        <f>BG289</f>
        <v>7.6507500000000004</v>
      </c>
      <c r="BD289" s="599">
        <f>BG289</f>
        <v>7.6507500000000004</v>
      </c>
      <c r="BE289" s="599">
        <f>BG289</f>
        <v>7.6507500000000004</v>
      </c>
      <c r="BF289" s="600">
        <f>BG289</f>
        <v>7.6507500000000004</v>
      </c>
      <c r="BG289" s="929">
        <f>BB289*1.01</f>
        <v>7.6507500000000004</v>
      </c>
      <c r="BH289" s="598">
        <f>BL289</f>
        <v>7.7272575000000003</v>
      </c>
      <c r="BI289" s="599">
        <f>BL289</f>
        <v>7.7272575000000003</v>
      </c>
      <c r="BJ289" s="599">
        <f>BL289</f>
        <v>7.7272575000000003</v>
      </c>
      <c r="BK289" s="600">
        <f>BL289</f>
        <v>7.7272575000000003</v>
      </c>
      <c r="BL289" s="929">
        <f>BG289*1.01</f>
        <v>7.7272575000000003</v>
      </c>
      <c r="BM289" s="598">
        <f>BQ289</f>
        <v>7.8045300750000006</v>
      </c>
      <c r="BN289" s="599">
        <f>BQ289</f>
        <v>7.8045300750000006</v>
      </c>
      <c r="BO289" s="599">
        <f>BQ289</f>
        <v>7.8045300750000006</v>
      </c>
      <c r="BP289" s="600">
        <f>BQ289</f>
        <v>7.8045300750000006</v>
      </c>
      <c r="BQ289" s="929">
        <f>BL289*1.01</f>
        <v>7.8045300750000006</v>
      </c>
    </row>
    <row r="290" spans="1:71" s="49" customFormat="1">
      <c r="A290" s="1523"/>
      <c r="B290" s="2"/>
      <c r="C290" s="2"/>
      <c r="D290" s="2"/>
      <c r="E290" s="365"/>
      <c r="F290" s="6"/>
      <c r="G290" s="6"/>
      <c r="H290" s="366"/>
      <c r="I290" s="37"/>
      <c r="J290" s="365"/>
      <c r="K290" s="6"/>
      <c r="L290" s="6"/>
      <c r="M290" s="366"/>
      <c r="N290" s="2"/>
      <c r="O290" s="365"/>
      <c r="P290" s="6"/>
      <c r="Q290" s="6"/>
      <c r="R290" s="366"/>
      <c r="S290" s="2"/>
      <c r="T290" s="365"/>
      <c r="U290" s="6"/>
      <c r="V290" s="6"/>
      <c r="W290" s="366"/>
      <c r="X290" s="2"/>
      <c r="Y290" s="365"/>
      <c r="Z290" s="6"/>
      <c r="AA290" s="6"/>
      <c r="AB290" s="366"/>
      <c r="AC290" s="2"/>
      <c r="AD290" s="365"/>
      <c r="AE290" s="6"/>
      <c r="AF290" s="6"/>
      <c r="AG290" s="366"/>
      <c r="AH290" s="2"/>
      <c r="AI290" s="365"/>
      <c r="AJ290" s="6"/>
      <c r="AK290" s="6"/>
      <c r="AL290" s="366"/>
      <c r="AM290" s="2"/>
      <c r="AN290" s="365"/>
      <c r="AO290" s="6"/>
      <c r="AP290" s="6"/>
      <c r="AQ290" s="366"/>
      <c r="AR290" s="2"/>
      <c r="AS290" s="365"/>
      <c r="AT290" s="6"/>
      <c r="AU290" s="6"/>
      <c r="AV290" s="366"/>
      <c r="AW290" s="2"/>
      <c r="AX290" s="365"/>
      <c r="AY290" s="6"/>
      <c r="AZ290" s="6"/>
      <c r="BA290" s="366"/>
      <c r="BB290" s="2"/>
      <c r="BC290" s="365"/>
      <c r="BD290" s="6"/>
      <c r="BE290" s="6"/>
      <c r="BF290" s="366"/>
      <c r="BG290" s="2"/>
      <c r="BH290" s="365"/>
      <c r="BI290" s="6"/>
      <c r="BJ290" s="6"/>
      <c r="BK290" s="366"/>
      <c r="BL290" s="2"/>
      <c r="BM290" s="365"/>
      <c r="BN290" s="6"/>
      <c r="BO290" s="6"/>
      <c r="BP290" s="366"/>
      <c r="BQ290" s="2"/>
      <c r="BR290" s="2"/>
    </row>
    <row r="291" spans="1:71" s="2" customFormat="1">
      <c r="A291" s="49"/>
      <c r="B291" s="49"/>
      <c r="C291" s="49" t="s">
        <v>267</v>
      </c>
      <c r="D291" s="49"/>
      <c r="E291" s="396"/>
      <c r="F291" s="343"/>
      <c r="G291" s="343"/>
      <c r="H291" s="397"/>
      <c r="I291" s="725">
        <f>1178+1358+1125</f>
        <v>3661</v>
      </c>
      <c r="J291" s="396"/>
      <c r="K291" s="343"/>
      <c r="L291" s="343"/>
      <c r="M291" s="397"/>
      <c r="N291" s="297"/>
      <c r="O291" s="396"/>
      <c r="P291" s="343"/>
      <c r="Q291" s="343"/>
      <c r="R291" s="397"/>
      <c r="S291" s="297"/>
      <c r="T291" s="396"/>
      <c r="U291" s="343"/>
      <c r="V291" s="343"/>
      <c r="W291" s="397"/>
      <c r="X291" s="297"/>
      <c r="Y291" s="396">
        <f>I291</f>
        <v>3661</v>
      </c>
      <c r="Z291" s="343">
        <f t="shared" ref="Z291:AR291" si="280">Y291</f>
        <v>3661</v>
      </c>
      <c r="AA291" s="343">
        <f t="shared" si="280"/>
        <v>3661</v>
      </c>
      <c r="AB291" s="397">
        <f t="shared" si="280"/>
        <v>3661</v>
      </c>
      <c r="AC291" s="297">
        <f t="shared" si="280"/>
        <v>3661</v>
      </c>
      <c r="AD291" s="396">
        <f>I291</f>
        <v>3661</v>
      </c>
      <c r="AE291" s="343">
        <f>AD291</f>
        <v>3661</v>
      </c>
      <c r="AF291" s="343">
        <f t="shared" si="280"/>
        <v>3661</v>
      </c>
      <c r="AG291" s="397">
        <f t="shared" si="280"/>
        <v>3661</v>
      </c>
      <c r="AH291" s="297">
        <f t="shared" si="280"/>
        <v>3661</v>
      </c>
      <c r="AI291" s="396">
        <f t="shared" si="280"/>
        <v>3661</v>
      </c>
      <c r="AJ291" s="343">
        <f t="shared" si="280"/>
        <v>3661</v>
      </c>
      <c r="AK291" s="343">
        <f t="shared" si="280"/>
        <v>3661</v>
      </c>
      <c r="AL291" s="397">
        <f t="shared" si="280"/>
        <v>3661</v>
      </c>
      <c r="AM291" s="297">
        <f t="shared" si="280"/>
        <v>3661</v>
      </c>
      <c r="AN291" s="396">
        <f t="shared" si="280"/>
        <v>3661</v>
      </c>
      <c r="AO291" s="343">
        <f t="shared" si="280"/>
        <v>3661</v>
      </c>
      <c r="AP291" s="1317">
        <f>AO291+130</f>
        <v>3791</v>
      </c>
      <c r="AQ291" s="397">
        <f t="shared" si="280"/>
        <v>3791</v>
      </c>
      <c r="AR291" s="297">
        <f t="shared" si="280"/>
        <v>3791</v>
      </c>
      <c r="AS291" s="396">
        <f t="shared" ref="AS291:BB291" si="281">AR291</f>
        <v>3791</v>
      </c>
      <c r="AT291" s="343">
        <f t="shared" si="281"/>
        <v>3791</v>
      </c>
      <c r="AU291" s="343">
        <f t="shared" si="281"/>
        <v>3791</v>
      </c>
      <c r="AV291" s="397">
        <f t="shared" si="281"/>
        <v>3791</v>
      </c>
      <c r="AW291" s="297">
        <f t="shared" si="281"/>
        <v>3791</v>
      </c>
      <c r="AX291" s="396">
        <f>AW291</f>
        <v>3791</v>
      </c>
      <c r="AY291" s="343">
        <f>AX291</f>
        <v>3791</v>
      </c>
      <c r="AZ291" s="343">
        <f>AY291</f>
        <v>3791</v>
      </c>
      <c r="BA291" s="397">
        <f>AY291</f>
        <v>3791</v>
      </c>
      <c r="BB291" s="297">
        <f t="shared" si="281"/>
        <v>3791</v>
      </c>
      <c r="BC291" s="396">
        <f t="shared" ref="BC291:BL291" si="282">BB291</f>
        <v>3791</v>
      </c>
      <c r="BD291" s="343">
        <f t="shared" si="282"/>
        <v>3791</v>
      </c>
      <c r="BE291" s="343">
        <f t="shared" si="282"/>
        <v>3791</v>
      </c>
      <c r="BF291" s="397">
        <f t="shared" si="282"/>
        <v>3791</v>
      </c>
      <c r="BG291" s="297">
        <f t="shared" si="282"/>
        <v>3791</v>
      </c>
      <c r="BH291" s="396">
        <f t="shared" si="282"/>
        <v>3791</v>
      </c>
      <c r="BI291" s="343">
        <f t="shared" si="282"/>
        <v>3791</v>
      </c>
      <c r="BJ291" s="343">
        <f t="shared" si="282"/>
        <v>3791</v>
      </c>
      <c r="BK291" s="397">
        <f t="shared" si="282"/>
        <v>3791</v>
      </c>
      <c r="BL291" s="297">
        <f t="shared" si="282"/>
        <v>3791</v>
      </c>
      <c r="BM291" s="396">
        <f>BL291</f>
        <v>3791</v>
      </c>
      <c r="BN291" s="343">
        <f>BM291</f>
        <v>3791</v>
      </c>
      <c r="BO291" s="343">
        <f>BN291</f>
        <v>3791</v>
      </c>
      <c r="BP291" s="397">
        <f>BO291</f>
        <v>3791</v>
      </c>
      <c r="BQ291" s="297">
        <f>BP291</f>
        <v>3791</v>
      </c>
      <c r="BR291" s="49"/>
      <c r="BS291" s="437"/>
    </row>
    <row r="292" spans="1:71" s="2" customFormat="1">
      <c r="A292" s="1523"/>
      <c r="E292" s="365"/>
      <c r="F292" s="6"/>
      <c r="G292" s="6"/>
      <c r="H292" s="366"/>
      <c r="I292" s="37"/>
      <c r="J292" s="365"/>
      <c r="K292" s="6"/>
      <c r="L292" s="6"/>
      <c r="M292" s="366"/>
      <c r="O292" s="365"/>
      <c r="P292" s="6"/>
      <c r="Q292" s="6"/>
      <c r="R292" s="366"/>
      <c r="T292" s="365"/>
      <c r="U292" s="6"/>
      <c r="V292" s="6"/>
      <c r="W292" s="366"/>
      <c r="Y292" s="365"/>
      <c r="Z292" s="6"/>
      <c r="AA292" s="6"/>
      <c r="AB292" s="366"/>
      <c r="AD292" s="365"/>
      <c r="AE292" s="6"/>
      <c r="AF292" s="6"/>
      <c r="AG292" s="366"/>
      <c r="AI292" s="365"/>
      <c r="AJ292" s="6"/>
      <c r="AK292" s="6"/>
      <c r="AL292" s="366"/>
      <c r="AN292" s="365"/>
      <c r="AO292" s="6"/>
      <c r="AP292" s="6"/>
      <c r="AQ292" s="366"/>
      <c r="AS292" s="365"/>
      <c r="AT292" s="1661"/>
      <c r="AU292" s="6"/>
      <c r="AV292" s="366"/>
      <c r="AX292" s="365"/>
      <c r="AY292" s="6"/>
      <c r="AZ292" s="6"/>
      <c r="BA292" s="366"/>
      <c r="BC292" s="365"/>
      <c r="BD292" s="6"/>
      <c r="BE292" s="6"/>
      <c r="BF292" s="366"/>
      <c r="BH292" s="365"/>
      <c r="BI292" s="6"/>
      <c r="BJ292" s="6"/>
      <c r="BK292" s="366"/>
      <c r="BM292" s="365"/>
      <c r="BN292" s="6"/>
      <c r="BO292" s="6"/>
      <c r="BP292" s="366"/>
      <c r="BS292" s="777"/>
    </row>
    <row r="293" spans="1:71" s="49" customFormat="1">
      <c r="A293" s="1523"/>
      <c r="B293" s="2"/>
      <c r="C293" s="37" t="s">
        <v>268</v>
      </c>
      <c r="D293" s="2"/>
      <c r="E293" s="365"/>
      <c r="F293" s="6"/>
      <c r="G293" s="6"/>
      <c r="H293" s="366"/>
      <c r="I293" s="726">
        <v>0.93</v>
      </c>
      <c r="J293" s="365"/>
      <c r="K293" s="6"/>
      <c r="L293" s="6"/>
      <c r="M293" s="366"/>
      <c r="N293" s="2"/>
      <c r="O293" s="365"/>
      <c r="P293" s="6"/>
      <c r="Q293" s="6"/>
      <c r="R293" s="366"/>
      <c r="S293" s="2"/>
      <c r="T293" s="376"/>
      <c r="U293" s="334"/>
      <c r="V293" s="334"/>
      <c r="W293" s="377"/>
      <c r="X293" s="973"/>
      <c r="Y293" s="376">
        <f>+I293</f>
        <v>0.93</v>
      </c>
      <c r="Z293" s="334">
        <f>+Y293</f>
        <v>0.93</v>
      </c>
      <c r="AA293" s="334">
        <f>+Z293</f>
        <v>0.93</v>
      </c>
      <c r="AB293" s="377">
        <f>+AA293</f>
        <v>0.93</v>
      </c>
      <c r="AC293" s="973">
        <f>IF(AVERAGE(Y291:AB291)=0,0,AC294/(AVERAGE(Y291:AB291)*8.76))</f>
        <v>0.92999999999999994</v>
      </c>
      <c r="AD293" s="376">
        <f>+I293</f>
        <v>0.93</v>
      </c>
      <c r="AE293" s="334">
        <f>+AD293</f>
        <v>0.93</v>
      </c>
      <c r="AF293" s="334">
        <f>+I293</f>
        <v>0.93</v>
      </c>
      <c r="AG293" s="1437">
        <v>0.6</v>
      </c>
      <c r="AH293" s="973">
        <f>IF(AVERAGE(AD291:AG291)=0,0,AH294/(AVERAGE(AD291:AG291)*8.76))</f>
        <v>0.84749999999999992</v>
      </c>
      <c r="AI293" s="376">
        <f>I293</f>
        <v>0.93</v>
      </c>
      <c r="AJ293" s="1528">
        <v>0.89</v>
      </c>
      <c r="AK293" s="1528">
        <v>0.93</v>
      </c>
      <c r="AL293" s="1529">
        <v>0.8</v>
      </c>
      <c r="AM293" s="973">
        <f>IF(AVERAGE(AI291:AL291)=0,0,AM294/(AVERAGE(AI291:AL291)*8.76))</f>
        <v>0.88750000000000007</v>
      </c>
      <c r="AN293" s="1493">
        <v>0.92500000000000004</v>
      </c>
      <c r="AO293" s="1528">
        <v>0.81</v>
      </c>
      <c r="AP293" s="334">
        <f>AN293</f>
        <v>0.92500000000000004</v>
      </c>
      <c r="AQ293" s="377">
        <f>AP293</f>
        <v>0.92500000000000004</v>
      </c>
      <c r="AR293" s="973">
        <f>IF(AVERAGE(AN291:AQ291)=0,0,AR294/(AVERAGE(AN291:AQ291)*8.76))</f>
        <v>0.8967515432098766</v>
      </c>
      <c r="AS293" s="376">
        <f>+AN293</f>
        <v>0.92500000000000004</v>
      </c>
      <c r="AT293" s="1528">
        <v>0.81</v>
      </c>
      <c r="AU293" s="334">
        <f>+AP293</f>
        <v>0.92500000000000004</v>
      </c>
      <c r="AV293" s="377">
        <f>+AQ293</f>
        <v>0.92500000000000004</v>
      </c>
      <c r="AW293" s="973">
        <f>IF(AVERAGE(AS291:AV291)=0,0,AW294/(AVERAGE(AS291:AV291)*8.76))</f>
        <v>0.8962500000000001</v>
      </c>
      <c r="AX293" s="376">
        <f>+AS293</f>
        <v>0.92500000000000004</v>
      </c>
      <c r="AY293" s="334">
        <f>+AT293</f>
        <v>0.81</v>
      </c>
      <c r="AZ293" s="334">
        <f>+AU293</f>
        <v>0.92500000000000004</v>
      </c>
      <c r="BA293" s="377">
        <f>+AV293</f>
        <v>0.92500000000000004</v>
      </c>
      <c r="BB293" s="973">
        <f>IF(AVERAGE(AX291:BA291)=0,0,BB294/(AVERAGE(AX291:BA291)*8.76))</f>
        <v>0.8962500000000001</v>
      </c>
      <c r="BC293" s="376">
        <f>+AX293</f>
        <v>0.92500000000000004</v>
      </c>
      <c r="BD293" s="334">
        <f>+AY293</f>
        <v>0.81</v>
      </c>
      <c r="BE293" s="334">
        <f>+AY293</f>
        <v>0.81</v>
      </c>
      <c r="BF293" s="377">
        <f>+BA293</f>
        <v>0.92500000000000004</v>
      </c>
      <c r="BG293" s="973">
        <f>IF(AVERAGE(BC291:BF291)=0,0,BG294/(AVERAGE(BC291:BF291)*8.76))</f>
        <v>0.86750000000000016</v>
      </c>
      <c r="BH293" s="376">
        <f>+BC293</f>
        <v>0.92500000000000004</v>
      </c>
      <c r="BI293" s="334">
        <f>+BD293</f>
        <v>0.81</v>
      </c>
      <c r="BJ293" s="334">
        <f>+BE293</f>
        <v>0.81</v>
      </c>
      <c r="BK293" s="377">
        <f>+BF293</f>
        <v>0.92500000000000004</v>
      </c>
      <c r="BL293" s="973">
        <f>IF(AVERAGE(BH291:BK291)=0,0,BL294/(AVERAGE(BH291:BK291)*8.76))</f>
        <v>0.86750000000000016</v>
      </c>
      <c r="BM293" s="376">
        <f>+BH293</f>
        <v>0.92500000000000004</v>
      </c>
      <c r="BN293" s="334">
        <f>+BI293</f>
        <v>0.81</v>
      </c>
      <c r="BO293" s="334">
        <f>+BJ293</f>
        <v>0.81</v>
      </c>
      <c r="BP293" s="377">
        <f>+BK293</f>
        <v>0.92500000000000004</v>
      </c>
      <c r="BQ293" s="973">
        <f>IF(AVERAGE(BM291:BP291)=0,0,BQ294/(AVERAGE(BM291:BP291)*8.76))</f>
        <v>0.86750000000000016</v>
      </c>
      <c r="BR293" s="2"/>
    </row>
    <row r="294" spans="1:71" s="2" customFormat="1">
      <c r="A294" s="49"/>
      <c r="B294" s="49"/>
      <c r="C294" s="49" t="s">
        <v>269</v>
      </c>
      <c r="D294" s="49"/>
      <c r="E294" s="663"/>
      <c r="F294" s="468"/>
      <c r="G294" s="468"/>
      <c r="H294" s="664"/>
      <c r="I294" s="49"/>
      <c r="J294" s="663"/>
      <c r="K294" s="468"/>
      <c r="L294" s="468"/>
      <c r="M294" s="664"/>
      <c r="N294" s="624"/>
      <c r="O294" s="663"/>
      <c r="P294" s="468"/>
      <c r="Q294" s="468"/>
      <c r="R294" s="664"/>
      <c r="S294" s="49"/>
      <c r="T294" s="407"/>
      <c r="U294" s="349"/>
      <c r="V294" s="349"/>
      <c r="W294" s="408"/>
      <c r="X294" s="608"/>
      <c r="Y294" s="407">
        <f>(Y291*Y293*(8760/1000))/4</f>
        <v>7456.3586999999998</v>
      </c>
      <c r="Z294" s="349">
        <f>(Z291*Z293*(8760/1000))/4</f>
        <v>7456.3586999999998</v>
      </c>
      <c r="AA294" s="349">
        <f>(AA291*AA293*(8760/1000))/4</f>
        <v>7456.3586999999998</v>
      </c>
      <c r="AB294" s="408">
        <f>(AB291*AB293*(8760/1000))/4</f>
        <v>7456.3586999999998</v>
      </c>
      <c r="AC294" s="608">
        <f>SUM(Y294:AB294)</f>
        <v>29825.434799999999</v>
      </c>
      <c r="AD294" s="407">
        <f>(AD291*AD293*(8760/1000))/4</f>
        <v>7456.3586999999998</v>
      </c>
      <c r="AE294" s="349">
        <f>(AE291*AE293*(8760/1000))/4</f>
        <v>7456.3586999999998</v>
      </c>
      <c r="AF294" s="349">
        <f>(AF291*AF293*(8760/1000))/4</f>
        <v>7456.3586999999998</v>
      </c>
      <c r="AG294" s="408">
        <f>(AG291*AG293*(8760/1000))/4</f>
        <v>4810.5540000000001</v>
      </c>
      <c r="AH294" s="608">
        <f>SUM(AD294:AG294)</f>
        <v>27179.630099999998</v>
      </c>
      <c r="AI294" s="407">
        <f>(AI291*AI293*(8760/1000))/4</f>
        <v>7456.3586999999998</v>
      </c>
      <c r="AJ294" s="349">
        <f>(AJ291*AJ293*(8760/1000))/4</f>
        <v>7135.6550999999999</v>
      </c>
      <c r="AK294" s="349">
        <f>(AK291*AK293*(8760/1000))/4</f>
        <v>7456.3586999999998</v>
      </c>
      <c r="AL294" s="408">
        <f>(AL291*AL293*(8760/1000))/4</f>
        <v>6414.0720000000001</v>
      </c>
      <c r="AM294" s="608">
        <f>SUM(AI294:AL294)</f>
        <v>28462.444500000001</v>
      </c>
      <c r="AN294" s="407">
        <f>(AN291*AN293*(8760/1000))/4</f>
        <v>7416.2707500000006</v>
      </c>
      <c r="AO294" s="349">
        <f>(AO291*AO293*(8760/1000))/4</f>
        <v>6494.2479000000003</v>
      </c>
      <c r="AP294" s="349">
        <f>(AP291*AP293*(8760/1000))/4</f>
        <v>7679.6182500000004</v>
      </c>
      <c r="AQ294" s="408">
        <f>(AQ291*AQ293*(8760/1000))/4</f>
        <v>7679.6182500000004</v>
      </c>
      <c r="AR294" s="608">
        <f>SUM(AN294:AQ294)</f>
        <v>29269.755150000001</v>
      </c>
      <c r="AS294" s="407">
        <f>(AS291*AS293*(8760/1000))/4</f>
        <v>7679.6182500000004</v>
      </c>
      <c r="AT294" s="349">
        <f>(AT291*AT293*(8760/1000))/4</f>
        <v>6724.8549000000003</v>
      </c>
      <c r="AU294" s="349">
        <f>(AU291*AU293*(8760/1000))/4</f>
        <v>7679.6182500000004</v>
      </c>
      <c r="AV294" s="408">
        <f>(AV291*AV293*(8760/1000))/4</f>
        <v>7679.6182500000004</v>
      </c>
      <c r="AW294" s="608">
        <f>SUM(AS294:AV294)</f>
        <v>29763.709650000001</v>
      </c>
      <c r="AX294" s="407">
        <f>(AX291*AX293*(8760/1000))/4</f>
        <v>7679.6182500000004</v>
      </c>
      <c r="AY294" s="349">
        <f>(AY291*AY293*(8760/1000))/4</f>
        <v>6724.8549000000003</v>
      </c>
      <c r="AZ294" s="349">
        <f>(AZ291*AZ293*(8760/1000))/4</f>
        <v>7679.6182500000004</v>
      </c>
      <c r="BA294" s="408">
        <f>(BA291*BA293*(8760/1000))/4</f>
        <v>7679.6182500000004</v>
      </c>
      <c r="BB294" s="608">
        <f>SUM(AX294:BA294)</f>
        <v>29763.709650000001</v>
      </c>
      <c r="BC294" s="407">
        <f>(BC291*BC293*(8760/1000))/4</f>
        <v>7679.6182500000004</v>
      </c>
      <c r="BD294" s="349">
        <f>(BD291*BD293*(8760/1000))/4</f>
        <v>6724.8549000000003</v>
      </c>
      <c r="BE294" s="349">
        <f>(BE291*BE293*(8760/1000))/4</f>
        <v>6724.8549000000003</v>
      </c>
      <c r="BF294" s="408">
        <f>(BF291*BF293*(8760/1000))/4</f>
        <v>7679.6182500000004</v>
      </c>
      <c r="BG294" s="608">
        <f>SUM(BC294:BF294)</f>
        <v>28808.946300000003</v>
      </c>
      <c r="BH294" s="407">
        <f>(BH291*BH293*(8760/1000))/4</f>
        <v>7679.6182500000004</v>
      </c>
      <c r="BI294" s="349">
        <f>(BI291*BI293*(8760/1000))/4</f>
        <v>6724.8549000000003</v>
      </c>
      <c r="BJ294" s="349">
        <f>(BJ291*BJ293*(8760/1000))/4</f>
        <v>6724.8549000000003</v>
      </c>
      <c r="BK294" s="408">
        <f>(BK291*BK293*(8760/1000))/4</f>
        <v>7679.6182500000004</v>
      </c>
      <c r="BL294" s="608">
        <f>SUM(BH294:BK294)</f>
        <v>28808.946300000003</v>
      </c>
      <c r="BM294" s="407">
        <f>(BM291*BM293*(8760/1000))/4</f>
        <v>7679.6182500000004</v>
      </c>
      <c r="BN294" s="349">
        <f>(BN291*BN293*(8760/1000))/4</f>
        <v>6724.8549000000003</v>
      </c>
      <c r="BO294" s="349">
        <f>(BO291*BO293*(8760/1000))/4</f>
        <v>6724.8549000000003</v>
      </c>
      <c r="BP294" s="408">
        <f>(BP291*BP293*(8760/1000))/4</f>
        <v>7679.6182500000004</v>
      </c>
      <c r="BQ294" s="608">
        <f>SUM(BM294:BP294)</f>
        <v>28808.946300000003</v>
      </c>
      <c r="BR294" s="49"/>
    </row>
    <row r="295" spans="1:71" s="2" customFormat="1">
      <c r="A295" s="1523"/>
      <c r="E295" s="365"/>
      <c r="F295" s="6"/>
      <c r="G295" s="6"/>
      <c r="H295" s="366"/>
      <c r="I295" s="37"/>
      <c r="J295" s="365"/>
      <c r="K295" s="6"/>
      <c r="L295" s="6"/>
      <c r="M295" s="366"/>
      <c r="O295" s="365"/>
      <c r="P295" s="6"/>
      <c r="Q295" s="6"/>
      <c r="R295" s="366"/>
      <c r="T295" s="365"/>
      <c r="U295" s="6"/>
      <c r="V295" s="6"/>
      <c r="W295" s="366"/>
      <c r="Y295" s="365"/>
      <c r="Z295" s="6"/>
      <c r="AA295" s="6"/>
      <c r="AB295" s="366"/>
      <c r="AD295" s="365"/>
      <c r="AE295" s="6"/>
      <c r="AF295" s="6"/>
      <c r="AG295" s="366"/>
      <c r="AI295" s="365"/>
      <c r="AJ295" s="6"/>
      <c r="AK295" s="6"/>
      <c r="AL295" s="366"/>
      <c r="AN295" s="365"/>
      <c r="AO295" s="6"/>
      <c r="AP295" s="6"/>
      <c r="AQ295" s="366"/>
      <c r="AS295" s="365"/>
      <c r="AT295" s="6"/>
      <c r="AU295" s="6"/>
      <c r="AV295" s="366"/>
      <c r="AX295" s="365"/>
      <c r="AY295" s="6"/>
      <c r="AZ295" s="6"/>
      <c r="BA295" s="366"/>
      <c r="BC295" s="365"/>
      <c r="BD295" s="6"/>
      <c r="BE295" s="6"/>
      <c r="BF295" s="366"/>
      <c r="BH295" s="365"/>
      <c r="BI295" s="6"/>
      <c r="BJ295" s="6"/>
      <c r="BK295" s="366"/>
      <c r="BM295" s="365"/>
      <c r="BN295" s="6"/>
      <c r="BO295" s="6"/>
      <c r="BP295" s="366"/>
    </row>
    <row r="296" spans="1:71" s="2" customFormat="1">
      <c r="A296" s="1523"/>
      <c r="C296" s="37" t="s">
        <v>663</v>
      </c>
      <c r="E296" s="365"/>
      <c r="F296" s="6"/>
      <c r="G296" s="6"/>
      <c r="H296" s="366"/>
      <c r="I296" s="37"/>
      <c r="J296" s="365"/>
      <c r="K296" s="6"/>
      <c r="L296" s="6"/>
      <c r="M296" s="366"/>
      <c r="O296" s="365"/>
      <c r="P296" s="6"/>
      <c r="Q296" s="6"/>
      <c r="R296" s="366"/>
      <c r="T296" s="392"/>
      <c r="U296" s="341"/>
      <c r="V296" s="341"/>
      <c r="W296" s="393"/>
      <c r="X296" s="296"/>
      <c r="Y296" s="392">
        <f>(Y288/1000*Y294)</f>
        <v>286.19445553286198</v>
      </c>
      <c r="Z296" s="341">
        <f>(Z288/1000*Z294)</f>
        <v>289.67710359991321</v>
      </c>
      <c r="AA296" s="341">
        <f>(AA288/1000*AA294)</f>
        <v>312.97250509385452</v>
      </c>
      <c r="AB296" s="393">
        <f>(AB288/1000*AB294)</f>
        <v>275.47262882610903</v>
      </c>
      <c r="AC296" s="296">
        <f>SUM(Y296:AB296)</f>
        <v>1164.3166930527389</v>
      </c>
      <c r="AD296" s="392">
        <f>(AD288/1000*AD294)</f>
        <v>824.12986844808006</v>
      </c>
      <c r="AE296" s="341">
        <f>(AE288/1000*AE294)</f>
        <v>310.77801803337024</v>
      </c>
      <c r="AF296" s="341">
        <f>(AF288/1000*AF294)</f>
        <v>264.34107093223196</v>
      </c>
      <c r="AG296" s="393">
        <f>(AG288/1000*AG294)</f>
        <v>207.35468622303529</v>
      </c>
      <c r="AH296" s="296">
        <f>SUM(AD296:AG296)</f>
        <v>1606.6036436367176</v>
      </c>
      <c r="AI296" s="392">
        <f>(AI288/1000*AI294)</f>
        <v>445.44709579829703</v>
      </c>
      <c r="AJ296" s="341">
        <f>(AJ288/1000*AJ294)</f>
        <v>219.02323657475114</v>
      </c>
      <c r="AK296" s="341">
        <f>(AK288/1000*AK294)</f>
        <v>222.88008036459527</v>
      </c>
      <c r="AL296" s="393">
        <f>(AL288/1000*AL294)</f>
        <v>176.88404875596342</v>
      </c>
      <c r="AM296" s="296">
        <f>SUM(AI296:AL296)</f>
        <v>1064.2344614936069</v>
      </c>
      <c r="AN296" s="392">
        <f>(AN288/1000*AN294)</f>
        <v>208.82855908366088</v>
      </c>
      <c r="AO296" s="341">
        <f>(AO288/1000*AO294)</f>
        <v>154.20167922838584</v>
      </c>
      <c r="AP296" s="341">
        <f>(AP288/1000*AP294)</f>
        <v>233.08434872063137</v>
      </c>
      <c r="AQ296" s="393">
        <f>(AQ288/1000*AQ294)</f>
        <v>191.10449985727521</v>
      </c>
      <c r="AR296" s="296">
        <f>SUM(AN296:AQ296)</f>
        <v>787.21908688995325</v>
      </c>
      <c r="AS296" s="392">
        <f>(AS288/1000*AS294)</f>
        <v>239.59285068608338</v>
      </c>
      <c r="AT296" s="341">
        <f>(AT288/1000*AT294)</f>
        <v>180.19552574501751</v>
      </c>
      <c r="AU296" s="341">
        <f>(AU288/1000*AU294)</f>
        <v>202.65295590314611</v>
      </c>
      <c r="AV296" s="393">
        <f>(AV288/1000*AV294)</f>
        <v>278.93015885666864</v>
      </c>
      <c r="AW296" s="296">
        <f>SUM(AS296:AV296)</f>
        <v>901.37149119091566</v>
      </c>
      <c r="AX296" s="392">
        <f>(AX288/1000*AX294)</f>
        <v>368.67054355065136</v>
      </c>
      <c r="AY296" s="341">
        <f>(AY288/1000*AY294)</f>
        <v>198.616459934115</v>
      </c>
      <c r="AZ296" s="341">
        <f>(AZ288/1000*AZ294)</f>
        <v>240.71645010510315</v>
      </c>
      <c r="BA296" s="393">
        <f>(BA288/1000*BA294)</f>
        <v>229.07702869494685</v>
      </c>
      <c r="BB296" s="296">
        <f>SUM(AX296:BA296)</f>
        <v>1037.0804822848163</v>
      </c>
      <c r="BC296" s="392">
        <f>(BC288/1000*BC294)</f>
        <v>320.24528652781987</v>
      </c>
      <c r="BD296" s="341">
        <f>(BD288/1000*BD294)</f>
        <v>170.01686480694829</v>
      </c>
      <c r="BE296" s="341">
        <f>(BE288/1000*BE294)</f>
        <v>183.26619438592283</v>
      </c>
      <c r="BF296" s="393">
        <f>(BF288/1000*BF294)</f>
        <v>257.76823691902786</v>
      </c>
      <c r="BG296" s="296">
        <f>SUM(BC296:BF296)</f>
        <v>931.29658263971896</v>
      </c>
      <c r="BH296" s="392">
        <f>(BH288/1000*BH294)</f>
        <v>318.80850771189705</v>
      </c>
      <c r="BI296" s="341">
        <f>(BI288/1000*BI294)</f>
        <v>169.30834671943978</v>
      </c>
      <c r="BJ296" s="341">
        <f>(BJ288/1000*BJ294)</f>
        <v>182.53582761625017</v>
      </c>
      <c r="BK296" s="393">
        <f>(BK288/1000*BK294)</f>
        <v>256.58142921222162</v>
      </c>
      <c r="BL296" s="296">
        <f>SUM(BH296:BK296)</f>
        <v>927.23411125980851</v>
      </c>
      <c r="BM296" s="392">
        <f>(BM288/1000*BM294)</f>
        <v>239.89648850971079</v>
      </c>
      <c r="BN296" s="341">
        <f>(BN288/1000*BN294)</f>
        <v>210.07151966796297</v>
      </c>
      <c r="BO296" s="341">
        <f>(BO288/1000*BO294)</f>
        <v>210.07151966796297</v>
      </c>
      <c r="BP296" s="393">
        <f>(BP288/1000*BP294)</f>
        <v>239.89648850971079</v>
      </c>
      <c r="BQ296" s="296">
        <f>SUM(BM296:BP296)</f>
        <v>899.93601635534753</v>
      </c>
    </row>
    <row r="297" spans="1:71" s="49" customFormat="1">
      <c r="A297" s="1523"/>
      <c r="B297" s="2"/>
      <c r="C297" s="37" t="s">
        <v>346</v>
      </c>
      <c r="D297" s="2"/>
      <c r="E297" s="365"/>
      <c r="F297" s="6"/>
      <c r="G297" s="6"/>
      <c r="H297" s="366"/>
      <c r="I297" s="37"/>
      <c r="J297" s="365"/>
      <c r="K297" s="6"/>
      <c r="L297" s="6"/>
      <c r="M297" s="366"/>
      <c r="N297" s="2"/>
      <c r="O297" s="365"/>
      <c r="P297" s="6"/>
      <c r="Q297" s="6"/>
      <c r="R297" s="366"/>
      <c r="S297" s="2"/>
      <c r="T297" s="392"/>
      <c r="U297" s="341"/>
      <c r="V297" s="341"/>
      <c r="W297" s="393"/>
      <c r="X297" s="296"/>
      <c r="Y297" s="392">
        <f t="shared" ref="Y297:AR297" si="283">Y289/1000*Y294</f>
        <v>59.6508696</v>
      </c>
      <c r="Z297" s="341">
        <f t="shared" si="283"/>
        <v>59.6508696</v>
      </c>
      <c r="AA297" s="341">
        <f t="shared" si="283"/>
        <v>59.6508696</v>
      </c>
      <c r="AB297" s="393">
        <f t="shared" si="283"/>
        <v>59.6508696</v>
      </c>
      <c r="AC297" s="296">
        <f t="shared" si="283"/>
        <v>238.6034784</v>
      </c>
      <c r="AD297" s="392">
        <f>AD289/1000*AD294</f>
        <v>55.177054380000001</v>
      </c>
      <c r="AE297" s="341">
        <f>AE289/1000*AE294</f>
        <v>55.177054380000001</v>
      </c>
      <c r="AF297" s="341">
        <f t="shared" si="283"/>
        <v>55.177054380000001</v>
      </c>
      <c r="AG297" s="393">
        <f t="shared" si="283"/>
        <v>35.598099600000005</v>
      </c>
      <c r="AH297" s="296">
        <f t="shared" si="283"/>
        <v>201.12926274</v>
      </c>
      <c r="AI297" s="392">
        <f t="shared" si="283"/>
        <v>56.280595467600008</v>
      </c>
      <c r="AJ297" s="341">
        <f t="shared" si="283"/>
        <v>53.859924694800007</v>
      </c>
      <c r="AK297" s="341">
        <f t="shared" si="283"/>
        <v>56.280595467600008</v>
      </c>
      <c r="AL297" s="393">
        <f t="shared" si="283"/>
        <v>48.41341545600001</v>
      </c>
      <c r="AM297" s="296">
        <f t="shared" si="283"/>
        <v>214.83453108600003</v>
      </c>
      <c r="AN297" s="392">
        <f t="shared" si="283"/>
        <v>57.097571853420014</v>
      </c>
      <c r="AO297" s="341">
        <f t="shared" si="283"/>
        <v>49.99895481218401</v>
      </c>
      <c r="AP297" s="341">
        <f t="shared" si="283"/>
        <v>59.125073722020012</v>
      </c>
      <c r="AQ297" s="393">
        <f t="shared" si="283"/>
        <v>59.125073722020012</v>
      </c>
      <c r="AR297" s="296">
        <f t="shared" si="283"/>
        <v>225.34667410964406</v>
      </c>
      <c r="AS297" s="392">
        <f t="shared" ref="AS297:BB297" si="284">AS289/1000*AS294</f>
        <v>57.597136875000004</v>
      </c>
      <c r="AT297" s="341">
        <f>AT289/1000*AT294</f>
        <v>50.436411749999998</v>
      </c>
      <c r="AU297" s="341">
        <f t="shared" si="284"/>
        <v>57.597136875000004</v>
      </c>
      <c r="AV297" s="393">
        <f t="shared" si="284"/>
        <v>57.597136875000004</v>
      </c>
      <c r="AW297" s="296">
        <f t="shared" si="284"/>
        <v>223.22782237499999</v>
      </c>
      <c r="AX297" s="392">
        <f>AX289/1000*AX294</f>
        <v>58.173108243750008</v>
      </c>
      <c r="AY297" s="341">
        <f>AY289/1000*AY294</f>
        <v>50.940775867500001</v>
      </c>
      <c r="AZ297" s="341">
        <f>AZ289/1000*AZ294</f>
        <v>58.754839326187508</v>
      </c>
      <c r="BA297" s="393">
        <f>BA289/1000*BA294</f>
        <v>58.173108243750008</v>
      </c>
      <c r="BB297" s="296">
        <f t="shared" si="284"/>
        <v>225.46010059875002</v>
      </c>
      <c r="BC297" s="392">
        <f t="shared" ref="BC297:BL297" si="285">BC289/1000*BC294</f>
        <v>58.754839326187508</v>
      </c>
      <c r="BD297" s="341">
        <f t="shared" si="285"/>
        <v>51.450183626175004</v>
      </c>
      <c r="BE297" s="341">
        <f t="shared" si="285"/>
        <v>51.450183626175004</v>
      </c>
      <c r="BF297" s="393">
        <f t="shared" si="285"/>
        <v>58.754839326187508</v>
      </c>
      <c r="BG297" s="296">
        <f t="shared" si="285"/>
        <v>220.41004590472502</v>
      </c>
      <c r="BH297" s="392">
        <f t="shared" si="285"/>
        <v>59.342387719449377</v>
      </c>
      <c r="BI297" s="341">
        <f t="shared" si="285"/>
        <v>51.964685462436755</v>
      </c>
      <c r="BJ297" s="341">
        <f t="shared" si="285"/>
        <v>51.964685462436755</v>
      </c>
      <c r="BK297" s="393">
        <f t="shared" si="285"/>
        <v>59.342387719449377</v>
      </c>
      <c r="BL297" s="296">
        <f t="shared" si="285"/>
        <v>222.61414636377228</v>
      </c>
      <c r="BM297" s="392">
        <f>BM289/1000*BM294</f>
        <v>59.93581159664388</v>
      </c>
      <c r="BN297" s="341">
        <f>BN289/1000*BN294</f>
        <v>52.484332317061124</v>
      </c>
      <c r="BO297" s="341">
        <f>BO289/1000*BO294</f>
        <v>52.484332317061124</v>
      </c>
      <c r="BP297" s="393">
        <f>BP289/1000*BP294</f>
        <v>59.93581159664388</v>
      </c>
      <c r="BQ297" s="296">
        <f>BQ289/1000*BQ294</f>
        <v>224.84028782741001</v>
      </c>
      <c r="BR297" s="2"/>
    </row>
    <row r="298" spans="1:71" s="2" customFormat="1">
      <c r="A298" s="49"/>
      <c r="B298" s="49"/>
      <c r="C298" s="49" t="s">
        <v>270</v>
      </c>
      <c r="D298" s="49"/>
      <c r="E298" s="663"/>
      <c r="F298" s="468"/>
      <c r="G298" s="468"/>
      <c r="H298" s="664"/>
      <c r="I298" s="37"/>
      <c r="J298" s="663"/>
      <c r="K298" s="468"/>
      <c r="L298" s="468"/>
      <c r="M298" s="664"/>
      <c r="N298" s="49"/>
      <c r="O298" s="663"/>
      <c r="P298" s="468"/>
      <c r="Q298" s="468"/>
      <c r="R298" s="664"/>
      <c r="S298" s="49"/>
      <c r="T298" s="396"/>
      <c r="U298" s="343"/>
      <c r="V298" s="343"/>
      <c r="W298" s="397"/>
      <c r="X298" s="297"/>
      <c r="Y298" s="396">
        <f t="shared" ref="Y298:AR298" si="286">Y296-Y297</f>
        <v>226.54358593286199</v>
      </c>
      <c r="Z298" s="343">
        <f t="shared" si="286"/>
        <v>230.02623399991322</v>
      </c>
      <c r="AA298" s="343">
        <f t="shared" si="286"/>
        <v>253.32163549385453</v>
      </c>
      <c r="AB298" s="397">
        <f t="shared" si="286"/>
        <v>215.82175922610904</v>
      </c>
      <c r="AC298" s="297">
        <f t="shared" si="286"/>
        <v>925.71321465273888</v>
      </c>
      <c r="AD298" s="396">
        <f>AD296-AD297</f>
        <v>768.9528140680801</v>
      </c>
      <c r="AE298" s="343">
        <f>AE296-AE297</f>
        <v>255.60096365337023</v>
      </c>
      <c r="AF298" s="343">
        <f t="shared" si="286"/>
        <v>209.16401655223194</v>
      </c>
      <c r="AG298" s="397">
        <f t="shared" si="286"/>
        <v>171.75658662303528</v>
      </c>
      <c r="AH298" s="297">
        <f t="shared" si="286"/>
        <v>1405.4743808967175</v>
      </c>
      <c r="AI298" s="396">
        <f t="shared" si="286"/>
        <v>389.16650033069703</v>
      </c>
      <c r="AJ298" s="343">
        <f t="shared" si="286"/>
        <v>165.16331187995112</v>
      </c>
      <c r="AK298" s="343">
        <f t="shared" si="286"/>
        <v>166.59948489699525</v>
      </c>
      <c r="AL298" s="397">
        <f t="shared" si="286"/>
        <v>128.47063329996342</v>
      </c>
      <c r="AM298" s="297">
        <f t="shared" si="286"/>
        <v>849.39993040760692</v>
      </c>
      <c r="AN298" s="396">
        <f t="shared" si="286"/>
        <v>151.73098723024086</v>
      </c>
      <c r="AO298" s="343">
        <f t="shared" si="286"/>
        <v>104.20272441620183</v>
      </c>
      <c r="AP298" s="343">
        <f t="shared" si="286"/>
        <v>173.95927499861136</v>
      </c>
      <c r="AQ298" s="397">
        <f t="shared" si="286"/>
        <v>131.97942613525521</v>
      </c>
      <c r="AR298" s="297">
        <f t="shared" si="286"/>
        <v>561.87241278030922</v>
      </c>
      <c r="AS298" s="396">
        <f t="shared" ref="AS298:BB298" si="287">AS296-AS297</f>
        <v>181.99571381108336</v>
      </c>
      <c r="AT298" s="343">
        <f t="shared" si="287"/>
        <v>129.75911399501751</v>
      </c>
      <c r="AU298" s="343">
        <f t="shared" si="287"/>
        <v>145.05581902814612</v>
      </c>
      <c r="AV298" s="397">
        <f t="shared" si="287"/>
        <v>221.33302198166865</v>
      </c>
      <c r="AW298" s="297">
        <f t="shared" si="287"/>
        <v>678.1436688159157</v>
      </c>
      <c r="AX298" s="396">
        <f>AX296-AX297</f>
        <v>310.49743530690137</v>
      </c>
      <c r="AY298" s="343">
        <f>AY296-AY297</f>
        <v>147.67568406661499</v>
      </c>
      <c r="AZ298" s="343">
        <f>AZ296-AZ297</f>
        <v>181.96161077891566</v>
      </c>
      <c r="BA298" s="397">
        <f>BA296-BA297</f>
        <v>170.90392045119683</v>
      </c>
      <c r="BB298" s="297">
        <f t="shared" si="287"/>
        <v>811.62038168606625</v>
      </c>
      <c r="BC298" s="396">
        <f t="shared" ref="BC298:BL298" si="288">BC296-BC297</f>
        <v>261.49044720163238</v>
      </c>
      <c r="BD298" s="343">
        <f t="shared" si="288"/>
        <v>118.56668118077329</v>
      </c>
      <c r="BE298" s="343">
        <f t="shared" si="288"/>
        <v>131.81601075974783</v>
      </c>
      <c r="BF298" s="397">
        <f t="shared" si="288"/>
        <v>199.01339759284036</v>
      </c>
      <c r="BG298" s="297">
        <f t="shared" si="288"/>
        <v>710.88653673499391</v>
      </c>
      <c r="BH298" s="396">
        <f t="shared" si="288"/>
        <v>259.46611999244766</v>
      </c>
      <c r="BI298" s="343">
        <f t="shared" si="288"/>
        <v>117.34366125700302</v>
      </c>
      <c r="BJ298" s="343">
        <f t="shared" si="288"/>
        <v>130.57114215381341</v>
      </c>
      <c r="BK298" s="397">
        <f t="shared" si="288"/>
        <v>197.23904149277223</v>
      </c>
      <c r="BL298" s="297">
        <f t="shared" si="288"/>
        <v>704.61996489603621</v>
      </c>
      <c r="BM298" s="396">
        <f>BM296-BM297</f>
        <v>179.96067691306692</v>
      </c>
      <c r="BN298" s="343">
        <f>BN296-BN297</f>
        <v>157.58718735090184</v>
      </c>
      <c r="BO298" s="343">
        <f>BO296-BO297</f>
        <v>157.58718735090184</v>
      </c>
      <c r="BP298" s="397">
        <f>BP296-BP297</f>
        <v>179.96067691306692</v>
      </c>
      <c r="BQ298" s="297">
        <f>BQ296-BQ297</f>
        <v>675.09572852793758</v>
      </c>
      <c r="BR298" s="49"/>
    </row>
    <row r="299" spans="1:71" s="2" customFormat="1">
      <c r="A299" s="1523"/>
      <c r="C299" s="49"/>
      <c r="E299" s="365"/>
      <c r="F299" s="6"/>
      <c r="G299" s="6"/>
      <c r="H299" s="366"/>
      <c r="I299" s="37"/>
      <c r="J299" s="365"/>
      <c r="K299" s="6"/>
      <c r="L299" s="6"/>
      <c r="M299" s="366"/>
      <c r="O299" s="365"/>
      <c r="P299" s="6"/>
      <c r="Q299" s="6"/>
      <c r="R299" s="366"/>
      <c r="T299" s="365"/>
      <c r="U299" s="6"/>
      <c r="V299" s="6"/>
      <c r="W299" s="366"/>
      <c r="Y299" s="365"/>
      <c r="Z299" s="6"/>
      <c r="AA299" s="6"/>
      <c r="AB299" s="366"/>
      <c r="AD299" s="365"/>
      <c r="AE299" s="6"/>
      <c r="AF299" s="6"/>
      <c r="AG299" s="366"/>
      <c r="AI299" s="365"/>
      <c r="AJ299" s="6"/>
      <c r="AK299" s="6"/>
      <c r="AL299" s="366"/>
      <c r="AN299" s="365"/>
      <c r="AO299" s="6"/>
      <c r="AP299" s="6"/>
      <c r="AQ299" s="366"/>
      <c r="AS299" s="365"/>
      <c r="AT299" s="6"/>
      <c r="AU299" s="6"/>
      <c r="AV299" s="366"/>
      <c r="AX299" s="365"/>
      <c r="AY299" s="6"/>
      <c r="AZ299" s="6"/>
      <c r="BA299" s="366"/>
      <c r="BC299" s="365"/>
      <c r="BD299" s="6"/>
      <c r="BE299" s="6"/>
      <c r="BF299" s="366"/>
      <c r="BH299" s="365"/>
      <c r="BI299" s="6"/>
      <c r="BJ299" s="6"/>
      <c r="BK299" s="366"/>
      <c r="BM299" s="365"/>
      <c r="BN299" s="6"/>
      <c r="BO299" s="6"/>
      <c r="BP299" s="366"/>
    </row>
    <row r="300" spans="1:71" s="2" customFormat="1">
      <c r="A300" s="1523"/>
      <c r="C300" s="592" t="s">
        <v>272</v>
      </c>
      <c r="E300" s="365"/>
      <c r="F300" s="6"/>
      <c r="G300" s="6"/>
      <c r="H300" s="366"/>
      <c r="I300" s="37"/>
      <c r="J300" s="365"/>
      <c r="K300" s="6"/>
      <c r="L300" s="6"/>
      <c r="M300" s="366"/>
      <c r="O300" s="365"/>
      <c r="P300" s="6"/>
      <c r="Q300" s="6"/>
      <c r="R300" s="366"/>
      <c r="T300" s="365"/>
      <c r="U300" s="6"/>
      <c r="V300" s="6"/>
      <c r="W300" s="366"/>
      <c r="Y300" s="365"/>
      <c r="Z300" s="6"/>
      <c r="AA300" s="6"/>
      <c r="AB300" s="366"/>
      <c r="AD300" s="365"/>
      <c r="AE300" s="6"/>
      <c r="AF300" s="6"/>
      <c r="AG300" s="366"/>
      <c r="AI300" s="365"/>
      <c r="AJ300" s="6"/>
      <c r="AK300" s="6"/>
      <c r="AL300" s="366"/>
      <c r="AN300" s="365"/>
      <c r="AO300" s="6"/>
      <c r="AP300" s="6"/>
      <c r="AQ300" s="366"/>
      <c r="AS300" s="365"/>
      <c r="AT300" s="6"/>
      <c r="AU300" s="6"/>
      <c r="AV300" s="366"/>
      <c r="AX300" s="365"/>
      <c r="AY300" s="6"/>
      <c r="AZ300" s="6"/>
      <c r="BA300" s="366"/>
      <c r="BC300" s="365"/>
      <c r="BD300" s="6"/>
      <c r="BE300" s="6"/>
      <c r="BF300" s="366"/>
      <c r="BH300" s="365"/>
      <c r="BI300" s="6"/>
      <c r="BJ300" s="6"/>
      <c r="BK300" s="366"/>
      <c r="BM300" s="365"/>
      <c r="BN300" s="6"/>
      <c r="BO300" s="6"/>
      <c r="BP300" s="366"/>
    </row>
    <row r="301" spans="1:71" s="2" customFormat="1">
      <c r="A301" s="1523"/>
      <c r="C301" s="37" t="s">
        <v>271</v>
      </c>
      <c r="E301" s="365"/>
      <c r="F301" s="6"/>
      <c r="G301" s="6"/>
      <c r="H301" s="366"/>
      <c r="I301" s="37"/>
      <c r="J301" s="365"/>
      <c r="K301" s="6"/>
      <c r="L301" s="6"/>
      <c r="M301" s="366"/>
      <c r="O301" s="365"/>
      <c r="P301" s="6"/>
      <c r="Q301" s="6"/>
      <c r="R301" s="366"/>
      <c r="T301" s="598"/>
      <c r="U301" s="599"/>
      <c r="V301" s="599"/>
      <c r="W301" s="600"/>
      <c r="X301" s="601"/>
      <c r="Y301" s="598">
        <f t="shared" ref="Y301:BL301" si="289">Y71</f>
        <v>42.607887670634931</v>
      </c>
      <c r="Z301" s="599">
        <f t="shared" si="289"/>
        <v>47.166300820312507</v>
      </c>
      <c r="AA301" s="599">
        <f t="shared" si="289"/>
        <v>55.200128388671871</v>
      </c>
      <c r="AB301" s="600">
        <f t="shared" si="289"/>
        <v>42.19233237304686</v>
      </c>
      <c r="AC301" s="601">
        <f t="shared" si="289"/>
        <v>46.791662313166547</v>
      </c>
      <c r="AD301" s="598">
        <f t="shared" si="289"/>
        <v>132.34547472222226</v>
      </c>
      <c r="AE301" s="599">
        <f t="shared" si="289"/>
        <v>53.887016669921877</v>
      </c>
      <c r="AF301" s="599">
        <f t="shared" si="289"/>
        <v>45.337472450195328</v>
      </c>
      <c r="AG301" s="600">
        <f t="shared" si="289"/>
        <v>49.12051941503907</v>
      </c>
      <c r="AH301" s="601">
        <f t="shared" si="289"/>
        <v>70.17262081434464</v>
      </c>
      <c r="AI301" s="598">
        <f t="shared" si="289"/>
        <v>67.284598143849195</v>
      </c>
      <c r="AJ301" s="599">
        <f t="shared" si="289"/>
        <v>36.819058058593754</v>
      </c>
      <c r="AK301" s="599">
        <f t="shared" si="289"/>
        <v>39.898508561538463</v>
      </c>
      <c r="AL301" s="600">
        <f t="shared" si="289"/>
        <v>30.041686161132823</v>
      </c>
      <c r="AM301" s="601">
        <f t="shared" si="289"/>
        <v>43.510962731278553</v>
      </c>
      <c r="AN301" s="598">
        <f t="shared" si="289"/>
        <v>31.26632047949219</v>
      </c>
      <c r="AO301" s="599">
        <f t="shared" si="289"/>
        <v>28.707086242187497</v>
      </c>
      <c r="AP301" s="599">
        <f t="shared" si="289"/>
        <v>40.605906624023433</v>
      </c>
      <c r="AQ301" s="600">
        <f t="shared" si="289"/>
        <v>28.828253920634918</v>
      </c>
      <c r="AR301" s="601">
        <f t="shared" si="289"/>
        <v>32.351891816584512</v>
      </c>
      <c r="AS301" s="598">
        <f t="shared" si="289"/>
        <v>33.256564817382809</v>
      </c>
      <c r="AT301" s="599">
        <f t="shared" si="289"/>
        <v>32.387231337890618</v>
      </c>
      <c r="AU301" s="599">
        <f t="shared" si="289"/>
        <v>34.354411583333338</v>
      </c>
      <c r="AV301" s="600">
        <f t="shared" si="289"/>
        <v>39.044797251984129</v>
      </c>
      <c r="AW301" s="601">
        <f t="shared" si="289"/>
        <v>34.760751247647725</v>
      </c>
      <c r="AX301" s="598">
        <f t="shared" si="289"/>
        <v>49.504310380859366</v>
      </c>
      <c r="AY301" s="599">
        <f t="shared" si="289"/>
        <v>34.371333333333332</v>
      </c>
      <c r="AZ301" s="599">
        <f>AZ71</f>
        <v>38.062833333333337</v>
      </c>
      <c r="BA301" s="600">
        <f t="shared" si="289"/>
        <v>34.614333333333327</v>
      </c>
      <c r="BB301" s="601">
        <f t="shared" si="289"/>
        <v>39.138202595214842</v>
      </c>
      <c r="BC301" s="598">
        <f t="shared" si="289"/>
        <v>46.510944725679025</v>
      </c>
      <c r="BD301" s="599">
        <f t="shared" si="289"/>
        <v>30.296280173373429</v>
      </c>
      <c r="BE301" s="599">
        <f t="shared" si="289"/>
        <v>33.94738406386135</v>
      </c>
      <c r="BF301" s="600">
        <f t="shared" si="289"/>
        <v>36.410057703486217</v>
      </c>
      <c r="BG301" s="601">
        <f t="shared" si="289"/>
        <v>36.791166666600006</v>
      </c>
      <c r="BH301" s="598">
        <f t="shared" si="289"/>
        <v>46.479340030218324</v>
      </c>
      <c r="BI301" s="599">
        <f t="shared" si="289"/>
        <v>30.275693519756331</v>
      </c>
      <c r="BJ301" s="599">
        <f t="shared" si="289"/>
        <v>33.924316445231916</v>
      </c>
      <c r="BK301" s="600">
        <f t="shared" si="289"/>
        <v>36.385316671193436</v>
      </c>
      <c r="BL301" s="601">
        <f t="shared" si="289"/>
        <v>36.7661666666</v>
      </c>
      <c r="BM301" s="598">
        <f>BM71</f>
        <v>36.021428571428572</v>
      </c>
      <c r="BN301" s="599">
        <f>BN71</f>
        <v>36.021428571428572</v>
      </c>
      <c r="BO301" s="599">
        <f>BO71</f>
        <v>36.021428571428572</v>
      </c>
      <c r="BP301" s="600">
        <f>BP71</f>
        <v>36.021428571428572</v>
      </c>
      <c r="BQ301" s="601">
        <f>BQ71</f>
        <v>36.021428571428572</v>
      </c>
    </row>
    <row r="302" spans="1:71" s="2" customFormat="1">
      <c r="A302" s="1523"/>
      <c r="C302" s="37" t="s">
        <v>266</v>
      </c>
      <c r="E302" s="365"/>
      <c r="F302" s="6"/>
      <c r="G302" s="6"/>
      <c r="H302" s="366"/>
      <c r="I302" s="734">
        <v>1.25</v>
      </c>
      <c r="J302" s="365"/>
      <c r="K302" s="6"/>
      <c r="L302" s="6"/>
      <c r="M302" s="366"/>
      <c r="O302" s="365"/>
      <c r="P302" s="6"/>
      <c r="Q302" s="6"/>
      <c r="R302" s="366"/>
      <c r="T302" s="598"/>
      <c r="U302" s="599"/>
      <c r="V302" s="599"/>
      <c r="W302" s="600"/>
      <c r="X302" s="601"/>
      <c r="Y302" s="598">
        <f t="shared" ref="Y302:BL302" si="290">$I302*Y72</f>
        <v>43.199657903784221</v>
      </c>
      <c r="Z302" s="599">
        <f t="shared" si="290"/>
        <v>39.156383237751839</v>
      </c>
      <c r="AA302" s="599">
        <f t="shared" si="290"/>
        <v>37.509156688179331</v>
      </c>
      <c r="AB302" s="600">
        <f t="shared" si="290"/>
        <v>40.245954822124077</v>
      </c>
      <c r="AC302" s="601">
        <f t="shared" si="290"/>
        <v>40.027788162959865</v>
      </c>
      <c r="AD302" s="598">
        <f t="shared" si="290"/>
        <v>113.4833847758152</v>
      </c>
      <c r="AE302" s="599">
        <f t="shared" si="290"/>
        <v>38.293483459821431</v>
      </c>
      <c r="AF302" s="599">
        <f t="shared" si="290"/>
        <v>33.134440129642208</v>
      </c>
      <c r="AG302" s="600">
        <f t="shared" si="290"/>
        <v>47.075883480978284</v>
      </c>
      <c r="AH302" s="601">
        <f t="shared" si="290"/>
        <v>57.996797961564283</v>
      </c>
      <c r="AI302" s="598">
        <f t="shared" si="290"/>
        <v>66.143768543931159</v>
      </c>
      <c r="AJ302" s="599">
        <f t="shared" si="290"/>
        <v>31.440831134386443</v>
      </c>
      <c r="AK302" s="599">
        <f t="shared" si="290"/>
        <v>26.046392947237319</v>
      </c>
      <c r="AL302" s="600">
        <f t="shared" si="290"/>
        <v>31.684989692708328</v>
      </c>
      <c r="AM302" s="601">
        <f t="shared" si="290"/>
        <v>38.828995579565813</v>
      </c>
      <c r="AN302" s="598">
        <f t="shared" si="290"/>
        <v>31.68252515154682</v>
      </c>
      <c r="AO302" s="599">
        <f t="shared" si="290"/>
        <v>24.067813302999078</v>
      </c>
      <c r="AP302" s="599">
        <f t="shared" si="290"/>
        <v>26.341018062726459</v>
      </c>
      <c r="AQ302" s="600">
        <f t="shared" si="290"/>
        <v>26.64574939990942</v>
      </c>
      <c r="AR302" s="601">
        <f t="shared" si="290"/>
        <v>27.184276479295445</v>
      </c>
      <c r="AS302" s="598">
        <f t="shared" si="290"/>
        <v>36.670638725694445</v>
      </c>
      <c r="AT302" s="599">
        <f t="shared" si="290"/>
        <v>27.170278513049453</v>
      </c>
      <c r="AU302" s="599">
        <f t="shared" si="290"/>
        <v>23.976356716485505</v>
      </c>
      <c r="AV302" s="600">
        <f t="shared" si="290"/>
        <v>42.320375731884056</v>
      </c>
      <c r="AW302" s="601">
        <f t="shared" si="290"/>
        <v>32.534412421778363</v>
      </c>
      <c r="AX302" s="598">
        <f t="shared" si="290"/>
        <v>58.313847256466396</v>
      </c>
      <c r="AY302" s="599">
        <f t="shared" si="290"/>
        <v>31.448333333333338</v>
      </c>
      <c r="AZ302" s="599">
        <f>$I302*AZ72</f>
        <v>31.583333333333332</v>
      </c>
      <c r="BA302" s="600">
        <f t="shared" si="290"/>
        <v>31.874791666666663</v>
      </c>
      <c r="BB302" s="601">
        <f t="shared" si="290"/>
        <v>38.30507639744993</v>
      </c>
      <c r="BC302" s="598">
        <f t="shared" si="290"/>
        <v>46.685664497242605</v>
      </c>
      <c r="BD302" s="599">
        <f t="shared" si="290"/>
        <v>25.931263312638553</v>
      </c>
      <c r="BE302" s="599">
        <f t="shared" si="290"/>
        <v>26.492998297683172</v>
      </c>
      <c r="BF302" s="600">
        <f t="shared" si="290"/>
        <v>38.739198892435674</v>
      </c>
      <c r="BG302" s="601">
        <f t="shared" si="290"/>
        <v>34.462281250000004</v>
      </c>
      <c r="BH302" s="598">
        <f t="shared" si="290"/>
        <v>46.275955820270298</v>
      </c>
      <c r="BI302" s="599">
        <f t="shared" si="290"/>
        <v>25.70369316453305</v>
      </c>
      <c r="BJ302" s="599">
        <f t="shared" si="290"/>
        <v>26.260498420076964</v>
      </c>
      <c r="BK302" s="600">
        <f t="shared" si="290"/>
        <v>38.399227595119676</v>
      </c>
      <c r="BL302" s="601">
        <f t="shared" si="290"/>
        <v>34.15984375</v>
      </c>
      <c r="BM302" s="598">
        <f>$I302*BM72</f>
        <v>33.637847909273788</v>
      </c>
      <c r="BN302" s="599">
        <f>$I302*BN72</f>
        <v>33.637847909273788</v>
      </c>
      <c r="BO302" s="599">
        <f>$I302*BO72</f>
        <v>33.637847909273788</v>
      </c>
      <c r="BP302" s="600">
        <f>$I302*BP72</f>
        <v>33.637847909273788</v>
      </c>
      <c r="BQ302" s="601">
        <f>$I302*BQ72</f>
        <v>33.637847909273788</v>
      </c>
    </row>
    <row r="303" spans="1:71" s="49" customFormat="1">
      <c r="A303" s="1523"/>
      <c r="B303" s="2"/>
      <c r="C303" s="2"/>
      <c r="D303" s="2"/>
      <c r="E303" s="365"/>
      <c r="F303" s="6"/>
      <c r="G303" s="6"/>
      <c r="H303" s="366"/>
      <c r="I303" s="37"/>
      <c r="J303" s="365"/>
      <c r="K303" s="6"/>
      <c r="L303" s="6"/>
      <c r="M303" s="366"/>
      <c r="N303" s="2"/>
      <c r="O303" s="365"/>
      <c r="P303" s="6"/>
      <c r="Q303" s="6"/>
      <c r="R303" s="366"/>
      <c r="S303" s="2"/>
      <c r="T303" s="365"/>
      <c r="U303" s="6"/>
      <c r="V303" s="6"/>
      <c r="W303" s="366"/>
      <c r="X303" s="2"/>
      <c r="Y303" s="365"/>
      <c r="Z303" s="6"/>
      <c r="AA303" s="6"/>
      <c r="AB303" s="366"/>
      <c r="AC303" s="2"/>
      <c r="AD303" s="365"/>
      <c r="AE303" s="6"/>
      <c r="AF303" s="6"/>
      <c r="AG303" s="366"/>
      <c r="AH303" s="2"/>
      <c r="AI303" s="365"/>
      <c r="AJ303" s="6"/>
      <c r="AK303" s="6"/>
      <c r="AL303" s="366"/>
      <c r="AM303" s="2"/>
      <c r="AN303" s="365"/>
      <c r="AO303" s="6"/>
      <c r="AP303" s="6"/>
      <c r="AQ303" s="366"/>
      <c r="AR303" s="2"/>
      <c r="AS303" s="365"/>
      <c r="AT303" s="6"/>
      <c r="AU303" s="6"/>
      <c r="AV303" s="366"/>
      <c r="AW303" s="2"/>
      <c r="AX303" s="365"/>
      <c r="AY303" s="6"/>
      <c r="AZ303" s="6"/>
      <c r="BA303" s="366"/>
      <c r="BB303" s="2"/>
      <c r="BC303" s="365"/>
      <c r="BD303" s="6"/>
      <c r="BE303" s="6"/>
      <c r="BF303" s="366"/>
      <c r="BG303" s="2"/>
      <c r="BH303" s="365"/>
      <c r="BI303" s="6"/>
      <c r="BJ303" s="6"/>
      <c r="BK303" s="366"/>
      <c r="BL303" s="2"/>
      <c r="BM303" s="365"/>
      <c r="BN303" s="6"/>
      <c r="BO303" s="6"/>
      <c r="BP303" s="366"/>
      <c r="BQ303" s="2"/>
      <c r="BR303" s="2"/>
    </row>
    <row r="304" spans="1:71" s="2" customFormat="1">
      <c r="A304" s="49"/>
      <c r="B304" s="49"/>
      <c r="C304" s="49" t="s">
        <v>267</v>
      </c>
      <c r="D304" s="49"/>
      <c r="E304" s="396"/>
      <c r="F304" s="343"/>
      <c r="G304" s="343"/>
      <c r="H304" s="397"/>
      <c r="I304" s="725">
        <v>200</v>
      </c>
      <c r="J304" s="396"/>
      <c r="K304" s="343"/>
      <c r="L304" s="343"/>
      <c r="M304" s="397"/>
      <c r="N304" s="297"/>
      <c r="O304" s="396"/>
      <c r="P304" s="343"/>
      <c r="Q304" s="343"/>
      <c r="R304" s="397"/>
      <c r="S304" s="297"/>
      <c r="T304" s="396"/>
      <c r="U304" s="343"/>
      <c r="V304" s="343"/>
      <c r="W304" s="397"/>
      <c r="X304" s="297"/>
      <c r="Y304" s="477">
        <f>I304</f>
        <v>200</v>
      </c>
      <c r="Z304" s="468">
        <f t="shared" ref="Z304:AR304" si="291">Y304</f>
        <v>200</v>
      </c>
      <c r="AA304" s="468">
        <f t="shared" si="291"/>
        <v>200</v>
      </c>
      <c r="AB304" s="664">
        <f t="shared" si="291"/>
        <v>200</v>
      </c>
      <c r="AC304" s="49">
        <f t="shared" si="291"/>
        <v>200</v>
      </c>
      <c r="AD304" s="477">
        <f>I304</f>
        <v>200</v>
      </c>
      <c r="AE304" s="468">
        <f>AD304</f>
        <v>200</v>
      </c>
      <c r="AF304" s="468">
        <f t="shared" si="291"/>
        <v>200</v>
      </c>
      <c r="AG304" s="664">
        <f t="shared" si="291"/>
        <v>200</v>
      </c>
      <c r="AH304" s="49">
        <f t="shared" si="291"/>
        <v>200</v>
      </c>
      <c r="AI304" s="663">
        <f t="shared" si="291"/>
        <v>200</v>
      </c>
      <c r="AJ304" s="468">
        <f t="shared" si="291"/>
        <v>200</v>
      </c>
      <c r="AK304" s="468">
        <f t="shared" si="291"/>
        <v>200</v>
      </c>
      <c r="AL304" s="664">
        <f t="shared" si="291"/>
        <v>200</v>
      </c>
      <c r="AM304" s="49">
        <f t="shared" si="291"/>
        <v>200</v>
      </c>
      <c r="AN304" s="663">
        <f t="shared" si="291"/>
        <v>200</v>
      </c>
      <c r="AO304" s="468">
        <f t="shared" si="291"/>
        <v>200</v>
      </c>
      <c r="AP304" s="468">
        <f t="shared" si="291"/>
        <v>200</v>
      </c>
      <c r="AQ304" s="664">
        <f t="shared" si="291"/>
        <v>200</v>
      </c>
      <c r="AR304" s="49">
        <f t="shared" si="291"/>
        <v>200</v>
      </c>
      <c r="AS304" s="663">
        <f t="shared" ref="AS304:BB304" si="292">AR304</f>
        <v>200</v>
      </c>
      <c r="AT304" s="468">
        <f t="shared" si="292"/>
        <v>200</v>
      </c>
      <c r="AU304" s="468">
        <f t="shared" si="292"/>
        <v>200</v>
      </c>
      <c r="AV304" s="664">
        <f t="shared" si="292"/>
        <v>200</v>
      </c>
      <c r="AW304" s="49">
        <f t="shared" si="292"/>
        <v>200</v>
      </c>
      <c r="AX304" s="663">
        <f>AW304</f>
        <v>200</v>
      </c>
      <c r="AY304" s="468">
        <f>AX304</f>
        <v>200</v>
      </c>
      <c r="AZ304" s="468">
        <f>AY304</f>
        <v>200</v>
      </c>
      <c r="BA304" s="664">
        <f>AY304</f>
        <v>200</v>
      </c>
      <c r="BB304" s="49">
        <f t="shared" si="292"/>
        <v>200</v>
      </c>
      <c r="BC304" s="663">
        <f t="shared" ref="BC304:BL304" si="293">BB304</f>
        <v>200</v>
      </c>
      <c r="BD304" s="468">
        <f t="shared" si="293"/>
        <v>200</v>
      </c>
      <c r="BE304" s="468">
        <f t="shared" si="293"/>
        <v>200</v>
      </c>
      <c r="BF304" s="664">
        <f t="shared" si="293"/>
        <v>200</v>
      </c>
      <c r="BG304" s="49">
        <f t="shared" si="293"/>
        <v>200</v>
      </c>
      <c r="BH304" s="663">
        <f t="shared" si="293"/>
        <v>200</v>
      </c>
      <c r="BI304" s="468">
        <f t="shared" si="293"/>
        <v>200</v>
      </c>
      <c r="BJ304" s="468">
        <f t="shared" si="293"/>
        <v>200</v>
      </c>
      <c r="BK304" s="664">
        <f t="shared" si="293"/>
        <v>200</v>
      </c>
      <c r="BL304" s="49">
        <f t="shared" si="293"/>
        <v>200</v>
      </c>
      <c r="BM304" s="663">
        <f>BL304</f>
        <v>200</v>
      </c>
      <c r="BN304" s="468">
        <f>BM304</f>
        <v>200</v>
      </c>
      <c r="BO304" s="468">
        <f>BN304</f>
        <v>200</v>
      </c>
      <c r="BP304" s="664">
        <f>BO304</f>
        <v>200</v>
      </c>
      <c r="BQ304" s="49">
        <f>BP304</f>
        <v>200</v>
      </c>
      <c r="BR304" s="49"/>
    </row>
    <row r="305" spans="1:70" s="2" customFormat="1">
      <c r="A305" s="1523"/>
      <c r="E305" s="365"/>
      <c r="F305" s="6"/>
      <c r="G305" s="6"/>
      <c r="H305" s="366"/>
      <c r="I305" s="37"/>
      <c r="J305" s="365"/>
      <c r="K305" s="6"/>
      <c r="L305" s="6"/>
      <c r="M305" s="366"/>
      <c r="O305" s="365"/>
      <c r="P305" s="6"/>
      <c r="Q305" s="6"/>
      <c r="R305" s="366"/>
      <c r="T305" s="365"/>
      <c r="U305" s="6"/>
      <c r="V305" s="6"/>
      <c r="W305" s="366"/>
      <c r="Y305" s="365"/>
      <c r="Z305" s="6"/>
      <c r="AA305" s="6"/>
      <c r="AB305" s="366"/>
      <c r="AD305" s="365"/>
      <c r="AE305" s="6"/>
      <c r="AF305" s="6"/>
      <c r="AG305" s="366"/>
      <c r="AI305" s="365"/>
      <c r="AJ305" s="6"/>
      <c r="AK305" s="6"/>
      <c r="AL305" s="366"/>
      <c r="AN305" s="365"/>
      <c r="AO305" s="6"/>
      <c r="AP305" s="6"/>
      <c r="AQ305" s="366"/>
      <c r="AS305" s="365"/>
      <c r="AT305" s="6"/>
      <c r="AU305" s="6"/>
      <c r="AV305" s="366"/>
      <c r="AX305" s="365"/>
      <c r="AY305" s="6"/>
      <c r="AZ305" s="6"/>
      <c r="BA305" s="366"/>
      <c r="BC305" s="365"/>
      <c r="BD305" s="6"/>
      <c r="BE305" s="6"/>
      <c r="BF305" s="366"/>
      <c r="BH305" s="365"/>
      <c r="BI305" s="6"/>
      <c r="BJ305" s="6"/>
      <c r="BK305" s="366"/>
      <c r="BM305" s="365"/>
      <c r="BN305" s="6"/>
      <c r="BO305" s="6"/>
      <c r="BP305" s="366"/>
    </row>
    <row r="306" spans="1:70" s="49" customFormat="1">
      <c r="A306" s="1523"/>
      <c r="B306" s="2"/>
      <c r="C306" s="37" t="s">
        <v>268</v>
      </c>
      <c r="D306" s="2"/>
      <c r="E306" s="365"/>
      <c r="F306" s="6"/>
      <c r="G306" s="6"/>
      <c r="H306" s="366"/>
      <c r="I306" s="726">
        <v>0.15</v>
      </c>
      <c r="J306" s="365"/>
      <c r="K306" s="6"/>
      <c r="L306" s="6"/>
      <c r="M306" s="366"/>
      <c r="N306" s="2"/>
      <c r="O306" s="365"/>
      <c r="P306" s="6"/>
      <c r="Q306" s="6"/>
      <c r="R306" s="366"/>
      <c r="S306" s="293"/>
      <c r="T306" s="376"/>
      <c r="U306" s="334"/>
      <c r="V306" s="334"/>
      <c r="W306" s="377"/>
      <c r="X306" s="973"/>
      <c r="Y306" s="376">
        <f>I306</f>
        <v>0.15</v>
      </c>
      <c r="Z306" s="334">
        <f>Y306</f>
        <v>0.15</v>
      </c>
      <c r="AA306" s="334">
        <f>Z306</f>
        <v>0.15</v>
      </c>
      <c r="AB306" s="377">
        <f>AA306</f>
        <v>0.15</v>
      </c>
      <c r="AC306" s="973">
        <f>IF(AVERAGE(Y304:AB304)=0,0,AC307/(AVERAGE(Y304:AB304)*8.76))</f>
        <v>0.15</v>
      </c>
      <c r="AD306" s="376">
        <f>I306</f>
        <v>0.15</v>
      </c>
      <c r="AE306" s="334">
        <f>AD306</f>
        <v>0.15</v>
      </c>
      <c r="AF306" s="334">
        <f>+AA306</f>
        <v>0.15</v>
      </c>
      <c r="AG306" s="377">
        <f>+AB306</f>
        <v>0.15</v>
      </c>
      <c r="AH306" s="973">
        <f>IF(AVERAGE(AD304:AG304)=0,0,AH307/(AVERAGE(AD304:AG304)*8.76))</f>
        <v>0.15</v>
      </c>
      <c r="AI306" s="376">
        <f>+AG306</f>
        <v>0.15</v>
      </c>
      <c r="AJ306" s="334">
        <f>+AE306</f>
        <v>0.15</v>
      </c>
      <c r="AK306" s="334">
        <f>+AF306</f>
        <v>0.15</v>
      </c>
      <c r="AL306" s="377">
        <f>+AG306</f>
        <v>0.15</v>
      </c>
      <c r="AM306" s="973">
        <f>IF(AVERAGE(AI304:AL304)=0,0,AM307/(AVERAGE(AI304:AL304)*8.76))</f>
        <v>0.15</v>
      </c>
      <c r="AN306" s="376">
        <f>+AL306</f>
        <v>0.15</v>
      </c>
      <c r="AO306" s="334">
        <f>+AJ306</f>
        <v>0.15</v>
      </c>
      <c r="AP306" s="334">
        <f>+AK306</f>
        <v>0.15</v>
      </c>
      <c r="AQ306" s="377">
        <f>+AL306</f>
        <v>0.15</v>
      </c>
      <c r="AR306" s="973">
        <f>IF(AVERAGE(AN304:AQ304)=0,0,AR307/(AVERAGE(AN304:AQ304)*8.76))</f>
        <v>0.15</v>
      </c>
      <c r="AS306" s="376">
        <f>+AQ306</f>
        <v>0.15</v>
      </c>
      <c r="AT306" s="334">
        <f>+AO306</f>
        <v>0.15</v>
      </c>
      <c r="AU306" s="334">
        <f>+AP306</f>
        <v>0.15</v>
      </c>
      <c r="AV306" s="377">
        <f>+AQ306</f>
        <v>0.15</v>
      </c>
      <c r="AW306" s="973">
        <f>IF(AVERAGE(AS304:AV304)=0,0,AW307/(AVERAGE(AS304:AV304)*8.76))</f>
        <v>0.15</v>
      </c>
      <c r="AX306" s="376">
        <f>+AS306</f>
        <v>0.15</v>
      </c>
      <c r="AY306" s="334">
        <f>+AT306</f>
        <v>0.15</v>
      </c>
      <c r="AZ306" s="334">
        <f>+AU306</f>
        <v>0.15</v>
      </c>
      <c r="BA306" s="377">
        <f>+AV306</f>
        <v>0.15</v>
      </c>
      <c r="BB306" s="973">
        <f>IF(AVERAGE(AX304:BA304)=0,0,BB307/(AVERAGE(AX304:BA304)*8.76))</f>
        <v>0.15</v>
      </c>
      <c r="BC306" s="376">
        <f>+AX306</f>
        <v>0.15</v>
      </c>
      <c r="BD306" s="334">
        <f>+AY306</f>
        <v>0.15</v>
      </c>
      <c r="BE306" s="334">
        <f>+AY306</f>
        <v>0.15</v>
      </c>
      <c r="BF306" s="377">
        <f>+BA306</f>
        <v>0.15</v>
      </c>
      <c r="BG306" s="973">
        <f>IF(AVERAGE(BC304:BF304)=0,0,BG307/(AVERAGE(BC304:BF304)*8.76))</f>
        <v>0.15</v>
      </c>
      <c r="BH306" s="376">
        <f>+BC306</f>
        <v>0.15</v>
      </c>
      <c r="BI306" s="334">
        <f>+BD306</f>
        <v>0.15</v>
      </c>
      <c r="BJ306" s="334">
        <f>+BE306</f>
        <v>0.15</v>
      </c>
      <c r="BK306" s="377">
        <f>+BF306</f>
        <v>0.15</v>
      </c>
      <c r="BL306" s="973">
        <f>IF(AVERAGE(BH304:BK304)=0,0,BL307/(AVERAGE(BH304:BK304)*8.76))</f>
        <v>0.15</v>
      </c>
      <c r="BM306" s="376">
        <f>+BH306</f>
        <v>0.15</v>
      </c>
      <c r="BN306" s="334">
        <f>+BI306</f>
        <v>0.15</v>
      </c>
      <c r="BO306" s="334">
        <f>+BJ306</f>
        <v>0.15</v>
      </c>
      <c r="BP306" s="377">
        <f>+BK306</f>
        <v>0.15</v>
      </c>
      <c r="BQ306" s="973">
        <f>IF(AVERAGE(BM304:BP304)=0,0,BQ307/(AVERAGE(BM304:BP304)*8.76))</f>
        <v>0.15</v>
      </c>
      <c r="BR306" s="2"/>
    </row>
    <row r="307" spans="1:70" s="2" customFormat="1">
      <c r="A307" s="49"/>
      <c r="B307" s="49"/>
      <c r="C307" s="49" t="s">
        <v>269</v>
      </c>
      <c r="D307" s="49"/>
      <c r="E307" s="663"/>
      <c r="F307" s="468"/>
      <c r="G307" s="468"/>
      <c r="H307" s="664"/>
      <c r="I307" s="49"/>
      <c r="J307" s="663"/>
      <c r="K307" s="468"/>
      <c r="L307" s="468"/>
      <c r="M307" s="664"/>
      <c r="N307" s="49"/>
      <c r="O307" s="663"/>
      <c r="P307" s="468"/>
      <c r="Q307" s="468"/>
      <c r="R307" s="664"/>
      <c r="S307" s="49"/>
      <c r="T307" s="407"/>
      <c r="U307" s="349"/>
      <c r="V307" s="349"/>
      <c r="W307" s="408"/>
      <c r="X307" s="608"/>
      <c r="Y307" s="407">
        <f>(Y304*Y306*(8760/1000))/4</f>
        <v>65.7</v>
      </c>
      <c r="Z307" s="349">
        <f>(Z304*Z306*(8760/1000))/4</f>
        <v>65.7</v>
      </c>
      <c r="AA307" s="349">
        <f>(AA304*AA306*(8760/1000))/4</f>
        <v>65.7</v>
      </c>
      <c r="AB307" s="408">
        <f>(AB304*AB306*(8760/1000))/4</f>
        <v>65.7</v>
      </c>
      <c r="AC307" s="608">
        <f>SUM(Y307:AB307)</f>
        <v>262.8</v>
      </c>
      <c r="AD307" s="407">
        <f>(AD304*AD306*(8760/1000))/4</f>
        <v>65.7</v>
      </c>
      <c r="AE307" s="349">
        <f>(AE304*AE306*(8760/1000))/4</f>
        <v>65.7</v>
      </c>
      <c r="AF307" s="349">
        <f>(AF304*AF306*(8760/1000))/4</f>
        <v>65.7</v>
      </c>
      <c r="AG307" s="408">
        <f>(AG304*AG306*(8760/1000))/4</f>
        <v>65.7</v>
      </c>
      <c r="AH307" s="608">
        <f>SUM(AD307:AG307)</f>
        <v>262.8</v>
      </c>
      <c r="AI307" s="407">
        <f>(AI304*AI306*(8760/1000))/4</f>
        <v>65.7</v>
      </c>
      <c r="AJ307" s="349">
        <f>(AJ304*AJ306*(8760/1000))/4</f>
        <v>65.7</v>
      </c>
      <c r="AK307" s="349">
        <f>(AK304*AK306*(8760/1000))/4</f>
        <v>65.7</v>
      </c>
      <c r="AL307" s="408">
        <f>(AL304*AL306*(8760/1000))/4</f>
        <v>65.7</v>
      </c>
      <c r="AM307" s="608">
        <f>SUM(AI307:AL307)</f>
        <v>262.8</v>
      </c>
      <c r="AN307" s="407">
        <f>(AN304*AN306*(8760/1000))/4</f>
        <v>65.7</v>
      </c>
      <c r="AO307" s="349">
        <f>(AO304*AO306*(8760/1000))/4</f>
        <v>65.7</v>
      </c>
      <c r="AP307" s="349">
        <f>(AP304*AP306*(8760/1000))/4</f>
        <v>65.7</v>
      </c>
      <c r="AQ307" s="408">
        <f>(AQ304*AQ306*(8760/1000))/4</f>
        <v>65.7</v>
      </c>
      <c r="AR307" s="608">
        <f>SUM(AN307:AQ307)</f>
        <v>262.8</v>
      </c>
      <c r="AS307" s="407">
        <f>(AS304*AS306*(8760/1000))/4</f>
        <v>65.7</v>
      </c>
      <c r="AT307" s="349">
        <f>(AT304*AT306*(8760/1000))/4</f>
        <v>65.7</v>
      </c>
      <c r="AU307" s="349">
        <f>(AU304*AU306*(8760/1000))/4</f>
        <v>65.7</v>
      </c>
      <c r="AV307" s="408">
        <f>(AV304*AV306*(8760/1000))/4</f>
        <v>65.7</v>
      </c>
      <c r="AW307" s="608">
        <f>SUM(AS307:AV307)</f>
        <v>262.8</v>
      </c>
      <c r="AX307" s="407">
        <f>(AX304*AX306*(8760/1000))/4</f>
        <v>65.7</v>
      </c>
      <c r="AY307" s="349">
        <f>(AY304*AY306*(8760/1000))/4</f>
        <v>65.7</v>
      </c>
      <c r="AZ307" s="349">
        <f>(AZ304*AZ306*(8760/1000))/4</f>
        <v>65.7</v>
      </c>
      <c r="BA307" s="408">
        <f>(BA304*BA306*(8760/1000))/4</f>
        <v>65.7</v>
      </c>
      <c r="BB307" s="608">
        <f>SUM(AX307:BA307)</f>
        <v>262.8</v>
      </c>
      <c r="BC307" s="407">
        <f>(BC304*BC306*(8760/1000))/4</f>
        <v>65.7</v>
      </c>
      <c r="BD307" s="349">
        <f>(BD304*BD306*(8760/1000))/4</f>
        <v>65.7</v>
      </c>
      <c r="BE307" s="349">
        <f>(BE304*BE306*(8760/1000))/4</f>
        <v>65.7</v>
      </c>
      <c r="BF307" s="408">
        <f>(BF304*BF306*(8760/1000))/4</f>
        <v>65.7</v>
      </c>
      <c r="BG307" s="608">
        <f>SUM(BC307:BF307)</f>
        <v>262.8</v>
      </c>
      <c r="BH307" s="407">
        <f>(BH304*BH306*(8760/1000))/4</f>
        <v>65.7</v>
      </c>
      <c r="BI307" s="349">
        <f>(BI304*BI306*(8760/1000))/4</f>
        <v>65.7</v>
      </c>
      <c r="BJ307" s="349">
        <f>(BJ304*BJ306*(8760/1000))/4</f>
        <v>65.7</v>
      </c>
      <c r="BK307" s="408">
        <f>(BK304*BK306*(8760/1000))/4</f>
        <v>65.7</v>
      </c>
      <c r="BL307" s="608">
        <f>SUM(BH307:BK307)</f>
        <v>262.8</v>
      </c>
      <c r="BM307" s="407">
        <f>(BM304*BM306*(8760/1000))/4</f>
        <v>65.7</v>
      </c>
      <c r="BN307" s="349">
        <f>(BN304*BN306*(8760/1000))/4</f>
        <v>65.7</v>
      </c>
      <c r="BO307" s="349">
        <f>(BO304*BO306*(8760/1000))/4</f>
        <v>65.7</v>
      </c>
      <c r="BP307" s="408">
        <f>(BP304*BP306*(8760/1000))/4</f>
        <v>65.7</v>
      </c>
      <c r="BQ307" s="608">
        <f>SUM(BM307:BP307)</f>
        <v>262.8</v>
      </c>
      <c r="BR307" s="49"/>
    </row>
    <row r="308" spans="1:70" s="2" customFormat="1">
      <c r="A308" s="1523"/>
      <c r="E308" s="365"/>
      <c r="F308" s="6"/>
      <c r="G308" s="6"/>
      <c r="H308" s="366"/>
      <c r="I308" s="37"/>
      <c r="J308" s="365"/>
      <c r="K308" s="6"/>
      <c r="L308" s="6"/>
      <c r="M308" s="366"/>
      <c r="O308" s="365"/>
      <c r="P308" s="6"/>
      <c r="Q308" s="6"/>
      <c r="R308" s="366"/>
      <c r="T308" s="365"/>
      <c r="U308" s="6"/>
      <c r="V308" s="6"/>
      <c r="W308" s="366"/>
      <c r="Y308" s="365"/>
      <c r="Z308" s="6"/>
      <c r="AA308" s="6"/>
      <c r="AB308" s="366"/>
      <c r="AD308" s="365"/>
      <c r="AE308" s="6"/>
      <c r="AF308" s="6"/>
      <c r="AG308" s="366"/>
      <c r="AI308" s="365"/>
      <c r="AJ308" s="6"/>
      <c r="AK308" s="6"/>
      <c r="AL308" s="366"/>
      <c r="AN308" s="365"/>
      <c r="AO308" s="6"/>
      <c r="AP308" s="6"/>
      <c r="AQ308" s="366"/>
      <c r="AS308" s="365"/>
      <c r="AT308" s="6"/>
      <c r="AU308" s="6"/>
      <c r="AV308" s="366"/>
      <c r="AX308" s="365"/>
      <c r="AY308" s="6"/>
      <c r="AZ308" s="6"/>
      <c r="BA308" s="366"/>
      <c r="BC308" s="365"/>
      <c r="BD308" s="6"/>
      <c r="BE308" s="6"/>
      <c r="BF308" s="366"/>
      <c r="BH308" s="365"/>
      <c r="BI308" s="6"/>
      <c r="BJ308" s="6"/>
      <c r="BK308" s="366"/>
      <c r="BM308" s="365"/>
      <c r="BN308" s="6"/>
      <c r="BO308" s="6"/>
      <c r="BP308" s="366"/>
    </row>
    <row r="309" spans="1:70" s="2" customFormat="1">
      <c r="A309" s="1523"/>
      <c r="C309" s="37" t="s">
        <v>663</v>
      </c>
      <c r="E309" s="365"/>
      <c r="F309" s="6"/>
      <c r="G309" s="6"/>
      <c r="H309" s="366"/>
      <c r="I309" s="37"/>
      <c r="J309" s="365"/>
      <c r="K309" s="6"/>
      <c r="L309" s="6"/>
      <c r="M309" s="366"/>
      <c r="O309" s="365"/>
      <c r="P309" s="6"/>
      <c r="Q309" s="6"/>
      <c r="R309" s="366"/>
      <c r="T309" s="394"/>
      <c r="U309" s="342"/>
      <c r="V309" s="342"/>
      <c r="W309" s="395"/>
      <c r="X309" s="77"/>
      <c r="Y309" s="394">
        <f>(Y301/1000*Y307)</f>
        <v>2.7993382199607151</v>
      </c>
      <c r="Z309" s="342">
        <f>(Z301/1000*Z307)</f>
        <v>3.0988259638945319</v>
      </c>
      <c r="AA309" s="342">
        <f>(AA301/1000*AA307)</f>
        <v>3.6266484351357424</v>
      </c>
      <c r="AB309" s="395">
        <f>(AB301/1000*AB307)</f>
        <v>2.7720362369091784</v>
      </c>
      <c r="AC309" s="77">
        <f>SUM(Y309:AB309)</f>
        <v>12.296848855900167</v>
      </c>
      <c r="AD309" s="394">
        <f>(AD301/1000*AD307)</f>
        <v>8.6950976892500034</v>
      </c>
      <c r="AE309" s="342">
        <f>(AE301/1000*AE307)</f>
        <v>3.5403769952138675</v>
      </c>
      <c r="AF309" s="342">
        <f>(AF301/1000*AF307)</f>
        <v>2.9786719399778332</v>
      </c>
      <c r="AG309" s="395">
        <f>(AG301/1000*AG307)</f>
        <v>3.2272181255680668</v>
      </c>
      <c r="AH309" s="77">
        <f>SUM(AD309:AG309)</f>
        <v>18.441364750009768</v>
      </c>
      <c r="AI309" s="394">
        <f>(AI301/1000*AI307)</f>
        <v>4.4205980980508928</v>
      </c>
      <c r="AJ309" s="342">
        <f>(AJ301/1000*AJ307)</f>
        <v>2.4190121144496097</v>
      </c>
      <c r="AK309" s="342">
        <f>(AK301/1000*AK307)</f>
        <v>2.621332012493077</v>
      </c>
      <c r="AL309" s="395">
        <f>(AL301/1000*AL307)</f>
        <v>1.9737387807864266</v>
      </c>
      <c r="AM309" s="77">
        <f>SUM(AI309:AL309)</f>
        <v>11.434681005780007</v>
      </c>
      <c r="AN309" s="394">
        <f>(AN301/1000*AN307)</f>
        <v>2.0541972555026371</v>
      </c>
      <c r="AO309" s="342">
        <f>(AO301/1000*AO307)</f>
        <v>1.8860555661117184</v>
      </c>
      <c r="AP309" s="342">
        <f>(AP301/1000*AP307)</f>
        <v>2.6678080651983396</v>
      </c>
      <c r="AQ309" s="395">
        <f>(AQ301/1000*AQ307)</f>
        <v>1.8940162825857141</v>
      </c>
      <c r="AR309" s="77">
        <f>SUM(AN309:AQ309)</f>
        <v>8.5020771693984081</v>
      </c>
      <c r="AS309" s="394">
        <f>(AS301/1000*AS307)</f>
        <v>2.1849563085020507</v>
      </c>
      <c r="AT309" s="342">
        <f>(AT301/1000*AT307)</f>
        <v>2.1278410988994141</v>
      </c>
      <c r="AU309" s="342">
        <f>(AU301/1000*AU307)</f>
        <v>2.2570848410250006</v>
      </c>
      <c r="AV309" s="395">
        <f>(AV301/1000*AV307)</f>
        <v>2.5652431794553574</v>
      </c>
      <c r="AW309" s="77">
        <f>SUM(AS309:AV309)</f>
        <v>9.1351254278818228</v>
      </c>
      <c r="AX309" s="394">
        <f>(AX301/1000*AX307)</f>
        <v>3.2524331920224605</v>
      </c>
      <c r="AY309" s="342">
        <f>(AY301/1000*AY307)</f>
        <v>2.2581965999999998</v>
      </c>
      <c r="AZ309" s="342">
        <f>(AZ301/1000*AZ307)</f>
        <v>2.5007281500000005</v>
      </c>
      <c r="BA309" s="395">
        <f>(BA301/1000*BA307)</f>
        <v>2.2741617000000001</v>
      </c>
      <c r="BB309" s="77">
        <f>SUM(AX309:BA309)</f>
        <v>10.285519642022461</v>
      </c>
      <c r="BC309" s="394">
        <f>(BC301/1000*BC307)</f>
        <v>3.0557690684771117</v>
      </c>
      <c r="BD309" s="342">
        <f>(BD301/1000*BD307)</f>
        <v>1.9904656073906344</v>
      </c>
      <c r="BE309" s="342">
        <f>(BE301/1000*BE307)</f>
        <v>2.2303431329956909</v>
      </c>
      <c r="BF309" s="395">
        <f>(BF301/1000*BF307)</f>
        <v>2.3921407911190444</v>
      </c>
      <c r="BG309" s="77">
        <f>SUM(BC309:BF309)</f>
        <v>9.6687185999824798</v>
      </c>
      <c r="BH309" s="394">
        <f>(BH301/1000*BH307)</f>
        <v>3.0536926399853437</v>
      </c>
      <c r="BI309" s="342">
        <f>(BI301/1000*BI307)</f>
        <v>1.9891130642479911</v>
      </c>
      <c r="BJ309" s="342">
        <f>(BJ301/1000*BJ307)</f>
        <v>2.2288275904517372</v>
      </c>
      <c r="BK309" s="395">
        <f>(BK301/1000*BK307)</f>
        <v>2.3905153052974089</v>
      </c>
      <c r="BL309" s="77">
        <f>SUM(BH309:BK309)</f>
        <v>9.6621485999824799</v>
      </c>
      <c r="BM309" s="394">
        <f>(BM301/1000*BM307)</f>
        <v>2.3666078571428573</v>
      </c>
      <c r="BN309" s="342">
        <f>(BN301/1000*BN307)</f>
        <v>2.3666078571428573</v>
      </c>
      <c r="BO309" s="342">
        <f>(BO301/1000*BO307)</f>
        <v>2.3666078571428573</v>
      </c>
      <c r="BP309" s="395">
        <f>(BP301/1000*BP307)</f>
        <v>2.3666078571428573</v>
      </c>
      <c r="BQ309" s="77">
        <f>SUM(BM309:BP309)</f>
        <v>9.4664314285714291</v>
      </c>
    </row>
    <row r="310" spans="1:70" s="49" customFormat="1">
      <c r="A310" s="1523"/>
      <c r="B310" s="2"/>
      <c r="C310" s="37" t="s">
        <v>346</v>
      </c>
      <c r="D310" s="2"/>
      <c r="E310" s="365"/>
      <c r="F310" s="6"/>
      <c r="G310" s="6"/>
      <c r="H310" s="366"/>
      <c r="I310" s="37"/>
      <c r="J310" s="365"/>
      <c r="K310" s="6"/>
      <c r="L310" s="6"/>
      <c r="M310" s="366"/>
      <c r="N310" s="2"/>
      <c r="O310" s="365"/>
      <c r="P310" s="6"/>
      <c r="Q310" s="6"/>
      <c r="R310" s="366"/>
      <c r="S310" s="2"/>
      <c r="T310" s="394"/>
      <c r="U310" s="342"/>
      <c r="V310" s="342"/>
      <c r="W310" s="395"/>
      <c r="X310" s="77"/>
      <c r="Y310" s="394">
        <f t="shared" ref="Y310:AQ310" si="294">Y302/1000*Y307</f>
        <v>2.8382175242786234</v>
      </c>
      <c r="Z310" s="342">
        <f t="shared" si="294"/>
        <v>2.5725743787202959</v>
      </c>
      <c r="AA310" s="342">
        <f t="shared" si="294"/>
        <v>2.4643515944133818</v>
      </c>
      <c r="AB310" s="395">
        <f t="shared" si="294"/>
        <v>2.6441592318135521</v>
      </c>
      <c r="AC310" s="77">
        <f>SUM(Y310:AB310)</f>
        <v>10.519302729225853</v>
      </c>
      <c r="AD310" s="394">
        <f>AD302/1000*AD307</f>
        <v>7.4558583797710591</v>
      </c>
      <c r="AE310" s="342">
        <f>AE302/1000*AE307</f>
        <v>2.5158818633102684</v>
      </c>
      <c r="AF310" s="342">
        <f t="shared" si="294"/>
        <v>2.1769327165174932</v>
      </c>
      <c r="AG310" s="395">
        <f t="shared" si="294"/>
        <v>3.0928855447002732</v>
      </c>
      <c r="AH310" s="77">
        <f>SUM(AD310:AG310)</f>
        <v>15.241558504299094</v>
      </c>
      <c r="AI310" s="394">
        <f t="shared" si="294"/>
        <v>4.3456455933362772</v>
      </c>
      <c r="AJ310" s="342">
        <f t="shared" si="294"/>
        <v>2.0656626055291891</v>
      </c>
      <c r="AK310" s="342">
        <f t="shared" si="294"/>
        <v>1.7112480166334918</v>
      </c>
      <c r="AL310" s="395">
        <f t="shared" si="294"/>
        <v>2.0817038228109372</v>
      </c>
      <c r="AM310" s="77">
        <f>SUM(AI310:AL310)</f>
        <v>10.204260038309895</v>
      </c>
      <c r="AN310" s="394">
        <f t="shared" si="294"/>
        <v>2.081541902456626</v>
      </c>
      <c r="AO310" s="342">
        <f t="shared" si="294"/>
        <v>1.5812553340070394</v>
      </c>
      <c r="AP310" s="342">
        <f t="shared" si="294"/>
        <v>1.7306048867211286</v>
      </c>
      <c r="AQ310" s="395">
        <f t="shared" si="294"/>
        <v>1.7506257355740491</v>
      </c>
      <c r="AR310" s="77">
        <f>SUM(AN310:AQ310)</f>
        <v>7.1440278587588431</v>
      </c>
      <c r="AS310" s="394">
        <f>AS302/1000*AS307</f>
        <v>2.4092609642781251</v>
      </c>
      <c r="AT310" s="342">
        <f>AT302/1000*AT307</f>
        <v>1.7850872983073491</v>
      </c>
      <c r="AU310" s="342">
        <f>AU302/1000*AU307</f>
        <v>1.5752466362730977</v>
      </c>
      <c r="AV310" s="395">
        <f>AV302/1000*AV307</f>
        <v>2.7804486855847825</v>
      </c>
      <c r="AW310" s="77">
        <f>SUM(AS310:AV310)</f>
        <v>8.5500435844433547</v>
      </c>
      <c r="AX310" s="394">
        <f>AX302/1000*AX307</f>
        <v>3.8312197647498425</v>
      </c>
      <c r="AY310" s="342">
        <f>AY302/1000*AY307</f>
        <v>2.0661555000000003</v>
      </c>
      <c r="AZ310" s="342">
        <f>AZ302/1000*AZ307</f>
        <v>2.0750250000000001</v>
      </c>
      <c r="BA310" s="395">
        <f>BA302/1000*BA307</f>
        <v>2.0941738125000002</v>
      </c>
      <c r="BB310" s="77">
        <f>SUM(AX310:BA310)</f>
        <v>10.066574077249843</v>
      </c>
      <c r="BC310" s="394">
        <f t="shared" ref="BC310:BK310" si="295">BC302/1000*BC307</f>
        <v>3.0672481574688391</v>
      </c>
      <c r="BD310" s="342">
        <f t="shared" si="295"/>
        <v>1.703683999640353</v>
      </c>
      <c r="BE310" s="342">
        <f t="shared" si="295"/>
        <v>1.7405899881577847</v>
      </c>
      <c r="BF310" s="395">
        <f t="shared" si="295"/>
        <v>2.5451653672330239</v>
      </c>
      <c r="BG310" s="77">
        <f>SUM(BC310:BF310)</f>
        <v>9.0566875124999999</v>
      </c>
      <c r="BH310" s="394">
        <f t="shared" si="295"/>
        <v>3.0403302973917588</v>
      </c>
      <c r="BI310" s="342">
        <f t="shared" si="295"/>
        <v>1.6887326409098216</v>
      </c>
      <c r="BJ310" s="342">
        <f t="shared" si="295"/>
        <v>1.7253147461990566</v>
      </c>
      <c r="BK310" s="395">
        <f t="shared" si="295"/>
        <v>2.522829252999363</v>
      </c>
      <c r="BL310" s="77">
        <f>SUM(BH310:BK310)</f>
        <v>8.9772069375000001</v>
      </c>
      <c r="BM310" s="394">
        <f>BM302/1000*BM307</f>
        <v>2.2100066076392877</v>
      </c>
      <c r="BN310" s="342">
        <f>BN302/1000*BN307</f>
        <v>2.2100066076392877</v>
      </c>
      <c r="BO310" s="342">
        <f>BO302/1000*BO307</f>
        <v>2.2100066076392877</v>
      </c>
      <c r="BP310" s="395">
        <f>BP302/1000*BP307</f>
        <v>2.2100066076392877</v>
      </c>
      <c r="BQ310" s="77">
        <f>SUM(BM310:BP310)</f>
        <v>8.8400264305571508</v>
      </c>
      <c r="BR310" s="2"/>
    </row>
    <row r="311" spans="1:70" s="2" customFormat="1">
      <c r="A311" s="49"/>
      <c r="B311" s="49"/>
      <c r="C311" s="49" t="s">
        <v>270</v>
      </c>
      <c r="D311" s="49"/>
      <c r="E311" s="663"/>
      <c r="F311" s="468"/>
      <c r="G311" s="468"/>
      <c r="H311" s="664"/>
      <c r="I311" s="37"/>
      <c r="J311" s="663"/>
      <c r="K311" s="468"/>
      <c r="L311" s="468"/>
      <c r="M311" s="664"/>
      <c r="N311" s="49"/>
      <c r="O311" s="663"/>
      <c r="P311" s="468"/>
      <c r="Q311" s="468"/>
      <c r="R311" s="664"/>
      <c r="S311" s="49"/>
      <c r="T311" s="396"/>
      <c r="U311" s="343"/>
      <c r="V311" s="343"/>
      <c r="W311" s="397"/>
      <c r="X311" s="297"/>
      <c r="Y311" s="396">
        <f t="shared" ref="Y311:AR311" si="296">Y309-Y310</f>
        <v>-3.8879304317908314E-2</v>
      </c>
      <c r="Z311" s="343">
        <f t="shared" si="296"/>
        <v>0.52625158517423598</v>
      </c>
      <c r="AA311" s="343">
        <f t="shared" si="296"/>
        <v>1.1622968407223606</v>
      </c>
      <c r="AB311" s="397">
        <f t="shared" si="296"/>
        <v>0.12787700509562638</v>
      </c>
      <c r="AC311" s="297">
        <f t="shared" si="296"/>
        <v>1.7775461266743147</v>
      </c>
      <c r="AD311" s="396">
        <f>AD309-AD310</f>
        <v>1.2392393094789442</v>
      </c>
      <c r="AE311" s="343">
        <f>AE309-AE310</f>
        <v>1.0244951319035991</v>
      </c>
      <c r="AF311" s="343">
        <f t="shared" si="296"/>
        <v>0.80173922346033999</v>
      </c>
      <c r="AG311" s="397">
        <f t="shared" si="296"/>
        <v>0.13433258086779354</v>
      </c>
      <c r="AH311" s="297">
        <f t="shared" si="296"/>
        <v>3.1998062457106737</v>
      </c>
      <c r="AI311" s="396">
        <f t="shared" si="296"/>
        <v>7.4952504714615564E-2</v>
      </c>
      <c r="AJ311" s="343">
        <f t="shared" si="296"/>
        <v>0.35334950892042061</v>
      </c>
      <c r="AK311" s="343">
        <f t="shared" si="296"/>
        <v>0.91008399585958522</v>
      </c>
      <c r="AL311" s="397">
        <f t="shared" si="296"/>
        <v>-0.10796504202451063</v>
      </c>
      <c r="AM311" s="297">
        <f t="shared" si="296"/>
        <v>1.2304209674701116</v>
      </c>
      <c r="AN311" s="396">
        <f t="shared" si="296"/>
        <v>-2.734464695398886E-2</v>
      </c>
      <c r="AO311" s="343">
        <f t="shared" si="296"/>
        <v>0.30480023210467899</v>
      </c>
      <c r="AP311" s="343">
        <f t="shared" si="296"/>
        <v>0.93720317847721102</v>
      </c>
      <c r="AQ311" s="397">
        <f t="shared" si="296"/>
        <v>0.14339054701166498</v>
      </c>
      <c r="AR311" s="297">
        <f t="shared" si="296"/>
        <v>1.358049310639565</v>
      </c>
      <c r="AS311" s="396">
        <f t="shared" ref="AS311:BB311" si="297">AS309-AS310</f>
        <v>-0.22430465577607439</v>
      </c>
      <c r="AT311" s="343">
        <f t="shared" si="297"/>
        <v>0.34275380059206495</v>
      </c>
      <c r="AU311" s="343">
        <f t="shared" si="297"/>
        <v>0.68183820475190293</v>
      </c>
      <c r="AV311" s="397">
        <f t="shared" si="297"/>
        <v>-0.21520550612942513</v>
      </c>
      <c r="AW311" s="297">
        <f t="shared" si="297"/>
        <v>0.58508184343846814</v>
      </c>
      <c r="AX311" s="396">
        <f>AX309-AX310</f>
        <v>-0.57878657272738199</v>
      </c>
      <c r="AY311" s="343">
        <f>AY309-AY310</f>
        <v>0.19204109999999952</v>
      </c>
      <c r="AZ311" s="343">
        <f>AZ309-AZ310</f>
        <v>0.42570315000000036</v>
      </c>
      <c r="BA311" s="397">
        <f>BA309-BA310</f>
        <v>0.17998788749999983</v>
      </c>
      <c r="BB311" s="297">
        <f t="shared" si="297"/>
        <v>0.21894556477261773</v>
      </c>
      <c r="BC311" s="396">
        <f t="shared" ref="BC311:BL311" si="298">BC309-BC310</f>
        <v>-1.1479088991727338E-2</v>
      </c>
      <c r="BD311" s="343">
        <f t="shared" si="298"/>
        <v>0.28678160775028139</v>
      </c>
      <c r="BE311" s="343">
        <f t="shared" si="298"/>
        <v>0.48975314483790622</v>
      </c>
      <c r="BF311" s="397">
        <f t="shared" si="298"/>
        <v>-0.15302457611397946</v>
      </c>
      <c r="BG311" s="297">
        <f t="shared" si="298"/>
        <v>0.61203108748247992</v>
      </c>
      <c r="BH311" s="396">
        <f t="shared" si="298"/>
        <v>1.336234259358493E-2</v>
      </c>
      <c r="BI311" s="343">
        <f t="shared" si="298"/>
        <v>0.3003804233381695</v>
      </c>
      <c r="BJ311" s="343">
        <f t="shared" si="298"/>
        <v>0.50351284425268061</v>
      </c>
      <c r="BK311" s="397">
        <f t="shared" si="298"/>
        <v>-0.13231394770195415</v>
      </c>
      <c r="BL311" s="297">
        <f t="shared" si="298"/>
        <v>0.68494166248247979</v>
      </c>
      <c r="BM311" s="396">
        <f>BM309-BM310</f>
        <v>0.15660124950356957</v>
      </c>
      <c r="BN311" s="343">
        <f>BN309-BN310</f>
        <v>0.15660124950356957</v>
      </c>
      <c r="BO311" s="343">
        <f>BO309-BO310</f>
        <v>0.15660124950356957</v>
      </c>
      <c r="BP311" s="397">
        <f>BP309-BP310</f>
        <v>0.15660124950356957</v>
      </c>
      <c r="BQ311" s="297">
        <f>BQ309-BQ310</f>
        <v>0.62640499801427829</v>
      </c>
      <c r="BR311" s="49"/>
    </row>
    <row r="312" spans="1:70" s="2" customFormat="1">
      <c r="A312" s="1523"/>
      <c r="C312" s="49"/>
      <c r="E312" s="365"/>
      <c r="F312" s="6"/>
      <c r="G312" s="6"/>
      <c r="H312" s="366"/>
      <c r="I312" s="37"/>
      <c r="J312" s="365"/>
      <c r="K312" s="6"/>
      <c r="L312" s="6"/>
      <c r="M312" s="366"/>
      <c r="O312" s="365"/>
      <c r="P312" s="6"/>
      <c r="Q312" s="6"/>
      <c r="R312" s="366"/>
      <c r="T312" s="365"/>
      <c r="U312" s="6"/>
      <c r="V312" s="6"/>
      <c r="W312" s="366"/>
      <c r="Y312" s="365"/>
      <c r="Z312" s="6"/>
      <c r="AA312" s="6"/>
      <c r="AB312" s="366"/>
      <c r="AD312" s="365"/>
      <c r="AE312" s="6"/>
      <c r="AF312" s="6"/>
      <c r="AG312" s="366"/>
      <c r="AI312" s="365"/>
      <c r="AJ312" s="6"/>
      <c r="AK312" s="6"/>
      <c r="AL312" s="366"/>
      <c r="AN312" s="365"/>
      <c r="AO312" s="6"/>
      <c r="AP312" s="6"/>
      <c r="AQ312" s="366"/>
      <c r="AS312" s="365"/>
      <c r="AT312" s="6"/>
      <c r="AU312" s="6"/>
      <c r="AV312" s="366"/>
      <c r="AX312" s="365"/>
      <c r="AY312" s="6"/>
      <c r="AZ312" s="6"/>
      <c r="BA312" s="366"/>
      <c r="BC312" s="365"/>
      <c r="BD312" s="6"/>
      <c r="BE312" s="6"/>
      <c r="BF312" s="366"/>
      <c r="BH312" s="365"/>
      <c r="BI312" s="6"/>
      <c r="BJ312" s="6"/>
      <c r="BK312" s="366"/>
      <c r="BM312" s="365"/>
      <c r="BN312" s="6"/>
      <c r="BO312" s="6"/>
      <c r="BP312" s="366"/>
    </row>
    <row r="313" spans="1:70" s="2" customFormat="1">
      <c r="A313" s="1523"/>
      <c r="C313" s="49"/>
      <c r="E313" s="365"/>
      <c r="F313" s="6"/>
      <c r="G313" s="6"/>
      <c r="H313" s="366"/>
      <c r="I313" s="37"/>
      <c r="J313" s="365"/>
      <c r="K313" s="6"/>
      <c r="L313" s="6"/>
      <c r="M313" s="366"/>
      <c r="O313" s="365"/>
      <c r="P313" s="6"/>
      <c r="Q313" s="6"/>
      <c r="R313" s="366"/>
      <c r="T313" s="365"/>
      <c r="U313" s="6"/>
      <c r="V313" s="6"/>
      <c r="W313" s="366"/>
      <c r="Y313" s="365"/>
      <c r="Z313" s="6"/>
      <c r="AA313" s="6"/>
      <c r="AB313" s="366"/>
      <c r="AD313" s="365"/>
      <c r="AE313" s="6"/>
      <c r="AF313" s="6"/>
      <c r="AG313" s="366"/>
      <c r="AI313" s="365"/>
      <c r="AJ313" s="6"/>
      <c r="AK313" s="6"/>
      <c r="AL313" s="366"/>
      <c r="AN313" s="365"/>
      <c r="AO313" s="6"/>
      <c r="AP313" s="6"/>
      <c r="AQ313" s="366"/>
      <c r="AS313" s="365"/>
      <c r="AT313" s="6"/>
      <c r="AU313" s="6"/>
      <c r="AV313" s="366"/>
      <c r="AX313" s="365"/>
      <c r="AY313" s="6"/>
      <c r="AZ313" s="6"/>
      <c r="BA313" s="366"/>
      <c r="BC313" s="365"/>
      <c r="BD313" s="6"/>
      <c r="BE313" s="6"/>
      <c r="BF313" s="366"/>
      <c r="BH313" s="365"/>
      <c r="BI313" s="6"/>
      <c r="BJ313" s="6"/>
      <c r="BK313" s="366"/>
      <c r="BM313" s="365"/>
      <c r="BN313" s="6"/>
      <c r="BO313" s="6"/>
      <c r="BP313" s="366"/>
    </row>
    <row r="314" spans="1:70" s="2" customFormat="1">
      <c r="A314" s="1523"/>
      <c r="C314" s="592" t="s">
        <v>205</v>
      </c>
      <c r="E314" s="365"/>
      <c r="F314" s="6"/>
      <c r="G314" s="6"/>
      <c r="H314" s="366"/>
      <c r="I314" s="603"/>
      <c r="J314" s="365"/>
      <c r="K314" s="6"/>
      <c r="L314" s="6"/>
      <c r="M314" s="366"/>
      <c r="O314" s="365"/>
      <c r="P314" s="6"/>
      <c r="Q314" s="6"/>
      <c r="R314" s="366"/>
      <c r="T314" s="365"/>
      <c r="U314" s="6"/>
      <c r="V314" s="6"/>
      <c r="W314" s="366"/>
      <c r="Y314" s="365"/>
      <c r="Z314" s="6"/>
      <c r="AA314" s="6"/>
      <c r="AB314" s="366"/>
      <c r="AD314" s="365"/>
      <c r="AE314" s="6"/>
      <c r="AF314" s="6"/>
      <c r="AG314" s="366"/>
      <c r="AI314" s="365"/>
      <c r="AJ314" s="6"/>
      <c r="AK314" s="6"/>
      <c r="AL314" s="366"/>
      <c r="AN314" s="365"/>
      <c r="AO314" s="6"/>
      <c r="AP314" s="6"/>
      <c r="AQ314" s="366"/>
      <c r="AS314" s="365"/>
      <c r="AT314" s="6"/>
      <c r="AU314" s="6"/>
      <c r="AV314" s="366"/>
      <c r="AX314" s="365"/>
      <c r="AY314" s="6"/>
      <c r="AZ314" s="6"/>
      <c r="BA314" s="366"/>
      <c r="BC314" s="365"/>
      <c r="BD314" s="6"/>
      <c r="BE314" s="6"/>
      <c r="BF314" s="366"/>
      <c r="BH314" s="365"/>
      <c r="BI314" s="6"/>
      <c r="BJ314" s="6"/>
      <c r="BK314" s="366"/>
      <c r="BM314" s="365"/>
      <c r="BN314" s="6"/>
      <c r="BO314" s="6"/>
      <c r="BP314" s="366"/>
    </row>
    <row r="315" spans="1:70" s="2" customFormat="1">
      <c r="A315" s="1523"/>
      <c r="C315" s="37" t="s">
        <v>265</v>
      </c>
      <c r="E315" s="365"/>
      <c r="F315" s="6"/>
      <c r="G315" s="6"/>
      <c r="H315" s="366"/>
      <c r="I315" s="37"/>
      <c r="J315" s="365"/>
      <c r="K315" s="6"/>
      <c r="L315" s="6"/>
      <c r="M315" s="366"/>
      <c r="O315" s="365"/>
      <c r="P315" s="6"/>
      <c r="Q315" s="6"/>
      <c r="R315" s="366"/>
      <c r="T315" s="598"/>
      <c r="U315" s="599"/>
      <c r="V315" s="599"/>
      <c r="W315" s="600"/>
      <c r="X315" s="601"/>
      <c r="Y315" s="598">
        <f t="shared" ref="Y315:BL315" si="299">Y69</f>
        <v>37.529145254982318</v>
      </c>
      <c r="Z315" s="599">
        <f t="shared" si="299"/>
        <v>37.173283024812193</v>
      </c>
      <c r="AA315" s="599">
        <f t="shared" si="299"/>
        <v>37.809993801456365</v>
      </c>
      <c r="AB315" s="600">
        <f t="shared" si="299"/>
        <v>35.370000250611412</v>
      </c>
      <c r="AC315" s="601">
        <f t="shared" si="299"/>
        <v>36.970605582965575</v>
      </c>
      <c r="AD315" s="598">
        <f t="shared" si="299"/>
        <v>95.047234040126796</v>
      </c>
      <c r="AE315" s="599">
        <f t="shared" si="299"/>
        <v>40.089419338829643</v>
      </c>
      <c r="AF315" s="599">
        <f t="shared" si="299"/>
        <v>34.051950399615748</v>
      </c>
      <c r="AG315" s="600">
        <f t="shared" si="299"/>
        <v>34.901567158330494</v>
      </c>
      <c r="AH315" s="601">
        <f t="shared" si="299"/>
        <v>51.022542734225667</v>
      </c>
      <c r="AI315" s="598">
        <f t="shared" si="299"/>
        <v>50.226045196540731</v>
      </c>
      <c r="AJ315" s="599">
        <f t="shared" si="299"/>
        <v>31.734948543288006</v>
      </c>
      <c r="AK315" s="599">
        <f t="shared" si="299"/>
        <v>30.938823108246229</v>
      </c>
      <c r="AL315" s="600">
        <f t="shared" si="299"/>
        <v>26.757467178585685</v>
      </c>
      <c r="AM315" s="601">
        <f t="shared" si="299"/>
        <v>34.914321006665162</v>
      </c>
      <c r="AN315" s="598">
        <f t="shared" si="299"/>
        <v>26.893180414808633</v>
      </c>
      <c r="AO315" s="599">
        <f t="shared" si="299"/>
        <v>26.698337725127704</v>
      </c>
      <c r="AP315" s="599">
        <f t="shared" si="299"/>
        <v>30.522774167614216</v>
      </c>
      <c r="AQ315" s="600">
        <f t="shared" si="299"/>
        <v>29.064520157143946</v>
      </c>
      <c r="AR315" s="601">
        <f t="shared" si="299"/>
        <v>28.294703116173622</v>
      </c>
      <c r="AS315" s="598">
        <f t="shared" si="299"/>
        <v>29.483108342982668</v>
      </c>
      <c r="AT315" s="599">
        <f t="shared" si="299"/>
        <v>27.195240391815652</v>
      </c>
      <c r="AU315" s="599">
        <f t="shared" si="299"/>
        <v>28.381447812552842</v>
      </c>
      <c r="AV315" s="600">
        <f t="shared" si="299"/>
        <v>32.844526318856978</v>
      </c>
      <c r="AW315" s="601">
        <f t="shared" si="299"/>
        <v>29.476080716552033</v>
      </c>
      <c r="AX315" s="598">
        <f t="shared" si="299"/>
        <v>45.867998598236575</v>
      </c>
      <c r="AY315" s="599">
        <f t="shared" si="299"/>
        <v>29.486249999999998</v>
      </c>
      <c r="AZ315" s="599">
        <f>AZ69</f>
        <v>30.53875</v>
      </c>
      <c r="BA315" s="600">
        <f t="shared" si="299"/>
        <v>29.958333333333332</v>
      </c>
      <c r="BB315" s="601">
        <f t="shared" si="299"/>
        <v>33.962832982892479</v>
      </c>
      <c r="BC315" s="598">
        <f t="shared" si="299"/>
        <v>36.411008920272678</v>
      </c>
      <c r="BD315" s="599">
        <f t="shared" si="299"/>
        <v>24.928925623239095</v>
      </c>
      <c r="BE315" s="599">
        <f t="shared" si="299"/>
        <v>26.024761343176365</v>
      </c>
      <c r="BF315" s="600">
        <f t="shared" si="299"/>
        <v>35.294069946441873</v>
      </c>
      <c r="BG315" s="601">
        <f t="shared" si="299"/>
        <v>30.664691458282505</v>
      </c>
      <c r="BH315" s="598">
        <f t="shared" si="299"/>
        <v>36.170673212450552</v>
      </c>
      <c r="BI315" s="599">
        <f t="shared" si="299"/>
        <v>24.77270462284223</v>
      </c>
      <c r="BJ315" s="599">
        <f t="shared" si="299"/>
        <v>25.866446502489296</v>
      </c>
      <c r="BK315" s="600">
        <f t="shared" si="299"/>
        <v>35.060013162147939</v>
      </c>
      <c r="BL315" s="601">
        <f t="shared" si="299"/>
        <v>30.467459374982504</v>
      </c>
      <c r="BM315" s="598">
        <f>BM69</f>
        <v>30.754139738872574</v>
      </c>
      <c r="BN315" s="599">
        <f>BN69</f>
        <v>30.754139738872574</v>
      </c>
      <c r="BO315" s="599">
        <f>BO69</f>
        <v>30.754139738872574</v>
      </c>
      <c r="BP315" s="600">
        <f>BP69</f>
        <v>30.754139738872574</v>
      </c>
      <c r="BQ315" s="601">
        <f>BQ69</f>
        <v>30.754139738872574</v>
      </c>
    </row>
    <row r="316" spans="1:70" s="2" customFormat="1">
      <c r="A316" s="1523"/>
      <c r="C316" s="37" t="s">
        <v>266</v>
      </c>
      <c r="E316" s="365"/>
      <c r="F316" s="6"/>
      <c r="G316" s="6"/>
      <c r="H316" s="366"/>
      <c r="I316" s="725">
        <v>10000</v>
      </c>
      <c r="J316" s="365"/>
      <c r="K316" s="6"/>
      <c r="L316" s="6"/>
      <c r="M316" s="366"/>
      <c r="O316" s="365"/>
      <c r="P316" s="6"/>
      <c r="Q316" s="6"/>
      <c r="R316" s="366"/>
      <c r="T316" s="598"/>
      <c r="U316" s="599"/>
      <c r="V316" s="599"/>
      <c r="W316" s="600"/>
      <c r="X316" s="601"/>
      <c r="Y316" s="598">
        <f>Y$106/24*$I316/1000</f>
        <v>32.185897435897438</v>
      </c>
      <c r="Z316" s="599">
        <f>Z$106/24*$I316/1000</f>
        <v>33.317307692307693</v>
      </c>
      <c r="AA316" s="599">
        <f>AA$106/24*$I316/1000</f>
        <v>34.679487179487182</v>
      </c>
      <c r="AB316" s="600">
        <f>AB$106/24*$I316/1000</f>
        <v>34.839743589743591</v>
      </c>
      <c r="AC316" s="601">
        <f>AVERAGE(Y316:AB316)</f>
        <v>33.755608974358978</v>
      </c>
      <c r="AD316" s="598">
        <f>AD$106/24*$I316/1000</f>
        <v>34.772435897435891</v>
      </c>
      <c r="AE316" s="599">
        <f>AE$106/24*$I316/1000</f>
        <v>34.216987179487177</v>
      </c>
      <c r="AF316" s="599">
        <f>AF$106/24*$I316/1000</f>
        <v>32.753205128205124</v>
      </c>
      <c r="AG316" s="600">
        <f>AG$106/24*$I316/1000</f>
        <v>28.458990384615387</v>
      </c>
      <c r="AH316" s="601">
        <f>AVERAGE(AD316:AG316)</f>
        <v>32.55040464743589</v>
      </c>
      <c r="AI316" s="598">
        <f>AI$106/24*$I316/1000</f>
        <v>27.432564102564093</v>
      </c>
      <c r="AJ316" s="599">
        <f>AJ$106/24*$I316/1000</f>
        <v>27.17314102564103</v>
      </c>
      <c r="AK316" s="599">
        <f>AK$106/24*$I316/1000</f>
        <v>26.35224358974359</v>
      </c>
      <c r="AL316" s="600">
        <f>AL$106/24*$I316/1000</f>
        <v>24.578605769230769</v>
      </c>
      <c r="AM316" s="601">
        <f>AVERAGE(AI316:AL316)</f>
        <v>26.384138621794868</v>
      </c>
      <c r="AN316" s="598">
        <f>AN$106/24*$I316/1000</f>
        <v>23.025721153846153</v>
      </c>
      <c r="AO316" s="599">
        <f>AO$106/24*$I316/1000</f>
        <v>22.55528846153846</v>
      </c>
      <c r="AP316" s="599">
        <f>AP$106/24*$I316/1000</f>
        <v>22.450892857142861</v>
      </c>
      <c r="AQ316" s="600">
        <f>AQ$106/24*$I316/1000</f>
        <v>24.021394230769229</v>
      </c>
      <c r="AR316" s="601">
        <f>AVERAGE(AN316:AQ316)</f>
        <v>23.013324175824177</v>
      </c>
      <c r="AS316" s="598">
        <f>AS$106/24*$I316/1000</f>
        <v>26.064503205128212</v>
      </c>
      <c r="AT316" s="599">
        <f>AT$106/24*$I316/1000</f>
        <v>27.016025641025639</v>
      </c>
      <c r="AU316" s="599">
        <f>AU$106/24*$I316/1000</f>
        <v>27.224599358974366</v>
      </c>
      <c r="AV316" s="600">
        <f>AV$106/24*$I316/1000</f>
        <v>29.311858974358977</v>
      </c>
      <c r="AW316" s="601">
        <f>AVERAGE(AS316:AV316)</f>
        <v>27.404246794871803</v>
      </c>
      <c r="AX316" s="598">
        <f>AX$106/24*$I316/1000</f>
        <v>30.336458333333333</v>
      </c>
      <c r="AY316" s="599">
        <f>AY$106/24*$I316/1000</f>
        <v>25.645833333333332</v>
      </c>
      <c r="AZ316" s="599">
        <f>AZ$106/24*$I316/1000</f>
        <v>25.645833333333332</v>
      </c>
      <c r="BA316" s="600">
        <f>BA$106/24*$I316/1000</f>
        <v>25.645833333333332</v>
      </c>
      <c r="BB316" s="601">
        <f>AVERAGE(AX316:BA316)</f>
        <v>26.818489583333331</v>
      </c>
      <c r="BC316" s="598">
        <f t="shared" ref="BC316:BJ316" si="300">BC$106/24*$I316/1000+BC$118</f>
        <v>25.311071673642353</v>
      </c>
      <c r="BD316" s="599">
        <f t="shared" si="300"/>
        <v>25.311071673642353</v>
      </c>
      <c r="BE316" s="599">
        <f t="shared" si="300"/>
        <v>25.311071673642353</v>
      </c>
      <c r="BF316" s="600">
        <f t="shared" si="300"/>
        <v>28.233451645739613</v>
      </c>
      <c r="BG316" s="601">
        <f t="shared" si="300"/>
        <v>26.041666666666664</v>
      </c>
      <c r="BH316" s="598">
        <f t="shared" si="300"/>
        <v>25.311071673642353</v>
      </c>
      <c r="BI316" s="599">
        <f t="shared" si="300"/>
        <v>25.311071673642353</v>
      </c>
      <c r="BJ316" s="599">
        <f t="shared" si="300"/>
        <v>25.311071673642353</v>
      </c>
      <c r="BK316" s="600">
        <f>BK$106/24*$I316/1000+BK$118</f>
        <v>28.233451645739613</v>
      </c>
      <c r="BL316" s="601">
        <f>AVERAGE(BH316:BK316)</f>
        <v>26.041666666666671</v>
      </c>
      <c r="BM316" s="598">
        <f>BM$106/24*$I316/1000+BM$118</f>
        <v>25.311071673642353</v>
      </c>
      <c r="BN316" s="599">
        <f>BN$106/24*$I316/1000+BN$118</f>
        <v>25.311071673642353</v>
      </c>
      <c r="BO316" s="599">
        <f>BO$106/24*$I316/1000+BO$118</f>
        <v>25.311071673642353</v>
      </c>
      <c r="BP316" s="600">
        <f>BP$106/24*$I316/1000+BP$118</f>
        <v>28.233451645739613</v>
      </c>
      <c r="BQ316" s="601">
        <f>AVERAGE(BM316:BP316)</f>
        <v>26.041666666666671</v>
      </c>
    </row>
    <row r="317" spans="1:70" s="49" customFormat="1">
      <c r="A317" s="1523"/>
      <c r="B317" s="2"/>
      <c r="C317" s="2"/>
      <c r="D317" s="2"/>
      <c r="E317" s="365"/>
      <c r="F317" s="6"/>
      <c r="G317" s="6"/>
      <c r="H317" s="366"/>
      <c r="I317" s="37"/>
      <c r="J317" s="365"/>
      <c r="K317" s="6"/>
      <c r="L317" s="6"/>
      <c r="M317" s="366"/>
      <c r="N317" s="2"/>
      <c r="O317" s="365"/>
      <c r="P317" s="6"/>
      <c r="Q317" s="6"/>
      <c r="R317" s="366"/>
      <c r="S317" s="2"/>
      <c r="T317" s="365"/>
      <c r="U317" s="6"/>
      <c r="V317" s="6"/>
      <c r="W317" s="366"/>
      <c r="X317" s="2"/>
      <c r="Y317" s="365"/>
      <c r="Z317" s="6"/>
      <c r="AA317" s="6"/>
      <c r="AB317" s="366"/>
      <c r="AC317" s="2"/>
      <c r="AD317" s="365"/>
      <c r="AE317" s="6"/>
      <c r="AF317" s="6"/>
      <c r="AG317" s="366"/>
      <c r="AH317" s="2"/>
      <c r="AI317" s="365"/>
      <c r="AJ317" s="6"/>
      <c r="AK317" s="6"/>
      <c r="AL317" s="366"/>
      <c r="AM317" s="2"/>
      <c r="AN317" s="365"/>
      <c r="AO317" s="6"/>
      <c r="AP317" s="6"/>
      <c r="AQ317" s="366"/>
      <c r="AR317" s="2"/>
      <c r="AS317" s="365"/>
      <c r="AT317" s="6"/>
      <c r="AU317" s="6"/>
      <c r="AV317" s="366"/>
      <c r="AW317" s="2"/>
      <c r="AX317" s="365"/>
      <c r="AY317" s="6"/>
      <c r="AZ317" s="6"/>
      <c r="BA317" s="366"/>
      <c r="BB317" s="2"/>
      <c r="BC317" s="365"/>
      <c r="BD317" s="6"/>
      <c r="BE317" s="6"/>
      <c r="BF317" s="366"/>
      <c r="BG317" s="2"/>
      <c r="BH317" s="365"/>
      <c r="BI317" s="6"/>
      <c r="BJ317" s="6"/>
      <c r="BK317" s="366"/>
      <c r="BL317" s="2"/>
      <c r="BM317" s="365"/>
      <c r="BN317" s="6"/>
      <c r="BO317" s="6"/>
      <c r="BP317" s="366"/>
      <c r="BQ317" s="2"/>
      <c r="BR317" s="2"/>
    </row>
    <row r="318" spans="1:70" s="2" customFormat="1">
      <c r="A318" s="49"/>
      <c r="B318" s="49"/>
      <c r="C318" s="49" t="s">
        <v>267</v>
      </c>
      <c r="D318" s="49"/>
      <c r="E318" s="396"/>
      <c r="F318" s="343"/>
      <c r="G318" s="343"/>
      <c r="H318" s="397"/>
      <c r="I318" s="725">
        <f>391+385</f>
        <v>776</v>
      </c>
      <c r="J318" s="396"/>
      <c r="K318" s="343"/>
      <c r="L318" s="343"/>
      <c r="M318" s="397"/>
      <c r="N318" s="297"/>
      <c r="O318" s="396"/>
      <c r="P318" s="343"/>
      <c r="Q318" s="343"/>
      <c r="R318" s="397"/>
      <c r="S318" s="297"/>
      <c r="T318" s="396"/>
      <c r="U318" s="343"/>
      <c r="V318" s="343"/>
      <c r="W318" s="397"/>
      <c r="X318" s="297"/>
      <c r="Y318" s="396">
        <f>I318</f>
        <v>776</v>
      </c>
      <c r="Z318" s="343">
        <f t="shared" ref="Z318:AR318" si="301">Y318</f>
        <v>776</v>
      </c>
      <c r="AA318" s="343">
        <f t="shared" si="301"/>
        <v>776</v>
      </c>
      <c r="AB318" s="397">
        <f t="shared" si="301"/>
        <v>776</v>
      </c>
      <c r="AC318" s="297">
        <f t="shared" si="301"/>
        <v>776</v>
      </c>
      <c r="AD318" s="396">
        <f>I318</f>
        <v>776</v>
      </c>
      <c r="AE318" s="343">
        <f>AD318</f>
        <v>776</v>
      </c>
      <c r="AF318" s="343">
        <f t="shared" si="301"/>
        <v>776</v>
      </c>
      <c r="AG318" s="397">
        <f t="shared" si="301"/>
        <v>776</v>
      </c>
      <c r="AH318" s="297">
        <f t="shared" si="301"/>
        <v>776</v>
      </c>
      <c r="AI318" s="396">
        <f t="shared" si="301"/>
        <v>776</v>
      </c>
      <c r="AJ318" s="343">
        <f t="shared" si="301"/>
        <v>776</v>
      </c>
      <c r="AK318" s="343">
        <f t="shared" si="301"/>
        <v>776</v>
      </c>
      <c r="AL318" s="397">
        <f t="shared" si="301"/>
        <v>776</v>
      </c>
      <c r="AM318" s="297">
        <f t="shared" si="301"/>
        <v>776</v>
      </c>
      <c r="AN318" s="396">
        <f t="shared" si="301"/>
        <v>776</v>
      </c>
      <c r="AO318" s="343">
        <f t="shared" si="301"/>
        <v>776</v>
      </c>
      <c r="AP318" s="343">
        <f t="shared" si="301"/>
        <v>776</v>
      </c>
      <c r="AQ318" s="397">
        <f t="shared" si="301"/>
        <v>776</v>
      </c>
      <c r="AR318" s="297">
        <f t="shared" si="301"/>
        <v>776</v>
      </c>
      <c r="AS318" s="396">
        <f t="shared" ref="AS318:BB318" si="302">AR318</f>
        <v>776</v>
      </c>
      <c r="AT318" s="343">
        <f t="shared" si="302"/>
        <v>776</v>
      </c>
      <c r="AU318" s="343">
        <f t="shared" si="302"/>
        <v>776</v>
      </c>
      <c r="AV318" s="397">
        <f t="shared" si="302"/>
        <v>776</v>
      </c>
      <c r="AW318" s="297">
        <f t="shared" si="302"/>
        <v>776</v>
      </c>
      <c r="AX318" s="396">
        <f>AW318</f>
        <v>776</v>
      </c>
      <c r="AY318" s="343">
        <f>AX318</f>
        <v>776</v>
      </c>
      <c r="AZ318" s="343">
        <f>AY318</f>
        <v>776</v>
      </c>
      <c r="BA318" s="397">
        <f>AY318</f>
        <v>776</v>
      </c>
      <c r="BB318" s="297">
        <f t="shared" si="302"/>
        <v>776</v>
      </c>
      <c r="BC318" s="396">
        <f t="shared" ref="BC318:BL318" si="303">BB318</f>
        <v>776</v>
      </c>
      <c r="BD318" s="343">
        <f t="shared" si="303"/>
        <v>776</v>
      </c>
      <c r="BE318" s="343">
        <f t="shared" si="303"/>
        <v>776</v>
      </c>
      <c r="BF318" s="397">
        <f t="shared" si="303"/>
        <v>776</v>
      </c>
      <c r="BG318" s="297">
        <f t="shared" si="303"/>
        <v>776</v>
      </c>
      <c r="BH318" s="396">
        <f t="shared" si="303"/>
        <v>776</v>
      </c>
      <c r="BI318" s="343">
        <f t="shared" si="303"/>
        <v>776</v>
      </c>
      <c r="BJ318" s="343">
        <f t="shared" si="303"/>
        <v>776</v>
      </c>
      <c r="BK318" s="397">
        <f t="shared" si="303"/>
        <v>776</v>
      </c>
      <c r="BL318" s="297">
        <f t="shared" si="303"/>
        <v>776</v>
      </c>
      <c r="BM318" s="396">
        <f>BL318</f>
        <v>776</v>
      </c>
      <c r="BN318" s="343">
        <f>BM318</f>
        <v>776</v>
      </c>
      <c r="BO318" s="343">
        <f>BN318</f>
        <v>776</v>
      </c>
      <c r="BP318" s="397">
        <f>BO318</f>
        <v>776</v>
      </c>
      <c r="BQ318" s="297">
        <f>BP318</f>
        <v>776</v>
      </c>
      <c r="BR318" s="49"/>
    </row>
    <row r="319" spans="1:70" s="2" customFormat="1">
      <c r="A319" s="1523"/>
      <c r="E319" s="365"/>
      <c r="F319" s="6"/>
      <c r="G319" s="6"/>
      <c r="H319" s="366"/>
      <c r="I319" s="37"/>
      <c r="J319" s="365"/>
      <c r="K319" s="6"/>
      <c r="L319" s="6"/>
      <c r="M319" s="366"/>
      <c r="O319" s="365"/>
      <c r="P319" s="6"/>
      <c r="Q319" s="6"/>
      <c r="R319" s="366"/>
      <c r="S319" s="293"/>
      <c r="T319" s="365"/>
      <c r="U319" s="6"/>
      <c r="V319" s="6"/>
      <c r="W319" s="366"/>
      <c r="Y319" s="365"/>
      <c r="Z319" s="6"/>
      <c r="AA319" s="6"/>
      <c r="AB319" s="366"/>
      <c r="AD319" s="365"/>
      <c r="AE319" s="6"/>
      <c r="AF319" s="6"/>
      <c r="AG319" s="366"/>
      <c r="AI319" s="365"/>
      <c r="AJ319" s="6"/>
      <c r="AK319" s="6"/>
      <c r="AL319" s="366"/>
      <c r="AN319" s="365"/>
      <c r="AO319" s="6"/>
      <c r="AP319" s="6"/>
      <c r="AQ319" s="366"/>
      <c r="AS319" s="365"/>
      <c r="AT319" s="6"/>
      <c r="AU319" s="6"/>
      <c r="AV319" s="366"/>
      <c r="AX319" s="365"/>
      <c r="AY319" s="6"/>
      <c r="AZ319" s="6"/>
      <c r="BA319" s="366"/>
      <c r="BC319" s="365"/>
      <c r="BD319" s="6"/>
      <c r="BE319" s="6"/>
      <c r="BF319" s="366"/>
      <c r="BH319" s="365"/>
      <c r="BI319" s="6"/>
      <c r="BJ319" s="6"/>
      <c r="BK319" s="366"/>
      <c r="BM319" s="365"/>
      <c r="BN319" s="6"/>
      <c r="BO319" s="6"/>
      <c r="BP319" s="366"/>
    </row>
    <row r="320" spans="1:70" s="49" customFormat="1">
      <c r="A320" s="1523"/>
      <c r="B320" s="2"/>
      <c r="C320" s="37" t="s">
        <v>268</v>
      </c>
      <c r="D320" s="2"/>
      <c r="E320" s="365"/>
      <c r="F320" s="6"/>
      <c r="G320" s="6"/>
      <c r="H320" s="366"/>
      <c r="I320" s="726">
        <v>0.73</v>
      </c>
      <c r="J320" s="365"/>
      <c r="K320" s="6"/>
      <c r="L320" s="6"/>
      <c r="M320" s="366"/>
      <c r="N320" s="2"/>
      <c r="O320" s="365"/>
      <c r="P320" s="6"/>
      <c r="Q320" s="6"/>
      <c r="R320" s="366"/>
      <c r="S320" s="293"/>
      <c r="T320" s="376"/>
      <c r="U320" s="334"/>
      <c r="V320" s="334"/>
      <c r="W320" s="377"/>
      <c r="X320" s="1201"/>
      <c r="Y320" s="376">
        <f>Z320</f>
        <v>0.73</v>
      </c>
      <c r="Z320" s="334">
        <f>AA320</f>
        <v>0.73</v>
      </c>
      <c r="AA320" s="334">
        <f>AB320</f>
        <v>0.73</v>
      </c>
      <c r="AB320" s="377">
        <f>AC320</f>
        <v>0.73</v>
      </c>
      <c r="AC320" s="1201">
        <f>+$I$320</f>
        <v>0.73</v>
      </c>
      <c r="AD320" s="376">
        <f>AE320</f>
        <v>0.73</v>
      </c>
      <c r="AE320" s="334">
        <f>AF320</f>
        <v>0.73</v>
      </c>
      <c r="AF320" s="334">
        <f>AG320</f>
        <v>0.73</v>
      </c>
      <c r="AG320" s="377">
        <f>AH320</f>
        <v>0.73</v>
      </c>
      <c r="AH320" s="1201">
        <f>+$I$320</f>
        <v>0.73</v>
      </c>
      <c r="AI320" s="1493">
        <v>0.95</v>
      </c>
      <c r="AJ320" s="334">
        <f>AK320</f>
        <v>0.73</v>
      </c>
      <c r="AK320" s="334">
        <f>AL320</f>
        <v>0.73</v>
      </c>
      <c r="AL320" s="377">
        <f>AM320</f>
        <v>0.73</v>
      </c>
      <c r="AM320" s="1201">
        <f>+$I$320</f>
        <v>0.73</v>
      </c>
      <c r="AN320" s="376">
        <f>AP320</f>
        <v>0.73</v>
      </c>
      <c r="AO320" s="1528">
        <v>0.6</v>
      </c>
      <c r="AP320" s="334">
        <f>AQ320</f>
        <v>0.73</v>
      </c>
      <c r="AQ320" s="377">
        <f>AR320</f>
        <v>0.73</v>
      </c>
      <c r="AR320" s="1201">
        <f>+$I$320</f>
        <v>0.73</v>
      </c>
      <c r="AS320" s="376">
        <f>AT320</f>
        <v>0.73</v>
      </c>
      <c r="AT320" s="334">
        <f>AU320</f>
        <v>0.73</v>
      </c>
      <c r="AU320" s="334">
        <f>AV320</f>
        <v>0.73</v>
      </c>
      <c r="AV320" s="377">
        <f>AW320</f>
        <v>0.73</v>
      </c>
      <c r="AW320" s="1201">
        <f>+$I$320</f>
        <v>0.73</v>
      </c>
      <c r="AX320" s="376">
        <f>AY320</f>
        <v>0.73</v>
      </c>
      <c r="AY320" s="334">
        <f>AZ320</f>
        <v>0.73</v>
      </c>
      <c r="AZ320" s="334">
        <f>BA320</f>
        <v>0.73</v>
      </c>
      <c r="BA320" s="377">
        <f>BB320</f>
        <v>0.73</v>
      </c>
      <c r="BB320" s="1201">
        <f>+$I$320</f>
        <v>0.73</v>
      </c>
      <c r="BC320" s="376">
        <f>BD320</f>
        <v>0.73</v>
      </c>
      <c r="BD320" s="334">
        <f>BE320</f>
        <v>0.73</v>
      </c>
      <c r="BE320" s="334">
        <f>BF320</f>
        <v>0.73</v>
      </c>
      <c r="BF320" s="377">
        <f>BG320</f>
        <v>0.73</v>
      </c>
      <c r="BG320" s="1201">
        <f>+$I$320</f>
        <v>0.73</v>
      </c>
      <c r="BH320" s="376">
        <f>BI320</f>
        <v>0.73</v>
      </c>
      <c r="BI320" s="334">
        <f>BJ320</f>
        <v>0.73</v>
      </c>
      <c r="BJ320" s="334">
        <f>BK320</f>
        <v>0.73</v>
      </c>
      <c r="BK320" s="377">
        <f>BL320</f>
        <v>0.73</v>
      </c>
      <c r="BL320" s="1201">
        <f>+$I$320</f>
        <v>0.73</v>
      </c>
      <c r="BM320" s="376">
        <f>BN320</f>
        <v>0.73</v>
      </c>
      <c r="BN320" s="334">
        <f>BO320</f>
        <v>0.73</v>
      </c>
      <c r="BO320" s="334">
        <f>BP320</f>
        <v>0.73</v>
      </c>
      <c r="BP320" s="377">
        <f>BQ320</f>
        <v>0.73</v>
      </c>
      <c r="BQ320" s="1201">
        <f>+$I$320</f>
        <v>0.73</v>
      </c>
      <c r="BR320" s="2"/>
    </row>
    <row r="321" spans="1:70" s="2" customFormat="1">
      <c r="A321" s="49"/>
      <c r="B321" s="49"/>
      <c r="C321" s="49" t="s">
        <v>269</v>
      </c>
      <c r="D321" s="49"/>
      <c r="E321" s="663"/>
      <c r="F321" s="468"/>
      <c r="G321" s="468"/>
      <c r="H321" s="664"/>
      <c r="I321" s="49"/>
      <c r="J321" s="663"/>
      <c r="K321" s="468"/>
      <c r="L321" s="468"/>
      <c r="M321" s="664"/>
      <c r="N321" s="624"/>
      <c r="O321" s="663"/>
      <c r="P321" s="468"/>
      <c r="Q321" s="468"/>
      <c r="R321" s="664"/>
      <c r="S321" s="49"/>
      <c r="T321" s="407"/>
      <c r="U321" s="349"/>
      <c r="V321" s="349"/>
      <c r="W321" s="408"/>
      <c r="X321" s="608"/>
      <c r="Y321" s="407">
        <f>(Y318*Y320*(8760/1000))/4</f>
        <v>1240.5912000000001</v>
      </c>
      <c r="Z321" s="349">
        <f>(Z318*Z320*(8760/1000))/4</f>
        <v>1240.5912000000001</v>
      </c>
      <c r="AA321" s="349">
        <f>(AA318*AA320*(8760/1000))/4</f>
        <v>1240.5912000000001</v>
      </c>
      <c r="AB321" s="408">
        <f>(AB318*AB320*(8760/1000))/4</f>
        <v>1240.5912000000001</v>
      </c>
      <c r="AC321" s="608">
        <f>SUM(Y321:AB321)</f>
        <v>4962.3648000000003</v>
      </c>
      <c r="AD321" s="407">
        <f>(AD318*AD320*(8760/1000))/4</f>
        <v>1240.5912000000001</v>
      </c>
      <c r="AE321" s="349">
        <f>(AE318*AE320*(8760/1000))/4</f>
        <v>1240.5912000000001</v>
      </c>
      <c r="AF321" s="349">
        <f>(AF318*AF320*(8760/1000))/4</f>
        <v>1240.5912000000001</v>
      </c>
      <c r="AG321" s="408">
        <f>(AG318*AG320*(8760/1000))/4</f>
        <v>1240.5912000000001</v>
      </c>
      <c r="AH321" s="608">
        <f>SUM(AD321:AG321)</f>
        <v>4962.3648000000003</v>
      </c>
      <c r="AI321" s="407">
        <f>(AI318*AI320*(8760/1000))/4</f>
        <v>1614.4679999999998</v>
      </c>
      <c r="AJ321" s="349">
        <f>(AJ318*AJ320*(8760/1000))/4</f>
        <v>1240.5912000000001</v>
      </c>
      <c r="AK321" s="349">
        <f>(AK318*AK320*(8760/1000))/4</f>
        <v>1240.5912000000001</v>
      </c>
      <c r="AL321" s="408">
        <f>(AL318*AL320*(8760/1000))/4</f>
        <v>1240.5912000000001</v>
      </c>
      <c r="AM321" s="608">
        <f>SUM(AI321:AL321)</f>
        <v>5336.2415999999994</v>
      </c>
      <c r="AN321" s="407">
        <f>(AN318*AN320*(8760/1000))/4</f>
        <v>1240.5912000000001</v>
      </c>
      <c r="AO321" s="349">
        <f>(AO318*AO320*(8760/1000))/4</f>
        <v>1019.6639999999999</v>
      </c>
      <c r="AP321" s="349">
        <f>(AP318*AP320*(8760/1000))/4</f>
        <v>1240.5912000000001</v>
      </c>
      <c r="AQ321" s="408">
        <f>(AQ318*AQ320*(8760/1000))/4</f>
        <v>1240.5912000000001</v>
      </c>
      <c r="AR321" s="608">
        <f>SUM(AN321:AQ321)</f>
        <v>4741.4376000000002</v>
      </c>
      <c r="AS321" s="407">
        <f>(AS318*AS320*(8760/1000))/4</f>
        <v>1240.5912000000001</v>
      </c>
      <c r="AT321" s="349">
        <f>(AT318*AT320*(8760/1000))/4</f>
        <v>1240.5912000000001</v>
      </c>
      <c r="AU321" s="349">
        <f>(AU318*AU320*(8760/1000))/4</f>
        <v>1240.5912000000001</v>
      </c>
      <c r="AV321" s="408">
        <f>(AV318*AV320*(8760/1000))/4</f>
        <v>1240.5912000000001</v>
      </c>
      <c r="AW321" s="608">
        <f>SUM(AS321:AV321)</f>
        <v>4962.3648000000003</v>
      </c>
      <c r="AX321" s="407">
        <f>(AX318*AX320*(8760/1000))/4</f>
        <v>1240.5912000000001</v>
      </c>
      <c r="AY321" s="349">
        <f>(AY318*AY320*(8760/1000))/4</f>
        <v>1240.5912000000001</v>
      </c>
      <c r="AZ321" s="349">
        <f>(AZ318*AZ320*(8760/1000))/4</f>
        <v>1240.5912000000001</v>
      </c>
      <c r="BA321" s="408">
        <f>(BA318*BA320*(8760/1000))/4</f>
        <v>1240.5912000000001</v>
      </c>
      <c r="BB321" s="608">
        <f>SUM(AX321:BA321)</f>
        <v>4962.3648000000003</v>
      </c>
      <c r="BC321" s="407">
        <f>(BC318*BC320*(8760/1000))/4</f>
        <v>1240.5912000000001</v>
      </c>
      <c r="BD321" s="349">
        <f>(BD318*BD320*(8760/1000))/4</f>
        <v>1240.5912000000001</v>
      </c>
      <c r="BE321" s="349">
        <f>(BE318*BE320*(8760/1000))/4</f>
        <v>1240.5912000000001</v>
      </c>
      <c r="BF321" s="408">
        <f>(BF318*BF320*(8760/1000))/4</f>
        <v>1240.5912000000001</v>
      </c>
      <c r="BG321" s="608">
        <f>SUM(BC321:BF321)</f>
        <v>4962.3648000000003</v>
      </c>
      <c r="BH321" s="407">
        <f>(BH318*BH320*(8760/1000))/4</f>
        <v>1240.5912000000001</v>
      </c>
      <c r="BI321" s="349">
        <f>(BI318*BI320*(8760/1000))/4</f>
        <v>1240.5912000000001</v>
      </c>
      <c r="BJ321" s="349">
        <f>(BJ318*BJ320*(8760/1000))/4</f>
        <v>1240.5912000000001</v>
      </c>
      <c r="BK321" s="408">
        <f>(BK318*BK320*(8760/1000))/4</f>
        <v>1240.5912000000001</v>
      </c>
      <c r="BL321" s="608">
        <f>SUM(BH321:BK321)</f>
        <v>4962.3648000000003</v>
      </c>
      <c r="BM321" s="407">
        <f>(BM318*BM320*(8760/1000))/4</f>
        <v>1240.5912000000001</v>
      </c>
      <c r="BN321" s="349">
        <f>(BN318*BN320*(8760/1000))/4</f>
        <v>1240.5912000000001</v>
      </c>
      <c r="BO321" s="349">
        <f>(BO318*BO320*(8760/1000))/4</f>
        <v>1240.5912000000001</v>
      </c>
      <c r="BP321" s="408">
        <f>(BP318*BP320*(8760/1000))/4</f>
        <v>1240.5912000000001</v>
      </c>
      <c r="BQ321" s="608">
        <f>SUM(BM321:BP321)</f>
        <v>4962.3648000000003</v>
      </c>
      <c r="BR321" s="49"/>
    </row>
    <row r="322" spans="1:70" s="2" customFormat="1">
      <c r="A322" s="1523"/>
      <c r="E322" s="365"/>
      <c r="F322" s="6"/>
      <c r="G322" s="6"/>
      <c r="H322" s="366"/>
      <c r="I322" s="37"/>
      <c r="J322" s="365"/>
      <c r="K322" s="6"/>
      <c r="L322" s="6"/>
      <c r="M322" s="366"/>
      <c r="O322" s="365"/>
      <c r="P322" s="6"/>
      <c r="Q322" s="6"/>
      <c r="R322" s="366"/>
      <c r="T322" s="365"/>
      <c r="U322" s="6"/>
      <c r="V322" s="6"/>
      <c r="W322" s="366"/>
      <c r="Y322" s="365"/>
      <c r="Z322" s="6"/>
      <c r="AA322" s="6"/>
      <c r="AB322" s="366"/>
      <c r="AD322" s="365"/>
      <c r="AE322" s="6"/>
      <c r="AF322" s="6"/>
      <c r="AG322" s="366"/>
      <c r="AI322" s="365"/>
      <c r="AJ322" s="6"/>
      <c r="AK322" s="6"/>
      <c r="AL322" s="366"/>
      <c r="AN322" s="365"/>
      <c r="AO322" s="6"/>
      <c r="AP322" s="6"/>
      <c r="AQ322" s="366"/>
      <c r="AS322" s="365"/>
      <c r="AT322" s="6"/>
      <c r="AU322" s="6"/>
      <c r="AV322" s="366"/>
      <c r="AX322" s="365"/>
      <c r="AY322" s="6"/>
      <c r="AZ322" s="6"/>
      <c r="BA322" s="366"/>
      <c r="BC322" s="365"/>
      <c r="BD322" s="6"/>
      <c r="BE322" s="6"/>
      <c r="BF322" s="366"/>
      <c r="BH322" s="365"/>
      <c r="BI322" s="6"/>
      <c r="BJ322" s="6"/>
      <c r="BK322" s="366"/>
      <c r="BM322" s="365"/>
      <c r="BN322" s="6"/>
      <c r="BO322" s="6"/>
      <c r="BP322" s="366"/>
    </row>
    <row r="323" spans="1:70" s="2" customFormat="1">
      <c r="A323" s="1523"/>
      <c r="C323" s="37" t="s">
        <v>663</v>
      </c>
      <c r="E323" s="365"/>
      <c r="F323" s="6"/>
      <c r="G323" s="6"/>
      <c r="H323" s="366"/>
      <c r="I323" s="37"/>
      <c r="J323" s="365"/>
      <c r="K323" s="6"/>
      <c r="L323" s="6"/>
      <c r="M323" s="366"/>
      <c r="O323" s="365"/>
      <c r="P323" s="6"/>
      <c r="Q323" s="6"/>
      <c r="R323" s="366"/>
      <c r="T323" s="392"/>
      <c r="U323" s="341"/>
      <c r="V323" s="341"/>
      <c r="W323" s="393"/>
      <c r="X323" s="296"/>
      <c r="Y323" s="392">
        <f>(Y315/1000*Y321)</f>
        <v>46.558327346852828</v>
      </c>
      <c r="Z323" s="341">
        <f>(Z315/1000*Z321)</f>
        <v>46.116847795691392</v>
      </c>
      <c r="AA323" s="341">
        <f>(AA315/1000*AA321)</f>
        <v>46.906745582141319</v>
      </c>
      <c r="AB323" s="393">
        <f>(AB315/1000*AB321)</f>
        <v>43.879711054906316</v>
      </c>
      <c r="AC323" s="296">
        <f>SUM(Y323:AB323)</f>
        <v>183.46163177959187</v>
      </c>
      <c r="AD323" s="392">
        <f>(AD315/1000*AD321)</f>
        <v>117.91476213452177</v>
      </c>
      <c r="AE323" s="341">
        <f>(AE315/1000*AE321)</f>
        <v>49.734580844861881</v>
      </c>
      <c r="AF323" s="341">
        <f>(AF315/1000*AF321)</f>
        <v>42.244550008599781</v>
      </c>
      <c r="AG323" s="393">
        <f>(AG315/1000*AG321)</f>
        <v>43.298577082833823</v>
      </c>
      <c r="AH323" s="296">
        <f>SUM(AD323:AG323)</f>
        <v>253.19247007081725</v>
      </c>
      <c r="AI323" s="392">
        <f>(AI315/1000*AI321)</f>
        <v>81.088342736368716</v>
      </c>
      <c r="AJ323" s="341">
        <f>(AJ315/1000*AJ321)</f>
        <v>39.370097895255917</v>
      </c>
      <c r="AK323" s="341">
        <f>(AK315/1000*AK321)</f>
        <v>38.382431686446921</v>
      </c>
      <c r="AL323" s="393">
        <f>(AL315/1000*AL321)</f>
        <v>33.195078316042228</v>
      </c>
      <c r="AM323" s="296">
        <f>SUM(AI323:AL323)</f>
        <v>192.03595063411376</v>
      </c>
      <c r="AN323" s="392">
        <f>(AN315/1000*AN321)</f>
        <v>33.363442962623942</v>
      </c>
      <c r="AO323" s="341">
        <f>(AO315/1000*AO321)</f>
        <v>27.223333838154613</v>
      </c>
      <c r="AP323" s="341">
        <f>(AP315/1000*AP321)</f>
        <v>37.866285031929522</v>
      </c>
      <c r="AQ323" s="393">
        <f>(AQ315/1000*AQ321)</f>
        <v>36.0571879391754</v>
      </c>
      <c r="AR323" s="296">
        <f>SUM(AN323:AQ323)</f>
        <v>134.51024977188348</v>
      </c>
      <c r="AS323" s="392">
        <f>(AS315/1000*AS321)</f>
        <v>36.576484758950883</v>
      </c>
      <c r="AT323" s="341">
        <f>(AT315/1000*AT321)</f>
        <v>33.738175911971055</v>
      </c>
      <c r="AU323" s="341">
        <f>(AU315/1000*AU321)</f>
        <v>35.209774399512305</v>
      </c>
      <c r="AV323" s="393">
        <f>(AV315/1000*AV321)</f>
        <v>40.746630319342366</v>
      </c>
      <c r="AW323" s="296">
        <f>SUM(AS323:AV323)</f>
        <v>146.2710653897766</v>
      </c>
      <c r="AX323" s="392">
        <f>(AX315/1000*AX321)</f>
        <v>56.903435422584636</v>
      </c>
      <c r="AY323" s="341">
        <f>(AY315/1000*AY321)</f>
        <v>36.580382270999998</v>
      </c>
      <c r="AZ323" s="341">
        <f>(AZ315/1000*AZ321)</f>
        <v>37.886104508999999</v>
      </c>
      <c r="BA323" s="393">
        <f>(BA315/1000*BA321)</f>
        <v>37.1660447</v>
      </c>
      <c r="BB323" s="296">
        <f>SUM(AX323:BA323)</f>
        <v>168.53596690258462</v>
      </c>
      <c r="BC323" s="392">
        <f>(BC315/1000*BC321)</f>
        <v>45.171177249611787</v>
      </c>
      <c r="BD323" s="341">
        <f>(BD315/1000*BD321)</f>
        <v>30.926605753644942</v>
      </c>
      <c r="BE323" s="341">
        <f>(BE315/1000*BE321)</f>
        <v>32.286089904444779</v>
      </c>
      <c r="BF323" s="393">
        <f>(BF315/1000*BF321)</f>
        <v>43.785512587740264</v>
      </c>
      <c r="BG323" s="296">
        <f>SUM(BC323:BF323)</f>
        <v>152.16938549544176</v>
      </c>
      <c r="BH323" s="392">
        <f>(BH315/1000*BH321)</f>
        <v>44.873018885441887</v>
      </c>
      <c r="BI323" s="341">
        <f>(BI315/1000*BI321)</f>
        <v>30.732799355297391</v>
      </c>
      <c r="BJ323" s="341">
        <f>(BJ315/1000*BJ321)</f>
        <v>32.089685906259</v>
      </c>
      <c r="BK323" s="393">
        <f>(BK315/1000*BK321)</f>
        <v>43.495143800844914</v>
      </c>
      <c r="BL323" s="296">
        <f>SUM(BH323:BK323)</f>
        <v>151.19064794784319</v>
      </c>
      <c r="BM323" s="392">
        <f>(BM315/1000*BM321)</f>
        <v>38.153315123615613</v>
      </c>
      <c r="BN323" s="341">
        <f>(BN315/1000*BN321)</f>
        <v>38.153315123615613</v>
      </c>
      <c r="BO323" s="341">
        <f>(BO315/1000*BO321)</f>
        <v>38.153315123615613</v>
      </c>
      <c r="BP323" s="393">
        <f>(BP315/1000*BP321)</f>
        <v>38.153315123615613</v>
      </c>
      <c r="BQ323" s="296">
        <f>SUM(BM323:BP323)</f>
        <v>152.61326049446245</v>
      </c>
    </row>
    <row r="324" spans="1:70" s="49" customFormat="1">
      <c r="A324" s="1523"/>
      <c r="B324" s="2"/>
      <c r="C324" s="37" t="s">
        <v>346</v>
      </c>
      <c r="D324" s="2"/>
      <c r="E324" s="365"/>
      <c r="F324" s="6"/>
      <c r="G324" s="6"/>
      <c r="H324" s="366"/>
      <c r="I324" s="37"/>
      <c r="J324" s="365"/>
      <c r="K324" s="6"/>
      <c r="L324" s="6"/>
      <c r="M324" s="366"/>
      <c r="N324" s="2"/>
      <c r="O324" s="365"/>
      <c r="P324" s="6"/>
      <c r="Q324" s="6"/>
      <c r="R324" s="366"/>
      <c r="S324" s="2"/>
      <c r="T324" s="392"/>
      <c r="U324" s="341"/>
      <c r="V324" s="341"/>
      <c r="W324" s="393"/>
      <c r="X324" s="296"/>
      <c r="Y324" s="392">
        <f t="shared" ref="Y324:AQ324" si="304">Y316/1000*Y321</f>
        <v>39.92954112307693</v>
      </c>
      <c r="Z324" s="341">
        <f t="shared" si="304"/>
        <v>41.333158730769235</v>
      </c>
      <c r="AA324" s="341">
        <f t="shared" si="304"/>
        <v>43.023066615384622</v>
      </c>
      <c r="AB324" s="393">
        <f t="shared" si="304"/>
        <v>43.221879307692312</v>
      </c>
      <c r="AC324" s="296">
        <f>SUM(Y324:AB324)</f>
        <v>167.50764577692308</v>
      </c>
      <c r="AD324" s="392">
        <f>AD316/1000*AD321</f>
        <v>43.138377976923074</v>
      </c>
      <c r="AE324" s="341">
        <f>AE316/1000*AE321</f>
        <v>42.449293185384619</v>
      </c>
      <c r="AF324" s="341">
        <f t="shared" si="304"/>
        <v>40.633338053846153</v>
      </c>
      <c r="AG324" s="393">
        <f t="shared" si="304"/>
        <v>35.305973032038466</v>
      </c>
      <c r="AH324" s="296">
        <f>SUM(AD324:AG324)</f>
        <v>161.52698224819233</v>
      </c>
      <c r="AI324" s="392">
        <f t="shared" si="304"/>
        <v>44.288996901538439</v>
      </c>
      <c r="AJ324" s="341">
        <f t="shared" si="304"/>
        <v>33.710759632769239</v>
      </c>
      <c r="AK324" s="341">
        <f t="shared" si="304"/>
        <v>32.69236149769231</v>
      </c>
      <c r="AL324" s="393">
        <f t="shared" si="304"/>
        <v>30.492002025576927</v>
      </c>
      <c r="AM324" s="296">
        <f>SUM(AI324:AL324)</f>
        <v>141.18412005757693</v>
      </c>
      <c r="AN324" s="392">
        <f t="shared" si="304"/>
        <v>28.565507037115385</v>
      </c>
      <c r="AO324" s="341">
        <f t="shared" si="304"/>
        <v>22.998815653846151</v>
      </c>
      <c r="AP324" s="341">
        <f t="shared" si="304"/>
        <v>27.852380110714289</v>
      </c>
      <c r="AQ324" s="393">
        <f t="shared" si="304"/>
        <v>29.800730294423076</v>
      </c>
      <c r="AR324" s="296">
        <f>SUM(AN324:AQ324)</f>
        <v>109.2174330960989</v>
      </c>
      <c r="AS324" s="392">
        <f>AS316/1000*AS321</f>
        <v>32.335393308653856</v>
      </c>
      <c r="AT324" s="341">
        <f>AT316/1000*AT321</f>
        <v>33.515843669230769</v>
      </c>
      <c r="AU324" s="341">
        <f>AU316/1000*AU321</f>
        <v>33.77459838826924</v>
      </c>
      <c r="AV324" s="393">
        <f>AV316/1000*AV321</f>
        <v>36.364034299230774</v>
      </c>
      <c r="AW324" s="296">
        <f>SUM(AS324:AV324)</f>
        <v>135.98986966538465</v>
      </c>
      <c r="AX324" s="392">
        <f>AX316/1000*AX321</f>
        <v>37.635143247500004</v>
      </c>
      <c r="AY324" s="341">
        <f>AY316/1000*AY321</f>
        <v>31.815995150000003</v>
      </c>
      <c r="AZ324" s="341">
        <f>AZ316/1000*AZ321</f>
        <v>31.815995150000003</v>
      </c>
      <c r="BA324" s="393">
        <f>BA316/1000*BA321</f>
        <v>31.815995150000003</v>
      </c>
      <c r="BB324" s="296">
        <f>SUM(AX324:BA324)</f>
        <v>133.0831286975</v>
      </c>
      <c r="BC324" s="392">
        <f t="shared" ref="BC324:BK324" si="305">BC316/1000*BC321</f>
        <v>31.400692780889976</v>
      </c>
      <c r="BD324" s="341">
        <f t="shared" si="305"/>
        <v>31.400692780889976</v>
      </c>
      <c r="BE324" s="341">
        <f t="shared" si="305"/>
        <v>31.400692780889976</v>
      </c>
      <c r="BF324" s="393">
        <f t="shared" si="305"/>
        <v>35.026171657330082</v>
      </c>
      <c r="BG324" s="296">
        <f>SUM(BC324:BF324)</f>
        <v>129.22825</v>
      </c>
      <c r="BH324" s="392">
        <f t="shared" si="305"/>
        <v>31.400692780889976</v>
      </c>
      <c r="BI324" s="341">
        <f t="shared" si="305"/>
        <v>31.400692780889976</v>
      </c>
      <c r="BJ324" s="341">
        <f t="shared" si="305"/>
        <v>31.400692780889976</v>
      </c>
      <c r="BK324" s="393">
        <f t="shared" si="305"/>
        <v>35.026171657330082</v>
      </c>
      <c r="BL324" s="296">
        <f>SUM(BH324:BK324)</f>
        <v>129.22825</v>
      </c>
      <c r="BM324" s="392">
        <f>BM316/1000*BM321</f>
        <v>31.400692780889976</v>
      </c>
      <c r="BN324" s="341">
        <f>BN316/1000*BN321</f>
        <v>31.400692780889976</v>
      </c>
      <c r="BO324" s="341">
        <f>BO316/1000*BO321</f>
        <v>31.400692780889976</v>
      </c>
      <c r="BP324" s="393">
        <f>BP316/1000*BP321</f>
        <v>35.026171657330082</v>
      </c>
      <c r="BQ324" s="296">
        <f>SUM(BM324:BP324)</f>
        <v>129.22825</v>
      </c>
      <c r="BR324" s="2"/>
    </row>
    <row r="325" spans="1:70" s="2" customFormat="1">
      <c r="A325" s="49"/>
      <c r="B325" s="49"/>
      <c r="C325" s="49" t="s">
        <v>270</v>
      </c>
      <c r="D325" s="49"/>
      <c r="E325" s="663"/>
      <c r="F325" s="468"/>
      <c r="G325" s="468"/>
      <c r="H325" s="664"/>
      <c r="I325" s="37"/>
      <c r="J325" s="663"/>
      <c r="K325" s="468"/>
      <c r="L325" s="468"/>
      <c r="M325" s="664"/>
      <c r="N325" s="49"/>
      <c r="O325" s="663"/>
      <c r="P325" s="468"/>
      <c r="Q325" s="468"/>
      <c r="R325" s="664"/>
      <c r="S325" s="49"/>
      <c r="T325" s="396"/>
      <c r="U325" s="343"/>
      <c r="V325" s="343"/>
      <c r="W325" s="397"/>
      <c r="X325" s="297"/>
      <c r="Y325" s="396">
        <f t="shared" ref="Y325:AR325" si="306">Y323-Y324</f>
        <v>6.6287862237758972</v>
      </c>
      <c r="Z325" s="343">
        <f t="shared" si="306"/>
        <v>4.7836890649221573</v>
      </c>
      <c r="AA325" s="343">
        <f t="shared" si="306"/>
        <v>3.8836789667566975</v>
      </c>
      <c r="AB325" s="397">
        <f t="shared" si="306"/>
        <v>0.65783174721400428</v>
      </c>
      <c r="AC325" s="297">
        <f t="shared" si="306"/>
        <v>15.953986002668785</v>
      </c>
      <c r="AD325" s="396">
        <f>AD323-AD324</f>
        <v>74.776384157598699</v>
      </c>
      <c r="AE325" s="343">
        <f>AE323-AE324</f>
        <v>7.2852876594772624</v>
      </c>
      <c r="AF325" s="343">
        <f t="shared" si="306"/>
        <v>1.6112119547536281</v>
      </c>
      <c r="AG325" s="397">
        <f t="shared" si="306"/>
        <v>7.9926040507953573</v>
      </c>
      <c r="AH325" s="297">
        <f t="shared" si="306"/>
        <v>91.665487822624925</v>
      </c>
      <c r="AI325" s="396">
        <f t="shared" si="306"/>
        <v>36.799345834830277</v>
      </c>
      <c r="AJ325" s="343">
        <f t="shared" si="306"/>
        <v>5.6593382624866777</v>
      </c>
      <c r="AK325" s="343">
        <f t="shared" si="306"/>
        <v>5.6900701887546106</v>
      </c>
      <c r="AL325" s="397">
        <f t="shared" si="306"/>
        <v>2.703076290465301</v>
      </c>
      <c r="AM325" s="297">
        <f t="shared" si="306"/>
        <v>50.851830576536827</v>
      </c>
      <c r="AN325" s="396">
        <f t="shared" si="306"/>
        <v>4.7979359255085576</v>
      </c>
      <c r="AO325" s="343">
        <f t="shared" si="306"/>
        <v>4.2245181843084616</v>
      </c>
      <c r="AP325" s="343">
        <f t="shared" si="306"/>
        <v>10.013904921215232</v>
      </c>
      <c r="AQ325" s="397">
        <f t="shared" si="306"/>
        <v>6.2564576447523237</v>
      </c>
      <c r="AR325" s="297">
        <f t="shared" si="306"/>
        <v>25.292816675784579</v>
      </c>
      <c r="AS325" s="396">
        <f t="shared" ref="AS325:BB325" si="307">AS323-AS324</f>
        <v>4.2410914502970272</v>
      </c>
      <c r="AT325" s="343">
        <f t="shared" si="307"/>
        <v>0.22233224274028629</v>
      </c>
      <c r="AU325" s="343">
        <f t="shared" si="307"/>
        <v>1.4351760112430654</v>
      </c>
      <c r="AV325" s="397">
        <f t="shared" si="307"/>
        <v>4.3825960201115919</v>
      </c>
      <c r="AW325" s="297">
        <f t="shared" si="307"/>
        <v>10.281195724391949</v>
      </c>
      <c r="AX325" s="396">
        <f>AX323-AX324</f>
        <v>19.268292175084632</v>
      </c>
      <c r="AY325" s="343">
        <f>AY323-AY324</f>
        <v>4.7643871209999951</v>
      </c>
      <c r="AZ325" s="343">
        <f>AZ323-AZ324</f>
        <v>6.0701093589999964</v>
      </c>
      <c r="BA325" s="397">
        <f>BA323-BA324</f>
        <v>5.3500495499999978</v>
      </c>
      <c r="BB325" s="297">
        <f t="shared" si="307"/>
        <v>35.452838205084618</v>
      </c>
      <c r="BC325" s="396">
        <f t="shared" ref="BC325:BL325" si="308">BC323-BC324</f>
        <v>13.770484468721811</v>
      </c>
      <c r="BD325" s="343">
        <f t="shared" si="308"/>
        <v>-0.47408702724503371</v>
      </c>
      <c r="BE325" s="343">
        <f t="shared" si="308"/>
        <v>0.88539712355480304</v>
      </c>
      <c r="BF325" s="397">
        <f t="shared" si="308"/>
        <v>8.7593409304101826</v>
      </c>
      <c r="BG325" s="297">
        <f t="shared" si="308"/>
        <v>22.941135495441756</v>
      </c>
      <c r="BH325" s="396">
        <f t="shared" si="308"/>
        <v>13.472326104551911</v>
      </c>
      <c r="BI325" s="343">
        <f t="shared" si="308"/>
        <v>-0.66789342559258458</v>
      </c>
      <c r="BJ325" s="343">
        <f t="shared" si="308"/>
        <v>0.68899312536902357</v>
      </c>
      <c r="BK325" s="397">
        <f t="shared" si="308"/>
        <v>8.4689721435148329</v>
      </c>
      <c r="BL325" s="297">
        <f t="shared" si="308"/>
        <v>21.962397947843186</v>
      </c>
      <c r="BM325" s="396">
        <f>BM323-BM324</f>
        <v>6.7526223427256369</v>
      </c>
      <c r="BN325" s="343">
        <f>BN323-BN324</f>
        <v>6.7526223427256369</v>
      </c>
      <c r="BO325" s="343">
        <f>BO323-BO324</f>
        <v>6.7526223427256369</v>
      </c>
      <c r="BP325" s="397">
        <f>BP323-BP324</f>
        <v>3.1271434662855313</v>
      </c>
      <c r="BQ325" s="297">
        <f>BQ323-BQ324</f>
        <v>23.385010494462449</v>
      </c>
      <c r="BR325" s="49"/>
    </row>
    <row r="326" spans="1:70" s="2" customFormat="1">
      <c r="A326" s="1523"/>
      <c r="C326" s="49"/>
      <c r="E326" s="365"/>
      <c r="F326" s="6"/>
      <c r="G326" s="6"/>
      <c r="H326" s="366"/>
      <c r="I326" s="37"/>
      <c r="J326" s="365"/>
      <c r="K326" s="6"/>
      <c r="L326" s="6"/>
      <c r="M326" s="366"/>
      <c r="O326" s="365"/>
      <c r="P326" s="6"/>
      <c r="Q326" s="6"/>
      <c r="R326" s="366"/>
      <c r="T326" s="365"/>
      <c r="U326" s="6"/>
      <c r="V326" s="6"/>
      <c r="W326" s="366"/>
      <c r="Y326" s="365"/>
      <c r="Z326" s="6"/>
      <c r="AA326" s="6"/>
      <c r="AB326" s="366"/>
      <c r="AD326" s="365"/>
      <c r="AE326" s="6"/>
      <c r="AF326" s="6"/>
      <c r="AG326" s="366"/>
      <c r="AI326" s="365"/>
      <c r="AJ326" s="6"/>
      <c r="AK326" s="6"/>
      <c r="AL326" s="366"/>
      <c r="AN326" s="365"/>
      <c r="AO326" s="6"/>
      <c r="AP326" s="6"/>
      <c r="AQ326" s="366"/>
      <c r="AS326" s="365"/>
      <c r="AT326" s="6"/>
      <c r="AU326" s="6"/>
      <c r="AV326" s="366"/>
      <c r="AX326" s="365"/>
      <c r="AY326" s="6"/>
      <c r="AZ326" s="6"/>
      <c r="BA326" s="366"/>
      <c r="BC326" s="365"/>
      <c r="BD326" s="6"/>
      <c r="BE326" s="6"/>
      <c r="BF326" s="366"/>
      <c r="BH326" s="365"/>
      <c r="BI326" s="6"/>
      <c r="BJ326" s="6"/>
      <c r="BK326" s="366"/>
      <c r="BM326" s="365"/>
      <c r="BN326" s="6"/>
      <c r="BO326" s="6"/>
      <c r="BP326" s="366"/>
    </row>
    <row r="327" spans="1:70" s="2" customFormat="1">
      <c r="A327" s="1523"/>
      <c r="C327" s="592" t="s">
        <v>719</v>
      </c>
      <c r="E327" s="365"/>
      <c r="F327" s="6"/>
      <c r="G327" s="6"/>
      <c r="H327" s="366"/>
      <c r="I327" s="603"/>
      <c r="J327" s="365"/>
      <c r="K327" s="6"/>
      <c r="L327" s="6"/>
      <c r="M327" s="366"/>
      <c r="O327" s="365"/>
      <c r="P327" s="6"/>
      <c r="Q327" s="6"/>
      <c r="R327" s="366"/>
      <c r="T327" s="365"/>
      <c r="U327" s="6"/>
      <c r="V327" s="6"/>
      <c r="W327" s="366"/>
      <c r="Y327" s="365"/>
      <c r="Z327" s="6"/>
      <c r="AA327" s="6"/>
      <c r="AB327" s="366"/>
      <c r="AD327" s="365"/>
      <c r="AE327" s="6"/>
      <c r="AF327" s="6"/>
      <c r="AG327" s="366"/>
      <c r="AI327" s="365"/>
      <c r="AJ327" s="6"/>
      <c r="AK327" s="6"/>
      <c r="AL327" s="366"/>
      <c r="AN327" s="365"/>
      <c r="AO327" s="6"/>
      <c r="AP327" s="6"/>
      <c r="AQ327" s="366"/>
      <c r="AS327" s="365"/>
      <c r="AT327" s="6"/>
      <c r="AU327" s="6"/>
      <c r="AV327" s="366"/>
      <c r="AX327" s="365"/>
      <c r="AY327" s="6"/>
      <c r="AZ327" s="6"/>
      <c r="BA327" s="366"/>
      <c r="BC327" s="365"/>
      <c r="BD327" s="6"/>
      <c r="BE327" s="6"/>
      <c r="BF327" s="366"/>
      <c r="BH327" s="365"/>
      <c r="BI327" s="6"/>
      <c r="BJ327" s="6"/>
      <c r="BK327" s="366"/>
      <c r="BM327" s="365"/>
      <c r="BN327" s="6"/>
      <c r="BO327" s="6"/>
      <c r="BP327" s="366"/>
    </row>
    <row r="328" spans="1:70" s="2" customFormat="1">
      <c r="A328" s="1523"/>
      <c r="C328" s="37" t="s">
        <v>271</v>
      </c>
      <c r="E328" s="365"/>
      <c r="F328" s="6"/>
      <c r="G328" s="6"/>
      <c r="H328" s="366"/>
      <c r="I328" s="37"/>
      <c r="J328" s="365"/>
      <c r="K328" s="6"/>
      <c r="L328" s="6"/>
      <c r="M328" s="366"/>
      <c r="O328" s="365"/>
      <c r="P328" s="6"/>
      <c r="Q328" s="6"/>
      <c r="R328" s="366"/>
      <c r="T328" s="598"/>
      <c r="U328" s="599"/>
      <c r="V328" s="599"/>
      <c r="W328" s="600"/>
      <c r="X328" s="601"/>
      <c r="Y328" s="598">
        <f t="shared" ref="Y328:BH328" si="309">Y59</f>
        <v>89.765515873015843</v>
      </c>
      <c r="Z328" s="599">
        <f t="shared" si="309"/>
        <v>45.06300781249999</v>
      </c>
      <c r="AA328" s="599">
        <f t="shared" si="309"/>
        <v>54.984013671875005</v>
      </c>
      <c r="AB328" s="600">
        <f t="shared" si="309"/>
        <v>67.341074218749995</v>
      </c>
      <c r="AC328" s="601">
        <f t="shared" si="309"/>
        <v>64.288402894035215</v>
      </c>
      <c r="AD328" s="598">
        <f t="shared" si="309"/>
        <v>167.3350595238096</v>
      </c>
      <c r="AE328" s="599">
        <f t="shared" si="309"/>
        <v>44.335244140625001</v>
      </c>
      <c r="AF328" s="599">
        <f t="shared" si="309"/>
        <v>41.33302734374999</v>
      </c>
      <c r="AG328" s="600">
        <f t="shared" si="309"/>
        <v>48.027636718750003</v>
      </c>
      <c r="AH328" s="601">
        <f t="shared" si="309"/>
        <v>75.257741931733648</v>
      </c>
      <c r="AI328" s="598">
        <f t="shared" si="309"/>
        <v>87.659980158730164</v>
      </c>
      <c r="AJ328" s="599">
        <f t="shared" si="309"/>
        <v>28.370332031249998</v>
      </c>
      <c r="AK328" s="599">
        <f t="shared" si="309"/>
        <v>42.395605769230762</v>
      </c>
      <c r="AL328" s="600">
        <f t="shared" si="309"/>
        <v>33.06513671874999</v>
      </c>
      <c r="AM328" s="601">
        <f t="shared" si="309"/>
        <v>47.872763669490226</v>
      </c>
      <c r="AN328" s="598">
        <f t="shared" si="309"/>
        <v>30.31946289062499</v>
      </c>
      <c r="AO328" s="599">
        <f t="shared" si="309"/>
        <v>28.207148437500003</v>
      </c>
      <c r="AP328" s="599">
        <f t="shared" si="309"/>
        <v>42.730703124999998</v>
      </c>
      <c r="AQ328" s="600">
        <f t="shared" si="309"/>
        <v>38.680972222222231</v>
      </c>
      <c r="AR328" s="601">
        <f t="shared" si="309"/>
        <v>34.984571668836807</v>
      </c>
      <c r="AS328" s="598">
        <f t="shared" si="309"/>
        <v>33.978535156249976</v>
      </c>
      <c r="AT328" s="599">
        <f t="shared" si="309"/>
        <v>33.298916015625025</v>
      </c>
      <c r="AU328" s="599">
        <f t="shared" si="309"/>
        <v>31.712827380952373</v>
      </c>
      <c r="AV328" s="600">
        <f t="shared" si="309"/>
        <v>52.552301587301585</v>
      </c>
      <c r="AW328" s="601">
        <f t="shared" si="309"/>
        <v>37.88564503503224</v>
      </c>
      <c r="AX328" s="598">
        <f t="shared" si="309"/>
        <v>62.437333984375016</v>
      </c>
      <c r="AY328" s="599">
        <f t="shared" si="309"/>
        <v>32.65</v>
      </c>
      <c r="AZ328" s="599">
        <f>AZ59</f>
        <v>35.383333333333326</v>
      </c>
      <c r="BA328" s="600">
        <f t="shared" si="309"/>
        <v>42.35</v>
      </c>
      <c r="BB328" s="601">
        <f t="shared" si="309"/>
        <v>43.205166829427085</v>
      </c>
      <c r="BC328" s="598">
        <f t="shared" si="309"/>
        <v>73.199444871908241</v>
      </c>
      <c r="BD328" s="599">
        <f t="shared" si="309"/>
        <v>31.598138616301913</v>
      </c>
      <c r="BE328" s="599">
        <f t="shared" si="309"/>
        <v>36.852856695587477</v>
      </c>
      <c r="BF328" s="600">
        <f t="shared" si="309"/>
        <v>38.566226482602353</v>
      </c>
      <c r="BG328" s="601">
        <f t="shared" si="309"/>
        <v>45.054166666599997</v>
      </c>
      <c r="BH328" s="598">
        <f t="shared" si="309"/>
        <v>73.199444871908241</v>
      </c>
      <c r="BI328" s="599">
        <f t="shared" ref="BI328:BQ328" si="310">BI59</f>
        <v>31.598138616301917</v>
      </c>
      <c r="BJ328" s="599">
        <f t="shared" si="310"/>
        <v>36.852856695587484</v>
      </c>
      <c r="BK328" s="600">
        <f t="shared" si="310"/>
        <v>38.566226482602353</v>
      </c>
      <c r="BL328" s="601">
        <f t="shared" si="310"/>
        <v>45.054166666600004</v>
      </c>
      <c r="BM328" s="598">
        <f t="shared" si="310"/>
        <v>69.866716832296532</v>
      </c>
      <c r="BN328" s="599">
        <f t="shared" si="310"/>
        <v>34.017180604094122</v>
      </c>
      <c r="BO328" s="599">
        <f t="shared" si="310"/>
        <v>39.124429437830933</v>
      </c>
      <c r="BP328" s="600">
        <f t="shared" si="310"/>
        <v>35.892640580422331</v>
      </c>
      <c r="BQ328" s="601">
        <f t="shared" si="310"/>
        <v>44.725241863660976</v>
      </c>
    </row>
    <row r="329" spans="1:70" s="2" customFormat="1">
      <c r="A329" s="1523"/>
      <c r="C329" s="37" t="s">
        <v>266</v>
      </c>
      <c r="E329" s="365"/>
      <c r="F329" s="6"/>
      <c r="G329" s="6"/>
      <c r="H329" s="366"/>
      <c r="I329" s="725">
        <v>12000</v>
      </c>
      <c r="J329" s="365"/>
      <c r="K329" s="6"/>
      <c r="L329" s="6"/>
      <c r="M329" s="366"/>
      <c r="O329" s="365"/>
      <c r="P329" s="6"/>
      <c r="Q329" s="6"/>
      <c r="R329" s="366"/>
      <c r="T329" s="598"/>
      <c r="U329" s="599"/>
      <c r="V329" s="599"/>
      <c r="W329" s="600"/>
      <c r="X329" s="601"/>
      <c r="Y329" s="598">
        <f>$I$329/1000*(Y46+Y53)</f>
        <v>93.872600000000006</v>
      </c>
      <c r="Z329" s="599">
        <f>$I$329/1000*(Z46+Z53)</f>
        <v>51.985124999999996</v>
      </c>
      <c r="AA329" s="599">
        <f>$I$329/1000*(AA46+AA53)</f>
        <v>45.20474999999999</v>
      </c>
      <c r="AB329" s="600">
        <f>$I$329/1000*(AB46+AB53)</f>
        <v>51.802124999999982</v>
      </c>
      <c r="AC329" s="601">
        <f>AVERAGE(Y329:AB329)</f>
        <v>60.716149999999999</v>
      </c>
      <c r="AD329" s="598">
        <f>$I$329/1000*(AD46+AD53)</f>
        <v>204.50655737704918</v>
      </c>
      <c r="AE329" s="599">
        <f>$I$329/1000*(AE46+AE53)</f>
        <v>44.756249999999994</v>
      </c>
      <c r="AF329" s="599">
        <f>$I$329/1000*(AF46+AF53)</f>
        <v>31.150124999999989</v>
      </c>
      <c r="AG329" s="600">
        <f>$I$329/1000*(AG46+AG53)</f>
        <v>38.354812500000016</v>
      </c>
      <c r="AH329" s="601">
        <f>AVERAGE(AD329:AG329)</f>
        <v>79.691936219262303</v>
      </c>
      <c r="AI329" s="598">
        <f>$I$329/1000*(AI46+AI53)+AI112</f>
        <v>109.94612903225809</v>
      </c>
      <c r="AJ329" s="599">
        <f t="shared" ref="AJ329:BB329" si="311">$I$329/1000*(AJ46+AJ53)+AJ112</f>
        <v>32.844571428571435</v>
      </c>
      <c r="AK329" s="599">
        <f t="shared" si="311"/>
        <v>30.255187500000005</v>
      </c>
      <c r="AL329" s="600">
        <f t="shared" si="311"/>
        <v>25.91504761904762</v>
      </c>
      <c r="AM329" s="601">
        <f t="shared" si="311"/>
        <v>49.740233894969286</v>
      </c>
      <c r="AN329" s="598">
        <f t="shared" si="311"/>
        <v>32.806819672131148</v>
      </c>
      <c r="AO329" s="599">
        <f t="shared" si="311"/>
        <v>23.364562500000002</v>
      </c>
      <c r="AP329" s="599">
        <f t="shared" si="311"/>
        <v>26.006062500000002</v>
      </c>
      <c r="AQ329" s="600">
        <f t="shared" si="311"/>
        <v>35.156903225806452</v>
      </c>
      <c r="AR329" s="601">
        <f t="shared" si="311"/>
        <v>29.333586974484398</v>
      </c>
      <c r="AS329" s="598">
        <f t="shared" si="311"/>
        <v>42.724645161290333</v>
      </c>
      <c r="AT329" s="599">
        <f t="shared" si="311"/>
        <v>35.252625000000009</v>
      </c>
      <c r="AU329" s="599">
        <f t="shared" si="311"/>
        <v>31.932380952380964</v>
      </c>
      <c r="AV329" s="600">
        <f t="shared" si="311"/>
        <v>45.252387096774207</v>
      </c>
      <c r="AW329" s="601">
        <f t="shared" si="311"/>
        <v>38.790509552611383</v>
      </c>
      <c r="AX329" s="598">
        <f t="shared" si="311"/>
        <v>96.717049180327876</v>
      </c>
      <c r="AY329" s="599">
        <f t="shared" si="311"/>
        <v>32.856000000000002</v>
      </c>
      <c r="AZ329" s="599">
        <f>$I$329/1000*(AZ46+AZ53)+AZ112</f>
        <v>33.06</v>
      </c>
      <c r="BA329" s="600">
        <f t="shared" si="311"/>
        <v>40.9</v>
      </c>
      <c r="BB329" s="601">
        <f t="shared" si="311"/>
        <v>50.88326229508197</v>
      </c>
      <c r="BC329" s="598">
        <f t="shared" ref="BC329:BH329" si="312">$I$329/1000*(BC47+BC53)+BC$111</f>
        <v>56.485148382528124</v>
      </c>
      <c r="BD329" s="599">
        <f t="shared" si="312"/>
        <v>24.168889446725426</v>
      </c>
      <c r="BE329" s="599">
        <f t="shared" si="312"/>
        <v>23.029637021481143</v>
      </c>
      <c r="BF329" s="600">
        <f t="shared" si="312"/>
        <v>56.694725144465302</v>
      </c>
      <c r="BG329" s="601">
        <f t="shared" si="312"/>
        <v>40.0945999988</v>
      </c>
      <c r="BH329" s="598">
        <f t="shared" si="312"/>
        <v>57.382564457748131</v>
      </c>
      <c r="BI329" s="599">
        <f t="shared" ref="BI329:BQ329" si="313">$I$329/1000*(BI47+BI53)+BI$111</f>
        <v>24.534029642721414</v>
      </c>
      <c r="BJ329" s="599">
        <f t="shared" si="313"/>
        <v>23.376012774862978</v>
      </c>
      <c r="BK329" s="600">
        <f t="shared" si="313"/>
        <v>57.595593124667474</v>
      </c>
      <c r="BL329" s="601">
        <f t="shared" si="313"/>
        <v>40.722049999999996</v>
      </c>
      <c r="BM329" s="598">
        <f t="shared" si="313"/>
        <v>56.15932514045469</v>
      </c>
      <c r="BN329" s="599">
        <f t="shared" si="313"/>
        <v>26.684128932141746</v>
      </c>
      <c r="BO329" s="599">
        <f t="shared" si="313"/>
        <v>25.070779989584526</v>
      </c>
      <c r="BP329" s="600">
        <f t="shared" si="313"/>
        <v>55.005565936219071</v>
      </c>
      <c r="BQ329" s="601">
        <f t="shared" si="313"/>
        <v>40.729949999600009</v>
      </c>
    </row>
    <row r="330" spans="1:70" s="297" customFormat="1">
      <c r="A330" s="1523"/>
      <c r="B330" s="2"/>
      <c r="C330" s="2"/>
      <c r="D330" s="2"/>
      <c r="E330" s="365"/>
      <c r="F330" s="6"/>
      <c r="G330" s="6"/>
      <c r="H330" s="366"/>
      <c r="I330" s="37"/>
      <c r="J330" s="365"/>
      <c r="K330" s="6"/>
      <c r="L330" s="6"/>
      <c r="M330" s="366"/>
      <c r="N330" s="2"/>
      <c r="O330" s="365"/>
      <c r="P330" s="6"/>
      <c r="Q330" s="6"/>
      <c r="R330" s="366"/>
      <c r="S330" s="2"/>
      <c r="T330" s="365"/>
      <c r="U330" s="6"/>
      <c r="V330" s="6"/>
      <c r="W330" s="366"/>
      <c r="X330" s="2"/>
      <c r="Y330" s="365"/>
      <c r="Z330" s="6"/>
      <c r="AA330" s="6"/>
      <c r="AB330" s="366"/>
      <c r="AC330" s="2"/>
      <c r="AD330" s="365"/>
      <c r="AE330" s="6"/>
      <c r="AF330" s="6"/>
      <c r="AG330" s="366"/>
      <c r="AH330" s="2"/>
      <c r="AI330" s="365"/>
      <c r="AJ330" s="6"/>
      <c r="AK330" s="6"/>
      <c r="AL330" s="366"/>
      <c r="AM330" s="2"/>
      <c r="AN330" s="365"/>
      <c r="AO330" s="6"/>
      <c r="AP330" s="6"/>
      <c r="AQ330" s="366"/>
      <c r="AR330" s="2"/>
      <c r="AS330" s="365"/>
      <c r="AT330" s="6"/>
      <c r="AU330" s="6"/>
      <c r="AV330" s="366"/>
      <c r="AW330" s="2"/>
      <c r="AX330" s="365"/>
      <c r="AY330" s="6"/>
      <c r="AZ330" s="6"/>
      <c r="BA330" s="366"/>
      <c r="BB330" s="2"/>
      <c r="BC330" s="365"/>
      <c r="BD330" s="6"/>
      <c r="BE330" s="6"/>
      <c r="BF330" s="366"/>
      <c r="BG330" s="2"/>
      <c r="BH330" s="365"/>
      <c r="BI330" s="6"/>
      <c r="BJ330" s="6"/>
      <c r="BK330" s="366"/>
      <c r="BL330" s="2"/>
      <c r="BM330" s="365"/>
      <c r="BN330" s="6"/>
      <c r="BO330" s="6"/>
      <c r="BP330" s="366"/>
      <c r="BQ330" s="2"/>
      <c r="BR330" s="2"/>
    </row>
    <row r="331" spans="1:70" s="2" customFormat="1">
      <c r="A331" s="49"/>
      <c r="B331" s="49"/>
      <c r="C331" s="49" t="s">
        <v>267</v>
      </c>
      <c r="D331" s="297"/>
      <c r="E331" s="396"/>
      <c r="F331" s="343"/>
      <c r="G331" s="343"/>
      <c r="H331" s="397"/>
      <c r="I331" s="725">
        <v>130</v>
      </c>
      <c r="J331" s="396"/>
      <c r="K331" s="343"/>
      <c r="L331" s="343"/>
      <c r="M331" s="397"/>
      <c r="N331" s="297"/>
      <c r="O331" s="396"/>
      <c r="P331" s="343"/>
      <c r="Q331" s="343"/>
      <c r="R331" s="397"/>
      <c r="S331" s="297"/>
      <c r="T331" s="396"/>
      <c r="U331" s="343"/>
      <c r="V331" s="343"/>
      <c r="W331" s="397"/>
      <c r="X331" s="297"/>
      <c r="Y331" s="396">
        <f>+I331</f>
        <v>130</v>
      </c>
      <c r="Z331" s="343">
        <f>Y331</f>
        <v>130</v>
      </c>
      <c r="AA331" s="343">
        <f t="shared" ref="AA331:AR331" si="314">Z331</f>
        <v>130</v>
      </c>
      <c r="AB331" s="397">
        <f t="shared" si="314"/>
        <v>130</v>
      </c>
      <c r="AC331" s="297">
        <f t="shared" si="314"/>
        <v>130</v>
      </c>
      <c r="AD331" s="396">
        <f>+I331</f>
        <v>130</v>
      </c>
      <c r="AE331" s="343">
        <f>AD331</f>
        <v>130</v>
      </c>
      <c r="AF331" s="343">
        <f t="shared" si="314"/>
        <v>130</v>
      </c>
      <c r="AG331" s="397">
        <f t="shared" si="314"/>
        <v>130</v>
      </c>
      <c r="AH331" s="297">
        <f t="shared" si="314"/>
        <v>130</v>
      </c>
      <c r="AI331" s="396">
        <f t="shared" si="314"/>
        <v>130</v>
      </c>
      <c r="AJ331" s="343">
        <f t="shared" si="314"/>
        <v>130</v>
      </c>
      <c r="AK331" s="343">
        <f t="shared" si="314"/>
        <v>130</v>
      </c>
      <c r="AL331" s="397">
        <f t="shared" si="314"/>
        <v>130</v>
      </c>
      <c r="AM331" s="297">
        <f t="shared" si="314"/>
        <v>130</v>
      </c>
      <c r="AN331" s="396">
        <f t="shared" si="314"/>
        <v>130</v>
      </c>
      <c r="AO331" s="343">
        <f t="shared" si="314"/>
        <v>130</v>
      </c>
      <c r="AP331" s="343">
        <f t="shared" si="314"/>
        <v>130</v>
      </c>
      <c r="AQ331" s="397">
        <f t="shared" si="314"/>
        <v>130</v>
      </c>
      <c r="AR331" s="297">
        <f t="shared" si="314"/>
        <v>130</v>
      </c>
      <c r="AS331" s="396">
        <f t="shared" ref="AS331:BB331" si="315">AR331</f>
        <v>130</v>
      </c>
      <c r="AT331" s="343">
        <f t="shared" si="315"/>
        <v>130</v>
      </c>
      <c r="AU331" s="343">
        <f t="shared" si="315"/>
        <v>130</v>
      </c>
      <c r="AV331" s="397">
        <f t="shared" si="315"/>
        <v>130</v>
      </c>
      <c r="AW331" s="297">
        <f t="shared" si="315"/>
        <v>130</v>
      </c>
      <c r="AX331" s="396">
        <f>AW331</f>
        <v>130</v>
      </c>
      <c r="AY331" s="343">
        <f>AX331</f>
        <v>130</v>
      </c>
      <c r="AZ331" s="343">
        <f>AY331</f>
        <v>130</v>
      </c>
      <c r="BA331" s="397">
        <f>AY331</f>
        <v>130</v>
      </c>
      <c r="BB331" s="297">
        <f t="shared" si="315"/>
        <v>130</v>
      </c>
      <c r="BC331" s="396">
        <f t="shared" ref="BC331:BL331" si="316">BB331</f>
        <v>130</v>
      </c>
      <c r="BD331" s="343">
        <f t="shared" si="316"/>
        <v>130</v>
      </c>
      <c r="BE331" s="343">
        <f t="shared" si="316"/>
        <v>130</v>
      </c>
      <c r="BF331" s="397">
        <f t="shared" si="316"/>
        <v>130</v>
      </c>
      <c r="BG331" s="297">
        <f t="shared" si="316"/>
        <v>130</v>
      </c>
      <c r="BH331" s="396">
        <f t="shared" si="316"/>
        <v>130</v>
      </c>
      <c r="BI331" s="343">
        <f t="shared" si="316"/>
        <v>130</v>
      </c>
      <c r="BJ331" s="343">
        <f t="shared" si="316"/>
        <v>130</v>
      </c>
      <c r="BK331" s="397">
        <f t="shared" si="316"/>
        <v>130</v>
      </c>
      <c r="BL331" s="297">
        <f t="shared" si="316"/>
        <v>130</v>
      </c>
      <c r="BM331" s="396">
        <f>BL331</f>
        <v>130</v>
      </c>
      <c r="BN331" s="343">
        <f>BM331</f>
        <v>130</v>
      </c>
      <c r="BO331" s="343">
        <f>BN331</f>
        <v>130</v>
      </c>
      <c r="BP331" s="397">
        <f>BO331</f>
        <v>130</v>
      </c>
      <c r="BQ331" s="297">
        <f>BP331</f>
        <v>130</v>
      </c>
      <c r="BR331" s="297"/>
    </row>
    <row r="332" spans="1:70" s="2" customFormat="1">
      <c r="A332" s="1523"/>
      <c r="E332" s="365"/>
      <c r="F332" s="6"/>
      <c r="G332" s="6"/>
      <c r="H332" s="366"/>
      <c r="I332" s="37"/>
      <c r="J332" s="365"/>
      <c r="K332" s="6"/>
      <c r="L332" s="6"/>
      <c r="M332" s="366"/>
      <c r="O332" s="365"/>
      <c r="P332" s="6"/>
      <c r="Q332" s="6"/>
      <c r="R332" s="366"/>
      <c r="T332" s="365"/>
      <c r="U332" s="6"/>
      <c r="V332" s="6"/>
      <c r="W332" s="366"/>
      <c r="Y332" s="365"/>
      <c r="Z332" s="6"/>
      <c r="AA332" s="6"/>
      <c r="AB332" s="366"/>
      <c r="AD332" s="365"/>
      <c r="AE332" s="6"/>
      <c r="AF332" s="6"/>
      <c r="AG332" s="366"/>
      <c r="AI332" s="365"/>
      <c r="AJ332" s="6"/>
      <c r="AK332" s="6"/>
      <c r="AL332" s="366"/>
      <c r="AN332" s="365"/>
      <c r="AO332" s="6"/>
      <c r="AP332" s="6"/>
      <c r="AQ332" s="366"/>
      <c r="AS332" s="365"/>
      <c r="AT332" s="6"/>
      <c r="AU332" s="6"/>
      <c r="AV332" s="366"/>
      <c r="AX332" s="365"/>
      <c r="AY332" s="6"/>
      <c r="AZ332" s="6"/>
      <c r="BA332" s="366"/>
      <c r="BC332" s="365"/>
      <c r="BD332" s="6"/>
      <c r="BE332" s="6"/>
      <c r="BF332" s="366"/>
      <c r="BH332" s="365"/>
      <c r="BI332" s="6"/>
      <c r="BJ332" s="6"/>
      <c r="BK332" s="366"/>
      <c r="BM332" s="365"/>
      <c r="BN332" s="6"/>
      <c r="BO332" s="6"/>
      <c r="BP332" s="366"/>
    </row>
    <row r="333" spans="1:70" s="49" customFormat="1">
      <c r="A333" s="1523"/>
      <c r="B333" s="2"/>
      <c r="C333" s="37" t="s">
        <v>268</v>
      </c>
      <c r="D333" s="2"/>
      <c r="E333" s="365"/>
      <c r="F333" s="6"/>
      <c r="G333" s="6"/>
      <c r="H333" s="366"/>
      <c r="I333" s="726">
        <v>0.25</v>
      </c>
      <c r="J333" s="365"/>
      <c r="K333" s="6"/>
      <c r="L333" s="6"/>
      <c r="M333" s="366"/>
      <c r="N333" s="2"/>
      <c r="O333" s="365"/>
      <c r="P333" s="6"/>
      <c r="Q333" s="6"/>
      <c r="R333" s="366"/>
      <c r="S333" s="293"/>
      <c r="T333" s="376"/>
      <c r="U333" s="334"/>
      <c r="V333" s="334"/>
      <c r="W333" s="377"/>
      <c r="X333" s="293"/>
      <c r="Y333" s="376">
        <f>IF(Y328&gt;Y329,$I333,0%)</f>
        <v>0</v>
      </c>
      <c r="Z333" s="334">
        <f>IF(Z328&gt;Z329,$I333,0%)</f>
        <v>0</v>
      </c>
      <c r="AA333" s="334">
        <f>IF(AA328&gt;AA329,$I333,0%)</f>
        <v>0.25</v>
      </c>
      <c r="AB333" s="377">
        <f>IF(AB328&gt;AB329,$I333,0%)</f>
        <v>0.25</v>
      </c>
      <c r="AC333" s="293">
        <f>AVERAGE(Y333:AB333)</f>
        <v>0.125</v>
      </c>
      <c r="AD333" s="376">
        <f>IF(AD328&gt;AD329,$I333,0%)</f>
        <v>0</v>
      </c>
      <c r="AE333" s="334">
        <f>IF(AE328&gt;AE329,$I333,0%)</f>
        <v>0</v>
      </c>
      <c r="AF333" s="334">
        <f>IF(AF328&gt;AF329,$I333,0%)</f>
        <v>0.25</v>
      </c>
      <c r="AG333" s="377">
        <f>IF(AG328&gt;AG329,$I333,0%)</f>
        <v>0.25</v>
      </c>
      <c r="AH333" s="293">
        <f>AVERAGE(AD333:AG333)</f>
        <v>0.125</v>
      </c>
      <c r="AI333" s="376">
        <f>IF(AI328&gt;AI329,$I333,0%)</f>
        <v>0</v>
      </c>
      <c r="AJ333" s="334">
        <f>IF(AJ328&gt;AJ329,$I333,0%)</f>
        <v>0</v>
      </c>
      <c r="AK333" s="334">
        <f>IF(AK328&gt;AK329,$I333,0%)</f>
        <v>0.25</v>
      </c>
      <c r="AL333" s="377">
        <f>IF(AL328&gt;AL329,$I333,0%)</f>
        <v>0.25</v>
      </c>
      <c r="AM333" s="293">
        <f>AVERAGE(AI333:AL333)</f>
        <v>0.125</v>
      </c>
      <c r="AN333" s="376">
        <f>IF(AN328&gt;AN329,$I333,0%)</f>
        <v>0</v>
      </c>
      <c r="AO333" s="334">
        <f>IF(AO328&gt;AO329,$I333,0%)</f>
        <v>0.25</v>
      </c>
      <c r="AP333" s="334">
        <f>IF(AP328&gt;AP329,$I333,0%)</f>
        <v>0.25</v>
      </c>
      <c r="AQ333" s="377">
        <f>IF(AQ328&gt;AQ329,$I333,0%)</f>
        <v>0.25</v>
      </c>
      <c r="AR333" s="293">
        <f>AVERAGE(AN333:AQ333)</f>
        <v>0.1875</v>
      </c>
      <c r="AS333" s="376">
        <f>IF(AS328&gt;AS329,$I333,0%)</f>
        <v>0</v>
      </c>
      <c r="AT333" s="334">
        <f>IF(AT328&gt;AT329,$I333,0%)</f>
        <v>0</v>
      </c>
      <c r="AU333" s="334">
        <f>IF(AU328&gt;AU329,$I333,0%)</f>
        <v>0</v>
      </c>
      <c r="AV333" s="377">
        <f>IF(AV328&gt;AV329,$I333,0%)</f>
        <v>0.25</v>
      </c>
      <c r="AW333" s="293">
        <f>AVERAGE(AS333:AV333)</f>
        <v>6.25E-2</v>
      </c>
      <c r="AX333" s="376">
        <f>IF(AX328&gt;AX329,$I333,0%)</f>
        <v>0</v>
      </c>
      <c r="AY333" s="334">
        <f>IF(AY328&gt;AY329,$I333,0%)</f>
        <v>0</v>
      </c>
      <c r="AZ333" s="334">
        <f>IF(AZ328&gt;AZ329,$I333,0%)</f>
        <v>0.25</v>
      </c>
      <c r="BA333" s="377">
        <f>IF(BA328&gt;BA329,$I333,0%)</f>
        <v>0.25</v>
      </c>
      <c r="BB333" s="293">
        <f>AVERAGE(AX333:BA333)</f>
        <v>0.125</v>
      </c>
      <c r="BC333" s="376">
        <f>IF(BC328&gt;BC329,$I333,0%)</f>
        <v>0.25</v>
      </c>
      <c r="BD333" s="334">
        <f>IF(BD328&gt;BD329,$I333,0%)</f>
        <v>0.25</v>
      </c>
      <c r="BE333" s="334">
        <f>IF(BE328&gt;BE329,$I333,0%)</f>
        <v>0.25</v>
      </c>
      <c r="BF333" s="377">
        <f>IF(BF328&gt;BF329,$I333,0%)</f>
        <v>0</v>
      </c>
      <c r="BG333" s="293">
        <f>AVERAGE(BC333:BF333)</f>
        <v>0.1875</v>
      </c>
      <c r="BH333" s="376">
        <f>IF(BH328&gt;BH329,$I333,0%)</f>
        <v>0.25</v>
      </c>
      <c r="BI333" s="334">
        <f>IF(BI328&gt;BI329,$I333,0%)</f>
        <v>0.25</v>
      </c>
      <c r="BJ333" s="334">
        <f>IF(BJ328&gt;BJ329,$I333,0%)</f>
        <v>0.25</v>
      </c>
      <c r="BK333" s="377">
        <f>IF(BK328&gt;BK329,$I333,0%)</f>
        <v>0</v>
      </c>
      <c r="BL333" s="293">
        <f>AVERAGE(BH333:BK333)</f>
        <v>0.1875</v>
      </c>
      <c r="BM333" s="376">
        <f>IF(BM328&gt;BM329,$I333,0%)</f>
        <v>0.25</v>
      </c>
      <c r="BN333" s="334">
        <f>IF(BN328&gt;BN329,$I333,0%)</f>
        <v>0.25</v>
      </c>
      <c r="BO333" s="334">
        <f>IF(BO328&gt;BO329,$I333,0%)</f>
        <v>0.25</v>
      </c>
      <c r="BP333" s="377">
        <f>IF(BP328&gt;BP329,$I333,0%)</f>
        <v>0</v>
      </c>
      <c r="BQ333" s="293">
        <f>AVERAGE(BM333:BP333)</f>
        <v>0.1875</v>
      </c>
      <c r="BR333" s="2"/>
    </row>
    <row r="334" spans="1:70" s="2" customFormat="1">
      <c r="A334" s="49"/>
      <c r="B334" s="49"/>
      <c r="C334" s="49" t="s">
        <v>269</v>
      </c>
      <c r="D334" s="49"/>
      <c r="E334" s="663"/>
      <c r="F334" s="468"/>
      <c r="G334" s="468"/>
      <c r="H334" s="664"/>
      <c r="I334" s="49"/>
      <c r="J334" s="663"/>
      <c r="K334" s="468"/>
      <c r="L334" s="468"/>
      <c r="M334" s="664"/>
      <c r="N334" s="49"/>
      <c r="O334" s="663"/>
      <c r="P334" s="468"/>
      <c r="Q334" s="468"/>
      <c r="R334" s="664"/>
      <c r="S334" s="49"/>
      <c r="T334" s="407"/>
      <c r="U334" s="349"/>
      <c r="V334" s="349"/>
      <c r="W334" s="408"/>
      <c r="X334" s="608"/>
      <c r="Y334" s="407">
        <f>(Y331*Y333*(8760/1000))/4</f>
        <v>0</v>
      </c>
      <c r="Z334" s="349">
        <f>(Z331*Z333*(8760/1000))/4</f>
        <v>0</v>
      </c>
      <c r="AA334" s="349">
        <f>(AA331*AA333*(8760/1000))/4</f>
        <v>71.174999999999997</v>
      </c>
      <c r="AB334" s="408">
        <f>(AB331*AB333*(8760/1000))/4</f>
        <v>71.174999999999997</v>
      </c>
      <c r="AC334" s="608">
        <f>SUM(Y334:AB334)</f>
        <v>142.35</v>
      </c>
      <c r="AD334" s="407">
        <f>(AD331*AD333*(8760/1000))/4</f>
        <v>0</v>
      </c>
      <c r="AE334" s="349">
        <f>(AE331*AE333*(8760/1000))/4</f>
        <v>0</v>
      </c>
      <c r="AF334" s="349">
        <f>(AF331*AF333*(8760/1000))/4</f>
        <v>71.174999999999997</v>
      </c>
      <c r="AG334" s="408">
        <f>(AG331*AG333*(8760/1000))/4</f>
        <v>71.174999999999997</v>
      </c>
      <c r="AH334" s="608">
        <f>SUM(AD334:AG334)</f>
        <v>142.35</v>
      </c>
      <c r="AI334" s="407">
        <f>(AI331*AI333*(8760/1000))/4</f>
        <v>0</v>
      </c>
      <c r="AJ334" s="349">
        <f>(AJ331*AJ333*(8760/1000))/4</f>
        <v>0</v>
      </c>
      <c r="AK334" s="349">
        <f>(AK331*AK333*(8760/1000))/4</f>
        <v>71.174999999999997</v>
      </c>
      <c r="AL334" s="408">
        <f>(AL331*AL333*(8760/1000))/4</f>
        <v>71.174999999999997</v>
      </c>
      <c r="AM334" s="608">
        <f>SUM(AI334:AL334)</f>
        <v>142.35</v>
      </c>
      <c r="AN334" s="407">
        <f>(AN331*AN333*(8760/1000))/4</f>
        <v>0</v>
      </c>
      <c r="AO334" s="349">
        <f>(AO331*AO333*(8760/1000))/4</f>
        <v>71.174999999999997</v>
      </c>
      <c r="AP334" s="349">
        <f>(AP331*AP333*(8760/1000))/4</f>
        <v>71.174999999999997</v>
      </c>
      <c r="AQ334" s="408">
        <f>(AQ331*AQ333*(8760/1000))/4</f>
        <v>71.174999999999997</v>
      </c>
      <c r="AR334" s="608">
        <f>SUM(AN334:AQ334)</f>
        <v>213.52499999999998</v>
      </c>
      <c r="AS334" s="407">
        <f>(AS331*AS333*(8760/1000))/4</f>
        <v>0</v>
      </c>
      <c r="AT334" s="349">
        <f>(AT331*AT333*(8760/1000))/4</f>
        <v>0</v>
      </c>
      <c r="AU334" s="349">
        <f>(AU331*AU333*(8760/1000))/4</f>
        <v>0</v>
      </c>
      <c r="AV334" s="408">
        <f>(AV331*AV333*(8760/1000))/4</f>
        <v>71.174999999999997</v>
      </c>
      <c r="AW334" s="608">
        <f>SUM(AS334:AV334)</f>
        <v>71.174999999999997</v>
      </c>
      <c r="AX334" s="407">
        <f>(AX331*AX333*(8760/1000))/4</f>
        <v>0</v>
      </c>
      <c r="AY334" s="349">
        <f>(AY331*AY333*(8760/1000))/4</f>
        <v>0</v>
      </c>
      <c r="AZ334" s="349">
        <f>(AZ331*AZ333*(8760/1000))/4</f>
        <v>71.174999999999997</v>
      </c>
      <c r="BA334" s="408">
        <f>(BA331*BA333*(8760/1000))/4</f>
        <v>71.174999999999997</v>
      </c>
      <c r="BB334" s="608">
        <f>SUM(AX334:BA334)</f>
        <v>142.35</v>
      </c>
      <c r="BC334" s="407">
        <f>(BC331*BC333*(8760/1000))/4</f>
        <v>71.174999999999997</v>
      </c>
      <c r="BD334" s="349">
        <f>(BD331*BD333*(8760/1000))/4</f>
        <v>71.174999999999997</v>
      </c>
      <c r="BE334" s="349">
        <f>(BE331*BE333*(8760/1000))/4</f>
        <v>71.174999999999997</v>
      </c>
      <c r="BF334" s="408">
        <f>(BF331*BF333*(8760/1000))/4</f>
        <v>0</v>
      </c>
      <c r="BG334" s="608">
        <f>SUM(BC334:BF334)</f>
        <v>213.52499999999998</v>
      </c>
      <c r="BH334" s="407">
        <f>(BH331*BH333*(8760/1000))/4</f>
        <v>71.174999999999997</v>
      </c>
      <c r="BI334" s="349">
        <f>(BI331*BI333*(8760/1000))/4</f>
        <v>71.174999999999997</v>
      </c>
      <c r="BJ334" s="349">
        <f>(BJ331*BJ333*(8760/1000))/4</f>
        <v>71.174999999999997</v>
      </c>
      <c r="BK334" s="408">
        <f>(BK331*BK333*(8760/1000))/4</f>
        <v>0</v>
      </c>
      <c r="BL334" s="608">
        <f>SUM(BH334:BK334)</f>
        <v>213.52499999999998</v>
      </c>
      <c r="BM334" s="407">
        <f>(BM331*BM333*(8760/1000))/4</f>
        <v>71.174999999999997</v>
      </c>
      <c r="BN334" s="349">
        <f>(BN331*BN333*(8760/1000))/4</f>
        <v>71.174999999999997</v>
      </c>
      <c r="BO334" s="349">
        <f>(BO331*BO333*(8760/1000))/4</f>
        <v>71.174999999999997</v>
      </c>
      <c r="BP334" s="408">
        <f>(BP331*BP333*(8760/1000))/4</f>
        <v>0</v>
      </c>
      <c r="BQ334" s="608">
        <f>SUM(BM334:BP334)</f>
        <v>213.52499999999998</v>
      </c>
      <c r="BR334" s="49"/>
    </row>
    <row r="335" spans="1:70" s="2" customFormat="1">
      <c r="A335" s="1523"/>
      <c r="E335" s="365"/>
      <c r="F335" s="6"/>
      <c r="G335" s="6"/>
      <c r="H335" s="366"/>
      <c r="I335" s="37"/>
      <c r="J335" s="365"/>
      <c r="K335" s="6"/>
      <c r="L335" s="6"/>
      <c r="M335" s="366"/>
      <c r="O335" s="365"/>
      <c r="P335" s="6"/>
      <c r="Q335" s="6"/>
      <c r="R335" s="366"/>
      <c r="T335" s="365"/>
      <c r="U335" s="6"/>
      <c r="V335" s="6"/>
      <c r="W335" s="366"/>
      <c r="Y335" s="365"/>
      <c r="Z335" s="6"/>
      <c r="AA335" s="6"/>
      <c r="AB335" s="366"/>
      <c r="AD335" s="365"/>
      <c r="AE335" s="6"/>
      <c r="AF335" s="6"/>
      <c r="AG335" s="366"/>
      <c r="AI335" s="365"/>
      <c r="AJ335" s="6"/>
      <c r="AK335" s="6"/>
      <c r="AL335" s="366"/>
      <c r="AN335" s="365"/>
      <c r="AO335" s="6"/>
      <c r="AP335" s="6"/>
      <c r="AQ335" s="366"/>
      <c r="AS335" s="365"/>
      <c r="AT335" s="6"/>
      <c r="AU335" s="6"/>
      <c r="AV335" s="366"/>
      <c r="AX335" s="365"/>
      <c r="AY335" s="6"/>
      <c r="AZ335" s="6"/>
      <c r="BA335" s="366"/>
      <c r="BC335" s="365"/>
      <c r="BD335" s="6"/>
      <c r="BE335" s="6"/>
      <c r="BF335" s="366"/>
      <c r="BH335" s="365"/>
      <c r="BI335" s="6"/>
      <c r="BJ335" s="6"/>
      <c r="BK335" s="366"/>
      <c r="BM335" s="365"/>
      <c r="BN335" s="6"/>
      <c r="BO335" s="6"/>
      <c r="BP335" s="366"/>
    </row>
    <row r="336" spans="1:70" s="2" customFormat="1">
      <c r="A336" s="1523"/>
      <c r="C336" s="37" t="s">
        <v>663</v>
      </c>
      <c r="E336" s="365"/>
      <c r="F336" s="6"/>
      <c r="G336" s="6"/>
      <c r="H336" s="366"/>
      <c r="I336" s="37"/>
      <c r="J336" s="365"/>
      <c r="K336" s="6"/>
      <c r="L336" s="6"/>
      <c r="M336" s="366"/>
      <c r="O336" s="365"/>
      <c r="P336" s="6"/>
      <c r="Q336" s="6"/>
      <c r="R336" s="366"/>
      <c r="T336" s="392"/>
      <c r="U336" s="341"/>
      <c r="V336" s="341"/>
      <c r="W336" s="393"/>
      <c r="X336" s="296"/>
      <c r="Y336" s="392">
        <f>(Y328/1000*Y334)</f>
        <v>0</v>
      </c>
      <c r="Z336" s="341">
        <f>(Z328/1000*Z334)</f>
        <v>0</v>
      </c>
      <c r="AA336" s="341">
        <f>(AA328/1000*AA334)</f>
        <v>3.9134871730957035</v>
      </c>
      <c r="AB336" s="393">
        <f>(AB328/1000*AB334)</f>
        <v>4.7930009575195305</v>
      </c>
      <c r="AC336" s="296">
        <f>SUM(Y336:AB336)</f>
        <v>8.7064881306152344</v>
      </c>
      <c r="AD336" s="392">
        <f>(AD328/1000*AD334)</f>
        <v>0</v>
      </c>
      <c r="AE336" s="341">
        <f>(AE328/1000*AE334)</f>
        <v>0</v>
      </c>
      <c r="AF336" s="341">
        <f>(AF328/1000*AF334)</f>
        <v>2.9418782211914052</v>
      </c>
      <c r="AG336" s="393">
        <f>(AG328/1000*AG334)</f>
        <v>3.4183670434570312</v>
      </c>
      <c r="AH336" s="296">
        <f>SUM(AD336:AG336)</f>
        <v>6.3602452646484364</v>
      </c>
      <c r="AI336" s="392">
        <f>(AI328/1000*AI334)</f>
        <v>0</v>
      </c>
      <c r="AJ336" s="341">
        <f>(AJ328/1000*AJ334)</f>
        <v>0</v>
      </c>
      <c r="AK336" s="341">
        <f>(AK328/1000*AK334)</f>
        <v>3.0175072406249996</v>
      </c>
      <c r="AL336" s="393">
        <f>(AL328/1000*AL334)</f>
        <v>2.3534111059570306</v>
      </c>
      <c r="AM336" s="296">
        <f>SUM(AI336:AL336)</f>
        <v>5.3709183465820303</v>
      </c>
      <c r="AN336" s="392">
        <f>(AN328/1000*AN334)</f>
        <v>0</v>
      </c>
      <c r="AO336" s="341">
        <f>(AO328/1000*AO334)</f>
        <v>2.0076437900390625</v>
      </c>
      <c r="AP336" s="341">
        <f>(AP328/1000*AP334)</f>
        <v>3.0413577949218746</v>
      </c>
      <c r="AQ336" s="393">
        <f>(AQ328/1000*AQ334)</f>
        <v>2.7531181979166668</v>
      </c>
      <c r="AR336" s="296">
        <f>SUM(AN336:AQ336)</f>
        <v>7.8021197828776039</v>
      </c>
      <c r="AS336" s="392">
        <f>(AS328/1000*AS334)</f>
        <v>0</v>
      </c>
      <c r="AT336" s="341">
        <f>(AT328/1000*AT334)</f>
        <v>0</v>
      </c>
      <c r="AU336" s="341">
        <f>(AU328/1000*AU334)</f>
        <v>0</v>
      </c>
      <c r="AV336" s="393">
        <f>(AV328/1000*AV334)</f>
        <v>3.74041006547619</v>
      </c>
      <c r="AW336" s="296">
        <f>SUM(AS336:AV336)</f>
        <v>3.74041006547619</v>
      </c>
      <c r="AX336" s="392">
        <f>(AX328/1000*AX334)</f>
        <v>0</v>
      </c>
      <c r="AY336" s="341">
        <f>(AY328/1000*AY334)</f>
        <v>0</v>
      </c>
      <c r="AZ336" s="341">
        <f>(AZ328/1000*AZ334)</f>
        <v>2.5184087499999994</v>
      </c>
      <c r="BA336" s="393">
        <f>(BA328/1000*BA334)</f>
        <v>3.0142612499999997</v>
      </c>
      <c r="BB336" s="296">
        <f>SUM(AX336:BA336)</f>
        <v>5.5326699999999995</v>
      </c>
      <c r="BC336" s="392">
        <f>(BC328/1000*BC334)</f>
        <v>5.2099704887580689</v>
      </c>
      <c r="BD336" s="341">
        <f>(BD328/1000*BD334)</f>
        <v>2.2489975160152884</v>
      </c>
      <c r="BE336" s="341">
        <f>(BE328/1000*BE334)</f>
        <v>2.6230020753084387</v>
      </c>
      <c r="BF336" s="393">
        <f>(BF328/1000*BF334)</f>
        <v>0</v>
      </c>
      <c r="BG336" s="296">
        <f>SUM(BC336:BF336)</f>
        <v>10.081970080081796</v>
      </c>
      <c r="BH336" s="392">
        <f>(BH328/1000*BH334)</f>
        <v>5.2099704887580689</v>
      </c>
      <c r="BI336" s="341">
        <f>(BI328/1000*BI334)</f>
        <v>2.2489975160152889</v>
      </c>
      <c r="BJ336" s="341">
        <f>(BJ328/1000*BJ334)</f>
        <v>2.6230020753084391</v>
      </c>
      <c r="BK336" s="393">
        <f>(BK328/1000*BK334)</f>
        <v>0</v>
      </c>
      <c r="BL336" s="296">
        <f>SUM(BH336:BK336)</f>
        <v>10.081970080081796</v>
      </c>
      <c r="BM336" s="392">
        <f>(BM328/1000*BM334)</f>
        <v>4.9727635705387057</v>
      </c>
      <c r="BN336" s="341">
        <f>(BN328/1000*BN334)</f>
        <v>2.421172829496399</v>
      </c>
      <c r="BO336" s="341">
        <f>(BO328/1000*BO334)</f>
        <v>2.7846812652376167</v>
      </c>
      <c r="BP336" s="393">
        <f>(BP328/1000*BP334)</f>
        <v>0</v>
      </c>
      <c r="BQ336" s="296">
        <f>SUM(BM336:BP336)</f>
        <v>10.178617665272721</v>
      </c>
    </row>
    <row r="337" spans="1:70" s="49" customFormat="1">
      <c r="A337" s="1523"/>
      <c r="B337" s="2"/>
      <c r="C337" s="37" t="s">
        <v>346</v>
      </c>
      <c r="D337" s="2"/>
      <c r="E337" s="365"/>
      <c r="F337" s="6"/>
      <c r="G337" s="6"/>
      <c r="H337" s="366"/>
      <c r="I337" s="37"/>
      <c r="J337" s="365"/>
      <c r="K337" s="6"/>
      <c r="L337" s="6"/>
      <c r="M337" s="366"/>
      <c r="N337" s="2"/>
      <c r="O337" s="365"/>
      <c r="P337" s="6"/>
      <c r="Q337" s="6"/>
      <c r="R337" s="366"/>
      <c r="S337" s="2"/>
      <c r="T337" s="392"/>
      <c r="U337" s="341"/>
      <c r="V337" s="341"/>
      <c r="W337" s="393"/>
      <c r="X337" s="296"/>
      <c r="Y337" s="392">
        <f t="shared" ref="Y337:AQ337" si="317">Y329/1000*Y334</f>
        <v>0</v>
      </c>
      <c r="Z337" s="341">
        <f t="shared" si="317"/>
        <v>0</v>
      </c>
      <c r="AA337" s="341">
        <f t="shared" si="317"/>
        <v>3.2174480812499988</v>
      </c>
      <c r="AB337" s="393">
        <f t="shared" si="317"/>
        <v>3.6870162468749985</v>
      </c>
      <c r="AC337" s="296">
        <f>SUM(Y337:AB337)</f>
        <v>6.9044643281249973</v>
      </c>
      <c r="AD337" s="392">
        <f>AD329/1000*AD334</f>
        <v>0</v>
      </c>
      <c r="AE337" s="341">
        <f>AE329/1000*AE334</f>
        <v>0</v>
      </c>
      <c r="AF337" s="341">
        <f t="shared" si="317"/>
        <v>2.2171101468749992</v>
      </c>
      <c r="AG337" s="393">
        <f t="shared" si="317"/>
        <v>2.729903779687501</v>
      </c>
      <c r="AH337" s="296">
        <f>SUM(AD337:AG337)</f>
        <v>4.9470139265624997</v>
      </c>
      <c r="AI337" s="392">
        <f t="shared" si="317"/>
        <v>0</v>
      </c>
      <c r="AJ337" s="341">
        <f t="shared" si="317"/>
        <v>0</v>
      </c>
      <c r="AK337" s="341">
        <f t="shared" si="317"/>
        <v>2.1534129703125005</v>
      </c>
      <c r="AL337" s="393">
        <f t="shared" si="317"/>
        <v>1.8445035142857142</v>
      </c>
      <c r="AM337" s="296">
        <f>SUM(AI337:AL337)</f>
        <v>3.9979164845982149</v>
      </c>
      <c r="AN337" s="392">
        <f t="shared" si="317"/>
        <v>0</v>
      </c>
      <c r="AO337" s="341">
        <f t="shared" si="317"/>
        <v>1.6629727359374999</v>
      </c>
      <c r="AP337" s="341">
        <f t="shared" si="317"/>
        <v>1.8509814984375002</v>
      </c>
      <c r="AQ337" s="393">
        <f t="shared" si="317"/>
        <v>2.502292587096774</v>
      </c>
      <c r="AR337" s="296">
        <f>SUM(AN337:AQ337)</f>
        <v>6.0162468214717748</v>
      </c>
      <c r="AS337" s="392">
        <f>AS329/1000*AS334</f>
        <v>0</v>
      </c>
      <c r="AT337" s="341">
        <f>AT329/1000*AT334</f>
        <v>0</v>
      </c>
      <c r="AU337" s="341">
        <f>AU329/1000*AU334</f>
        <v>0</v>
      </c>
      <c r="AV337" s="393">
        <f>AV329/1000*AV334</f>
        <v>3.2208386516129037</v>
      </c>
      <c r="AW337" s="296">
        <f>SUM(AS337:AV337)</f>
        <v>3.2208386516129037</v>
      </c>
      <c r="AX337" s="392">
        <f>AX329/1000*AX334</f>
        <v>0</v>
      </c>
      <c r="AY337" s="341">
        <f>AY329/1000*AY334</f>
        <v>0</v>
      </c>
      <c r="AZ337" s="341">
        <f>AZ329/1000*AZ334</f>
        <v>2.3530454999999999</v>
      </c>
      <c r="BA337" s="393">
        <f>BA329/1000*BA334</f>
        <v>2.9110574999999996</v>
      </c>
      <c r="BB337" s="296">
        <f>SUM(AX337:BA337)</f>
        <v>5.2641029999999995</v>
      </c>
      <c r="BC337" s="392">
        <f>BC329/1000*BC334</f>
        <v>4.0203304361264394</v>
      </c>
      <c r="BD337" s="341">
        <f>BD329/1000*BD334</f>
        <v>1.7202207063706823</v>
      </c>
      <c r="BE337" s="341">
        <f>BE329/1000*BE334</f>
        <v>1.6391344150039202</v>
      </c>
      <c r="BF337" s="393">
        <f>BF329/1000*BF334</f>
        <v>0</v>
      </c>
      <c r="BG337" s="296">
        <f>SUM(BC337:BF337)</f>
        <v>7.379685557501042</v>
      </c>
      <c r="BH337" s="392">
        <f>BH329/1000*BH334</f>
        <v>4.084204025280223</v>
      </c>
      <c r="BI337" s="341">
        <f>BI329/1000*BI334</f>
        <v>1.7462095598206966</v>
      </c>
      <c r="BJ337" s="341">
        <f>BJ329/1000*BJ334</f>
        <v>1.6637877092508724</v>
      </c>
      <c r="BK337" s="393">
        <f>BK329/1000*BK334</f>
        <v>0</v>
      </c>
      <c r="BL337" s="296">
        <f>SUM(BH337:BK337)</f>
        <v>7.4942012943517922</v>
      </c>
      <c r="BM337" s="392">
        <f>BM329/1000*BM334</f>
        <v>3.9971399668718628</v>
      </c>
      <c r="BN337" s="341">
        <f>BN329/1000*BN334</f>
        <v>1.8992428767451888</v>
      </c>
      <c r="BO337" s="341">
        <f>BO329/1000*BO334</f>
        <v>1.7844127657586786</v>
      </c>
      <c r="BP337" s="393">
        <f>BP329/1000*BP334</f>
        <v>0</v>
      </c>
      <c r="BQ337" s="296">
        <f>SUM(BM337:BP337)</f>
        <v>7.6807956093757301</v>
      </c>
      <c r="BR337" s="2"/>
    </row>
    <row r="338" spans="1:70" s="2" customFormat="1">
      <c r="A338" s="49"/>
      <c r="B338" s="49"/>
      <c r="C338" s="49" t="s">
        <v>270</v>
      </c>
      <c r="D338" s="49"/>
      <c r="E338" s="663"/>
      <c r="F338" s="468"/>
      <c r="G338" s="468"/>
      <c r="H338" s="664"/>
      <c r="I338" s="37"/>
      <c r="J338" s="663"/>
      <c r="K338" s="468"/>
      <c r="L338" s="468"/>
      <c r="M338" s="664"/>
      <c r="N338" s="49"/>
      <c r="O338" s="663"/>
      <c r="P338" s="468"/>
      <c r="Q338" s="468"/>
      <c r="R338" s="664"/>
      <c r="S338" s="49"/>
      <c r="T338" s="396"/>
      <c r="U338" s="343"/>
      <c r="V338" s="343"/>
      <c r="W338" s="397"/>
      <c r="X338" s="297"/>
      <c r="Y338" s="396">
        <f t="shared" ref="Y338:AR338" si="318">Y336-Y337</f>
        <v>0</v>
      </c>
      <c r="Z338" s="343">
        <f t="shared" si="318"/>
        <v>0</v>
      </c>
      <c r="AA338" s="343">
        <f t="shared" si="318"/>
        <v>0.69603909184570467</v>
      </c>
      <c r="AB338" s="397">
        <f t="shared" si="318"/>
        <v>1.105984710644532</v>
      </c>
      <c r="AC338" s="297">
        <f t="shared" si="318"/>
        <v>1.8020238024902371</v>
      </c>
      <c r="AD338" s="396">
        <f>AD336-AD337</f>
        <v>0</v>
      </c>
      <c r="AE338" s="343">
        <f>AE336-AE337</f>
        <v>0</v>
      </c>
      <c r="AF338" s="343">
        <f t="shared" si="318"/>
        <v>0.724768074316406</v>
      </c>
      <c r="AG338" s="397">
        <f t="shared" si="318"/>
        <v>0.68846326376953026</v>
      </c>
      <c r="AH338" s="297">
        <f t="shared" si="318"/>
        <v>1.4132313380859367</v>
      </c>
      <c r="AI338" s="396">
        <f t="shared" si="318"/>
        <v>0</v>
      </c>
      <c r="AJ338" s="343">
        <f t="shared" si="318"/>
        <v>0</v>
      </c>
      <c r="AK338" s="343">
        <f t="shared" si="318"/>
        <v>0.86409427031249919</v>
      </c>
      <c r="AL338" s="397">
        <f t="shared" si="318"/>
        <v>0.50890759167131638</v>
      </c>
      <c r="AM338" s="297">
        <f t="shared" si="318"/>
        <v>1.3730018619838154</v>
      </c>
      <c r="AN338" s="396">
        <f t="shared" si="318"/>
        <v>0</v>
      </c>
      <c r="AO338" s="343">
        <f t="shared" si="318"/>
        <v>0.34467105410156251</v>
      </c>
      <c r="AP338" s="343">
        <f t="shared" si="318"/>
        <v>1.1903762964843745</v>
      </c>
      <c r="AQ338" s="397">
        <f t="shared" si="318"/>
        <v>0.25082561081989274</v>
      </c>
      <c r="AR338" s="297">
        <f t="shared" si="318"/>
        <v>1.7858729614058291</v>
      </c>
      <c r="AS338" s="396">
        <f t="shared" ref="AS338:BB338" si="319">AS336-AS337</f>
        <v>0</v>
      </c>
      <c r="AT338" s="343">
        <f t="shared" si="319"/>
        <v>0</v>
      </c>
      <c r="AU338" s="343">
        <f t="shared" si="319"/>
        <v>0</v>
      </c>
      <c r="AV338" s="397">
        <f t="shared" si="319"/>
        <v>0.51957141386328631</v>
      </c>
      <c r="AW338" s="297">
        <f t="shared" si="319"/>
        <v>0.51957141386328631</v>
      </c>
      <c r="AX338" s="396">
        <f>AX336-AX337</f>
        <v>0</v>
      </c>
      <c r="AY338" s="343">
        <f>AY336-AY337</f>
        <v>0</v>
      </c>
      <c r="AZ338" s="343">
        <f>AZ336-AZ337</f>
        <v>0.16536324999999952</v>
      </c>
      <c r="BA338" s="397">
        <f>BA336-BA337</f>
        <v>0.10320375000000004</v>
      </c>
      <c r="BB338" s="297">
        <f t="shared" si="319"/>
        <v>0.268567</v>
      </c>
      <c r="BC338" s="396">
        <f t="shared" ref="BC338:BQ338" si="320">BC336-BC337</f>
        <v>1.1896400526316295</v>
      </c>
      <c r="BD338" s="343">
        <f>BD336-BD337</f>
        <v>0.52877680964460616</v>
      </c>
      <c r="BE338" s="343">
        <f>BE336-BE337</f>
        <v>0.98386766030451844</v>
      </c>
      <c r="BF338" s="397">
        <f>BF336-BF337</f>
        <v>0</v>
      </c>
      <c r="BG338" s="297">
        <f>BG336-BG337</f>
        <v>2.7022845225807535</v>
      </c>
      <c r="BH338" s="396">
        <f t="shared" si="320"/>
        <v>1.1257664634778459</v>
      </c>
      <c r="BI338" s="343">
        <f t="shared" si="320"/>
        <v>0.50278795619459227</v>
      </c>
      <c r="BJ338" s="343">
        <f t="shared" si="320"/>
        <v>0.95921436605756671</v>
      </c>
      <c r="BK338" s="397">
        <f t="shared" si="320"/>
        <v>0</v>
      </c>
      <c r="BL338" s="297">
        <f t="shared" si="320"/>
        <v>2.5877687857300034</v>
      </c>
      <c r="BM338" s="396">
        <f t="shared" si="320"/>
        <v>0.97562360366684286</v>
      </c>
      <c r="BN338" s="343">
        <f t="shared" si="320"/>
        <v>0.52192995275121024</v>
      </c>
      <c r="BO338" s="343">
        <f t="shared" si="320"/>
        <v>1.0002684994789381</v>
      </c>
      <c r="BP338" s="397">
        <f t="shared" si="320"/>
        <v>0</v>
      </c>
      <c r="BQ338" s="297">
        <f t="shared" si="320"/>
        <v>2.4978220558969912</v>
      </c>
      <c r="BR338" s="49"/>
    </row>
    <row r="339" spans="1:70" s="2" customFormat="1">
      <c r="A339" s="1523"/>
      <c r="C339" s="49"/>
      <c r="E339" s="365"/>
      <c r="F339" s="6"/>
      <c r="G339" s="6"/>
      <c r="H339" s="366"/>
      <c r="I339" s="37"/>
      <c r="J339" s="365"/>
      <c r="K339" s="6"/>
      <c r="L339" s="6"/>
      <c r="M339" s="366"/>
      <c r="O339" s="365"/>
      <c r="P339" s="6"/>
      <c r="Q339" s="6"/>
      <c r="R339" s="366"/>
      <c r="T339" s="598"/>
      <c r="U339" s="599"/>
      <c r="V339" s="599"/>
      <c r="W339" s="600"/>
      <c r="X339" s="601"/>
      <c r="Y339" s="598"/>
      <c r="Z339" s="599"/>
      <c r="AA339" s="599"/>
      <c r="AB339" s="600"/>
      <c r="AC339" s="601"/>
      <c r="AD339" s="598"/>
      <c r="AE339" s="599"/>
      <c r="AF339" s="599"/>
      <c r="AG339" s="600"/>
      <c r="AH339" s="601"/>
      <c r="AI339" s="598"/>
      <c r="AJ339" s="599"/>
      <c r="AK339" s="599"/>
      <c r="AL339" s="600"/>
      <c r="AM339" s="601"/>
      <c r="AN339" s="598"/>
      <c r="AO339" s="599"/>
      <c r="AP339" s="599"/>
      <c r="AQ339" s="600"/>
      <c r="AR339" s="601"/>
      <c r="AS339" s="598"/>
      <c r="AT339" s="599"/>
      <c r="AU339" s="599"/>
      <c r="AV339" s="600"/>
      <c r="AW339" s="601"/>
      <c r="AX339" s="598"/>
      <c r="AY339" s="599"/>
      <c r="AZ339" s="599"/>
      <c r="BA339" s="600"/>
      <c r="BB339" s="601"/>
      <c r="BC339" s="598"/>
      <c r="BD339" s="599"/>
      <c r="BE339" s="599"/>
      <c r="BF339" s="600"/>
      <c r="BG339" s="601"/>
      <c r="BH339" s="598"/>
      <c r="BI339" s="599"/>
      <c r="BJ339" s="599"/>
      <c r="BK339" s="600"/>
      <c r="BL339" s="601"/>
      <c r="BM339" s="598"/>
      <c r="BN339" s="599"/>
      <c r="BO339" s="599"/>
      <c r="BP339" s="600"/>
      <c r="BQ339" s="601"/>
    </row>
    <row r="340" spans="1:70" s="2" customFormat="1">
      <c r="A340" s="1523"/>
      <c r="C340" s="592" t="s">
        <v>207</v>
      </c>
      <c r="E340" s="365"/>
      <c r="F340" s="6"/>
      <c r="G340" s="6"/>
      <c r="H340" s="366"/>
      <c r="I340" s="603"/>
      <c r="J340" s="365"/>
      <c r="K340" s="6"/>
      <c r="L340" s="6"/>
      <c r="M340" s="366"/>
      <c r="O340" s="365"/>
      <c r="P340" s="6"/>
      <c r="Q340" s="6"/>
      <c r="R340" s="366"/>
      <c r="T340" s="365"/>
      <c r="U340" s="6"/>
      <c r="V340" s="6"/>
      <c r="W340" s="366"/>
      <c r="Y340" s="365"/>
      <c r="Z340" s="6"/>
      <c r="AA340" s="6"/>
      <c r="AB340" s="366"/>
      <c r="AD340" s="365"/>
      <c r="AE340" s="6"/>
      <c r="AF340" s="6"/>
      <c r="AG340" s="366"/>
      <c r="AI340" s="365"/>
      <c r="AJ340" s="6"/>
      <c r="AK340" s="6"/>
      <c r="AL340" s="366"/>
      <c r="AN340" s="365"/>
      <c r="AO340" s="6"/>
      <c r="AP340" s="6"/>
      <c r="AQ340" s="366"/>
      <c r="AS340" s="365"/>
      <c r="AT340" s="6"/>
      <c r="AU340" s="6"/>
      <c r="AV340" s="366"/>
      <c r="AX340" s="365"/>
      <c r="AY340" s="6"/>
      <c r="AZ340" s="6"/>
      <c r="BA340" s="366"/>
      <c r="BC340" s="365"/>
      <c r="BD340" s="6"/>
      <c r="BE340" s="6"/>
      <c r="BF340" s="366"/>
      <c r="BH340" s="365"/>
      <c r="BI340" s="6"/>
      <c r="BJ340" s="6"/>
      <c r="BK340" s="366"/>
      <c r="BM340" s="365"/>
      <c r="BN340" s="6"/>
      <c r="BO340" s="6"/>
      <c r="BP340" s="366"/>
    </row>
    <row r="341" spans="1:70" s="2" customFormat="1">
      <c r="A341" s="1523"/>
      <c r="C341" s="37" t="s">
        <v>271</v>
      </c>
      <c r="E341" s="365"/>
      <c r="F341" s="6"/>
      <c r="G341" s="6"/>
      <c r="H341" s="366"/>
      <c r="I341" s="37"/>
      <c r="J341" s="365"/>
      <c r="K341" s="6"/>
      <c r="L341" s="6"/>
      <c r="M341" s="366"/>
      <c r="O341" s="365"/>
      <c r="P341" s="6"/>
      <c r="Q341" s="6"/>
      <c r="R341" s="366"/>
      <c r="T341" s="598"/>
      <c r="U341" s="599"/>
      <c r="V341" s="599"/>
      <c r="W341" s="600"/>
      <c r="X341" s="601"/>
      <c r="Y341" s="598">
        <f t="shared" ref="Y341:BL341" si="321">Y59</f>
        <v>89.765515873015843</v>
      </c>
      <c r="Z341" s="599">
        <f t="shared" si="321"/>
        <v>45.06300781249999</v>
      </c>
      <c r="AA341" s="599">
        <f t="shared" si="321"/>
        <v>54.984013671875005</v>
      </c>
      <c r="AB341" s="600">
        <f t="shared" si="321"/>
        <v>67.341074218749995</v>
      </c>
      <c r="AC341" s="601">
        <f t="shared" si="321"/>
        <v>64.288402894035215</v>
      </c>
      <c r="AD341" s="598">
        <f t="shared" si="321"/>
        <v>167.3350595238096</v>
      </c>
      <c r="AE341" s="599">
        <f t="shared" si="321"/>
        <v>44.335244140625001</v>
      </c>
      <c r="AF341" s="599">
        <f t="shared" si="321"/>
        <v>41.33302734374999</v>
      </c>
      <c r="AG341" s="600">
        <f t="shared" si="321"/>
        <v>48.027636718750003</v>
      </c>
      <c r="AH341" s="601">
        <f t="shared" si="321"/>
        <v>75.257741931733648</v>
      </c>
      <c r="AI341" s="598">
        <f t="shared" si="321"/>
        <v>87.659980158730164</v>
      </c>
      <c r="AJ341" s="599">
        <f t="shared" si="321"/>
        <v>28.370332031249998</v>
      </c>
      <c r="AK341" s="599">
        <f t="shared" si="321"/>
        <v>42.395605769230762</v>
      </c>
      <c r="AL341" s="600">
        <f t="shared" si="321"/>
        <v>33.06513671874999</v>
      </c>
      <c r="AM341" s="601">
        <f t="shared" si="321"/>
        <v>47.872763669490226</v>
      </c>
      <c r="AN341" s="598">
        <f t="shared" si="321"/>
        <v>30.31946289062499</v>
      </c>
      <c r="AO341" s="599">
        <f t="shared" si="321"/>
        <v>28.207148437500003</v>
      </c>
      <c r="AP341" s="599">
        <f t="shared" si="321"/>
        <v>42.730703124999998</v>
      </c>
      <c r="AQ341" s="600">
        <f t="shared" si="321"/>
        <v>38.680972222222231</v>
      </c>
      <c r="AR341" s="601">
        <f t="shared" si="321"/>
        <v>34.984571668836807</v>
      </c>
      <c r="AS341" s="598">
        <f t="shared" si="321"/>
        <v>33.978535156249976</v>
      </c>
      <c r="AT341" s="599">
        <f t="shared" si="321"/>
        <v>33.298916015625025</v>
      </c>
      <c r="AU341" s="599">
        <f t="shared" si="321"/>
        <v>31.712827380952373</v>
      </c>
      <c r="AV341" s="600">
        <f t="shared" si="321"/>
        <v>52.552301587301585</v>
      </c>
      <c r="AW341" s="601">
        <f t="shared" si="321"/>
        <v>37.88564503503224</v>
      </c>
      <c r="AX341" s="598">
        <f t="shared" si="321"/>
        <v>62.437333984375016</v>
      </c>
      <c r="AY341" s="599">
        <f t="shared" si="321"/>
        <v>32.65</v>
      </c>
      <c r="AZ341" s="599">
        <f>AZ59</f>
        <v>35.383333333333326</v>
      </c>
      <c r="BA341" s="600">
        <f t="shared" si="321"/>
        <v>42.35</v>
      </c>
      <c r="BB341" s="601">
        <f t="shared" si="321"/>
        <v>43.205166829427085</v>
      </c>
      <c r="BC341" s="598">
        <f t="shared" si="321"/>
        <v>73.199444871908241</v>
      </c>
      <c r="BD341" s="599">
        <f t="shared" si="321"/>
        <v>31.598138616301913</v>
      </c>
      <c r="BE341" s="599">
        <f t="shared" si="321"/>
        <v>36.852856695587477</v>
      </c>
      <c r="BF341" s="600">
        <f t="shared" si="321"/>
        <v>38.566226482602353</v>
      </c>
      <c r="BG341" s="601">
        <f t="shared" si="321"/>
        <v>45.054166666599997</v>
      </c>
      <c r="BH341" s="598">
        <f t="shared" si="321"/>
        <v>73.199444871908241</v>
      </c>
      <c r="BI341" s="599">
        <f t="shared" si="321"/>
        <v>31.598138616301917</v>
      </c>
      <c r="BJ341" s="599">
        <f t="shared" si="321"/>
        <v>36.852856695587484</v>
      </c>
      <c r="BK341" s="600">
        <f t="shared" si="321"/>
        <v>38.566226482602353</v>
      </c>
      <c r="BL341" s="601">
        <f t="shared" si="321"/>
        <v>45.054166666600004</v>
      </c>
      <c r="BM341" s="598">
        <f>BM59</f>
        <v>69.866716832296532</v>
      </c>
      <c r="BN341" s="599">
        <f>BN59</f>
        <v>34.017180604094122</v>
      </c>
      <c r="BO341" s="599">
        <f>BO59</f>
        <v>39.124429437830933</v>
      </c>
      <c r="BP341" s="600">
        <f>BP59</f>
        <v>35.892640580422331</v>
      </c>
      <c r="BQ341" s="601">
        <f>BQ59</f>
        <v>44.725241863660976</v>
      </c>
    </row>
    <row r="342" spans="1:70" s="2" customFormat="1">
      <c r="A342" s="1523"/>
      <c r="C342" s="37" t="s">
        <v>266</v>
      </c>
      <c r="E342" s="365"/>
      <c r="F342" s="6"/>
      <c r="G342" s="6"/>
      <c r="H342" s="366"/>
      <c r="I342" s="733">
        <v>0</v>
      </c>
      <c r="J342" s="365"/>
      <c r="K342" s="6"/>
      <c r="L342" s="6"/>
      <c r="M342" s="366"/>
      <c r="O342" s="365"/>
      <c r="P342" s="6"/>
      <c r="Q342" s="6"/>
      <c r="R342" s="366"/>
      <c r="T342" s="598"/>
      <c r="U342" s="599"/>
      <c r="V342" s="599"/>
      <c r="W342" s="600"/>
      <c r="X342" s="601"/>
      <c r="Y342" s="598">
        <f t="shared" ref="Y342:AR342" si="322">X342</f>
        <v>0</v>
      </c>
      <c r="Z342" s="599">
        <f t="shared" si="322"/>
        <v>0</v>
      </c>
      <c r="AA342" s="599">
        <f t="shared" si="322"/>
        <v>0</v>
      </c>
      <c r="AB342" s="600">
        <f t="shared" si="322"/>
        <v>0</v>
      </c>
      <c r="AC342" s="601">
        <f t="shared" si="322"/>
        <v>0</v>
      </c>
      <c r="AD342" s="598">
        <f>AC342</f>
        <v>0</v>
      </c>
      <c r="AE342" s="599">
        <f>AD342</f>
        <v>0</v>
      </c>
      <c r="AF342" s="599">
        <f t="shared" si="322"/>
        <v>0</v>
      </c>
      <c r="AG342" s="600">
        <f t="shared" si="322"/>
        <v>0</v>
      </c>
      <c r="AH342" s="601">
        <f t="shared" si="322"/>
        <v>0</v>
      </c>
      <c r="AI342" s="598">
        <f t="shared" si="322"/>
        <v>0</v>
      </c>
      <c r="AJ342" s="599">
        <f t="shared" si="322"/>
        <v>0</v>
      </c>
      <c r="AK342" s="599">
        <f t="shared" si="322"/>
        <v>0</v>
      </c>
      <c r="AL342" s="600">
        <f t="shared" si="322"/>
        <v>0</v>
      </c>
      <c r="AM342" s="601">
        <f t="shared" si="322"/>
        <v>0</v>
      </c>
      <c r="AN342" s="598">
        <f t="shared" si="322"/>
        <v>0</v>
      </c>
      <c r="AO342" s="599">
        <f t="shared" si="322"/>
        <v>0</v>
      </c>
      <c r="AP342" s="599">
        <f t="shared" si="322"/>
        <v>0</v>
      </c>
      <c r="AQ342" s="600">
        <f t="shared" si="322"/>
        <v>0</v>
      </c>
      <c r="AR342" s="601">
        <f t="shared" si="322"/>
        <v>0</v>
      </c>
      <c r="AS342" s="598">
        <f t="shared" ref="AS342:BB342" si="323">AR342</f>
        <v>0</v>
      </c>
      <c r="AT342" s="599">
        <f t="shared" si="323"/>
        <v>0</v>
      </c>
      <c r="AU342" s="599">
        <f t="shared" si="323"/>
        <v>0</v>
      </c>
      <c r="AV342" s="600">
        <f t="shared" si="323"/>
        <v>0</v>
      </c>
      <c r="AW342" s="601">
        <f t="shared" si="323"/>
        <v>0</v>
      </c>
      <c r="AX342" s="598">
        <f>AW342</f>
        <v>0</v>
      </c>
      <c r="AY342" s="599">
        <f>AX342</f>
        <v>0</v>
      </c>
      <c r="AZ342" s="599">
        <f>AY342</f>
        <v>0</v>
      </c>
      <c r="BA342" s="600">
        <f>AY342</f>
        <v>0</v>
      </c>
      <c r="BB342" s="601">
        <f t="shared" si="323"/>
        <v>0</v>
      </c>
      <c r="BC342" s="598">
        <f t="shared" ref="BC342:BL342" si="324">BB342</f>
        <v>0</v>
      </c>
      <c r="BD342" s="599">
        <f t="shared" si="324"/>
        <v>0</v>
      </c>
      <c r="BE342" s="599">
        <f t="shared" si="324"/>
        <v>0</v>
      </c>
      <c r="BF342" s="600">
        <f t="shared" si="324"/>
        <v>0</v>
      </c>
      <c r="BG342" s="601">
        <f t="shared" si="324"/>
        <v>0</v>
      </c>
      <c r="BH342" s="598">
        <f t="shared" si="324"/>
        <v>0</v>
      </c>
      <c r="BI342" s="599">
        <f t="shared" si="324"/>
        <v>0</v>
      </c>
      <c r="BJ342" s="599">
        <f t="shared" si="324"/>
        <v>0</v>
      </c>
      <c r="BK342" s="600">
        <f t="shared" si="324"/>
        <v>0</v>
      </c>
      <c r="BL342" s="601">
        <f t="shared" si="324"/>
        <v>0</v>
      </c>
      <c r="BM342" s="598">
        <f>BL342</f>
        <v>0</v>
      </c>
      <c r="BN342" s="599">
        <f>BM342</f>
        <v>0</v>
      </c>
      <c r="BO342" s="599">
        <f>BN342</f>
        <v>0</v>
      </c>
      <c r="BP342" s="600">
        <f>BO342</f>
        <v>0</v>
      </c>
      <c r="BQ342" s="601">
        <f>BP342</f>
        <v>0</v>
      </c>
    </row>
    <row r="343" spans="1:70" s="297" customFormat="1">
      <c r="A343" s="1523"/>
      <c r="B343" s="2"/>
      <c r="C343" s="2"/>
      <c r="D343" s="2"/>
      <c r="E343" s="365"/>
      <c r="F343" s="6"/>
      <c r="G343" s="6"/>
      <c r="H343" s="366"/>
      <c r="I343" s="37"/>
      <c r="J343" s="365"/>
      <c r="K343" s="6"/>
      <c r="L343" s="6"/>
      <c r="M343" s="366"/>
      <c r="N343" s="2"/>
      <c r="O343" s="365"/>
      <c r="P343" s="6"/>
      <c r="Q343" s="6"/>
      <c r="R343" s="366"/>
      <c r="S343" s="2"/>
      <c r="T343" s="365"/>
      <c r="U343" s="6"/>
      <c r="V343" s="6"/>
      <c r="W343" s="366"/>
      <c r="X343" s="2"/>
      <c r="Y343" s="365"/>
      <c r="Z343" s="6"/>
      <c r="AA343" s="6"/>
      <c r="AB343" s="366"/>
      <c r="AC343" s="2"/>
      <c r="AD343" s="365"/>
      <c r="AE343" s="6"/>
      <c r="AF343" s="6"/>
      <c r="AG343" s="366"/>
      <c r="AH343" s="2"/>
      <c r="AI343" s="365"/>
      <c r="AJ343" s="6"/>
      <c r="AK343" s="6"/>
      <c r="AL343" s="366"/>
      <c r="AM343" s="2"/>
      <c r="AN343" s="365"/>
      <c r="AO343" s="6"/>
      <c r="AP343" s="6"/>
      <c r="AQ343" s="366"/>
      <c r="AR343" s="2"/>
      <c r="AS343" s="365"/>
      <c r="AT343" s="6"/>
      <c r="AU343" s="6"/>
      <c r="AV343" s="366"/>
      <c r="AW343" s="2"/>
      <c r="AX343" s="365"/>
      <c r="AY343" s="6"/>
      <c r="AZ343" s="6"/>
      <c r="BA343" s="366"/>
      <c r="BB343" s="2"/>
      <c r="BC343" s="365"/>
      <c r="BD343" s="6"/>
      <c r="BE343" s="6"/>
      <c r="BF343" s="366"/>
      <c r="BG343" s="2"/>
      <c r="BH343" s="365"/>
      <c r="BI343" s="6"/>
      <c r="BJ343" s="6"/>
      <c r="BK343" s="366"/>
      <c r="BL343" s="2"/>
      <c r="BM343" s="365"/>
      <c r="BN343" s="6"/>
      <c r="BO343" s="6"/>
      <c r="BP343" s="366"/>
      <c r="BQ343" s="2"/>
      <c r="BR343" s="2"/>
    </row>
    <row r="344" spans="1:70" s="2" customFormat="1">
      <c r="A344" s="49"/>
      <c r="B344" s="49"/>
      <c r="C344" s="49" t="s">
        <v>267</v>
      </c>
      <c r="D344" s="297"/>
      <c r="E344" s="396"/>
      <c r="F344" s="343"/>
      <c r="G344" s="343"/>
      <c r="H344" s="397"/>
      <c r="I344" s="725">
        <f>448+17</f>
        <v>465</v>
      </c>
      <c r="J344" s="396"/>
      <c r="K344" s="343"/>
      <c r="L344" s="343"/>
      <c r="M344" s="397"/>
      <c r="N344" s="297"/>
      <c r="O344" s="396"/>
      <c r="P344" s="343"/>
      <c r="Q344" s="343"/>
      <c r="R344" s="397"/>
      <c r="S344" s="297"/>
      <c r="T344" s="396"/>
      <c r="U344" s="343"/>
      <c r="V344" s="343"/>
      <c r="W344" s="397"/>
      <c r="X344" s="297"/>
      <c r="Y344" s="396">
        <f>I344</f>
        <v>465</v>
      </c>
      <c r="Z344" s="343">
        <f>Y344</f>
        <v>465</v>
      </c>
      <c r="AA344" s="343">
        <f>Z344</f>
        <v>465</v>
      </c>
      <c r="AB344" s="397">
        <f>AA344</f>
        <v>465</v>
      </c>
      <c r="AC344" s="297">
        <f>AB344</f>
        <v>465</v>
      </c>
      <c r="AD344" s="396">
        <f>I344</f>
        <v>465</v>
      </c>
      <c r="AE344" s="343">
        <f>AD344</f>
        <v>465</v>
      </c>
      <c r="AF344" s="343">
        <f t="shared" ref="AF344:AR344" si="325">AE344</f>
        <v>465</v>
      </c>
      <c r="AG344" s="397">
        <f t="shared" si="325"/>
        <v>465</v>
      </c>
      <c r="AH344" s="297">
        <f t="shared" si="325"/>
        <v>465</v>
      </c>
      <c r="AI344" s="396">
        <f t="shared" si="325"/>
        <v>465</v>
      </c>
      <c r="AJ344" s="343">
        <f t="shared" si="325"/>
        <v>465</v>
      </c>
      <c r="AK344" s="343">
        <f t="shared" si="325"/>
        <v>465</v>
      </c>
      <c r="AL344" s="397">
        <f t="shared" si="325"/>
        <v>465</v>
      </c>
      <c r="AM344" s="297">
        <f t="shared" si="325"/>
        <v>465</v>
      </c>
      <c r="AN344" s="396">
        <f t="shared" si="325"/>
        <v>465</v>
      </c>
      <c r="AO344" s="343">
        <f t="shared" si="325"/>
        <v>465</v>
      </c>
      <c r="AP344" s="343">
        <f t="shared" si="325"/>
        <v>465</v>
      </c>
      <c r="AQ344" s="397">
        <f t="shared" si="325"/>
        <v>465</v>
      </c>
      <c r="AR344" s="297">
        <f t="shared" si="325"/>
        <v>465</v>
      </c>
      <c r="AS344" s="396">
        <f t="shared" ref="AS344:BB344" si="326">AR344</f>
        <v>465</v>
      </c>
      <c r="AT344" s="343">
        <f t="shared" si="326"/>
        <v>465</v>
      </c>
      <c r="AU344" s="343">
        <f t="shared" si="326"/>
        <v>465</v>
      </c>
      <c r="AV344" s="397">
        <f t="shared" si="326"/>
        <v>465</v>
      </c>
      <c r="AW344" s="297">
        <f t="shared" si="326"/>
        <v>465</v>
      </c>
      <c r="AX344" s="396">
        <f>AW344</f>
        <v>465</v>
      </c>
      <c r="AY344" s="343">
        <f>AX344</f>
        <v>465</v>
      </c>
      <c r="AZ344" s="343">
        <f>AY344</f>
        <v>465</v>
      </c>
      <c r="BA344" s="397">
        <f>AY344</f>
        <v>465</v>
      </c>
      <c r="BB344" s="297">
        <f t="shared" si="326"/>
        <v>465</v>
      </c>
      <c r="BC344" s="396">
        <f t="shared" ref="BC344:BL344" si="327">BB344</f>
        <v>465</v>
      </c>
      <c r="BD344" s="343">
        <f t="shared" si="327"/>
        <v>465</v>
      </c>
      <c r="BE344" s="343">
        <f t="shared" si="327"/>
        <v>465</v>
      </c>
      <c r="BF344" s="397">
        <f t="shared" si="327"/>
        <v>465</v>
      </c>
      <c r="BG344" s="297">
        <f t="shared" si="327"/>
        <v>465</v>
      </c>
      <c r="BH344" s="396">
        <f t="shared" si="327"/>
        <v>465</v>
      </c>
      <c r="BI344" s="343">
        <f t="shared" si="327"/>
        <v>465</v>
      </c>
      <c r="BJ344" s="343">
        <f t="shared" si="327"/>
        <v>465</v>
      </c>
      <c r="BK344" s="397">
        <f t="shared" si="327"/>
        <v>465</v>
      </c>
      <c r="BL344" s="297">
        <f t="shared" si="327"/>
        <v>465</v>
      </c>
      <c r="BM344" s="396">
        <f>BL344</f>
        <v>465</v>
      </c>
      <c r="BN344" s="343">
        <f>BM344</f>
        <v>465</v>
      </c>
      <c r="BO344" s="343">
        <f>BN344</f>
        <v>465</v>
      </c>
      <c r="BP344" s="397">
        <f>BO344</f>
        <v>465</v>
      </c>
      <c r="BQ344" s="297">
        <f>BP344</f>
        <v>465</v>
      </c>
      <c r="BR344" s="297"/>
    </row>
    <row r="345" spans="1:70" s="2" customFormat="1">
      <c r="A345" s="1523"/>
      <c r="E345" s="365"/>
      <c r="F345" s="6"/>
      <c r="G345" s="6"/>
      <c r="H345" s="366"/>
      <c r="I345" s="37"/>
      <c r="J345" s="365"/>
      <c r="K345" s="6"/>
      <c r="L345" s="6"/>
      <c r="M345" s="366"/>
      <c r="O345" s="365"/>
      <c r="P345" s="6"/>
      <c r="Q345" s="6"/>
      <c r="R345" s="366"/>
      <c r="T345" s="365"/>
      <c r="U345" s="6"/>
      <c r="V345" s="6"/>
      <c r="W345" s="366"/>
      <c r="Y345" s="365"/>
      <c r="Z345" s="6"/>
      <c r="AA345" s="6"/>
      <c r="AB345" s="366"/>
      <c r="AD345" s="365"/>
      <c r="AE345" s="6"/>
      <c r="AF345" s="6"/>
      <c r="AG345" s="366"/>
      <c r="AI345" s="365"/>
      <c r="AJ345" s="6"/>
      <c r="AK345" s="6"/>
      <c r="AL345" s="366"/>
      <c r="AN345" s="365"/>
      <c r="AO345" s="6"/>
      <c r="AP345" s="6"/>
      <c r="AQ345" s="366"/>
      <c r="AS345" s="365"/>
      <c r="AT345" s="6"/>
      <c r="AU345" s="6"/>
      <c r="AV345" s="366"/>
      <c r="AX345" s="365"/>
      <c r="AY345" s="6"/>
      <c r="AZ345" s="6"/>
      <c r="BA345" s="366"/>
      <c r="BC345" s="365"/>
      <c r="BD345" s="6"/>
      <c r="BE345" s="6"/>
      <c r="BF345" s="366"/>
      <c r="BH345" s="365"/>
      <c r="BI345" s="6"/>
      <c r="BJ345" s="6"/>
      <c r="BK345" s="366"/>
      <c r="BM345" s="365"/>
      <c r="BN345" s="6"/>
      <c r="BO345" s="6"/>
      <c r="BP345" s="366"/>
    </row>
    <row r="346" spans="1:70" s="49" customFormat="1">
      <c r="A346" s="1523"/>
      <c r="B346" s="2"/>
      <c r="C346" s="37" t="s">
        <v>268</v>
      </c>
      <c r="D346" s="2"/>
      <c r="E346" s="365"/>
      <c r="F346" s="6"/>
      <c r="G346" s="6"/>
      <c r="H346" s="366"/>
      <c r="I346" s="726">
        <v>0</v>
      </c>
      <c r="J346" s="365"/>
      <c r="K346" s="6"/>
      <c r="L346" s="6"/>
      <c r="M346" s="366"/>
      <c r="N346" s="2"/>
      <c r="O346" s="365"/>
      <c r="P346" s="6"/>
      <c r="Q346" s="6"/>
      <c r="R346" s="366"/>
      <c r="S346" s="293"/>
      <c r="T346" s="376"/>
      <c r="U346" s="334"/>
      <c r="V346" s="334"/>
      <c r="W346" s="377"/>
      <c r="X346" s="293"/>
      <c r="Y346" s="376">
        <f>I346</f>
        <v>0</v>
      </c>
      <c r="Z346" s="334">
        <f t="shared" ref="Z346:AR346" si="328">Y346</f>
        <v>0</v>
      </c>
      <c r="AA346" s="334">
        <f t="shared" si="328"/>
        <v>0</v>
      </c>
      <c r="AB346" s="377">
        <f t="shared" si="328"/>
        <v>0</v>
      </c>
      <c r="AC346" s="293">
        <f t="shared" si="328"/>
        <v>0</v>
      </c>
      <c r="AD346" s="376">
        <f>I346</f>
        <v>0</v>
      </c>
      <c r="AE346" s="334">
        <f>AD346</f>
        <v>0</v>
      </c>
      <c r="AF346" s="334">
        <f t="shared" si="328"/>
        <v>0</v>
      </c>
      <c r="AG346" s="377">
        <f t="shared" si="328"/>
        <v>0</v>
      </c>
      <c r="AH346" s="293">
        <f t="shared" si="328"/>
        <v>0</v>
      </c>
      <c r="AI346" s="376">
        <f t="shared" si="328"/>
        <v>0</v>
      </c>
      <c r="AJ346" s="334">
        <f t="shared" si="328"/>
        <v>0</v>
      </c>
      <c r="AK346" s="334">
        <f t="shared" si="328"/>
        <v>0</v>
      </c>
      <c r="AL346" s="377">
        <f t="shared" si="328"/>
        <v>0</v>
      </c>
      <c r="AM346" s="293">
        <f t="shared" si="328"/>
        <v>0</v>
      </c>
      <c r="AN346" s="376">
        <f t="shared" si="328"/>
        <v>0</v>
      </c>
      <c r="AO346" s="334">
        <f t="shared" si="328"/>
        <v>0</v>
      </c>
      <c r="AP346" s="334">
        <f t="shared" si="328"/>
        <v>0</v>
      </c>
      <c r="AQ346" s="377">
        <f t="shared" si="328"/>
        <v>0</v>
      </c>
      <c r="AR346" s="293">
        <f t="shared" si="328"/>
        <v>0</v>
      </c>
      <c r="AS346" s="376">
        <f t="shared" ref="AS346:BB346" si="329">AR346</f>
        <v>0</v>
      </c>
      <c r="AT346" s="334">
        <f t="shared" si="329"/>
        <v>0</v>
      </c>
      <c r="AU346" s="334">
        <f t="shared" si="329"/>
        <v>0</v>
      </c>
      <c r="AV346" s="377">
        <f t="shared" si="329"/>
        <v>0</v>
      </c>
      <c r="AW346" s="293">
        <f t="shared" si="329"/>
        <v>0</v>
      </c>
      <c r="AX346" s="376">
        <f>AW346</f>
        <v>0</v>
      </c>
      <c r="AY346" s="334">
        <f>AX346</f>
        <v>0</v>
      </c>
      <c r="AZ346" s="334">
        <f>AY346</f>
        <v>0</v>
      </c>
      <c r="BA346" s="377">
        <f>AY346</f>
        <v>0</v>
      </c>
      <c r="BB346" s="293">
        <f t="shared" si="329"/>
        <v>0</v>
      </c>
      <c r="BC346" s="376">
        <f t="shared" ref="BC346:BL346" si="330">BB346</f>
        <v>0</v>
      </c>
      <c r="BD346" s="334">
        <f t="shared" si="330"/>
        <v>0</v>
      </c>
      <c r="BE346" s="334">
        <f t="shared" si="330"/>
        <v>0</v>
      </c>
      <c r="BF346" s="377">
        <f t="shared" si="330"/>
        <v>0</v>
      </c>
      <c r="BG346" s="293">
        <f t="shared" si="330"/>
        <v>0</v>
      </c>
      <c r="BH346" s="376">
        <f t="shared" si="330"/>
        <v>0</v>
      </c>
      <c r="BI346" s="334">
        <f t="shared" si="330"/>
        <v>0</v>
      </c>
      <c r="BJ346" s="334">
        <f t="shared" si="330"/>
        <v>0</v>
      </c>
      <c r="BK346" s="377">
        <f t="shared" si="330"/>
        <v>0</v>
      </c>
      <c r="BL346" s="293">
        <f t="shared" si="330"/>
        <v>0</v>
      </c>
      <c r="BM346" s="376">
        <f>BL346</f>
        <v>0</v>
      </c>
      <c r="BN346" s="334">
        <f>BM346</f>
        <v>0</v>
      </c>
      <c r="BO346" s="334">
        <f>BN346</f>
        <v>0</v>
      </c>
      <c r="BP346" s="377">
        <f>BO346</f>
        <v>0</v>
      </c>
      <c r="BQ346" s="293">
        <f>BP346</f>
        <v>0</v>
      </c>
      <c r="BR346" s="2"/>
    </row>
    <row r="347" spans="1:70" s="2" customFormat="1">
      <c r="A347" s="49"/>
      <c r="B347" s="49"/>
      <c r="C347" s="49" t="s">
        <v>269</v>
      </c>
      <c r="D347" s="49"/>
      <c r="E347" s="663"/>
      <c r="F347" s="468"/>
      <c r="G347" s="468"/>
      <c r="H347" s="664"/>
      <c r="I347" s="49"/>
      <c r="J347" s="663"/>
      <c r="K347" s="468"/>
      <c r="L347" s="468"/>
      <c r="M347" s="664"/>
      <c r="N347" s="49"/>
      <c r="O347" s="663"/>
      <c r="P347" s="468"/>
      <c r="Q347" s="468"/>
      <c r="R347" s="664"/>
      <c r="S347" s="49"/>
      <c r="T347" s="407"/>
      <c r="U347" s="349"/>
      <c r="V347" s="349"/>
      <c r="W347" s="408"/>
      <c r="X347" s="608"/>
      <c r="Y347" s="407">
        <f>(Y344*Y346*(8760/1000))/4</f>
        <v>0</v>
      </c>
      <c r="Z347" s="349">
        <f>(Z344*Z346*(8760/1000))/4</f>
        <v>0</v>
      </c>
      <c r="AA347" s="349">
        <f>(AA344*AA346*(8760/1000))/4</f>
        <v>0</v>
      </c>
      <c r="AB347" s="408">
        <f>(AB344*AB346*(8760/1000))/4</f>
        <v>0</v>
      </c>
      <c r="AC347" s="608">
        <f>SUM(Y347:AB347)</f>
        <v>0</v>
      </c>
      <c r="AD347" s="407">
        <f>(AD344*AD346*(8760/1000))/4</f>
        <v>0</v>
      </c>
      <c r="AE347" s="349">
        <f>(AE344*AE346*(8760/1000))/4</f>
        <v>0</v>
      </c>
      <c r="AF347" s="349">
        <f>(AF344*AF346*(8760/1000))/4</f>
        <v>0</v>
      </c>
      <c r="AG347" s="408">
        <f>(AG344*AG346*(8760/1000))/4</f>
        <v>0</v>
      </c>
      <c r="AH347" s="608">
        <f>SUM(AD347:AG347)</f>
        <v>0</v>
      </c>
      <c r="AI347" s="407">
        <f>(AI344*AI346*(8760/1000))/4</f>
        <v>0</v>
      </c>
      <c r="AJ347" s="349">
        <f>(AJ344*AJ346*(8760/1000))/4</f>
        <v>0</v>
      </c>
      <c r="AK347" s="349">
        <f>(AK344*AK346*(8760/1000))/4</f>
        <v>0</v>
      </c>
      <c r="AL347" s="408">
        <f>(AL344*AL346*(8760/1000))/4</f>
        <v>0</v>
      </c>
      <c r="AM347" s="608">
        <f>SUM(AI347:AL347)</f>
        <v>0</v>
      </c>
      <c r="AN347" s="407">
        <f>(AN344*AN346*(8760/1000))/4</f>
        <v>0</v>
      </c>
      <c r="AO347" s="349">
        <f>(AO344*AO346*(8760/1000))/4</f>
        <v>0</v>
      </c>
      <c r="AP347" s="349">
        <f>(AP344*AP346*(8760/1000))/4</f>
        <v>0</v>
      </c>
      <c r="AQ347" s="408">
        <f>(AQ344*AQ346*(8760/1000))/4</f>
        <v>0</v>
      </c>
      <c r="AR347" s="608">
        <f>SUM(AN347:AQ347)</f>
        <v>0</v>
      </c>
      <c r="AS347" s="407">
        <f>(AS344*AS346*(8760/1000))/4</f>
        <v>0</v>
      </c>
      <c r="AT347" s="349">
        <f>(AT344*AT346*(8760/1000))/4</f>
        <v>0</v>
      </c>
      <c r="AU347" s="349">
        <f>(AU344*AU346*(8760/1000))/4</f>
        <v>0</v>
      </c>
      <c r="AV347" s="408">
        <f>(AV344*AV346*(8760/1000))/4</f>
        <v>0</v>
      </c>
      <c r="AW347" s="608">
        <f>SUM(AS347:AV347)</f>
        <v>0</v>
      </c>
      <c r="AX347" s="407">
        <f>(AX344*AX346*(8760/1000))/4</f>
        <v>0</v>
      </c>
      <c r="AY347" s="349">
        <f>(AY344*AY346*(8760/1000))/4</f>
        <v>0</v>
      </c>
      <c r="AZ347" s="349">
        <f>(AZ344*AZ346*(8760/1000))/4</f>
        <v>0</v>
      </c>
      <c r="BA347" s="408">
        <f>(BA344*BA346*(8760/1000))/4</f>
        <v>0</v>
      </c>
      <c r="BB347" s="608">
        <f>SUM(AX347:BA347)</f>
        <v>0</v>
      </c>
      <c r="BC347" s="407">
        <f>(BC344*BC346*(8760/1000))/4</f>
        <v>0</v>
      </c>
      <c r="BD347" s="349">
        <f>(BD344*BD346*(8760/1000))/4</f>
        <v>0</v>
      </c>
      <c r="BE347" s="349">
        <f>(BE344*BE346*(8760/1000))/4</f>
        <v>0</v>
      </c>
      <c r="BF347" s="408">
        <f>(BF344*BF346*(8760/1000))/4</f>
        <v>0</v>
      </c>
      <c r="BG347" s="608">
        <f>SUM(BC347:BF347)</f>
        <v>0</v>
      </c>
      <c r="BH347" s="407">
        <f>(BH344*BH346*(8760/1000))/4</f>
        <v>0</v>
      </c>
      <c r="BI347" s="349">
        <f>(BI344*BI346*(8760/1000))/4</f>
        <v>0</v>
      </c>
      <c r="BJ347" s="349">
        <f>(BJ344*BJ346*(8760/1000))/4</f>
        <v>0</v>
      </c>
      <c r="BK347" s="408">
        <f>(BK344*BK346*(8760/1000))/4</f>
        <v>0</v>
      </c>
      <c r="BL347" s="608">
        <f>SUM(BH347:BK347)</f>
        <v>0</v>
      </c>
      <c r="BM347" s="407">
        <f>(BM344*BM346*(8760/1000))/4</f>
        <v>0</v>
      </c>
      <c r="BN347" s="349">
        <f>(BN344*BN346*(8760/1000))/4</f>
        <v>0</v>
      </c>
      <c r="BO347" s="349">
        <f>(BO344*BO346*(8760/1000))/4</f>
        <v>0</v>
      </c>
      <c r="BP347" s="408">
        <f>(BP344*BP346*(8760/1000))/4</f>
        <v>0</v>
      </c>
      <c r="BQ347" s="608">
        <f>SUM(BM347:BP347)</f>
        <v>0</v>
      </c>
      <c r="BR347" s="49"/>
    </row>
    <row r="348" spans="1:70" s="2" customFormat="1">
      <c r="A348" s="1523"/>
      <c r="E348" s="365"/>
      <c r="F348" s="6"/>
      <c r="G348" s="6"/>
      <c r="H348" s="366"/>
      <c r="I348" s="37"/>
      <c r="J348" s="365"/>
      <c r="K348" s="6"/>
      <c r="L348" s="6"/>
      <c r="M348" s="366"/>
      <c r="O348" s="365"/>
      <c r="P348" s="6"/>
      <c r="Q348" s="6"/>
      <c r="R348" s="366"/>
      <c r="T348" s="365"/>
      <c r="U348" s="6"/>
      <c r="V348" s="6"/>
      <c r="W348" s="366"/>
      <c r="Y348" s="365"/>
      <c r="Z348" s="6"/>
      <c r="AA348" s="6"/>
      <c r="AB348" s="366"/>
      <c r="AD348" s="365"/>
      <c r="AE348" s="6"/>
      <c r="AF348" s="6"/>
      <c r="AG348" s="366"/>
      <c r="AI348" s="365"/>
      <c r="AJ348" s="6"/>
      <c r="AK348" s="6"/>
      <c r="AL348" s="366"/>
      <c r="AN348" s="365"/>
      <c r="AO348" s="6"/>
      <c r="AP348" s="6"/>
      <c r="AQ348" s="366"/>
      <c r="AS348" s="365"/>
      <c r="AT348" s="6"/>
      <c r="AU348" s="6"/>
      <c r="AV348" s="366"/>
      <c r="AX348" s="365"/>
      <c r="AY348" s="6"/>
      <c r="AZ348" s="6"/>
      <c r="BA348" s="366"/>
      <c r="BC348" s="365"/>
      <c r="BD348" s="6"/>
      <c r="BE348" s="6"/>
      <c r="BF348" s="366"/>
      <c r="BH348" s="365"/>
      <c r="BI348" s="6"/>
      <c r="BJ348" s="6"/>
      <c r="BK348" s="366"/>
      <c r="BM348" s="365"/>
      <c r="BN348" s="6"/>
      <c r="BO348" s="6"/>
      <c r="BP348" s="366"/>
    </row>
    <row r="349" spans="1:70" s="2" customFormat="1">
      <c r="A349" s="1523"/>
      <c r="C349" s="37" t="s">
        <v>663</v>
      </c>
      <c r="E349" s="365"/>
      <c r="F349" s="6"/>
      <c r="G349" s="6"/>
      <c r="H349" s="366"/>
      <c r="I349" s="37"/>
      <c r="J349" s="365"/>
      <c r="K349" s="6"/>
      <c r="L349" s="6"/>
      <c r="M349" s="366"/>
      <c r="O349" s="365"/>
      <c r="P349" s="6"/>
      <c r="Q349" s="6"/>
      <c r="R349" s="366"/>
      <c r="T349" s="392"/>
      <c r="U349" s="341"/>
      <c r="V349" s="341"/>
      <c r="W349" s="393"/>
      <c r="X349" s="296"/>
      <c r="Y349" s="392">
        <f>(Y341/1000*Y347)</f>
        <v>0</v>
      </c>
      <c r="Z349" s="341">
        <f>(Z341/1000*Z347)</f>
        <v>0</v>
      </c>
      <c r="AA349" s="341">
        <f>(AA341/1000*AA347)</f>
        <v>0</v>
      </c>
      <c r="AB349" s="393">
        <f>(AB341/1000*AB347)</f>
        <v>0</v>
      </c>
      <c r="AC349" s="296">
        <f>SUM(Y349:AB349)</f>
        <v>0</v>
      </c>
      <c r="AD349" s="392">
        <f>(AD341/1000*AD347)</f>
        <v>0</v>
      </c>
      <c r="AE349" s="341">
        <f>(AE341/1000*AE347)</f>
        <v>0</v>
      </c>
      <c r="AF349" s="341">
        <f>(AF341/1000*AF347)</f>
        <v>0</v>
      </c>
      <c r="AG349" s="393">
        <f>(AG341/1000*AG347)</f>
        <v>0</v>
      </c>
      <c r="AH349" s="296">
        <f>SUM(AD349:AG349)</f>
        <v>0</v>
      </c>
      <c r="AI349" s="392">
        <f>(AI341/1000*AI347)</f>
        <v>0</v>
      </c>
      <c r="AJ349" s="341">
        <f>(AJ341/1000*AJ347)</f>
        <v>0</v>
      </c>
      <c r="AK349" s="341">
        <f>(AK341/1000*AK347)</f>
        <v>0</v>
      </c>
      <c r="AL349" s="393">
        <f>(AL341/1000*AL347)</f>
        <v>0</v>
      </c>
      <c r="AM349" s="296">
        <f>SUM(AI349:AL349)</f>
        <v>0</v>
      </c>
      <c r="AN349" s="392">
        <f>(AN341/1000*AN347)</f>
        <v>0</v>
      </c>
      <c r="AO349" s="341">
        <f>(AO341/1000*AO347)</f>
        <v>0</v>
      </c>
      <c r="AP349" s="341">
        <f>(AP341/1000*AP347)</f>
        <v>0</v>
      </c>
      <c r="AQ349" s="393">
        <f>(AQ341/1000*AQ347)</f>
        <v>0</v>
      </c>
      <c r="AR349" s="296">
        <f>SUM(AN349:AQ349)</f>
        <v>0</v>
      </c>
      <c r="AS349" s="392">
        <f>(AS341/1000*AS347)</f>
        <v>0</v>
      </c>
      <c r="AT349" s="341">
        <f>(AT341/1000*AT347)</f>
        <v>0</v>
      </c>
      <c r="AU349" s="341">
        <f>(AU341/1000*AU347)</f>
        <v>0</v>
      </c>
      <c r="AV349" s="393">
        <f>(AV341/1000*AV347)</f>
        <v>0</v>
      </c>
      <c r="AW349" s="296">
        <f>SUM(AS349:AV349)</f>
        <v>0</v>
      </c>
      <c r="AX349" s="392">
        <f>(AX341/1000*AX347)</f>
        <v>0</v>
      </c>
      <c r="AY349" s="341">
        <f>(AY341/1000*AY347)</f>
        <v>0</v>
      </c>
      <c r="AZ349" s="341">
        <f>(AZ341/1000*AZ347)</f>
        <v>0</v>
      </c>
      <c r="BA349" s="393">
        <f>(BA341/1000*BA347)</f>
        <v>0</v>
      </c>
      <c r="BB349" s="296">
        <f>SUM(AX349:BA349)</f>
        <v>0</v>
      </c>
      <c r="BC349" s="392">
        <f>(BC341/1000*BC347)</f>
        <v>0</v>
      </c>
      <c r="BD349" s="341">
        <f>(BD341/1000*BD347)</f>
        <v>0</v>
      </c>
      <c r="BE349" s="341">
        <f>(BE341/1000*BE347)</f>
        <v>0</v>
      </c>
      <c r="BF349" s="393">
        <f>(BF341/1000*BF347)</f>
        <v>0</v>
      </c>
      <c r="BG349" s="296">
        <f>SUM(BC349:BF349)</f>
        <v>0</v>
      </c>
      <c r="BH349" s="392">
        <f>(BH341/1000*BH347)</f>
        <v>0</v>
      </c>
      <c r="BI349" s="341">
        <f>(BI341/1000*BI347)</f>
        <v>0</v>
      </c>
      <c r="BJ349" s="341">
        <f>(BJ341/1000*BJ347)</f>
        <v>0</v>
      </c>
      <c r="BK349" s="393">
        <f>(BK341/1000*BK347)</f>
        <v>0</v>
      </c>
      <c r="BL349" s="296">
        <f>SUM(BH349:BK349)</f>
        <v>0</v>
      </c>
      <c r="BM349" s="392">
        <f>(BM341/1000*BM347)</f>
        <v>0</v>
      </c>
      <c r="BN349" s="341">
        <f>(BN341/1000*BN347)</f>
        <v>0</v>
      </c>
      <c r="BO349" s="341">
        <f>(BO341/1000*BO347)</f>
        <v>0</v>
      </c>
      <c r="BP349" s="393">
        <f>(BP341/1000*BP347)</f>
        <v>0</v>
      </c>
      <c r="BQ349" s="296">
        <f>SUM(BM349:BP349)</f>
        <v>0</v>
      </c>
    </row>
    <row r="350" spans="1:70" s="49" customFormat="1">
      <c r="A350" s="1523"/>
      <c r="B350" s="2"/>
      <c r="C350" s="37" t="s">
        <v>346</v>
      </c>
      <c r="D350" s="2"/>
      <c r="E350" s="365"/>
      <c r="F350" s="6"/>
      <c r="G350" s="6"/>
      <c r="H350" s="366"/>
      <c r="I350" s="37"/>
      <c r="J350" s="365"/>
      <c r="K350" s="6"/>
      <c r="L350" s="6"/>
      <c r="M350" s="366"/>
      <c r="N350" s="2"/>
      <c r="O350" s="365"/>
      <c r="P350" s="6"/>
      <c r="Q350" s="6"/>
      <c r="R350" s="366"/>
      <c r="S350" s="2"/>
      <c r="T350" s="392"/>
      <c r="U350" s="341"/>
      <c r="V350" s="341"/>
      <c r="W350" s="393"/>
      <c r="X350" s="296"/>
      <c r="Y350" s="392">
        <f t="shared" ref="Y350:AR350" si="331">Y342/1000*Y347</f>
        <v>0</v>
      </c>
      <c r="Z350" s="341">
        <f t="shared" si="331"/>
        <v>0</v>
      </c>
      <c r="AA350" s="341">
        <f t="shared" si="331"/>
        <v>0</v>
      </c>
      <c r="AB350" s="393">
        <f t="shared" si="331"/>
        <v>0</v>
      </c>
      <c r="AC350" s="296">
        <f t="shared" si="331"/>
        <v>0</v>
      </c>
      <c r="AD350" s="392">
        <f>AD342/1000*AD347</f>
        <v>0</v>
      </c>
      <c r="AE350" s="341">
        <f>AE342/1000*AE347</f>
        <v>0</v>
      </c>
      <c r="AF350" s="341">
        <f t="shared" si="331"/>
        <v>0</v>
      </c>
      <c r="AG350" s="393">
        <f t="shared" si="331"/>
        <v>0</v>
      </c>
      <c r="AH350" s="296">
        <f t="shared" si="331"/>
        <v>0</v>
      </c>
      <c r="AI350" s="392">
        <f t="shared" si="331"/>
        <v>0</v>
      </c>
      <c r="AJ350" s="341">
        <f t="shared" si="331"/>
        <v>0</v>
      </c>
      <c r="AK350" s="341">
        <f t="shared" si="331"/>
        <v>0</v>
      </c>
      <c r="AL350" s="393">
        <f t="shared" si="331"/>
        <v>0</v>
      </c>
      <c r="AM350" s="296">
        <f t="shared" si="331"/>
        <v>0</v>
      </c>
      <c r="AN350" s="392">
        <f t="shared" si="331"/>
        <v>0</v>
      </c>
      <c r="AO350" s="341">
        <f t="shared" si="331"/>
        <v>0</v>
      </c>
      <c r="AP350" s="341">
        <f t="shared" si="331"/>
        <v>0</v>
      </c>
      <c r="AQ350" s="393">
        <f t="shared" si="331"/>
        <v>0</v>
      </c>
      <c r="AR350" s="296">
        <f t="shared" si="331"/>
        <v>0</v>
      </c>
      <c r="AS350" s="392">
        <f t="shared" ref="AS350:BB350" si="332">AS342/1000*AS347</f>
        <v>0</v>
      </c>
      <c r="AT350" s="341">
        <f t="shared" si="332"/>
        <v>0</v>
      </c>
      <c r="AU350" s="341">
        <f t="shared" si="332"/>
        <v>0</v>
      </c>
      <c r="AV350" s="393">
        <f t="shared" si="332"/>
        <v>0</v>
      </c>
      <c r="AW350" s="296">
        <f t="shared" si="332"/>
        <v>0</v>
      </c>
      <c r="AX350" s="392">
        <f t="shared" si="332"/>
        <v>0</v>
      </c>
      <c r="AY350" s="341">
        <f t="shared" si="332"/>
        <v>0</v>
      </c>
      <c r="AZ350" s="341">
        <f>AZ342/1000*AZ347</f>
        <v>0</v>
      </c>
      <c r="BA350" s="393">
        <f t="shared" si="332"/>
        <v>0</v>
      </c>
      <c r="BB350" s="296">
        <f t="shared" si="332"/>
        <v>0</v>
      </c>
      <c r="BC350" s="392">
        <f t="shared" ref="BC350:BL350" si="333">BC342/1000*BC347</f>
        <v>0</v>
      </c>
      <c r="BD350" s="341">
        <f t="shared" si="333"/>
        <v>0</v>
      </c>
      <c r="BE350" s="341">
        <f t="shared" si="333"/>
        <v>0</v>
      </c>
      <c r="BF350" s="393">
        <f t="shared" si="333"/>
        <v>0</v>
      </c>
      <c r="BG350" s="296">
        <f t="shared" si="333"/>
        <v>0</v>
      </c>
      <c r="BH350" s="392">
        <f t="shared" si="333"/>
        <v>0</v>
      </c>
      <c r="BI350" s="341">
        <f t="shared" si="333"/>
        <v>0</v>
      </c>
      <c r="BJ350" s="341">
        <f t="shared" si="333"/>
        <v>0</v>
      </c>
      <c r="BK350" s="393">
        <f t="shared" si="333"/>
        <v>0</v>
      </c>
      <c r="BL350" s="296">
        <f t="shared" si="333"/>
        <v>0</v>
      </c>
      <c r="BM350" s="392">
        <f>BM342/1000*BM347</f>
        <v>0</v>
      </c>
      <c r="BN350" s="341">
        <f>BN342/1000*BN347</f>
        <v>0</v>
      </c>
      <c r="BO350" s="341">
        <f>BO342/1000*BO347</f>
        <v>0</v>
      </c>
      <c r="BP350" s="393">
        <f>BP342/1000*BP347</f>
        <v>0</v>
      </c>
      <c r="BQ350" s="296">
        <f>BQ342/1000*BQ347</f>
        <v>0</v>
      </c>
      <c r="BR350" s="2"/>
    </row>
    <row r="351" spans="1:70" s="2" customFormat="1">
      <c r="A351" s="49"/>
      <c r="B351" s="49"/>
      <c r="C351" s="49" t="s">
        <v>270</v>
      </c>
      <c r="D351" s="49"/>
      <c r="E351" s="663"/>
      <c r="F351" s="468"/>
      <c r="G351" s="468"/>
      <c r="H351" s="664"/>
      <c r="I351" s="37"/>
      <c r="J351" s="663"/>
      <c r="K351" s="468"/>
      <c r="L351" s="468"/>
      <c r="M351" s="664"/>
      <c r="N351" s="49"/>
      <c r="O351" s="663"/>
      <c r="P351" s="468"/>
      <c r="Q351" s="468"/>
      <c r="R351" s="664"/>
      <c r="S351" s="49"/>
      <c r="T351" s="396"/>
      <c r="U351" s="343"/>
      <c r="V351" s="343"/>
      <c r="W351" s="397"/>
      <c r="X351" s="297"/>
      <c r="Y351" s="396">
        <f t="shared" ref="Y351:AR351" si="334">Y349-Y350</f>
        <v>0</v>
      </c>
      <c r="Z351" s="343">
        <f t="shared" si="334"/>
        <v>0</v>
      </c>
      <c r="AA351" s="343">
        <f t="shared" si="334"/>
        <v>0</v>
      </c>
      <c r="AB351" s="397">
        <f t="shared" si="334"/>
        <v>0</v>
      </c>
      <c r="AC351" s="297">
        <f t="shared" si="334"/>
        <v>0</v>
      </c>
      <c r="AD351" s="396">
        <f>AD349-AD350</f>
        <v>0</v>
      </c>
      <c r="AE351" s="343">
        <f>AE349-AE350</f>
        <v>0</v>
      </c>
      <c r="AF351" s="343">
        <f t="shared" si="334"/>
        <v>0</v>
      </c>
      <c r="AG351" s="397">
        <f t="shared" si="334"/>
        <v>0</v>
      </c>
      <c r="AH351" s="297">
        <f t="shared" si="334"/>
        <v>0</v>
      </c>
      <c r="AI351" s="396">
        <f t="shared" si="334"/>
        <v>0</v>
      </c>
      <c r="AJ351" s="343">
        <f t="shared" si="334"/>
        <v>0</v>
      </c>
      <c r="AK351" s="343">
        <f t="shared" si="334"/>
        <v>0</v>
      </c>
      <c r="AL351" s="397">
        <f t="shared" si="334"/>
        <v>0</v>
      </c>
      <c r="AM351" s="297">
        <f t="shared" si="334"/>
        <v>0</v>
      </c>
      <c r="AN351" s="396">
        <f t="shared" si="334"/>
        <v>0</v>
      </c>
      <c r="AO351" s="343">
        <f t="shared" si="334"/>
        <v>0</v>
      </c>
      <c r="AP351" s="343">
        <f t="shared" si="334"/>
        <v>0</v>
      </c>
      <c r="AQ351" s="397">
        <f t="shared" si="334"/>
        <v>0</v>
      </c>
      <c r="AR351" s="297">
        <f t="shared" si="334"/>
        <v>0</v>
      </c>
      <c r="AS351" s="396">
        <f t="shared" ref="AS351:BB351" si="335">AS349-AS350</f>
        <v>0</v>
      </c>
      <c r="AT351" s="343">
        <f t="shared" si="335"/>
        <v>0</v>
      </c>
      <c r="AU351" s="343">
        <f t="shared" si="335"/>
        <v>0</v>
      </c>
      <c r="AV351" s="397">
        <f t="shared" si="335"/>
        <v>0</v>
      </c>
      <c r="AW351" s="297">
        <f t="shared" si="335"/>
        <v>0</v>
      </c>
      <c r="AX351" s="396">
        <f t="shared" si="335"/>
        <v>0</v>
      </c>
      <c r="AY351" s="343">
        <f t="shared" si="335"/>
        <v>0</v>
      </c>
      <c r="AZ351" s="343">
        <f>AZ349-AZ350</f>
        <v>0</v>
      </c>
      <c r="BA351" s="397">
        <f t="shared" si="335"/>
        <v>0</v>
      </c>
      <c r="BB351" s="297">
        <f t="shared" si="335"/>
        <v>0</v>
      </c>
      <c r="BC351" s="396">
        <f t="shared" ref="BC351:BL351" si="336">BC349-BC350</f>
        <v>0</v>
      </c>
      <c r="BD351" s="343">
        <f t="shared" si="336"/>
        <v>0</v>
      </c>
      <c r="BE351" s="343">
        <f t="shared" si="336"/>
        <v>0</v>
      </c>
      <c r="BF351" s="397">
        <f t="shared" si="336"/>
        <v>0</v>
      </c>
      <c r="BG351" s="297">
        <f t="shared" si="336"/>
        <v>0</v>
      </c>
      <c r="BH351" s="396">
        <f t="shared" si="336"/>
        <v>0</v>
      </c>
      <c r="BI351" s="343">
        <f t="shared" si="336"/>
        <v>0</v>
      </c>
      <c r="BJ351" s="343">
        <f t="shared" si="336"/>
        <v>0</v>
      </c>
      <c r="BK351" s="397">
        <f t="shared" si="336"/>
        <v>0</v>
      </c>
      <c r="BL351" s="297">
        <f t="shared" si="336"/>
        <v>0</v>
      </c>
      <c r="BM351" s="396">
        <f>BM349-BM350</f>
        <v>0</v>
      </c>
      <c r="BN351" s="343">
        <f>BN349-BN350</f>
        <v>0</v>
      </c>
      <c r="BO351" s="343">
        <f>BO349-BO350</f>
        <v>0</v>
      </c>
      <c r="BP351" s="397">
        <f>BP349-BP350</f>
        <v>0</v>
      </c>
      <c r="BQ351" s="297">
        <f>BQ349-BQ350</f>
        <v>0</v>
      </c>
      <c r="BR351" s="49"/>
    </row>
    <row r="352" spans="1:70" s="2" customFormat="1">
      <c r="A352" s="1523"/>
      <c r="C352" s="49"/>
      <c r="E352" s="365"/>
      <c r="F352" s="6"/>
      <c r="G352" s="6"/>
      <c r="H352" s="366"/>
      <c r="I352" s="37"/>
      <c r="J352" s="365"/>
      <c r="K352" s="6"/>
      <c r="L352" s="6"/>
      <c r="M352" s="366"/>
      <c r="O352" s="365"/>
      <c r="P352" s="6"/>
      <c r="Q352" s="6"/>
      <c r="R352" s="366"/>
      <c r="T352" s="598"/>
      <c r="U352" s="599"/>
      <c r="V352" s="599"/>
      <c r="W352" s="600"/>
      <c r="X352" s="601"/>
      <c r="Y352" s="598"/>
      <c r="Z352" s="599"/>
      <c r="AA352" s="599"/>
      <c r="AB352" s="600"/>
      <c r="AC352" s="601"/>
      <c r="AD352" s="598"/>
      <c r="AE352" s="599"/>
      <c r="AF352" s="599"/>
      <c r="AG352" s="600"/>
      <c r="AH352" s="601"/>
      <c r="AI352" s="598"/>
      <c r="AJ352" s="599"/>
      <c r="AK352" s="599"/>
      <c r="AL352" s="600"/>
      <c r="AM352" s="601"/>
      <c r="AN352" s="598"/>
      <c r="AO352" s="599"/>
      <c r="AP352" s="599"/>
      <c r="AQ352" s="600"/>
      <c r="AR352" s="601"/>
      <c r="AS352" s="598"/>
      <c r="AT352" s="599"/>
      <c r="AU352" s="599"/>
      <c r="AV352" s="600"/>
      <c r="AW352" s="601"/>
      <c r="AX352" s="598"/>
      <c r="AY352" s="599"/>
      <c r="AZ352" s="599"/>
      <c r="BA352" s="600"/>
      <c r="BB352" s="601"/>
      <c r="BC352" s="598"/>
      <c r="BD352" s="599"/>
      <c r="BE352" s="599"/>
      <c r="BF352" s="600"/>
      <c r="BG352" s="601"/>
      <c r="BH352" s="598"/>
      <c r="BI352" s="599"/>
      <c r="BJ352" s="599"/>
      <c r="BK352" s="600"/>
      <c r="BL352" s="601"/>
      <c r="BM352" s="598"/>
      <c r="BN352" s="599"/>
      <c r="BO352" s="599"/>
      <c r="BP352" s="600"/>
      <c r="BQ352" s="601"/>
    </row>
    <row r="353" spans="1:70" s="2" customFormat="1">
      <c r="A353" s="1523"/>
      <c r="C353" s="592" t="s">
        <v>210</v>
      </c>
      <c r="E353" s="365"/>
      <c r="F353" s="6"/>
      <c r="G353" s="6"/>
      <c r="H353" s="366"/>
      <c r="I353" s="603"/>
      <c r="J353" s="365"/>
      <c r="K353" s="6"/>
      <c r="L353" s="6"/>
      <c r="M353" s="366"/>
      <c r="O353" s="365"/>
      <c r="P353" s="6"/>
      <c r="Q353" s="6"/>
      <c r="R353" s="366"/>
      <c r="T353" s="598"/>
      <c r="U353" s="599"/>
      <c r="V353" s="599"/>
      <c r="W353" s="600"/>
      <c r="X353" s="601"/>
      <c r="Y353" s="598"/>
      <c r="Z353" s="599"/>
      <c r="AA353" s="599"/>
      <c r="AB353" s="600"/>
      <c r="AC353" s="601"/>
      <c r="AD353" s="598"/>
      <c r="AE353" s="599"/>
      <c r="AF353" s="599"/>
      <c r="AG353" s="600"/>
      <c r="AH353" s="601"/>
      <c r="AI353" s="598"/>
      <c r="AJ353" s="599"/>
      <c r="AK353" s="599"/>
      <c r="AL353" s="600"/>
      <c r="AM353" s="601"/>
      <c r="AN353" s="598"/>
      <c r="AO353" s="599"/>
      <c r="AP353" s="599"/>
      <c r="AQ353" s="600"/>
      <c r="AR353" s="601"/>
      <c r="AS353" s="598"/>
      <c r="AT353" s="599"/>
      <c r="AU353" s="599"/>
      <c r="AV353" s="600"/>
      <c r="AW353" s="601"/>
      <c r="AX353" s="598"/>
      <c r="AY353" s="599"/>
      <c r="AZ353" s="599"/>
      <c r="BA353" s="600"/>
      <c r="BB353" s="601"/>
      <c r="BC353" s="598"/>
      <c r="BD353" s="599"/>
      <c r="BE353" s="599"/>
      <c r="BF353" s="600"/>
      <c r="BG353" s="601"/>
      <c r="BH353" s="598"/>
      <c r="BI353" s="599"/>
      <c r="BJ353" s="599"/>
      <c r="BK353" s="600"/>
      <c r="BL353" s="601"/>
      <c r="BM353" s="598"/>
      <c r="BN353" s="599"/>
      <c r="BO353" s="599"/>
      <c r="BP353" s="600"/>
      <c r="BQ353" s="601"/>
    </row>
    <row r="354" spans="1:70" s="2" customFormat="1">
      <c r="A354" s="1523"/>
      <c r="C354" s="37" t="s">
        <v>271</v>
      </c>
      <c r="E354" s="365"/>
      <c r="F354" s="6"/>
      <c r="G354" s="6"/>
      <c r="H354" s="366"/>
      <c r="I354" s="37"/>
      <c r="J354" s="365"/>
      <c r="K354" s="6"/>
      <c r="L354" s="6"/>
      <c r="M354" s="366"/>
      <c r="O354" s="365"/>
      <c r="P354" s="6"/>
      <c r="Q354" s="6"/>
      <c r="R354" s="366"/>
      <c r="T354" s="598"/>
      <c r="U354" s="599"/>
      <c r="V354" s="599"/>
      <c r="W354" s="600"/>
      <c r="X354" s="601"/>
      <c r="Y354" s="598">
        <f t="shared" ref="Y354:BL354" si="337">Y59</f>
        <v>89.765515873015843</v>
      </c>
      <c r="Z354" s="599">
        <f t="shared" si="337"/>
        <v>45.06300781249999</v>
      </c>
      <c r="AA354" s="599">
        <f t="shared" si="337"/>
        <v>54.984013671875005</v>
      </c>
      <c r="AB354" s="600">
        <f t="shared" si="337"/>
        <v>67.341074218749995</v>
      </c>
      <c r="AC354" s="601">
        <f t="shared" si="337"/>
        <v>64.288402894035215</v>
      </c>
      <c r="AD354" s="598">
        <f t="shared" si="337"/>
        <v>167.3350595238096</v>
      </c>
      <c r="AE354" s="599">
        <f t="shared" si="337"/>
        <v>44.335244140625001</v>
      </c>
      <c r="AF354" s="599">
        <f t="shared" si="337"/>
        <v>41.33302734374999</v>
      </c>
      <c r="AG354" s="600">
        <f t="shared" si="337"/>
        <v>48.027636718750003</v>
      </c>
      <c r="AH354" s="601">
        <f t="shared" si="337"/>
        <v>75.257741931733648</v>
      </c>
      <c r="AI354" s="598">
        <f t="shared" si="337"/>
        <v>87.659980158730164</v>
      </c>
      <c r="AJ354" s="599">
        <f t="shared" si="337"/>
        <v>28.370332031249998</v>
      </c>
      <c r="AK354" s="599">
        <f t="shared" si="337"/>
        <v>42.395605769230762</v>
      </c>
      <c r="AL354" s="600">
        <f t="shared" si="337"/>
        <v>33.06513671874999</v>
      </c>
      <c r="AM354" s="601">
        <f t="shared" si="337"/>
        <v>47.872763669490226</v>
      </c>
      <c r="AN354" s="598">
        <f t="shared" si="337"/>
        <v>30.31946289062499</v>
      </c>
      <c r="AO354" s="599">
        <f t="shared" si="337"/>
        <v>28.207148437500003</v>
      </c>
      <c r="AP354" s="599">
        <f t="shared" si="337"/>
        <v>42.730703124999998</v>
      </c>
      <c r="AQ354" s="600">
        <f t="shared" si="337"/>
        <v>38.680972222222231</v>
      </c>
      <c r="AR354" s="601">
        <f t="shared" si="337"/>
        <v>34.984571668836807</v>
      </c>
      <c r="AS354" s="598">
        <f t="shared" si="337"/>
        <v>33.978535156249976</v>
      </c>
      <c r="AT354" s="599">
        <f t="shared" si="337"/>
        <v>33.298916015625025</v>
      </c>
      <c r="AU354" s="599">
        <f t="shared" si="337"/>
        <v>31.712827380952373</v>
      </c>
      <c r="AV354" s="600">
        <f t="shared" si="337"/>
        <v>52.552301587301585</v>
      </c>
      <c r="AW354" s="601">
        <f t="shared" si="337"/>
        <v>37.88564503503224</v>
      </c>
      <c r="AX354" s="598">
        <f t="shared" si="337"/>
        <v>62.437333984375016</v>
      </c>
      <c r="AY354" s="599">
        <f t="shared" si="337"/>
        <v>32.65</v>
      </c>
      <c r="AZ354" s="599">
        <f>AZ59</f>
        <v>35.383333333333326</v>
      </c>
      <c r="BA354" s="600">
        <f t="shared" si="337"/>
        <v>42.35</v>
      </c>
      <c r="BB354" s="601">
        <f t="shared" si="337"/>
        <v>43.205166829427085</v>
      </c>
      <c r="BC354" s="598">
        <f t="shared" si="337"/>
        <v>73.199444871908241</v>
      </c>
      <c r="BD354" s="599">
        <f t="shared" si="337"/>
        <v>31.598138616301913</v>
      </c>
      <c r="BE354" s="599">
        <f t="shared" si="337"/>
        <v>36.852856695587477</v>
      </c>
      <c r="BF354" s="600">
        <f t="shared" si="337"/>
        <v>38.566226482602353</v>
      </c>
      <c r="BG354" s="601">
        <f t="shared" si="337"/>
        <v>45.054166666599997</v>
      </c>
      <c r="BH354" s="598">
        <f t="shared" si="337"/>
        <v>73.199444871908241</v>
      </c>
      <c r="BI354" s="599">
        <f t="shared" si="337"/>
        <v>31.598138616301917</v>
      </c>
      <c r="BJ354" s="599">
        <f t="shared" si="337"/>
        <v>36.852856695587484</v>
      </c>
      <c r="BK354" s="600">
        <f t="shared" si="337"/>
        <v>38.566226482602353</v>
      </c>
      <c r="BL354" s="601">
        <f t="shared" si="337"/>
        <v>45.054166666600004</v>
      </c>
      <c r="BM354" s="598">
        <f>BM59</f>
        <v>69.866716832296532</v>
      </c>
      <c r="BN354" s="599">
        <f>BN59</f>
        <v>34.017180604094122</v>
      </c>
      <c r="BO354" s="599">
        <f>BO59</f>
        <v>39.124429437830933</v>
      </c>
      <c r="BP354" s="600">
        <f>BP59</f>
        <v>35.892640580422331</v>
      </c>
      <c r="BQ354" s="601">
        <f>BQ59</f>
        <v>44.725241863660976</v>
      </c>
    </row>
    <row r="355" spans="1:70" s="2" customFormat="1">
      <c r="A355" s="1523"/>
      <c r="C355" s="37" t="s">
        <v>266</v>
      </c>
      <c r="E355" s="365"/>
      <c r="F355" s="6"/>
      <c r="G355" s="6"/>
      <c r="H355" s="366"/>
      <c r="I355" s="725">
        <v>12000</v>
      </c>
      <c r="J355" s="365"/>
      <c r="K355" s="6"/>
      <c r="L355" s="6"/>
      <c r="M355" s="366"/>
      <c r="O355" s="365"/>
      <c r="P355" s="6"/>
      <c r="Q355" s="6"/>
      <c r="R355" s="366"/>
      <c r="T355" s="598"/>
      <c r="U355" s="599"/>
      <c r="V355" s="599"/>
      <c r="W355" s="600"/>
      <c r="X355" s="601"/>
      <c r="Y355" s="598">
        <f>Y$102/24*$I355/1000</f>
        <v>40.755769230769239</v>
      </c>
      <c r="Z355" s="599">
        <f>Z$102/24*$I355/1000</f>
        <v>40.957307692307687</v>
      </c>
      <c r="AA355" s="599">
        <f>AA$102/24*$I355/1000</f>
        <v>39.5026923076923</v>
      </c>
      <c r="AB355" s="600">
        <f>AB$102/24*$I355/1000</f>
        <v>38.723076923076924</v>
      </c>
      <c r="AC355" s="601">
        <f>AVERAGE(Y355:AB355)</f>
        <v>39.984711538461539</v>
      </c>
      <c r="AD355" s="598">
        <f>AD$102/24*$I355/1000</f>
        <v>39.406923076923078</v>
      </c>
      <c r="AE355" s="599">
        <f>AE$102/24*$I355/1000</f>
        <v>37.791153846153854</v>
      </c>
      <c r="AF355" s="599">
        <f>AF$102/24*$I355/1000</f>
        <v>36.16846153846155</v>
      </c>
      <c r="AG355" s="600">
        <f>AG$102/24*$I355/1000</f>
        <v>35.553461538461541</v>
      </c>
      <c r="AH355" s="601">
        <f>AVERAGE(AD355:AG355)</f>
        <v>37.230000000000004</v>
      </c>
      <c r="AI355" s="598">
        <f t="shared" ref="AI355:BA355" si="338">AI$102/24*$I355/1000+AI110</f>
        <v>39.75692307692308</v>
      </c>
      <c r="AJ355" s="599">
        <f t="shared" si="338"/>
        <v>39.42923076923077</v>
      </c>
      <c r="AK355" s="599">
        <f t="shared" si="338"/>
        <v>38.392307692307696</v>
      </c>
      <c r="AL355" s="600">
        <f t="shared" si="338"/>
        <v>36.151923076923083</v>
      </c>
      <c r="AM355" s="601">
        <f t="shared" si="338"/>
        <v>38.432596153846156</v>
      </c>
      <c r="AN355" s="598">
        <f t="shared" si="338"/>
        <v>34.190384615384616</v>
      </c>
      <c r="AO355" s="599">
        <f t="shared" si="338"/>
        <v>33.59615384615384</v>
      </c>
      <c r="AP355" s="599">
        <f t="shared" si="338"/>
        <v>33.464285714285722</v>
      </c>
      <c r="AQ355" s="600">
        <f t="shared" si="338"/>
        <v>35.448076923076925</v>
      </c>
      <c r="AR355" s="601">
        <f t="shared" si="338"/>
        <v>34.174725274725276</v>
      </c>
      <c r="AS355" s="598">
        <f t="shared" si="338"/>
        <v>38.02884615384616</v>
      </c>
      <c r="AT355" s="599">
        <f t="shared" si="338"/>
        <v>39.230769230769226</v>
      </c>
      <c r="AU355" s="599">
        <f t="shared" si="338"/>
        <v>39.494230769230775</v>
      </c>
      <c r="AV355" s="600">
        <f t="shared" si="338"/>
        <v>42.130769230769239</v>
      </c>
      <c r="AW355" s="601">
        <f t="shared" si="338"/>
        <v>39.721153846153854</v>
      </c>
      <c r="AX355" s="598">
        <f t="shared" si="338"/>
        <v>43.424999999999997</v>
      </c>
      <c r="AY355" s="599">
        <f t="shared" si="338"/>
        <v>37.5</v>
      </c>
      <c r="AZ355" s="599">
        <f>AZ$102/24*$I355/1000+AZ110</f>
        <v>37.5</v>
      </c>
      <c r="BA355" s="600">
        <f t="shared" si="338"/>
        <v>37.5</v>
      </c>
      <c r="BB355" s="601">
        <f>AVERAGE(AX355:BA355)</f>
        <v>38.981250000000003</v>
      </c>
      <c r="BC355" s="598">
        <f>BC$102/24*$I355/1000+BC110</f>
        <v>37.077143166706129</v>
      </c>
      <c r="BD355" s="599">
        <f t="shared" ref="BD355:BK355" si="339">BD$102/24*$I355/1000+BD110</f>
        <v>37.077143166706129</v>
      </c>
      <c r="BE355" s="599">
        <f t="shared" si="339"/>
        <v>37.077143166706129</v>
      </c>
      <c r="BF355" s="600">
        <f t="shared" si="339"/>
        <v>40.768570499881619</v>
      </c>
      <c r="BG355" s="601">
        <f t="shared" si="339"/>
        <v>38</v>
      </c>
      <c r="BH355" s="598">
        <f t="shared" si="339"/>
        <v>37.077143166706129</v>
      </c>
      <c r="BI355" s="599">
        <f t="shared" si="339"/>
        <v>37.077143166706129</v>
      </c>
      <c r="BJ355" s="599">
        <f t="shared" si="339"/>
        <v>37.077143166706129</v>
      </c>
      <c r="BK355" s="600">
        <f t="shared" si="339"/>
        <v>40.768570499881619</v>
      </c>
      <c r="BL355" s="601">
        <f>AVERAGE(BH355:BK355)</f>
        <v>38</v>
      </c>
      <c r="BM355" s="598">
        <f>BM$102/24*$I355/1000+BM110</f>
        <v>37.077143166706129</v>
      </c>
      <c r="BN355" s="599">
        <f>BN$102/24*$I355/1000+BN110</f>
        <v>37.077143166706129</v>
      </c>
      <c r="BO355" s="599">
        <f>BO$102/24*$I355/1000+BO110</f>
        <v>37.077143166706129</v>
      </c>
      <c r="BP355" s="600">
        <f>BP$102/24*$I355/1000+BP110</f>
        <v>40.768570499881619</v>
      </c>
      <c r="BQ355" s="601">
        <f>AVERAGE(BM355:BP355)</f>
        <v>38</v>
      </c>
    </row>
    <row r="356" spans="1:70" s="49" customFormat="1">
      <c r="A356" s="1523"/>
      <c r="B356" s="2"/>
      <c r="C356" s="2"/>
      <c r="D356" s="2"/>
      <c r="E356" s="365"/>
      <c r="F356" s="6"/>
      <c r="G356" s="6"/>
      <c r="H356" s="366"/>
      <c r="I356" s="37"/>
      <c r="J356" s="365"/>
      <c r="K356" s="6"/>
      <c r="L356" s="6"/>
      <c r="M356" s="366"/>
      <c r="N356" s="2"/>
      <c r="O356" s="365"/>
      <c r="P356" s="6"/>
      <c r="Q356" s="6"/>
      <c r="R356" s="366"/>
      <c r="S356" s="2"/>
      <c r="T356" s="598"/>
      <c r="U356" s="599"/>
      <c r="V356" s="599"/>
      <c r="W356" s="600"/>
      <c r="X356" s="601"/>
      <c r="Y356" s="598"/>
      <c r="Z356" s="599"/>
      <c r="AA356" s="599"/>
      <c r="AB356" s="600"/>
      <c r="AC356" s="601"/>
      <c r="AD356" s="598"/>
      <c r="AE356" s="599"/>
      <c r="AF356" s="599"/>
      <c r="AG356" s="600"/>
      <c r="AH356" s="601"/>
      <c r="AI356" s="598"/>
      <c r="AJ356" s="599"/>
      <c r="AK356" s="599"/>
      <c r="AL356" s="600"/>
      <c r="AM356" s="601"/>
      <c r="AN356" s="598"/>
      <c r="AO356" s="599"/>
      <c r="AP356" s="599"/>
      <c r="AQ356" s="600"/>
      <c r="AR356" s="601"/>
      <c r="AS356" s="598"/>
      <c r="AT356" s="599"/>
      <c r="AU356" s="599"/>
      <c r="AV356" s="600"/>
      <c r="AW356" s="601"/>
      <c r="AX356" s="598"/>
      <c r="AY356" s="599"/>
      <c r="AZ356" s="599"/>
      <c r="BA356" s="600"/>
      <c r="BB356" s="601"/>
      <c r="BC356" s="598"/>
      <c r="BD356" s="599"/>
      <c r="BE356" s="599"/>
      <c r="BF356" s="600"/>
      <c r="BG356" s="601"/>
      <c r="BH356" s="598"/>
      <c r="BI356" s="599"/>
      <c r="BJ356" s="599"/>
      <c r="BK356" s="600"/>
      <c r="BL356" s="601"/>
      <c r="BM356" s="598"/>
      <c r="BN356" s="599"/>
      <c r="BO356" s="599"/>
      <c r="BP356" s="600"/>
      <c r="BQ356" s="601"/>
      <c r="BR356" s="2"/>
    </row>
    <row r="357" spans="1:70" s="2" customFormat="1">
      <c r="A357" s="49"/>
      <c r="B357" s="49"/>
      <c r="C357" s="49" t="s">
        <v>267</v>
      </c>
      <c r="D357" s="49"/>
      <c r="E357" s="396"/>
      <c r="F357" s="343"/>
      <c r="G357" s="343"/>
      <c r="H357" s="397"/>
      <c r="I357" s="725">
        <v>383</v>
      </c>
      <c r="J357" s="396"/>
      <c r="K357" s="343"/>
      <c r="L357" s="343"/>
      <c r="M357" s="397"/>
      <c r="N357" s="297"/>
      <c r="O357" s="396"/>
      <c r="P357" s="343"/>
      <c r="Q357" s="343"/>
      <c r="R357" s="397"/>
      <c r="S357" s="297"/>
      <c r="T357" s="396"/>
      <c r="U357" s="343"/>
      <c r="V357" s="343"/>
      <c r="W357" s="397"/>
      <c r="X357" s="297"/>
      <c r="Y357" s="396">
        <f>I357</f>
        <v>383</v>
      </c>
      <c r="Z357" s="343">
        <f t="shared" ref="Z357:AR357" si="340">Y357</f>
        <v>383</v>
      </c>
      <c r="AA357" s="343">
        <f t="shared" si="340"/>
        <v>383</v>
      </c>
      <c r="AB357" s="397">
        <f t="shared" si="340"/>
        <v>383</v>
      </c>
      <c r="AC357" s="297">
        <f t="shared" si="340"/>
        <v>383</v>
      </c>
      <c r="AD357" s="396">
        <f>I357</f>
        <v>383</v>
      </c>
      <c r="AE357" s="343">
        <f>AD357</f>
        <v>383</v>
      </c>
      <c r="AF357" s="343">
        <f t="shared" si="340"/>
        <v>383</v>
      </c>
      <c r="AG357" s="397">
        <f t="shared" si="340"/>
        <v>383</v>
      </c>
      <c r="AH357" s="297">
        <f t="shared" si="340"/>
        <v>383</v>
      </c>
      <c r="AI357" s="396">
        <f t="shared" si="340"/>
        <v>383</v>
      </c>
      <c r="AJ357" s="343">
        <f t="shared" si="340"/>
        <v>383</v>
      </c>
      <c r="AK357" s="343">
        <f t="shared" si="340"/>
        <v>383</v>
      </c>
      <c r="AL357" s="397">
        <f t="shared" si="340"/>
        <v>383</v>
      </c>
      <c r="AM357" s="297">
        <f t="shared" si="340"/>
        <v>383</v>
      </c>
      <c r="AN357" s="396">
        <f t="shared" si="340"/>
        <v>383</v>
      </c>
      <c r="AO357" s="343">
        <f t="shared" si="340"/>
        <v>383</v>
      </c>
      <c r="AP357" s="343">
        <f t="shared" si="340"/>
        <v>383</v>
      </c>
      <c r="AQ357" s="397">
        <f t="shared" si="340"/>
        <v>383</v>
      </c>
      <c r="AR357" s="297">
        <f t="shared" si="340"/>
        <v>383</v>
      </c>
      <c r="AS357" s="396">
        <f t="shared" ref="AS357:BB357" si="341">AR357</f>
        <v>383</v>
      </c>
      <c r="AT357" s="343">
        <f t="shared" si="341"/>
        <v>383</v>
      </c>
      <c r="AU357" s="343">
        <f t="shared" si="341"/>
        <v>383</v>
      </c>
      <c r="AV357" s="397">
        <f t="shared" si="341"/>
        <v>383</v>
      </c>
      <c r="AW357" s="297">
        <f t="shared" si="341"/>
        <v>383</v>
      </c>
      <c r="AX357" s="396">
        <f t="shared" si="341"/>
        <v>383</v>
      </c>
      <c r="AY357" s="343">
        <f t="shared" si="341"/>
        <v>383</v>
      </c>
      <c r="AZ357" s="343">
        <f>AY357</f>
        <v>383</v>
      </c>
      <c r="BA357" s="397">
        <f>AY357</f>
        <v>383</v>
      </c>
      <c r="BB357" s="297">
        <f t="shared" si="341"/>
        <v>383</v>
      </c>
      <c r="BC357" s="396">
        <f t="shared" ref="BC357:BL357" si="342">BB357</f>
        <v>383</v>
      </c>
      <c r="BD357" s="343">
        <f t="shared" si="342"/>
        <v>383</v>
      </c>
      <c r="BE357" s="343">
        <f t="shared" si="342"/>
        <v>383</v>
      </c>
      <c r="BF357" s="397">
        <f t="shared" si="342"/>
        <v>383</v>
      </c>
      <c r="BG357" s="297">
        <f t="shared" si="342"/>
        <v>383</v>
      </c>
      <c r="BH357" s="396">
        <f t="shared" si="342"/>
        <v>383</v>
      </c>
      <c r="BI357" s="343">
        <f t="shared" si="342"/>
        <v>383</v>
      </c>
      <c r="BJ357" s="343">
        <f t="shared" si="342"/>
        <v>383</v>
      </c>
      <c r="BK357" s="397">
        <f t="shared" si="342"/>
        <v>383</v>
      </c>
      <c r="BL357" s="297">
        <f t="shared" si="342"/>
        <v>383</v>
      </c>
      <c r="BM357" s="396">
        <f>BL357</f>
        <v>383</v>
      </c>
      <c r="BN357" s="343">
        <f>BM357</f>
        <v>383</v>
      </c>
      <c r="BO357" s="343">
        <f>BN357</f>
        <v>383</v>
      </c>
      <c r="BP357" s="397">
        <f>BO357</f>
        <v>383</v>
      </c>
      <c r="BQ357" s="297">
        <f>BP357</f>
        <v>383</v>
      </c>
      <c r="BR357" s="49"/>
    </row>
    <row r="358" spans="1:70" s="2" customFormat="1">
      <c r="A358" s="1523"/>
      <c r="E358" s="365"/>
      <c r="F358" s="6"/>
      <c r="G358" s="6"/>
      <c r="H358" s="366"/>
      <c r="I358" s="37"/>
      <c r="J358" s="365"/>
      <c r="K358" s="6"/>
      <c r="L358" s="6"/>
      <c r="M358" s="366"/>
      <c r="O358" s="365"/>
      <c r="P358" s="6"/>
      <c r="Q358" s="6"/>
      <c r="R358" s="366"/>
      <c r="T358" s="598"/>
      <c r="U358" s="599"/>
      <c r="V358" s="599"/>
      <c r="W358" s="600"/>
      <c r="X358" s="601"/>
      <c r="Y358" s="598"/>
      <c r="Z358" s="599"/>
      <c r="AA358" s="599"/>
      <c r="AB358" s="600"/>
      <c r="AC358" s="601"/>
      <c r="AD358" s="598"/>
      <c r="AE358" s="599"/>
      <c r="AF358" s="599"/>
      <c r="AG358" s="600"/>
      <c r="AH358" s="601"/>
      <c r="AI358" s="598"/>
      <c r="AJ358" s="599"/>
      <c r="AK358" s="599"/>
      <c r="AL358" s="600"/>
      <c r="AM358" s="601"/>
      <c r="AN358" s="598"/>
      <c r="AO358" s="599"/>
      <c r="AP358" s="599"/>
      <c r="AQ358" s="600"/>
      <c r="AR358" s="601"/>
      <c r="AS358" s="598"/>
      <c r="AT358" s="599"/>
      <c r="AU358" s="599"/>
      <c r="AV358" s="600"/>
      <c r="AW358" s="601"/>
      <c r="AX358" s="598"/>
      <c r="AY358" s="599"/>
      <c r="AZ358" s="599"/>
      <c r="BA358" s="600"/>
      <c r="BB358" s="601"/>
      <c r="BC358" s="598"/>
      <c r="BD358" s="599"/>
      <c r="BE358" s="599"/>
      <c r="BF358" s="600"/>
      <c r="BG358" s="601"/>
      <c r="BH358" s="598"/>
      <c r="BI358" s="599"/>
      <c r="BJ358" s="599"/>
      <c r="BK358" s="600"/>
      <c r="BL358" s="601"/>
      <c r="BM358" s="598"/>
      <c r="BN358" s="599"/>
      <c r="BO358" s="599"/>
      <c r="BP358" s="600"/>
      <c r="BQ358" s="601"/>
    </row>
    <row r="359" spans="1:70" s="49" customFormat="1">
      <c r="A359" s="1523"/>
      <c r="B359" s="2"/>
      <c r="C359" s="37" t="s">
        <v>268</v>
      </c>
      <c r="D359" s="2"/>
      <c r="E359" s="365"/>
      <c r="F359" s="6"/>
      <c r="G359" s="6"/>
      <c r="H359" s="366"/>
      <c r="I359" s="1622">
        <v>0.2</v>
      </c>
      <c r="J359" s="365"/>
      <c r="K359" s="6"/>
      <c r="L359" s="6"/>
      <c r="M359" s="366"/>
      <c r="N359" s="2"/>
      <c r="O359" s="365"/>
      <c r="P359" s="6"/>
      <c r="Q359" s="6"/>
      <c r="R359" s="366"/>
      <c r="S359" s="293"/>
      <c r="T359" s="376"/>
      <c r="U359" s="334"/>
      <c r="V359" s="334"/>
      <c r="W359" s="377"/>
      <c r="X359" s="293"/>
      <c r="Y359" s="376">
        <f>I359</f>
        <v>0.2</v>
      </c>
      <c r="Z359" s="334">
        <f t="shared" ref="Z359:AR359" si="343">Y359</f>
        <v>0.2</v>
      </c>
      <c r="AA359" s="334">
        <f t="shared" si="343"/>
        <v>0.2</v>
      </c>
      <c r="AB359" s="377">
        <f t="shared" si="343"/>
        <v>0.2</v>
      </c>
      <c r="AC359" s="293">
        <f t="shared" ref="AC359:AH359" si="344">AB359</f>
        <v>0.2</v>
      </c>
      <c r="AD359" s="376">
        <f>I359</f>
        <v>0.2</v>
      </c>
      <c r="AE359" s="334">
        <f>AD359</f>
        <v>0.2</v>
      </c>
      <c r="AF359" s="334">
        <f t="shared" si="344"/>
        <v>0.2</v>
      </c>
      <c r="AG359" s="377">
        <f t="shared" si="344"/>
        <v>0.2</v>
      </c>
      <c r="AH359" s="293">
        <f t="shared" si="344"/>
        <v>0.2</v>
      </c>
      <c r="AI359" s="1493">
        <v>0.48</v>
      </c>
      <c r="AJ359" s="334">
        <f>AH359</f>
        <v>0.2</v>
      </c>
      <c r="AK359" s="334">
        <f t="shared" si="343"/>
        <v>0.2</v>
      </c>
      <c r="AL359" s="377">
        <f t="shared" si="343"/>
        <v>0.2</v>
      </c>
      <c r="AM359" s="293">
        <f t="shared" si="343"/>
        <v>0.2</v>
      </c>
      <c r="AN359" s="376">
        <f t="shared" si="343"/>
        <v>0.2</v>
      </c>
      <c r="AO359" s="334">
        <f t="shared" si="343"/>
        <v>0.2</v>
      </c>
      <c r="AP359" s="334">
        <f t="shared" si="343"/>
        <v>0.2</v>
      </c>
      <c r="AQ359" s="377">
        <f t="shared" si="343"/>
        <v>0.2</v>
      </c>
      <c r="AR359" s="293">
        <f t="shared" si="343"/>
        <v>0.2</v>
      </c>
      <c r="AS359" s="376">
        <f t="shared" ref="AS359:BB359" si="345">AR359</f>
        <v>0.2</v>
      </c>
      <c r="AT359" s="334">
        <f t="shared" si="345"/>
        <v>0.2</v>
      </c>
      <c r="AU359" s="334">
        <f t="shared" si="345"/>
        <v>0.2</v>
      </c>
      <c r="AV359" s="377">
        <f t="shared" si="345"/>
        <v>0.2</v>
      </c>
      <c r="AW359" s="293">
        <f t="shared" si="345"/>
        <v>0.2</v>
      </c>
      <c r="AX359" s="376">
        <f t="shared" si="345"/>
        <v>0.2</v>
      </c>
      <c r="AY359" s="334">
        <f t="shared" si="345"/>
        <v>0.2</v>
      </c>
      <c r="AZ359" s="334">
        <f>AY359</f>
        <v>0.2</v>
      </c>
      <c r="BA359" s="377">
        <f>AY359</f>
        <v>0.2</v>
      </c>
      <c r="BB359" s="293">
        <f t="shared" si="345"/>
        <v>0.2</v>
      </c>
      <c r="BC359" s="376">
        <f t="shared" ref="BC359:BL359" si="346">BB359</f>
        <v>0.2</v>
      </c>
      <c r="BD359" s="334">
        <f t="shared" si="346"/>
        <v>0.2</v>
      </c>
      <c r="BE359" s="334">
        <f t="shared" si="346"/>
        <v>0.2</v>
      </c>
      <c r="BF359" s="377">
        <f t="shared" si="346"/>
        <v>0.2</v>
      </c>
      <c r="BG359" s="293">
        <f t="shared" si="346"/>
        <v>0.2</v>
      </c>
      <c r="BH359" s="376">
        <f t="shared" si="346"/>
        <v>0.2</v>
      </c>
      <c r="BI359" s="334">
        <f t="shared" si="346"/>
        <v>0.2</v>
      </c>
      <c r="BJ359" s="334">
        <f t="shared" si="346"/>
        <v>0.2</v>
      </c>
      <c r="BK359" s="377">
        <f t="shared" si="346"/>
        <v>0.2</v>
      </c>
      <c r="BL359" s="293">
        <f t="shared" si="346"/>
        <v>0.2</v>
      </c>
      <c r="BM359" s="376">
        <f>BL359</f>
        <v>0.2</v>
      </c>
      <c r="BN359" s="334">
        <f>BM359</f>
        <v>0.2</v>
      </c>
      <c r="BO359" s="334">
        <f>BN359</f>
        <v>0.2</v>
      </c>
      <c r="BP359" s="377">
        <f>BO359</f>
        <v>0.2</v>
      </c>
      <c r="BQ359" s="293">
        <f>BP359</f>
        <v>0.2</v>
      </c>
      <c r="BR359" s="2"/>
    </row>
    <row r="360" spans="1:70" s="2" customFormat="1">
      <c r="A360" s="49"/>
      <c r="B360" s="49"/>
      <c r="C360" s="49" t="s">
        <v>269</v>
      </c>
      <c r="D360" s="49"/>
      <c r="E360" s="663"/>
      <c r="F360" s="468"/>
      <c r="G360" s="468"/>
      <c r="H360" s="664"/>
      <c r="I360" s="49"/>
      <c r="J360" s="663"/>
      <c r="K360" s="468"/>
      <c r="L360" s="468"/>
      <c r="M360" s="664"/>
      <c r="N360" s="49"/>
      <c r="O360" s="663"/>
      <c r="P360" s="468"/>
      <c r="Q360" s="468"/>
      <c r="R360" s="664"/>
      <c r="S360" s="49"/>
      <c r="T360" s="407"/>
      <c r="U360" s="349"/>
      <c r="V360" s="349"/>
      <c r="W360" s="408"/>
      <c r="X360" s="608"/>
      <c r="Y360" s="407">
        <f>(Y357*Y359*(8760/1000))/4</f>
        <v>167.75400000000002</v>
      </c>
      <c r="Z360" s="349">
        <f>(Z357*Z359*(8760/1000))/4</f>
        <v>167.75400000000002</v>
      </c>
      <c r="AA360" s="349">
        <f>(AA357*AA359*(8760/1000))/4</f>
        <v>167.75400000000002</v>
      </c>
      <c r="AB360" s="408">
        <f>(AB357*AB359*(8760/1000))/4</f>
        <v>167.75400000000002</v>
      </c>
      <c r="AC360" s="608">
        <f>SUM(Y360:AB360)</f>
        <v>671.01600000000008</v>
      </c>
      <c r="AD360" s="407">
        <f>(AD357*AD359*(8760/1000))/4</f>
        <v>167.75400000000002</v>
      </c>
      <c r="AE360" s="349">
        <f>(AE357*AE359*(8760/1000))/4</f>
        <v>167.75400000000002</v>
      </c>
      <c r="AF360" s="349">
        <f>(AF357*AF359*(8760/1000))/4</f>
        <v>167.75400000000002</v>
      </c>
      <c r="AG360" s="408">
        <f>(AG357*AG359*(8760/1000))/4</f>
        <v>167.75400000000002</v>
      </c>
      <c r="AH360" s="608">
        <f>SUM(AD360:AG360)</f>
        <v>671.01600000000008</v>
      </c>
      <c r="AI360" s="407">
        <f>(AI357*AI359*(8760/1000))/4</f>
        <v>402.6096</v>
      </c>
      <c r="AJ360" s="349">
        <f>(AJ357*AJ359*(8760/1000))/4</f>
        <v>167.75400000000002</v>
      </c>
      <c r="AK360" s="349">
        <f>(AK357*AK359*(8760/1000))/4</f>
        <v>167.75400000000002</v>
      </c>
      <c r="AL360" s="408">
        <f>(AL357*AL359*(8760/1000))/4</f>
        <v>167.75400000000002</v>
      </c>
      <c r="AM360" s="608">
        <f>SUM(AI360:AL360)</f>
        <v>905.87160000000006</v>
      </c>
      <c r="AN360" s="407">
        <f>(AN357*AN359*(8760/1000))/4</f>
        <v>167.75400000000002</v>
      </c>
      <c r="AO360" s="349">
        <f>(AO357*AO359*(8760/1000))/4</f>
        <v>167.75400000000002</v>
      </c>
      <c r="AP360" s="349">
        <f>(AP357*AP359*(8760/1000))/4</f>
        <v>167.75400000000002</v>
      </c>
      <c r="AQ360" s="408">
        <f>(AQ357*AQ359*(8760/1000))/4</f>
        <v>167.75400000000002</v>
      </c>
      <c r="AR360" s="608">
        <f>SUM(AN360:AQ360)</f>
        <v>671.01600000000008</v>
      </c>
      <c r="AS360" s="407">
        <f>(AS357*AS359*(8760/1000))/4</f>
        <v>167.75400000000002</v>
      </c>
      <c r="AT360" s="349">
        <f>(AT357*AT359*(8760/1000))/4</f>
        <v>167.75400000000002</v>
      </c>
      <c r="AU360" s="349">
        <f>(AU357*AU359*(8760/1000))/4</f>
        <v>167.75400000000002</v>
      </c>
      <c r="AV360" s="408">
        <f>(AV357*AV359*(8760/1000))/4</f>
        <v>167.75400000000002</v>
      </c>
      <c r="AW360" s="608">
        <f>SUM(AS360:AV360)</f>
        <v>671.01600000000008</v>
      </c>
      <c r="AX360" s="407">
        <f>(AX357*AX359*(8760/1000))/4</f>
        <v>167.75400000000002</v>
      </c>
      <c r="AY360" s="349">
        <f>(AY357*AY359*(8760/1000))/4</f>
        <v>167.75400000000002</v>
      </c>
      <c r="AZ360" s="349">
        <f>(AZ357*AZ359*(8760/1000))/4</f>
        <v>167.75400000000002</v>
      </c>
      <c r="BA360" s="408">
        <f>(BA357*BA359*(8760/1000))/4</f>
        <v>167.75400000000002</v>
      </c>
      <c r="BB360" s="608">
        <f>SUM(AX360:BA360)</f>
        <v>671.01600000000008</v>
      </c>
      <c r="BC360" s="407">
        <f>(BC357*BC359*(8760/1000))/4</f>
        <v>167.75400000000002</v>
      </c>
      <c r="BD360" s="349">
        <f>(BD357*BD359*(8760/1000))/4</f>
        <v>167.75400000000002</v>
      </c>
      <c r="BE360" s="349">
        <f>(BE357*BE359*(8760/1000))/4</f>
        <v>167.75400000000002</v>
      </c>
      <c r="BF360" s="408">
        <f>(BF357*BF359*(8760/1000))/4</f>
        <v>167.75400000000002</v>
      </c>
      <c r="BG360" s="608">
        <f>SUM(BC360:BF360)</f>
        <v>671.01600000000008</v>
      </c>
      <c r="BH360" s="407">
        <f>(BH357*BH359*(8760/1000))/4</f>
        <v>167.75400000000002</v>
      </c>
      <c r="BI360" s="349">
        <f>(BI357*BI359*(8760/1000))/4</f>
        <v>167.75400000000002</v>
      </c>
      <c r="BJ360" s="349">
        <f>(BJ357*BJ359*(8760/1000))/4</f>
        <v>167.75400000000002</v>
      </c>
      <c r="BK360" s="408">
        <f>(BK357*BK359*(8760/1000))/4</f>
        <v>167.75400000000002</v>
      </c>
      <c r="BL360" s="608">
        <f>SUM(BH360:BK360)</f>
        <v>671.01600000000008</v>
      </c>
      <c r="BM360" s="407">
        <f>(BM357*BM359*(8760/1000))/4</f>
        <v>167.75400000000002</v>
      </c>
      <c r="BN360" s="349">
        <f>(BN357*BN359*(8760/1000))/4</f>
        <v>167.75400000000002</v>
      </c>
      <c r="BO360" s="349">
        <f>(BO357*BO359*(8760/1000))/4</f>
        <v>167.75400000000002</v>
      </c>
      <c r="BP360" s="408">
        <f>(BP357*BP359*(8760/1000))/4</f>
        <v>167.75400000000002</v>
      </c>
      <c r="BQ360" s="608">
        <f>SUM(BM360:BP360)</f>
        <v>671.01600000000008</v>
      </c>
      <c r="BR360" s="49"/>
    </row>
    <row r="361" spans="1:70" s="2" customFormat="1">
      <c r="A361" s="1523"/>
      <c r="E361" s="365"/>
      <c r="F361" s="6"/>
      <c r="G361" s="6"/>
      <c r="H361" s="366"/>
      <c r="I361" s="37"/>
      <c r="J361" s="365"/>
      <c r="K361" s="6"/>
      <c r="L361" s="6"/>
      <c r="M361" s="366"/>
      <c r="O361" s="365"/>
      <c r="P361" s="6"/>
      <c r="Q361" s="6"/>
      <c r="R361" s="366"/>
      <c r="T361" s="598"/>
      <c r="U361" s="599"/>
      <c r="V361" s="599"/>
      <c r="W361" s="600"/>
      <c r="X361" s="601"/>
      <c r="Y361" s="598"/>
      <c r="Z361" s="599"/>
      <c r="AA361" s="599"/>
      <c r="AB361" s="600"/>
      <c r="AC361" s="601"/>
      <c r="AD361" s="598"/>
      <c r="AE361" s="599"/>
      <c r="AF361" s="599"/>
      <c r="AG361" s="600"/>
      <c r="AH361" s="601"/>
      <c r="AI361" s="598"/>
      <c r="AJ361" s="599"/>
      <c r="AK361" s="599"/>
      <c r="AL361" s="600"/>
      <c r="AM361" s="601"/>
      <c r="AN361" s="598"/>
      <c r="AO361" s="599"/>
      <c r="AP361" s="599"/>
      <c r="AQ361" s="600"/>
      <c r="AR361" s="601"/>
      <c r="AS361" s="598"/>
      <c r="AT361" s="599"/>
      <c r="AU361" s="599"/>
      <c r="AV361" s="600"/>
      <c r="AW361" s="601"/>
      <c r="AX361" s="598"/>
      <c r="AY361" s="599"/>
      <c r="AZ361" s="599"/>
      <c r="BA361" s="600"/>
      <c r="BB361" s="601"/>
      <c r="BC361" s="598"/>
      <c r="BD361" s="599"/>
      <c r="BE361" s="599"/>
      <c r="BF361" s="600"/>
      <c r="BG361" s="601"/>
      <c r="BH361" s="598"/>
      <c r="BI361" s="599"/>
      <c r="BJ361" s="599"/>
      <c r="BK361" s="600"/>
      <c r="BL361" s="601"/>
      <c r="BM361" s="598"/>
      <c r="BN361" s="599"/>
      <c r="BO361" s="599"/>
      <c r="BP361" s="600"/>
      <c r="BQ361" s="601"/>
    </row>
    <row r="362" spans="1:70" s="2" customFormat="1">
      <c r="A362" s="1523"/>
      <c r="C362" s="37" t="s">
        <v>663</v>
      </c>
      <c r="E362" s="365"/>
      <c r="F362" s="6"/>
      <c r="G362" s="6"/>
      <c r="H362" s="366"/>
      <c r="I362" s="37"/>
      <c r="J362" s="365"/>
      <c r="K362" s="6"/>
      <c r="L362" s="6"/>
      <c r="M362" s="366"/>
      <c r="O362" s="365"/>
      <c r="P362" s="6"/>
      <c r="Q362" s="6"/>
      <c r="R362" s="366"/>
      <c r="T362" s="392"/>
      <c r="U362" s="341"/>
      <c r="V362" s="341"/>
      <c r="W362" s="393"/>
      <c r="X362" s="296"/>
      <c r="Y362" s="392">
        <f>(Y354/1000*Y360)</f>
        <v>15.058524349761901</v>
      </c>
      <c r="Z362" s="341">
        <f>(Z354/1000*Z360)</f>
        <v>7.5594998125781245</v>
      </c>
      <c r="AA362" s="341">
        <f>(AA354/1000*AA360)</f>
        <v>9.2237882295117206</v>
      </c>
      <c r="AB362" s="393">
        <f>(AB354/1000*AB360)</f>
        <v>11.296734564492187</v>
      </c>
      <c r="AC362" s="296">
        <f>SUM(Y362:AB362)</f>
        <v>43.13854695634393</v>
      </c>
      <c r="AD362" s="392">
        <f>(AD354/1000*AD360)</f>
        <v>28.071125575357161</v>
      </c>
      <c r="AE362" s="341">
        <f>(AE354/1000*AE360)</f>
        <v>7.4374145455664076</v>
      </c>
      <c r="AF362" s="341">
        <f>(AF354/1000*AF360)</f>
        <v>6.9337806690234363</v>
      </c>
      <c r="AG362" s="393">
        <f>(AG354/1000*AG360)</f>
        <v>8.0568281701171891</v>
      </c>
      <c r="AH362" s="296">
        <f>SUM(AD362:AG362)</f>
        <v>50.49914896006419</v>
      </c>
      <c r="AI362" s="392">
        <f>(AI354/1000*AI360)</f>
        <v>35.292749547714287</v>
      </c>
      <c r="AJ362" s="341">
        <f>(AJ354/1000*AJ360)</f>
        <v>4.7592366795703125</v>
      </c>
      <c r="AK362" s="341">
        <f>(AK354/1000*AK360)</f>
        <v>7.1120324502115384</v>
      </c>
      <c r="AL362" s="393">
        <f>(AL354/1000*AL360)</f>
        <v>5.5468089451171867</v>
      </c>
      <c r="AM362" s="296">
        <f>SUM(AI362:AL362)</f>
        <v>52.710827622613323</v>
      </c>
      <c r="AN362" s="392">
        <f>(AN354/1000*AN360)</f>
        <v>5.0862111777539045</v>
      </c>
      <c r="AO362" s="341">
        <f>(AO354/1000*AO360)</f>
        <v>4.7318619789843757</v>
      </c>
      <c r="AP362" s="341">
        <f>(AP354/1000*AP360)</f>
        <v>7.1682463720312501</v>
      </c>
      <c r="AQ362" s="393">
        <f>(AQ354/1000*AQ360)</f>
        <v>6.4888878141666684</v>
      </c>
      <c r="AR362" s="296">
        <f>SUM(AN362:AQ362)</f>
        <v>23.475207342936194</v>
      </c>
      <c r="AS362" s="392">
        <f>(AS354/1000*AS360)</f>
        <v>5.7000351866015588</v>
      </c>
      <c r="AT362" s="341">
        <f>(AT354/1000*AT360)</f>
        <v>5.5860263572851618</v>
      </c>
      <c r="AU362" s="341">
        <f>(AU354/1000*AU360)</f>
        <v>5.3199536444642845</v>
      </c>
      <c r="AV362" s="393">
        <f>(AV354/1000*AV360)</f>
        <v>8.8158588004761906</v>
      </c>
      <c r="AW362" s="296">
        <f>SUM(AS362:AV362)</f>
        <v>25.421873988827194</v>
      </c>
      <c r="AX362" s="392">
        <f>(AX354/1000*AX360)</f>
        <v>10.474112525214847</v>
      </c>
      <c r="AY362" s="341">
        <f>(AY354/1000*AY360)</f>
        <v>5.4771681000000001</v>
      </c>
      <c r="AZ362" s="341">
        <f>(AZ354/1000*AZ360)</f>
        <v>5.9356957000000001</v>
      </c>
      <c r="BA362" s="393">
        <f>(BA354/1000*BA360)</f>
        <v>7.1043819000000008</v>
      </c>
      <c r="BB362" s="296">
        <f>SUM(AX362:BA362)</f>
        <v>28.991358225214846</v>
      </c>
      <c r="BC362" s="392">
        <f>(BC354/1000*BC360)</f>
        <v>12.279499675042096</v>
      </c>
      <c r="BD362" s="341">
        <f>(BD354/1000*BD360)</f>
        <v>5.3007141454391116</v>
      </c>
      <c r="BE362" s="341">
        <f>(BE354/1000*BE360)</f>
        <v>6.1822141221115832</v>
      </c>
      <c r="BF362" s="393">
        <f>(BF354/1000*BF360)</f>
        <v>6.4696387573624765</v>
      </c>
      <c r="BG362" s="296">
        <f>SUM(BC362:BF362)</f>
        <v>30.232066699955269</v>
      </c>
      <c r="BH362" s="392">
        <f>(BH354/1000*BH360)</f>
        <v>12.279499675042096</v>
      </c>
      <c r="BI362" s="341">
        <f>(BI354/1000*BI360)</f>
        <v>5.3007141454391125</v>
      </c>
      <c r="BJ362" s="341">
        <f>(BJ354/1000*BJ360)</f>
        <v>6.1822141221115841</v>
      </c>
      <c r="BK362" s="393">
        <f>(BK354/1000*BK360)</f>
        <v>6.4696387573624765</v>
      </c>
      <c r="BL362" s="296">
        <f>SUM(BH362:BK362)</f>
        <v>30.232066699955269</v>
      </c>
      <c r="BM362" s="392">
        <f>(BM354/1000*BM360)</f>
        <v>11.720421215485073</v>
      </c>
      <c r="BN362" s="341">
        <f>(BN354/1000*BN360)</f>
        <v>5.7065181150592066</v>
      </c>
      <c r="BO362" s="341">
        <f>(BO354/1000*BO360)</f>
        <v>6.5632795359138916</v>
      </c>
      <c r="BP362" s="393">
        <f>(BP354/1000*BP360)</f>
        <v>6.0211340279281682</v>
      </c>
      <c r="BQ362" s="296">
        <f>SUM(BM362:BP362)</f>
        <v>30.011352894386341</v>
      </c>
    </row>
    <row r="363" spans="1:70" s="49" customFormat="1">
      <c r="A363" s="1523"/>
      <c r="B363" s="2"/>
      <c r="C363" s="37" t="s">
        <v>346</v>
      </c>
      <c r="D363" s="2"/>
      <c r="E363" s="365"/>
      <c r="F363" s="6"/>
      <c r="G363" s="6"/>
      <c r="H363" s="366"/>
      <c r="I363" s="37"/>
      <c r="J363" s="365"/>
      <c r="K363" s="6"/>
      <c r="L363" s="6"/>
      <c r="M363" s="366"/>
      <c r="N363" s="2"/>
      <c r="O363" s="365"/>
      <c r="P363" s="6"/>
      <c r="Q363" s="6"/>
      <c r="R363" s="366"/>
      <c r="S363" s="2"/>
      <c r="T363" s="392"/>
      <c r="U363" s="341"/>
      <c r="V363" s="341"/>
      <c r="W363" s="393"/>
      <c r="X363" s="296"/>
      <c r="Y363" s="392">
        <f t="shared" ref="Y363:AQ363" si="347">Y355/1000*Y360</f>
        <v>6.8369433115384641</v>
      </c>
      <c r="Z363" s="341">
        <f t="shared" si="347"/>
        <v>6.8707521946153847</v>
      </c>
      <c r="AA363" s="341">
        <f t="shared" si="347"/>
        <v>6.626734645384615</v>
      </c>
      <c r="AB363" s="393">
        <f t="shared" si="347"/>
        <v>6.4959510461538468</v>
      </c>
      <c r="AC363" s="296">
        <f>SUM(Y363:AB363)</f>
        <v>26.830381197692311</v>
      </c>
      <c r="AD363" s="392">
        <f>AD355/1000*AD360</f>
        <v>6.6106689738461544</v>
      </c>
      <c r="AE363" s="341">
        <f>AE355/1000*AE360</f>
        <v>6.3396172223076945</v>
      </c>
      <c r="AF363" s="341">
        <f t="shared" si="347"/>
        <v>6.06740409692308</v>
      </c>
      <c r="AG363" s="393">
        <f t="shared" si="347"/>
        <v>5.964235386923078</v>
      </c>
      <c r="AH363" s="296">
        <f>SUM(AD363:AG363)</f>
        <v>24.981925680000007</v>
      </c>
      <c r="AI363" s="392">
        <f t="shared" si="347"/>
        <v>16.006518897230769</v>
      </c>
      <c r="AJ363" s="341">
        <f t="shared" si="347"/>
        <v>6.6144111784615394</v>
      </c>
      <c r="AK363" s="341">
        <f t="shared" si="347"/>
        <v>6.4404631846153864</v>
      </c>
      <c r="AL363" s="393">
        <f t="shared" si="347"/>
        <v>6.0646297038461556</v>
      </c>
      <c r="AM363" s="296">
        <f>SUM(AI363:AL363)</f>
        <v>35.126022964153847</v>
      </c>
      <c r="AN363" s="392">
        <f t="shared" si="347"/>
        <v>5.7355737807692311</v>
      </c>
      <c r="AO363" s="341">
        <f t="shared" si="347"/>
        <v>5.6358891923076913</v>
      </c>
      <c r="AP363" s="341">
        <f t="shared" si="347"/>
        <v>5.6137677857142876</v>
      </c>
      <c r="AQ363" s="393">
        <f t="shared" si="347"/>
        <v>5.9465566961538467</v>
      </c>
      <c r="AR363" s="296">
        <f>SUM(AN363:AQ363)</f>
        <v>22.931787454945059</v>
      </c>
      <c r="AS363" s="392">
        <f t="shared" ref="AS363:BA363" si="348">AS355/1000*AS360</f>
        <v>6.3794910576923103</v>
      </c>
      <c r="AT363" s="341">
        <f t="shared" si="348"/>
        <v>6.5811184615384617</v>
      </c>
      <c r="AU363" s="341">
        <f t="shared" si="348"/>
        <v>6.6253151884615402</v>
      </c>
      <c r="AV363" s="393">
        <f t="shared" si="348"/>
        <v>7.0676050615384645</v>
      </c>
      <c r="AW363" s="296">
        <f>SUM(AS363:AV363)</f>
        <v>26.653529769230779</v>
      </c>
      <c r="AX363" s="392">
        <f t="shared" si="348"/>
        <v>7.2847174500000005</v>
      </c>
      <c r="AY363" s="341">
        <f t="shared" si="348"/>
        <v>6.2907750000000009</v>
      </c>
      <c r="AZ363" s="341">
        <f>AZ355/1000*AZ360</f>
        <v>6.2907750000000009</v>
      </c>
      <c r="BA363" s="393">
        <f t="shared" si="348"/>
        <v>6.2907750000000009</v>
      </c>
      <c r="BB363" s="296">
        <f>SUM(AX363:BA363)</f>
        <v>26.157042450000002</v>
      </c>
      <c r="BC363" s="392">
        <f t="shared" ref="BC363:BK363" si="349">BC355/1000*BC360</f>
        <v>6.2198390747876209</v>
      </c>
      <c r="BD363" s="341">
        <f t="shared" si="349"/>
        <v>6.2198390747876209</v>
      </c>
      <c r="BE363" s="341">
        <f t="shared" si="349"/>
        <v>6.2198390747876209</v>
      </c>
      <c r="BF363" s="393">
        <f t="shared" si="349"/>
        <v>6.8390907756371417</v>
      </c>
      <c r="BG363" s="296">
        <f>SUM(BC363:BF363)</f>
        <v>25.498608000000004</v>
      </c>
      <c r="BH363" s="392">
        <f t="shared" si="349"/>
        <v>6.2198390747876209</v>
      </c>
      <c r="BI363" s="341">
        <f t="shared" si="349"/>
        <v>6.2198390747876209</v>
      </c>
      <c r="BJ363" s="341">
        <f t="shared" si="349"/>
        <v>6.2198390747876209</v>
      </c>
      <c r="BK363" s="393">
        <f t="shared" si="349"/>
        <v>6.8390907756371417</v>
      </c>
      <c r="BL363" s="296">
        <f>SUM(BH363:BK363)</f>
        <v>25.498608000000004</v>
      </c>
      <c r="BM363" s="392">
        <f>BM355/1000*BM360</f>
        <v>6.2198390747876209</v>
      </c>
      <c r="BN363" s="341">
        <f>BN355/1000*BN360</f>
        <v>6.2198390747876209</v>
      </c>
      <c r="BO363" s="341">
        <f>BO355/1000*BO360</f>
        <v>6.2198390747876209</v>
      </c>
      <c r="BP363" s="393">
        <f>BP355/1000*BP360</f>
        <v>6.8390907756371417</v>
      </c>
      <c r="BQ363" s="296">
        <f>SUM(BM363:BP363)</f>
        <v>25.498608000000004</v>
      </c>
      <c r="BR363" s="2"/>
    </row>
    <row r="364" spans="1:70" s="2" customFormat="1">
      <c r="A364" s="49"/>
      <c r="B364" s="49"/>
      <c r="C364" s="49" t="s">
        <v>270</v>
      </c>
      <c r="D364" s="49"/>
      <c r="E364" s="663"/>
      <c r="F364" s="468"/>
      <c r="G364" s="468"/>
      <c r="H364" s="664"/>
      <c r="I364" s="37"/>
      <c r="J364" s="663"/>
      <c r="K364" s="468"/>
      <c r="L364" s="468"/>
      <c r="M364" s="664"/>
      <c r="N364" s="49"/>
      <c r="O364" s="663"/>
      <c r="P364" s="468"/>
      <c r="Q364" s="468"/>
      <c r="R364" s="664"/>
      <c r="S364" s="49"/>
      <c r="T364" s="396"/>
      <c r="U364" s="343"/>
      <c r="V364" s="343"/>
      <c r="W364" s="397"/>
      <c r="X364" s="297"/>
      <c r="Y364" s="396">
        <f t="shared" ref="Y364:AR364" si="350">Y362-Y363</f>
        <v>8.2215810382234373</v>
      </c>
      <c r="Z364" s="343">
        <f t="shared" si="350"/>
        <v>0.68874761796273987</v>
      </c>
      <c r="AA364" s="343">
        <f t="shared" si="350"/>
        <v>2.5970535841271056</v>
      </c>
      <c r="AB364" s="397">
        <f t="shared" si="350"/>
        <v>4.8007835183383403</v>
      </c>
      <c r="AC364" s="297">
        <f t="shared" si="350"/>
        <v>16.308165758651619</v>
      </c>
      <c r="AD364" s="396">
        <f>AD362-AD363</f>
        <v>21.460456601511005</v>
      </c>
      <c r="AE364" s="343">
        <f>AE362-AE363</f>
        <v>1.097797323258713</v>
      </c>
      <c r="AF364" s="343">
        <f t="shared" si="350"/>
        <v>0.86637657210035623</v>
      </c>
      <c r="AG364" s="397">
        <f t="shared" si="350"/>
        <v>2.0925927831941111</v>
      </c>
      <c r="AH364" s="297">
        <f t="shared" si="350"/>
        <v>25.517223280064183</v>
      </c>
      <c r="AI364" s="396">
        <f t="shared" si="350"/>
        <v>19.286230650483517</v>
      </c>
      <c r="AJ364" s="343">
        <f t="shared" si="350"/>
        <v>-1.8551744988912269</v>
      </c>
      <c r="AK364" s="343">
        <f t="shared" si="350"/>
        <v>0.67156926559615204</v>
      </c>
      <c r="AL364" s="397">
        <f t="shared" si="350"/>
        <v>-0.51782075872896893</v>
      </c>
      <c r="AM364" s="297">
        <f t="shared" si="350"/>
        <v>17.584804658459475</v>
      </c>
      <c r="AN364" s="396">
        <f t="shared" si="350"/>
        <v>-0.64936260301532656</v>
      </c>
      <c r="AO364" s="343">
        <f t="shared" si="350"/>
        <v>-0.90402721332331559</v>
      </c>
      <c r="AP364" s="343">
        <f t="shared" si="350"/>
        <v>1.5544785863169626</v>
      </c>
      <c r="AQ364" s="397">
        <f t="shared" si="350"/>
        <v>0.54233111801282163</v>
      </c>
      <c r="AR364" s="297">
        <f t="shared" si="350"/>
        <v>0.54341988799113494</v>
      </c>
      <c r="AS364" s="396">
        <f t="shared" ref="AS364:BB364" si="351">AS362-AS363</f>
        <v>-0.67945587109075145</v>
      </c>
      <c r="AT364" s="343">
        <f t="shared" si="351"/>
        <v>-0.99509210425329986</v>
      </c>
      <c r="AU364" s="343">
        <f t="shared" si="351"/>
        <v>-1.3053615439972557</v>
      </c>
      <c r="AV364" s="397">
        <f t="shared" si="351"/>
        <v>1.7482537389377262</v>
      </c>
      <c r="AW364" s="297">
        <f t="shared" si="351"/>
        <v>-1.2316557804035853</v>
      </c>
      <c r="AX364" s="396">
        <f t="shared" si="351"/>
        <v>3.189395075214847</v>
      </c>
      <c r="AY364" s="343">
        <f t="shared" si="351"/>
        <v>-0.8136069000000008</v>
      </c>
      <c r="AZ364" s="343">
        <f>AZ362-AZ363</f>
        <v>-0.35507930000000076</v>
      </c>
      <c r="BA364" s="397">
        <f t="shared" si="351"/>
        <v>0.81360689999999991</v>
      </c>
      <c r="BB364" s="297">
        <f t="shared" si="351"/>
        <v>2.8343157752148436</v>
      </c>
      <c r="BC364" s="396">
        <f t="shared" ref="BC364:BL364" si="352">BC362-BC363</f>
        <v>6.0596606002544755</v>
      </c>
      <c r="BD364" s="343">
        <f t="shared" si="352"/>
        <v>-0.91912492934850931</v>
      </c>
      <c r="BE364" s="343">
        <f t="shared" si="352"/>
        <v>-3.7624952676037715E-2</v>
      </c>
      <c r="BF364" s="397">
        <f t="shared" si="352"/>
        <v>-0.36945201827466523</v>
      </c>
      <c r="BG364" s="297">
        <f t="shared" si="352"/>
        <v>4.7334586999552641</v>
      </c>
      <c r="BH364" s="396">
        <f t="shared" si="352"/>
        <v>6.0596606002544755</v>
      </c>
      <c r="BI364" s="343">
        <f t="shared" si="352"/>
        <v>-0.91912492934850842</v>
      </c>
      <c r="BJ364" s="343">
        <f t="shared" si="352"/>
        <v>-3.7624952676036827E-2</v>
      </c>
      <c r="BK364" s="397">
        <f t="shared" si="352"/>
        <v>-0.36945201827466523</v>
      </c>
      <c r="BL364" s="297">
        <f t="shared" si="352"/>
        <v>4.7334586999552641</v>
      </c>
      <c r="BM364" s="396">
        <f>BM362-BM363</f>
        <v>5.5005821406974524</v>
      </c>
      <c r="BN364" s="343">
        <f>BN362-BN363</f>
        <v>-0.51332095972841429</v>
      </c>
      <c r="BO364" s="343">
        <f>BO362-BO363</f>
        <v>0.34344046112627069</v>
      </c>
      <c r="BP364" s="397">
        <f>BP362-BP363</f>
        <v>-0.81795674770897353</v>
      </c>
      <c r="BQ364" s="297">
        <f>BQ362-BQ363</f>
        <v>4.5127448943863371</v>
      </c>
      <c r="BR364" s="49"/>
    </row>
    <row r="365" spans="1:70" s="2" customFormat="1">
      <c r="A365" s="1523"/>
      <c r="C365" s="49"/>
      <c r="E365" s="365"/>
      <c r="F365" s="6"/>
      <c r="G365" s="6"/>
      <c r="H365" s="366"/>
      <c r="I365" s="37"/>
      <c r="J365" s="365"/>
      <c r="K365" s="6"/>
      <c r="L365" s="6"/>
      <c r="M365" s="366"/>
      <c r="O365" s="365"/>
      <c r="P365" s="6"/>
      <c r="Q365" s="6"/>
      <c r="R365" s="366"/>
      <c r="T365" s="365"/>
      <c r="U365" s="6"/>
      <c r="V365" s="6"/>
      <c r="W365" s="366"/>
      <c r="Y365" s="365"/>
      <c r="Z365" s="6"/>
      <c r="AA365" s="6"/>
      <c r="AB365" s="366"/>
      <c r="AD365" s="365"/>
      <c r="AE365" s="6"/>
      <c r="AF365" s="6"/>
      <c r="AG365" s="366"/>
      <c r="AI365" s="365"/>
      <c r="AJ365" s="6"/>
      <c r="AK365" s="6"/>
      <c r="AL365" s="366"/>
      <c r="AN365" s="365"/>
      <c r="AO365" s="6"/>
      <c r="AP365" s="6"/>
      <c r="AQ365" s="366"/>
      <c r="AS365" s="365"/>
      <c r="AT365" s="6"/>
      <c r="AU365" s="6"/>
      <c r="AV365" s="366"/>
      <c r="AX365" s="365"/>
      <c r="AY365" s="6"/>
      <c r="AZ365" s="6"/>
      <c r="BA365" s="366"/>
      <c r="BC365" s="365"/>
      <c r="BD365" s="6"/>
      <c r="BE365" s="6"/>
      <c r="BF365" s="366"/>
      <c r="BH365" s="365"/>
      <c r="BI365" s="6"/>
      <c r="BJ365" s="6"/>
      <c r="BK365" s="366"/>
      <c r="BM365" s="365"/>
      <c r="BN365" s="6"/>
      <c r="BO365" s="6"/>
      <c r="BP365" s="366"/>
    </row>
    <row r="366" spans="1:70" s="2" customFormat="1">
      <c r="A366" s="1523"/>
      <c r="C366" s="592" t="s">
        <v>1020</v>
      </c>
      <c r="E366" s="365"/>
      <c r="F366" s="6"/>
      <c r="G366" s="6"/>
      <c r="H366" s="366"/>
      <c r="I366" s="37"/>
      <c r="J366" s="365"/>
      <c r="K366" s="6"/>
      <c r="L366" s="6"/>
      <c r="M366" s="366"/>
      <c r="O366" s="365"/>
      <c r="P366" s="6"/>
      <c r="Q366" s="6"/>
      <c r="R366" s="366"/>
      <c r="T366" s="365"/>
      <c r="U366" s="6"/>
      <c r="V366" s="6"/>
      <c r="W366" s="366"/>
      <c r="Y366" s="365"/>
      <c r="Z366" s="6"/>
      <c r="AA366" s="6"/>
      <c r="AB366" s="366"/>
      <c r="AD366" s="365"/>
      <c r="AE366" s="6"/>
      <c r="AF366" s="6"/>
      <c r="AG366" s="366"/>
      <c r="AI366" s="365"/>
      <c r="AJ366" s="6"/>
      <c r="AK366" s="6"/>
      <c r="AL366" s="366"/>
      <c r="AN366" s="365"/>
      <c r="AO366" s="6"/>
      <c r="AP366" s="6"/>
      <c r="AQ366" s="366"/>
      <c r="AS366" s="365"/>
      <c r="AT366" s="6"/>
      <c r="AU366" s="6"/>
      <c r="AV366" s="366"/>
      <c r="AX366" s="365"/>
      <c r="AY366" s="6"/>
      <c r="AZ366" s="6"/>
      <c r="BA366" s="366"/>
      <c r="BC366" s="365"/>
      <c r="BD366" s="6"/>
      <c r="BE366" s="6"/>
      <c r="BF366" s="366"/>
      <c r="BH366" s="365"/>
      <c r="BI366" s="6"/>
      <c r="BJ366" s="6"/>
      <c r="BK366" s="366"/>
      <c r="BM366" s="365"/>
      <c r="BN366" s="6"/>
      <c r="BO366" s="6"/>
      <c r="BP366" s="366"/>
    </row>
    <row r="367" spans="1:70" s="2" customFormat="1">
      <c r="A367" s="1523"/>
      <c r="C367" s="37" t="s">
        <v>271</v>
      </c>
      <c r="E367" s="365"/>
      <c r="F367" s="6"/>
      <c r="G367" s="6"/>
      <c r="H367" s="366"/>
      <c r="I367" s="37"/>
      <c r="J367" s="365"/>
      <c r="K367" s="6"/>
      <c r="L367" s="6"/>
      <c r="M367" s="366"/>
      <c r="O367" s="365"/>
      <c r="P367" s="6"/>
      <c r="Q367" s="6"/>
      <c r="R367" s="366"/>
      <c r="T367" s="365"/>
      <c r="U367" s="6"/>
      <c r="V367" s="6"/>
      <c r="W367" s="366"/>
      <c r="Y367" s="365"/>
      <c r="Z367" s="6"/>
      <c r="AA367" s="6"/>
      <c r="AB367" s="366"/>
      <c r="AD367" s="365"/>
      <c r="AE367" s="6"/>
      <c r="AF367" s="6"/>
      <c r="AG367" s="366"/>
      <c r="AI367" s="365"/>
      <c r="AJ367" s="6"/>
      <c r="AK367" s="6"/>
      <c r="AL367" s="366"/>
      <c r="AN367" s="365"/>
      <c r="AO367" s="6"/>
      <c r="AP367" s="6"/>
      <c r="AQ367" s="366"/>
      <c r="AS367" s="365"/>
      <c r="AT367" s="6"/>
      <c r="AU367" s="6"/>
      <c r="AV367" s="366"/>
      <c r="AX367" s="365"/>
      <c r="AY367" s="6"/>
      <c r="AZ367" s="6"/>
      <c r="BA367" s="366"/>
      <c r="BC367" s="598">
        <f t="shared" ref="BC367:BQ368" si="353">BC59</f>
        <v>73.199444871908241</v>
      </c>
      <c r="BD367" s="599">
        <f t="shared" si="353"/>
        <v>31.598138616301913</v>
      </c>
      <c r="BE367" s="599">
        <f t="shared" si="353"/>
        <v>36.852856695587477</v>
      </c>
      <c r="BF367" s="600">
        <f t="shared" si="353"/>
        <v>38.566226482602353</v>
      </c>
      <c r="BG367" s="601">
        <f t="shared" si="353"/>
        <v>45.054166666599997</v>
      </c>
      <c r="BH367" s="598">
        <f t="shared" si="353"/>
        <v>73.199444871908241</v>
      </c>
      <c r="BI367" s="599">
        <f t="shared" si="353"/>
        <v>31.598138616301917</v>
      </c>
      <c r="BJ367" s="599">
        <f t="shared" si="353"/>
        <v>36.852856695587484</v>
      </c>
      <c r="BK367" s="600">
        <f t="shared" si="353"/>
        <v>38.566226482602353</v>
      </c>
      <c r="BL367" s="601">
        <f t="shared" si="353"/>
        <v>45.054166666600004</v>
      </c>
      <c r="BM367" s="598">
        <f t="shared" si="353"/>
        <v>69.866716832296532</v>
      </c>
      <c r="BN367" s="599">
        <f t="shared" si="353"/>
        <v>34.017180604094122</v>
      </c>
      <c r="BO367" s="599">
        <f t="shared" si="353"/>
        <v>39.124429437830933</v>
      </c>
      <c r="BP367" s="600">
        <f t="shared" si="353"/>
        <v>35.892640580422331</v>
      </c>
      <c r="BQ367" s="601">
        <f t="shared" si="353"/>
        <v>44.725241863660976</v>
      </c>
    </row>
    <row r="368" spans="1:70" s="2" customFormat="1">
      <c r="A368" s="1523"/>
      <c r="C368" s="37" t="s">
        <v>211</v>
      </c>
      <c r="E368" s="365"/>
      <c r="F368" s="6"/>
      <c r="G368" s="6"/>
      <c r="H368" s="366"/>
      <c r="I368" s="37"/>
      <c r="J368" s="365"/>
      <c r="K368" s="6"/>
      <c r="L368" s="6"/>
      <c r="M368" s="366"/>
      <c r="O368" s="365"/>
      <c r="P368" s="6"/>
      <c r="Q368" s="6"/>
      <c r="R368" s="366"/>
      <c r="T368" s="365"/>
      <c r="U368" s="6"/>
      <c r="V368" s="6"/>
      <c r="W368" s="366"/>
      <c r="Y368" s="365"/>
      <c r="Z368" s="6"/>
      <c r="AA368" s="6"/>
      <c r="AB368" s="366"/>
      <c r="AD368" s="365"/>
      <c r="AE368" s="6"/>
      <c r="AF368" s="6"/>
      <c r="AG368" s="366"/>
      <c r="AI368" s="365"/>
      <c r="AJ368" s="6"/>
      <c r="AK368" s="6"/>
      <c r="AL368" s="366"/>
      <c r="AN368" s="365"/>
      <c r="AO368" s="6"/>
      <c r="AP368" s="6"/>
      <c r="AQ368" s="366"/>
      <c r="AS368" s="365"/>
      <c r="AT368" s="6"/>
      <c r="AU368" s="6"/>
      <c r="AV368" s="366"/>
      <c r="AX368" s="365"/>
      <c r="AY368" s="6"/>
      <c r="AZ368" s="6"/>
      <c r="BA368" s="366"/>
      <c r="BC368" s="598">
        <f t="shared" ref="BC368:BK368" si="354">BC60</f>
        <v>56.863680246618706</v>
      </c>
      <c r="BD368" s="599">
        <f t="shared" si="354"/>
        <v>22.402357917897522</v>
      </c>
      <c r="BE368" s="599">
        <f t="shared" si="354"/>
        <v>23.701528116853666</v>
      </c>
      <c r="BF368" s="600">
        <f t="shared" si="354"/>
        <v>32.932400385030085</v>
      </c>
      <c r="BG368" s="601">
        <f t="shared" si="354"/>
        <v>33.974991666599998</v>
      </c>
      <c r="BH368" s="598">
        <f t="shared" si="354"/>
        <v>56.696324969164479</v>
      </c>
      <c r="BI368" s="599">
        <f t="shared" si="354"/>
        <v>22.336425624934453</v>
      </c>
      <c r="BJ368" s="599">
        <f t="shared" si="354"/>
        <v>23.631772241101654</v>
      </c>
      <c r="BK368" s="600">
        <f t="shared" si="354"/>
        <v>32.8354771647994</v>
      </c>
      <c r="BL368" s="601">
        <f t="shared" si="353"/>
        <v>33.875</v>
      </c>
      <c r="BM368" s="598">
        <f t="shared" si="353"/>
        <v>54.313826887816766</v>
      </c>
      <c r="BN368" s="599">
        <f t="shared" si="353"/>
        <v>24.134785269424992</v>
      </c>
      <c r="BO368" s="599">
        <f t="shared" si="353"/>
        <v>25.180601373112481</v>
      </c>
      <c r="BP368" s="600">
        <f t="shared" si="353"/>
        <v>30.671466488753687</v>
      </c>
      <c r="BQ368" s="601">
        <f t="shared" si="353"/>
        <v>33.575170004776979</v>
      </c>
    </row>
    <row r="369" spans="1:69" s="2" customFormat="1">
      <c r="A369" s="1523"/>
      <c r="C369" s="37" t="s">
        <v>266</v>
      </c>
      <c r="E369" s="365"/>
      <c r="F369" s="6"/>
      <c r="G369" s="6"/>
      <c r="H369" s="366"/>
      <c r="I369" s="725">
        <v>6500</v>
      </c>
      <c r="J369" s="365"/>
      <c r="K369" s="6"/>
      <c r="L369" s="6"/>
      <c r="M369" s="366"/>
      <c r="O369" s="365"/>
      <c r="P369" s="6"/>
      <c r="Q369" s="6"/>
      <c r="R369" s="366"/>
      <c r="T369" s="365"/>
      <c r="U369" s="6"/>
      <c r="V369" s="6"/>
      <c r="W369" s="366"/>
      <c r="Y369" s="365"/>
      <c r="Z369" s="6"/>
      <c r="AA369" s="6"/>
      <c r="AB369" s="366"/>
      <c r="AD369" s="365"/>
      <c r="AE369" s="6"/>
      <c r="AF369" s="6"/>
      <c r="AG369" s="366"/>
      <c r="AI369" s="365"/>
      <c r="AJ369" s="6"/>
      <c r="AK369" s="6"/>
      <c r="AL369" s="366"/>
      <c r="AN369" s="365"/>
      <c r="AO369" s="6"/>
      <c r="AP369" s="6"/>
      <c r="AQ369" s="366"/>
      <c r="AS369" s="365"/>
      <c r="AT369" s="6"/>
      <c r="AU369" s="6"/>
      <c r="AV369" s="366"/>
      <c r="AX369" s="365"/>
      <c r="AY369" s="6"/>
      <c r="AZ369" s="6"/>
      <c r="BA369" s="366"/>
      <c r="BC369" s="598">
        <f>$I$369/1000*(BC47+BC53)+BC$111</f>
        <v>31.512788707202734</v>
      </c>
      <c r="BD369" s="599">
        <f>$I$369/1000*(BD47+BD53)+BD$111</f>
        <v>14.008148450309605</v>
      </c>
      <c r="BE369" s="599">
        <f t="shared" ref="BE369:BL369" si="355">$I$369/1000*(BE47+BE53)+BE$111</f>
        <v>13.391053386635619</v>
      </c>
      <c r="BF369" s="600">
        <f t="shared" si="355"/>
        <v>31.626309453252038</v>
      </c>
      <c r="BG369" s="601">
        <f t="shared" si="355"/>
        <v>22.634574999350001</v>
      </c>
      <c r="BH369" s="598">
        <f t="shared" si="355"/>
        <v>31.99888908128024</v>
      </c>
      <c r="BI369" s="599">
        <f t="shared" si="355"/>
        <v>14.205932723140766</v>
      </c>
      <c r="BJ369" s="599">
        <f t="shared" si="355"/>
        <v>13.578673586384113</v>
      </c>
      <c r="BK369" s="600">
        <f t="shared" si="355"/>
        <v>32.114279609194881</v>
      </c>
      <c r="BL369" s="601">
        <f t="shared" si="355"/>
        <v>22.974443749999995</v>
      </c>
      <c r="BM369" s="598">
        <f>$I$369/1000*(BM47+BM53)+BM$111</f>
        <v>31.336301117746292</v>
      </c>
      <c r="BN369" s="599">
        <f>$I$369/1000*(BN47+BN53)+BN$111</f>
        <v>15.370569838243446</v>
      </c>
      <c r="BO369" s="599">
        <f>$I$369/1000*(BO47+BO53)+BO$111</f>
        <v>14.496672494358286</v>
      </c>
      <c r="BP369" s="600">
        <f>$I$369/1000*(BP47+BP53)+BP$111</f>
        <v>30.711348215451999</v>
      </c>
      <c r="BQ369" s="601">
        <f>$I$369/1000*(BQ47+BQ53)+BQ$111</f>
        <v>22.978722916450003</v>
      </c>
    </row>
    <row r="370" spans="1:69" s="2" customFormat="1">
      <c r="A370" s="1523"/>
      <c r="C370" s="37"/>
      <c r="E370" s="365"/>
      <c r="F370" s="6"/>
      <c r="G370" s="6"/>
      <c r="H370" s="366"/>
      <c r="I370" s="589"/>
      <c r="J370" s="365"/>
      <c r="K370" s="6"/>
      <c r="L370" s="6"/>
      <c r="M370" s="366"/>
      <c r="O370" s="365"/>
      <c r="P370" s="6"/>
      <c r="Q370" s="6"/>
      <c r="R370" s="366"/>
      <c r="T370" s="365"/>
      <c r="U370" s="6"/>
      <c r="V370" s="6"/>
      <c r="W370" s="366"/>
      <c r="Y370" s="365"/>
      <c r="Z370" s="6"/>
      <c r="AA370" s="6"/>
      <c r="AB370" s="366"/>
      <c r="AD370" s="365"/>
      <c r="AE370" s="6"/>
      <c r="AF370" s="6"/>
      <c r="AG370" s="366"/>
      <c r="AI370" s="365"/>
      <c r="AJ370" s="6"/>
      <c r="AK370" s="6"/>
      <c r="AL370" s="366"/>
      <c r="AN370" s="365"/>
      <c r="AO370" s="6"/>
      <c r="AP370" s="6"/>
      <c r="AQ370" s="366"/>
      <c r="AS370" s="365"/>
      <c r="AT370" s="6"/>
      <c r="AU370" s="6"/>
      <c r="AV370" s="366"/>
      <c r="AX370" s="365"/>
      <c r="AY370" s="6"/>
      <c r="AZ370" s="6"/>
      <c r="BA370" s="366"/>
      <c r="BC370" s="365"/>
      <c r="BD370" s="6"/>
      <c r="BE370" s="6"/>
      <c r="BF370" s="366"/>
      <c r="BH370" s="365"/>
      <c r="BI370" s="6"/>
      <c r="BJ370" s="6"/>
      <c r="BK370" s="366"/>
      <c r="BM370" s="365"/>
      <c r="BN370" s="6"/>
      <c r="BO370" s="6"/>
      <c r="BP370" s="366"/>
    </row>
    <row r="371" spans="1:69" s="2" customFormat="1">
      <c r="A371" s="1523"/>
      <c r="C371" s="49" t="s">
        <v>267</v>
      </c>
      <c r="E371" s="365"/>
      <c r="F371" s="6"/>
      <c r="G371" s="6"/>
      <c r="H371" s="366"/>
      <c r="I371" s="725">
        <v>485</v>
      </c>
      <c r="J371" s="365"/>
      <c r="K371" s="6"/>
      <c r="L371" s="6"/>
      <c r="M371" s="366"/>
      <c r="O371" s="365"/>
      <c r="P371" s="6"/>
      <c r="Q371" s="6"/>
      <c r="R371" s="366"/>
      <c r="T371" s="365"/>
      <c r="U371" s="6"/>
      <c r="V371" s="6"/>
      <c r="W371" s="366"/>
      <c r="Y371" s="365"/>
      <c r="Z371" s="6"/>
      <c r="AA371" s="6"/>
      <c r="AB371" s="366"/>
      <c r="AD371" s="365"/>
      <c r="AE371" s="6"/>
      <c r="AF371" s="6"/>
      <c r="AG371" s="366"/>
      <c r="AI371" s="365"/>
      <c r="AJ371" s="6"/>
      <c r="AK371" s="6"/>
      <c r="AL371" s="366"/>
      <c r="AN371" s="365"/>
      <c r="AO371" s="6"/>
      <c r="AP371" s="6"/>
      <c r="AQ371" s="366"/>
      <c r="AS371" s="365"/>
      <c r="AT371" s="6"/>
      <c r="AU371" s="6"/>
      <c r="AV371" s="366"/>
      <c r="AX371" s="365"/>
      <c r="AY371" s="6"/>
      <c r="AZ371" s="6"/>
      <c r="BA371" s="366"/>
      <c r="BC371" s="1566">
        <v>0</v>
      </c>
      <c r="BD371" s="1565">
        <f>1/3*I371</f>
        <v>161.66666666666666</v>
      </c>
      <c r="BE371" s="435">
        <f>I371</f>
        <v>485</v>
      </c>
      <c r="BF371" s="436">
        <f>BE371</f>
        <v>485</v>
      </c>
      <c r="BG371" s="2">
        <f t="shared" ref="BG371:BL371" si="356">BF371</f>
        <v>485</v>
      </c>
      <c r="BH371" s="365">
        <f t="shared" si="356"/>
        <v>485</v>
      </c>
      <c r="BI371" s="6">
        <f t="shared" si="356"/>
        <v>485</v>
      </c>
      <c r="BJ371" s="6">
        <f t="shared" si="356"/>
        <v>485</v>
      </c>
      <c r="BK371" s="366">
        <f t="shared" si="356"/>
        <v>485</v>
      </c>
      <c r="BL371" s="2">
        <f t="shared" si="356"/>
        <v>485</v>
      </c>
      <c r="BM371" s="365">
        <f>BL371</f>
        <v>485</v>
      </c>
      <c r="BN371" s="6">
        <f>BM371</f>
        <v>485</v>
      </c>
      <c r="BO371" s="6">
        <f>BN371</f>
        <v>485</v>
      </c>
      <c r="BP371" s="366">
        <f>BO371</f>
        <v>485</v>
      </c>
      <c r="BQ371" s="2">
        <f>BP371</f>
        <v>485</v>
      </c>
    </row>
    <row r="372" spans="1:69" s="2" customFormat="1">
      <c r="A372" s="1523"/>
      <c r="E372" s="365"/>
      <c r="F372" s="6"/>
      <c r="G372" s="6"/>
      <c r="H372" s="366"/>
      <c r="I372" s="37"/>
      <c r="J372" s="365"/>
      <c r="K372" s="6"/>
      <c r="L372" s="6"/>
      <c r="M372" s="366"/>
      <c r="O372" s="365"/>
      <c r="P372" s="6"/>
      <c r="Q372" s="6"/>
      <c r="R372" s="366"/>
      <c r="T372" s="365"/>
      <c r="U372" s="6"/>
      <c r="V372" s="6"/>
      <c r="W372" s="366"/>
      <c r="Y372" s="365"/>
      <c r="Z372" s="6"/>
      <c r="AA372" s="6"/>
      <c r="AB372" s="366"/>
      <c r="AD372" s="365"/>
      <c r="AE372" s="6"/>
      <c r="AF372" s="6"/>
      <c r="AG372" s="366"/>
      <c r="AI372" s="365"/>
      <c r="AJ372" s="6"/>
      <c r="AK372" s="6"/>
      <c r="AL372" s="366"/>
      <c r="AN372" s="365"/>
      <c r="AO372" s="6"/>
      <c r="AP372" s="6"/>
      <c r="AQ372" s="366"/>
      <c r="AS372" s="365"/>
      <c r="AT372" s="6"/>
      <c r="AU372" s="6"/>
      <c r="AV372" s="366"/>
      <c r="AX372" s="365"/>
      <c r="AY372" s="6"/>
      <c r="AZ372" s="6"/>
      <c r="BA372" s="366"/>
      <c r="BC372" s="365"/>
      <c r="BD372" s="6"/>
      <c r="BE372" s="6"/>
      <c r="BF372" s="366"/>
      <c r="BH372" s="365"/>
      <c r="BI372" s="6"/>
      <c r="BJ372" s="6"/>
      <c r="BK372" s="366"/>
      <c r="BM372" s="365"/>
      <c r="BN372" s="6"/>
      <c r="BO372" s="6"/>
      <c r="BP372" s="366"/>
    </row>
    <row r="373" spans="1:69" s="2" customFormat="1">
      <c r="A373" s="1523"/>
      <c r="C373" s="37" t="s">
        <v>214</v>
      </c>
      <c r="E373" s="365"/>
      <c r="F373" s="6"/>
      <c r="G373" s="6"/>
      <c r="H373" s="366"/>
      <c r="I373" s="726">
        <v>0.47499999999999998</v>
      </c>
      <c r="J373" s="365"/>
      <c r="K373" s="6"/>
      <c r="L373" s="6"/>
      <c r="M373" s="366"/>
      <c r="O373" s="365"/>
      <c r="P373" s="6"/>
      <c r="Q373" s="6"/>
      <c r="R373" s="366"/>
      <c r="T373" s="365"/>
      <c r="U373" s="6"/>
      <c r="V373" s="6"/>
      <c r="W373" s="366"/>
      <c r="Y373" s="365"/>
      <c r="Z373" s="6"/>
      <c r="AA373" s="6"/>
      <c r="AB373" s="366"/>
      <c r="AD373" s="365"/>
      <c r="AE373" s="6"/>
      <c r="AF373" s="6"/>
      <c r="AG373" s="366"/>
      <c r="AI373" s="365"/>
      <c r="AJ373" s="6"/>
      <c r="AK373" s="6"/>
      <c r="AL373" s="366"/>
      <c r="AN373" s="365"/>
      <c r="AO373" s="6"/>
      <c r="AP373" s="6"/>
      <c r="AQ373" s="366"/>
      <c r="AS373" s="365"/>
      <c r="AT373" s="6"/>
      <c r="AU373" s="6"/>
      <c r="AV373" s="366"/>
      <c r="AX373" s="365"/>
      <c r="AY373" s="6"/>
      <c r="AZ373" s="6"/>
      <c r="BA373" s="366"/>
      <c r="BC373" s="376">
        <f t="shared" ref="BC373:BK373" si="357">IF(BC367&gt;BC369,$I373,0%)</f>
        <v>0.47499999999999998</v>
      </c>
      <c r="BD373" s="334">
        <f t="shared" si="357"/>
        <v>0.47499999999999998</v>
      </c>
      <c r="BE373" s="334">
        <f t="shared" si="357"/>
        <v>0.47499999999999998</v>
      </c>
      <c r="BF373" s="377">
        <f t="shared" si="357"/>
        <v>0.47499999999999998</v>
      </c>
      <c r="BG373" s="293">
        <f>AVERAGE(BC373:BF373)</f>
        <v>0.47499999999999998</v>
      </c>
      <c r="BH373" s="376">
        <f t="shared" si="357"/>
        <v>0.47499999999999998</v>
      </c>
      <c r="BI373" s="334">
        <f t="shared" si="357"/>
        <v>0.47499999999999998</v>
      </c>
      <c r="BJ373" s="334">
        <f t="shared" si="357"/>
        <v>0.47499999999999998</v>
      </c>
      <c r="BK373" s="377">
        <f t="shared" si="357"/>
        <v>0.47499999999999998</v>
      </c>
      <c r="BL373" s="293">
        <f>AVERAGE(BH373:BK373)</f>
        <v>0.47499999999999998</v>
      </c>
      <c r="BM373" s="376">
        <f>IF(BM367&gt;BM369,$I373,0%)</f>
        <v>0.47499999999999998</v>
      </c>
      <c r="BN373" s="334">
        <f>IF(BN367&gt;BN369,$I373,0%)</f>
        <v>0.47499999999999998</v>
      </c>
      <c r="BO373" s="334">
        <f>IF(BO367&gt;BO369,$I373,0%)</f>
        <v>0.47499999999999998</v>
      </c>
      <c r="BP373" s="377">
        <f>IF(BP367&gt;BP369,$I373,0%)</f>
        <v>0.47499999999999998</v>
      </c>
      <c r="BQ373" s="293">
        <f>AVERAGE(BM373:BP373)</f>
        <v>0.47499999999999998</v>
      </c>
    </row>
    <row r="374" spans="1:69" s="2" customFormat="1">
      <c r="A374" s="1523"/>
      <c r="C374" s="37" t="s">
        <v>212</v>
      </c>
      <c r="E374" s="365"/>
      <c r="F374" s="6"/>
      <c r="G374" s="6"/>
      <c r="H374" s="366"/>
      <c r="I374" s="37"/>
      <c r="J374" s="365"/>
      <c r="K374" s="6"/>
      <c r="L374" s="6"/>
      <c r="M374" s="366"/>
      <c r="O374" s="365"/>
      <c r="P374" s="6"/>
      <c r="Q374" s="6"/>
      <c r="R374" s="366"/>
      <c r="T374" s="365"/>
      <c r="U374" s="6"/>
      <c r="V374" s="6"/>
      <c r="W374" s="366"/>
      <c r="Y374" s="365"/>
      <c r="Z374" s="6"/>
      <c r="AA374" s="6"/>
      <c r="AB374" s="366"/>
      <c r="AD374" s="365"/>
      <c r="AE374" s="6"/>
      <c r="AF374" s="6"/>
      <c r="AG374" s="366"/>
      <c r="AI374" s="365"/>
      <c r="AJ374" s="6"/>
      <c r="AK374" s="6"/>
      <c r="AL374" s="366"/>
      <c r="AN374" s="365"/>
      <c r="AO374" s="6"/>
      <c r="AP374" s="6"/>
      <c r="AQ374" s="366"/>
      <c r="AS374" s="365"/>
      <c r="AT374" s="6"/>
      <c r="AU374" s="6"/>
      <c r="AV374" s="366"/>
      <c r="AX374" s="365"/>
      <c r="AY374" s="6"/>
      <c r="AZ374" s="6"/>
      <c r="BA374" s="366"/>
      <c r="BC374" s="453">
        <f t="shared" ref="BC374:BK374" si="358">BC373*BC371*8760/1000/4</f>
        <v>0</v>
      </c>
      <c r="BD374" s="454">
        <f t="shared" si="358"/>
        <v>168.17374999999998</v>
      </c>
      <c r="BE374" s="454">
        <f t="shared" si="358"/>
        <v>504.52125000000001</v>
      </c>
      <c r="BF374" s="455">
        <f t="shared" si="358"/>
        <v>504.52125000000001</v>
      </c>
      <c r="BG374" s="452">
        <f>SUM(BC374:BF374)</f>
        <v>1177.2162499999999</v>
      </c>
      <c r="BH374" s="453">
        <f t="shared" si="358"/>
        <v>504.52125000000001</v>
      </c>
      <c r="BI374" s="454">
        <f t="shared" si="358"/>
        <v>504.52125000000001</v>
      </c>
      <c r="BJ374" s="454">
        <f t="shared" si="358"/>
        <v>504.52125000000001</v>
      </c>
      <c r="BK374" s="455">
        <f t="shared" si="358"/>
        <v>504.52125000000001</v>
      </c>
      <c r="BL374" s="452">
        <f>SUM(BH374:BK374)</f>
        <v>2018.085</v>
      </c>
      <c r="BM374" s="453">
        <f>BM373*BM371*8760/1000/4</f>
        <v>504.52125000000001</v>
      </c>
      <c r="BN374" s="454">
        <f>BN373*BN371*8760/1000/4</f>
        <v>504.52125000000001</v>
      </c>
      <c r="BO374" s="454">
        <f>BO373*BO371*8760/1000/4</f>
        <v>504.52125000000001</v>
      </c>
      <c r="BP374" s="455">
        <f>BP373*BP371*8760/1000/4</f>
        <v>504.52125000000001</v>
      </c>
      <c r="BQ374" s="452">
        <f>SUM(BM374:BP374)</f>
        <v>2018.085</v>
      </c>
    </row>
    <row r="375" spans="1:69" s="2" customFormat="1">
      <c r="A375" s="1523"/>
      <c r="C375" s="37"/>
      <c r="E375" s="365"/>
      <c r="F375" s="6"/>
      <c r="G375" s="6"/>
      <c r="H375" s="366"/>
      <c r="I375" s="37"/>
      <c r="J375" s="365"/>
      <c r="K375" s="6"/>
      <c r="L375" s="6"/>
      <c r="M375" s="366"/>
      <c r="O375" s="365"/>
      <c r="P375" s="6"/>
      <c r="Q375" s="6"/>
      <c r="R375" s="366"/>
      <c r="T375" s="365"/>
      <c r="U375" s="6"/>
      <c r="V375" s="6"/>
      <c r="W375" s="366"/>
      <c r="Y375" s="365"/>
      <c r="Z375" s="6"/>
      <c r="AA375" s="6"/>
      <c r="AB375" s="366"/>
      <c r="AD375" s="365"/>
      <c r="AE375" s="6"/>
      <c r="AF375" s="6"/>
      <c r="AG375" s="366"/>
      <c r="AI375" s="365"/>
      <c r="AJ375" s="6"/>
      <c r="AK375" s="6"/>
      <c r="AL375" s="366"/>
      <c r="AN375" s="365"/>
      <c r="AO375" s="6"/>
      <c r="AP375" s="6"/>
      <c r="AQ375" s="366"/>
      <c r="AS375" s="365"/>
      <c r="AT375" s="6"/>
      <c r="AU375" s="6"/>
      <c r="AV375" s="366"/>
      <c r="AX375" s="365"/>
      <c r="AY375" s="6"/>
      <c r="AZ375" s="6"/>
      <c r="BA375" s="366"/>
      <c r="BC375" s="365"/>
      <c r="BD375" s="6"/>
      <c r="BE375" s="6"/>
      <c r="BF375" s="366"/>
      <c r="BH375" s="365"/>
      <c r="BI375" s="6"/>
      <c r="BJ375" s="6"/>
      <c r="BK375" s="366"/>
      <c r="BM375" s="365"/>
      <c r="BN375" s="6"/>
      <c r="BO375" s="6"/>
      <c r="BP375" s="366"/>
    </row>
    <row r="376" spans="1:69" s="2" customFormat="1">
      <c r="A376" s="1523"/>
      <c r="C376" s="37" t="s">
        <v>215</v>
      </c>
      <c r="E376" s="365"/>
      <c r="F376" s="6"/>
      <c r="G376" s="6"/>
      <c r="H376" s="366"/>
      <c r="I376" s="726">
        <v>0.25</v>
      </c>
      <c r="J376" s="365"/>
      <c r="K376" s="6"/>
      <c r="L376" s="6"/>
      <c r="M376" s="366"/>
      <c r="O376" s="365"/>
      <c r="P376" s="6"/>
      <c r="Q376" s="6"/>
      <c r="R376" s="366"/>
      <c r="T376" s="365"/>
      <c r="U376" s="6"/>
      <c r="V376" s="6"/>
      <c r="W376" s="366"/>
      <c r="Y376" s="365"/>
      <c r="Z376" s="6"/>
      <c r="AA376" s="6"/>
      <c r="AB376" s="366"/>
      <c r="AD376" s="365"/>
      <c r="AE376" s="6"/>
      <c r="AF376" s="6"/>
      <c r="AG376" s="366"/>
      <c r="AI376" s="365"/>
      <c r="AJ376" s="6"/>
      <c r="AK376" s="6"/>
      <c r="AL376" s="366"/>
      <c r="AN376" s="365"/>
      <c r="AO376" s="6"/>
      <c r="AP376" s="6"/>
      <c r="AQ376" s="366"/>
      <c r="AS376" s="365"/>
      <c r="AT376" s="6"/>
      <c r="AU376" s="6"/>
      <c r="AV376" s="366"/>
      <c r="AX376" s="365"/>
      <c r="AY376" s="6"/>
      <c r="AZ376" s="6"/>
      <c r="BA376" s="366"/>
      <c r="BC376" s="376">
        <f>IF(BC368&gt;BC369,$I376,0%)</f>
        <v>0.25</v>
      </c>
      <c r="BD376" s="334">
        <f>IF(BD368&gt;BD369,$I376,0%)</f>
        <v>0.25</v>
      </c>
      <c r="BE376" s="334">
        <f>IF(BE368&gt;BE369,$I376,0%)</f>
        <v>0.25</v>
      </c>
      <c r="BF376" s="377">
        <f>IF(BF368&gt;BF369,$I376,0%)</f>
        <v>0.25</v>
      </c>
      <c r="BG376" s="293">
        <f>AVERAGE(BC376:BF376)</f>
        <v>0.25</v>
      </c>
      <c r="BH376" s="376">
        <f>IF(BH368&gt;BH369,$I376,0%)</f>
        <v>0.25</v>
      </c>
      <c r="BI376" s="334">
        <f>IF(BI368&gt;BI369,$I376,0%)</f>
        <v>0.25</v>
      </c>
      <c r="BJ376" s="334">
        <f>IF(BJ368&gt;BJ369,$I376,0%)</f>
        <v>0.25</v>
      </c>
      <c r="BK376" s="377">
        <f>IF(BK368&gt;BK369,$I376,0%)</f>
        <v>0.25</v>
      </c>
      <c r="BL376" s="293">
        <f>AVERAGE(BH376:BK376)</f>
        <v>0.25</v>
      </c>
      <c r="BM376" s="376">
        <f>IF(BM368&gt;BM369,$I376,0%)</f>
        <v>0.25</v>
      </c>
      <c r="BN376" s="334">
        <f>IF(BN368&gt;BN369,$I376,0%)</f>
        <v>0.25</v>
      </c>
      <c r="BO376" s="334">
        <f>IF(BO368&gt;BO369,$I376,0%)</f>
        <v>0.25</v>
      </c>
      <c r="BP376" s="377">
        <f>IF(BP368&gt;BP369,$I376,0%)</f>
        <v>0</v>
      </c>
      <c r="BQ376" s="293">
        <f>AVERAGE(BM376:BP376)</f>
        <v>0.1875</v>
      </c>
    </row>
    <row r="377" spans="1:69" s="2" customFormat="1">
      <c r="A377" s="1523"/>
      <c r="C377" s="37" t="s">
        <v>213</v>
      </c>
      <c r="E377" s="365"/>
      <c r="F377" s="6"/>
      <c r="G377" s="6"/>
      <c r="H377" s="366"/>
      <c r="I377" s="37"/>
      <c r="J377" s="365"/>
      <c r="K377" s="6"/>
      <c r="L377" s="6"/>
      <c r="M377" s="366"/>
      <c r="O377" s="365"/>
      <c r="P377" s="6"/>
      <c r="Q377" s="6"/>
      <c r="R377" s="366"/>
      <c r="T377" s="365"/>
      <c r="U377" s="6"/>
      <c r="V377" s="6"/>
      <c r="W377" s="366"/>
      <c r="Y377" s="365"/>
      <c r="Z377" s="6"/>
      <c r="AA377" s="6"/>
      <c r="AB377" s="366"/>
      <c r="AD377" s="365"/>
      <c r="AE377" s="6"/>
      <c r="AF377" s="6"/>
      <c r="AG377" s="366"/>
      <c r="AI377" s="365"/>
      <c r="AJ377" s="6"/>
      <c r="AK377" s="6"/>
      <c r="AL377" s="366"/>
      <c r="AN377" s="365"/>
      <c r="AO377" s="6"/>
      <c r="AP377" s="6"/>
      <c r="AQ377" s="366"/>
      <c r="AS377" s="365"/>
      <c r="AT377" s="6"/>
      <c r="AU377" s="6"/>
      <c r="AV377" s="366"/>
      <c r="AX377" s="365"/>
      <c r="AY377" s="6"/>
      <c r="AZ377" s="6"/>
      <c r="BA377" s="366"/>
      <c r="BC377" s="453">
        <f>BC371*BC376*8760/1000/4</f>
        <v>0</v>
      </c>
      <c r="BD377" s="454">
        <f>BD371*BD376*8760/1000/4</f>
        <v>88.512500000000003</v>
      </c>
      <c r="BE377" s="454">
        <f>BE371*BE376*8760/1000/4</f>
        <v>265.53750000000002</v>
      </c>
      <c r="BF377" s="455">
        <f>BF371*BF376*8760/1000/4</f>
        <v>265.53750000000002</v>
      </c>
      <c r="BG377" s="452">
        <f>SUM(BC377:BF377)</f>
        <v>619.58750000000009</v>
      </c>
      <c r="BH377" s="453">
        <f>BH371*BH376*8760/1000/4</f>
        <v>265.53750000000002</v>
      </c>
      <c r="BI377" s="454">
        <f>BI371*BI376*8760/1000/4</f>
        <v>265.53750000000002</v>
      </c>
      <c r="BJ377" s="454">
        <f>BJ371*BJ376*8760/1000/4</f>
        <v>265.53750000000002</v>
      </c>
      <c r="BK377" s="455">
        <f>BK371*BK376*8760/1000/4</f>
        <v>265.53750000000002</v>
      </c>
      <c r="BL377" s="452">
        <f>SUM(BH377:BK377)</f>
        <v>1062.1500000000001</v>
      </c>
      <c r="BM377" s="453">
        <f>BM371*BM376*8760/1000/4</f>
        <v>265.53750000000002</v>
      </c>
      <c r="BN377" s="454">
        <f>BN371*BN376*8760/1000/4</f>
        <v>265.53750000000002</v>
      </c>
      <c r="BO377" s="454">
        <f>BO371*BO376*8760/1000/4</f>
        <v>265.53750000000002</v>
      </c>
      <c r="BP377" s="455">
        <f>BP371*BP376*8760/1000/4</f>
        <v>0</v>
      </c>
      <c r="BQ377" s="452">
        <f>SUM(BM377:BP377)</f>
        <v>796.61250000000007</v>
      </c>
    </row>
    <row r="378" spans="1:69" s="2" customFormat="1">
      <c r="A378" s="1523"/>
      <c r="C378" s="37"/>
      <c r="E378" s="365"/>
      <c r="F378" s="6"/>
      <c r="G378" s="6"/>
      <c r="H378" s="366"/>
      <c r="I378" s="37"/>
      <c r="J378" s="365"/>
      <c r="K378" s="6"/>
      <c r="L378" s="6"/>
      <c r="M378" s="366"/>
      <c r="O378" s="365"/>
      <c r="P378" s="6"/>
      <c r="Q378" s="6"/>
      <c r="R378" s="366"/>
      <c r="T378" s="365"/>
      <c r="U378" s="6"/>
      <c r="V378" s="6"/>
      <c r="W378" s="366"/>
      <c r="Y378" s="365"/>
      <c r="Z378" s="6"/>
      <c r="AA378" s="6"/>
      <c r="AB378" s="366"/>
      <c r="AD378" s="365"/>
      <c r="AE378" s="6"/>
      <c r="AF378" s="6"/>
      <c r="AG378" s="366"/>
      <c r="AI378" s="365"/>
      <c r="AJ378" s="6"/>
      <c r="AK378" s="6"/>
      <c r="AL378" s="366"/>
      <c r="AN378" s="365"/>
      <c r="AO378" s="6"/>
      <c r="AP378" s="6"/>
      <c r="AQ378" s="366"/>
      <c r="AS378" s="365"/>
      <c r="AT378" s="6"/>
      <c r="AU378" s="6"/>
      <c r="AV378" s="366"/>
      <c r="AX378" s="365"/>
      <c r="AY378" s="6"/>
      <c r="AZ378" s="6"/>
      <c r="BA378" s="366"/>
      <c r="BC378" s="365"/>
      <c r="BD378" s="6"/>
      <c r="BE378" s="6"/>
      <c r="BF378" s="366"/>
      <c r="BH378" s="365"/>
      <c r="BI378" s="6"/>
      <c r="BJ378" s="6"/>
      <c r="BK378" s="366"/>
      <c r="BM378" s="365"/>
      <c r="BN378" s="6"/>
      <c r="BO378" s="6"/>
      <c r="BP378" s="366"/>
    </row>
    <row r="379" spans="1:69" s="2" customFormat="1">
      <c r="A379" s="1523"/>
      <c r="C379" s="37" t="s">
        <v>216</v>
      </c>
      <c r="E379" s="365"/>
      <c r="F379" s="6"/>
      <c r="G379" s="6"/>
      <c r="H379" s="366"/>
      <c r="I379" s="37"/>
      <c r="J379" s="365"/>
      <c r="K379" s="6"/>
      <c r="L379" s="6"/>
      <c r="M379" s="366"/>
      <c r="O379" s="365"/>
      <c r="P379" s="6"/>
      <c r="Q379" s="6"/>
      <c r="R379" s="366"/>
      <c r="T379" s="365"/>
      <c r="U379" s="6"/>
      <c r="V379" s="6"/>
      <c r="W379" s="366"/>
      <c r="Y379" s="365"/>
      <c r="Z379" s="6"/>
      <c r="AA379" s="6"/>
      <c r="AB379" s="366"/>
      <c r="AD379" s="365"/>
      <c r="AE379" s="6"/>
      <c r="AF379" s="6"/>
      <c r="AG379" s="366"/>
      <c r="AI379" s="365"/>
      <c r="AJ379" s="6"/>
      <c r="AK379" s="6"/>
      <c r="AL379" s="366"/>
      <c r="AN379" s="365"/>
      <c r="AO379" s="6"/>
      <c r="AP379" s="6"/>
      <c r="AQ379" s="366"/>
      <c r="AS379" s="365"/>
      <c r="AT379" s="6"/>
      <c r="AU379" s="6"/>
      <c r="AV379" s="366"/>
      <c r="AX379" s="365"/>
      <c r="AY379" s="6"/>
      <c r="AZ379" s="6"/>
      <c r="BA379" s="366"/>
      <c r="BC379" s="1493">
        <v>0</v>
      </c>
      <c r="BD379" s="334">
        <f>(BD377+BD374)/(8.76*BD371/4)</f>
        <v>0.72499999999999998</v>
      </c>
      <c r="BE379" s="334">
        <f>(BE377+BE374)/(8.76*BE371/4)</f>
        <v>0.72500000000000009</v>
      </c>
      <c r="BF379" s="377">
        <f>(BF377+BF374)/(8.76*BF371/4)</f>
        <v>0.72500000000000009</v>
      </c>
      <c r="BG379" s="293">
        <f>AVERAGE(BC379:BF379)</f>
        <v>0.54375000000000007</v>
      </c>
      <c r="BH379" s="376">
        <f>(BH377+BH374)/(8.76*BH371/4)</f>
        <v>0.72500000000000009</v>
      </c>
      <c r="BI379" s="334">
        <f>(BI377+BI374)/(8.76*BI371/4)</f>
        <v>0.72500000000000009</v>
      </c>
      <c r="BJ379" s="334">
        <f>(BJ377+BJ374)/(8.76*BJ371/4)</f>
        <v>0.72500000000000009</v>
      </c>
      <c r="BK379" s="377">
        <f>(BK377+BK374)/(8.76*BK371/4)</f>
        <v>0.72500000000000009</v>
      </c>
      <c r="BL379" s="293">
        <f>AVERAGE(BH379:BK379)</f>
        <v>0.72500000000000009</v>
      </c>
      <c r="BM379" s="376">
        <f>(BM377+BM374)/(8.76*BM371/4)</f>
        <v>0.72500000000000009</v>
      </c>
      <c r="BN379" s="334">
        <f>(BN377+BN374)/(8.76*BN371/4)</f>
        <v>0.72500000000000009</v>
      </c>
      <c r="BO379" s="334">
        <f>(BO377+BO374)/(8.76*BO371/4)</f>
        <v>0.72500000000000009</v>
      </c>
      <c r="BP379" s="377">
        <f>(BP377+BP374)/(8.76*BP371/4)</f>
        <v>0.47500000000000009</v>
      </c>
      <c r="BQ379" s="293">
        <f>AVERAGE(BM379:BP379)</f>
        <v>0.66250000000000009</v>
      </c>
    </row>
    <row r="380" spans="1:69" s="2" customFormat="1">
      <c r="A380" s="1523"/>
      <c r="C380" s="49" t="s">
        <v>217</v>
      </c>
      <c r="E380" s="365"/>
      <c r="F380" s="6"/>
      <c r="G380" s="6"/>
      <c r="H380" s="366"/>
      <c r="I380" s="37"/>
      <c r="J380" s="365"/>
      <c r="K380" s="6"/>
      <c r="L380" s="6"/>
      <c r="M380" s="366"/>
      <c r="O380" s="365"/>
      <c r="P380" s="6"/>
      <c r="Q380" s="6"/>
      <c r="R380" s="366"/>
      <c r="T380" s="365"/>
      <c r="U380" s="6"/>
      <c r="V380" s="6"/>
      <c r="W380" s="366"/>
      <c r="Y380" s="365"/>
      <c r="Z380" s="6"/>
      <c r="AA380" s="6"/>
      <c r="AB380" s="366"/>
      <c r="AD380" s="365"/>
      <c r="AE380" s="6"/>
      <c r="AF380" s="6"/>
      <c r="AG380" s="366"/>
      <c r="AI380" s="365"/>
      <c r="AJ380" s="6"/>
      <c r="AK380" s="6"/>
      <c r="AL380" s="366"/>
      <c r="AN380" s="365"/>
      <c r="AO380" s="6"/>
      <c r="AP380" s="6"/>
      <c r="AQ380" s="366"/>
      <c r="AS380" s="365"/>
      <c r="AT380" s="6"/>
      <c r="AU380" s="6"/>
      <c r="AV380" s="366"/>
      <c r="AX380" s="365"/>
      <c r="AY380" s="6"/>
      <c r="AZ380" s="6"/>
      <c r="BA380" s="366"/>
      <c r="BC380" s="396">
        <f>BC374+BC377</f>
        <v>0</v>
      </c>
      <c r="BD380" s="343">
        <f>BD374+BD377</f>
        <v>256.68624999999997</v>
      </c>
      <c r="BE380" s="343">
        <f>BE374+BE377</f>
        <v>770.05875000000003</v>
      </c>
      <c r="BF380" s="397">
        <f>BF374+BF377</f>
        <v>770.05875000000003</v>
      </c>
      <c r="BG380" s="608">
        <f>SUM(BC380:BF380)</f>
        <v>1796.80375</v>
      </c>
      <c r="BH380" s="396">
        <f>BH374+BH377</f>
        <v>770.05875000000003</v>
      </c>
      <c r="BI380" s="343">
        <f>BI374+BI377</f>
        <v>770.05875000000003</v>
      </c>
      <c r="BJ380" s="343">
        <f>BJ374+BJ377</f>
        <v>770.05875000000003</v>
      </c>
      <c r="BK380" s="397">
        <f>BK374+BK377</f>
        <v>770.05875000000003</v>
      </c>
      <c r="BL380" s="608">
        <f>SUM(BH380:BK380)</f>
        <v>3080.2350000000001</v>
      </c>
      <c r="BM380" s="396">
        <f>BM374+BM377</f>
        <v>770.05875000000003</v>
      </c>
      <c r="BN380" s="343">
        <f>BN374+BN377</f>
        <v>770.05875000000003</v>
      </c>
      <c r="BO380" s="343">
        <f>BO374+BO377</f>
        <v>770.05875000000003</v>
      </c>
      <c r="BP380" s="397">
        <f>BP374+BP377</f>
        <v>504.52125000000001</v>
      </c>
      <c r="BQ380" s="608">
        <f>SUM(BM380:BP380)</f>
        <v>2814.6975000000002</v>
      </c>
    </row>
    <row r="381" spans="1:69" s="2" customFormat="1">
      <c r="A381" s="1523"/>
      <c r="C381" s="37"/>
      <c r="E381" s="365"/>
      <c r="F381" s="6"/>
      <c r="G381" s="6"/>
      <c r="H381" s="366"/>
      <c r="I381" s="37"/>
      <c r="J381" s="365"/>
      <c r="K381" s="6"/>
      <c r="L381" s="6"/>
      <c r="M381" s="366"/>
      <c r="O381" s="365"/>
      <c r="P381" s="6"/>
      <c r="Q381" s="6"/>
      <c r="R381" s="366"/>
      <c r="T381" s="365"/>
      <c r="U381" s="6"/>
      <c r="V381" s="6"/>
      <c r="W381" s="366"/>
      <c r="Y381" s="365"/>
      <c r="Z381" s="6"/>
      <c r="AA381" s="6"/>
      <c r="AB381" s="366"/>
      <c r="AD381" s="365"/>
      <c r="AE381" s="6"/>
      <c r="AF381" s="6"/>
      <c r="AG381" s="366"/>
      <c r="AI381" s="365"/>
      <c r="AJ381" s="6"/>
      <c r="AK381" s="6"/>
      <c r="AL381" s="366"/>
      <c r="AN381" s="365"/>
      <c r="AO381" s="6"/>
      <c r="AP381" s="6"/>
      <c r="AQ381" s="366"/>
      <c r="AS381" s="365"/>
      <c r="AT381" s="6"/>
      <c r="AU381" s="6"/>
      <c r="AV381" s="366"/>
      <c r="AX381" s="365"/>
      <c r="AY381" s="6"/>
      <c r="AZ381" s="6"/>
      <c r="BA381" s="366"/>
      <c r="BC381" s="365"/>
      <c r="BD381" s="6"/>
      <c r="BE381" s="6"/>
      <c r="BF381" s="366"/>
      <c r="BH381" s="365"/>
      <c r="BI381" s="6"/>
      <c r="BJ381" s="6"/>
      <c r="BK381" s="366"/>
      <c r="BM381" s="365"/>
      <c r="BN381" s="6"/>
      <c r="BO381" s="6"/>
      <c r="BP381" s="366"/>
    </row>
    <row r="382" spans="1:69" s="2" customFormat="1">
      <c r="A382" s="1523"/>
      <c r="C382" s="37" t="s">
        <v>663</v>
      </c>
      <c r="E382" s="365"/>
      <c r="F382" s="6"/>
      <c r="G382" s="6"/>
      <c r="H382" s="366"/>
      <c r="I382" s="37"/>
      <c r="J382" s="365"/>
      <c r="K382" s="6"/>
      <c r="L382" s="6"/>
      <c r="M382" s="366"/>
      <c r="O382" s="365"/>
      <c r="P382" s="6"/>
      <c r="Q382" s="6"/>
      <c r="R382" s="366"/>
      <c r="T382" s="365"/>
      <c r="U382" s="6"/>
      <c r="V382" s="6"/>
      <c r="W382" s="366"/>
      <c r="Y382" s="365"/>
      <c r="Z382" s="6"/>
      <c r="AA382" s="6"/>
      <c r="AB382" s="366"/>
      <c r="AD382" s="365"/>
      <c r="AE382" s="6"/>
      <c r="AF382" s="6"/>
      <c r="AG382" s="366"/>
      <c r="AI382" s="365"/>
      <c r="AJ382" s="6"/>
      <c r="AK382" s="6"/>
      <c r="AL382" s="366"/>
      <c r="AN382" s="365"/>
      <c r="AO382" s="6"/>
      <c r="AP382" s="6"/>
      <c r="AQ382" s="366"/>
      <c r="AS382" s="365"/>
      <c r="AT382" s="6"/>
      <c r="AU382" s="6"/>
      <c r="AV382" s="366"/>
      <c r="AX382" s="365"/>
      <c r="AY382" s="6"/>
      <c r="AZ382" s="6"/>
      <c r="BA382" s="366"/>
      <c r="BC382" s="392">
        <f>(BC374*BC367)/1000+(BC377*BC368)/1000</f>
        <v>0</v>
      </c>
      <c r="BD382" s="341">
        <f>(BD374*BD367)/1000+(BD377*BD368)/1000</f>
        <v>7.2968661693312082</v>
      </c>
      <c r="BE382" s="341">
        <f>(BE374*BE367)/1000+(BE377*BE368)/1000</f>
        <v>24.886693848457696</v>
      </c>
      <c r="BF382" s="393">
        <f>(BF374*BF367)/1000+(BF377*BF368)/1000</f>
        <v>28.202268060025567</v>
      </c>
      <c r="BG382" s="452">
        <f>SUM(BC382:BF382)</f>
        <v>60.385828077814473</v>
      </c>
      <c r="BH382" s="392">
        <f>(BH374*BH367)/1000+(BH377*BH368)/1000</f>
        <v>51.985675817580749</v>
      </c>
      <c r="BI382" s="341">
        <f>(BI374*BI367)/1000+(BI377*BI368)/1000</f>
        <v>21.873091011750947</v>
      </c>
      <c r="BJ382" s="341">
        <f>(BJ374*BJ367)/1000+(BJ377*BJ368)/1000</f>
        <v>24.8681710476002</v>
      </c>
      <c r="BK382" s="393">
        <f>(BK374*BK367)/1000+(BK377*BK368)/1000</f>
        <v>28.176531310433564</v>
      </c>
      <c r="BL382" s="452">
        <f>SUM(BH382:BK382)</f>
        <v>126.90346918736546</v>
      </c>
      <c r="BM382" s="392">
        <f>(BM374*BM367)/1000+(BM377*BM368)/1000</f>
        <v>49.671601116849928</v>
      </c>
      <c r="BN382" s="341">
        <f>(BN374*BN367)/1000+(BN377*BN368)/1000</f>
        <v>23.57108102333326</v>
      </c>
      <c r="BO382" s="341">
        <f>(BO374*BO367)/1000+(BO377*BO368)/1000</f>
        <v>26.425499982624117</v>
      </c>
      <c r="BP382" s="393">
        <f>(BP374*BP367)/1000+(BP377*BP368)/1000</f>
        <v>18.1085998914354</v>
      </c>
      <c r="BQ382" s="452">
        <f>SUM(BM382:BP382)</f>
        <v>117.77678201424271</v>
      </c>
    </row>
    <row r="383" spans="1:69" s="2" customFormat="1">
      <c r="A383" s="1523"/>
      <c r="C383" s="37" t="s">
        <v>346</v>
      </c>
      <c r="E383" s="365"/>
      <c r="F383" s="6"/>
      <c r="G383" s="6"/>
      <c r="H383" s="366"/>
      <c r="I383" s="37"/>
      <c r="J383" s="365"/>
      <c r="K383" s="6"/>
      <c r="L383" s="6"/>
      <c r="M383" s="366"/>
      <c r="O383" s="365"/>
      <c r="P383" s="6"/>
      <c r="Q383" s="6"/>
      <c r="R383" s="366"/>
      <c r="T383" s="365"/>
      <c r="U383" s="6"/>
      <c r="V383" s="6"/>
      <c r="W383" s="366"/>
      <c r="Y383" s="365"/>
      <c r="Z383" s="6"/>
      <c r="AA383" s="6"/>
      <c r="AB383" s="366"/>
      <c r="AD383" s="365"/>
      <c r="AE383" s="6"/>
      <c r="AF383" s="6"/>
      <c r="AG383" s="366"/>
      <c r="AI383" s="365"/>
      <c r="AJ383" s="6"/>
      <c r="AK383" s="6"/>
      <c r="AL383" s="366"/>
      <c r="AN383" s="365"/>
      <c r="AO383" s="6"/>
      <c r="AP383" s="6"/>
      <c r="AQ383" s="366"/>
      <c r="AS383" s="365"/>
      <c r="AT383" s="6"/>
      <c r="AU383" s="6"/>
      <c r="AV383" s="366"/>
      <c r="AX383" s="365"/>
      <c r="AY383" s="6"/>
      <c r="AZ383" s="6"/>
      <c r="BA383" s="366"/>
      <c r="BC383" s="392">
        <f>BC369*BC380/1000</f>
        <v>0</v>
      </c>
      <c r="BD383" s="341">
        <f>BD369*BD380/1000</f>
        <v>3.5956990951532832</v>
      </c>
      <c r="BE383" s="341">
        <f>BE369*BE380/1000</f>
        <v>10.311897832095893</v>
      </c>
      <c r="BF383" s="393">
        <f>BF369*BF380/1000</f>
        <v>24.354116324684448</v>
      </c>
      <c r="BG383" s="452">
        <f>SUM(BC383:BF383)</f>
        <v>38.261713251933628</v>
      </c>
      <c r="BH383" s="392">
        <f>BH369*BH380/1000</f>
        <v>24.64102452731931</v>
      </c>
      <c r="BI383" s="341">
        <f>BI369*BI380/1000</f>
        <v>10.939402795365876</v>
      </c>
      <c r="BJ383" s="341">
        <f>BJ369*BJ380/1000</f>
        <v>10.456376408588968</v>
      </c>
      <c r="BK383" s="393">
        <f>BK369*BK380/1000</f>
        <v>24.729882013007099</v>
      </c>
      <c r="BL383" s="452">
        <f>SUM(BH383:BK383)</f>
        <v>70.766685744281247</v>
      </c>
      <c r="BM383" s="392">
        <f>BM369*BM380/1000</f>
        <v>24.130792868355314</v>
      </c>
      <c r="BN383" s="341">
        <f>BN369*BN380/1000</f>
        <v>11.836241796425451</v>
      </c>
      <c r="BO383" s="341">
        <f>BO369*BO380/1000</f>
        <v>11.163289500164925</v>
      </c>
      <c r="BP383" s="393">
        <f>BP369*BP380/1000</f>
        <v>15.494527790845112</v>
      </c>
      <c r="BQ383" s="452">
        <f>SUM(BM383:BP383)</f>
        <v>62.624851955790803</v>
      </c>
    </row>
    <row r="384" spans="1:69" s="2" customFormat="1">
      <c r="A384" s="1523"/>
      <c r="C384" s="49" t="s">
        <v>270</v>
      </c>
      <c r="E384" s="365"/>
      <c r="F384" s="6"/>
      <c r="G384" s="6"/>
      <c r="H384" s="366"/>
      <c r="I384" s="37"/>
      <c r="J384" s="365"/>
      <c r="K384" s="6"/>
      <c r="L384" s="6"/>
      <c r="M384" s="366"/>
      <c r="O384" s="365"/>
      <c r="P384" s="6"/>
      <c r="Q384" s="6"/>
      <c r="R384" s="366"/>
      <c r="T384" s="365"/>
      <c r="U384" s="6"/>
      <c r="V384" s="6"/>
      <c r="W384" s="366"/>
      <c r="Y384" s="365"/>
      <c r="Z384" s="6"/>
      <c r="AA384" s="6"/>
      <c r="AB384" s="366"/>
      <c r="AD384" s="365"/>
      <c r="AE384" s="6"/>
      <c r="AF384" s="6"/>
      <c r="AG384" s="366"/>
      <c r="AI384" s="365"/>
      <c r="AJ384" s="6"/>
      <c r="AK384" s="6"/>
      <c r="AL384" s="366"/>
      <c r="AN384" s="365"/>
      <c r="AO384" s="6"/>
      <c r="AP384" s="6"/>
      <c r="AQ384" s="366"/>
      <c r="AS384" s="365"/>
      <c r="AT384" s="6"/>
      <c r="AU384" s="6"/>
      <c r="AV384" s="366"/>
      <c r="AX384" s="365"/>
      <c r="AY384" s="6"/>
      <c r="AZ384" s="6"/>
      <c r="BA384" s="366"/>
      <c r="BC384" s="396">
        <f t="shared" ref="BC384:BL384" si="359">BC382-BC383</f>
        <v>0</v>
      </c>
      <c r="BD384" s="343">
        <f t="shared" si="359"/>
        <v>3.701167074177925</v>
      </c>
      <c r="BE384" s="343">
        <f t="shared" si="359"/>
        <v>14.574796016361804</v>
      </c>
      <c r="BF384" s="397">
        <f t="shared" si="359"/>
        <v>3.8481517353411192</v>
      </c>
      <c r="BG384" s="297">
        <f t="shared" si="359"/>
        <v>22.124114825880845</v>
      </c>
      <c r="BH384" s="396">
        <f t="shared" si="359"/>
        <v>27.344651290261439</v>
      </c>
      <c r="BI384" s="343">
        <f t="shared" si="359"/>
        <v>10.933688216385072</v>
      </c>
      <c r="BJ384" s="343">
        <f t="shared" si="359"/>
        <v>14.411794639011232</v>
      </c>
      <c r="BK384" s="397">
        <f t="shared" si="359"/>
        <v>3.4466492974264646</v>
      </c>
      <c r="BL384" s="297">
        <f t="shared" si="359"/>
        <v>56.136783443084212</v>
      </c>
      <c r="BM384" s="396">
        <f>BM382-BM383</f>
        <v>25.540808248494614</v>
      </c>
      <c r="BN384" s="343">
        <f>BN382-BN383</f>
        <v>11.734839226907809</v>
      </c>
      <c r="BO384" s="343">
        <f>BO382-BO383</f>
        <v>15.262210482459192</v>
      </c>
      <c r="BP384" s="397">
        <f>BP382-BP383</f>
        <v>2.6140721005902883</v>
      </c>
      <c r="BQ384" s="297">
        <f>BQ382-BQ383</f>
        <v>55.15193005845191</v>
      </c>
    </row>
    <row r="385" spans="1:70" s="2" customFormat="1">
      <c r="A385" s="1523"/>
      <c r="C385" s="49"/>
      <c r="E385" s="365"/>
      <c r="F385" s="6"/>
      <c r="G385" s="6"/>
      <c r="H385" s="366"/>
      <c r="I385" s="37"/>
      <c r="J385" s="365"/>
      <c r="K385" s="6"/>
      <c r="L385" s="6"/>
      <c r="M385" s="366"/>
      <c r="O385" s="365"/>
      <c r="P385" s="6"/>
      <c r="Q385" s="6"/>
      <c r="R385" s="366"/>
      <c r="T385" s="365"/>
      <c r="U385" s="6"/>
      <c r="V385" s="6"/>
      <c r="W385" s="366"/>
      <c r="Y385" s="365"/>
      <c r="Z385" s="6"/>
      <c r="AA385" s="6"/>
      <c r="AB385" s="366"/>
      <c r="AD385" s="365"/>
      <c r="AE385" s="6"/>
      <c r="AF385" s="6"/>
      <c r="AG385" s="366"/>
      <c r="AI385" s="365"/>
      <c r="AJ385" s="6"/>
      <c r="AK385" s="6"/>
      <c r="AL385" s="366"/>
      <c r="AN385" s="365"/>
      <c r="AO385" s="6"/>
      <c r="AP385" s="6"/>
      <c r="AQ385" s="366"/>
      <c r="AS385" s="365"/>
      <c r="AT385" s="6"/>
      <c r="AU385" s="6"/>
      <c r="AV385" s="366"/>
      <c r="AX385" s="365"/>
      <c r="AY385" s="6"/>
      <c r="AZ385" s="6"/>
      <c r="BA385" s="366"/>
      <c r="BC385" s="365"/>
      <c r="BD385" s="6"/>
      <c r="BE385" s="6"/>
      <c r="BF385" s="366"/>
      <c r="BH385" s="365"/>
      <c r="BI385" s="6"/>
      <c r="BJ385" s="6"/>
      <c r="BK385" s="366"/>
      <c r="BM385" s="365"/>
      <c r="BN385" s="6"/>
      <c r="BO385" s="6"/>
      <c r="BP385" s="366"/>
    </row>
    <row r="386" spans="1:70" s="2" customFormat="1">
      <c r="A386" s="1523"/>
      <c r="C386" s="592" t="s">
        <v>273</v>
      </c>
      <c r="E386" s="365"/>
      <c r="F386" s="6"/>
      <c r="G386" s="6"/>
      <c r="H386" s="366"/>
      <c r="I386" s="603"/>
      <c r="J386" s="365"/>
      <c r="K386" s="6"/>
      <c r="L386" s="6"/>
      <c r="M386" s="366"/>
      <c r="O386" s="365"/>
      <c r="P386" s="6"/>
      <c r="Q386" s="6"/>
      <c r="R386" s="366"/>
      <c r="T386" s="365"/>
      <c r="U386" s="6"/>
      <c r="V386" s="6"/>
      <c r="W386" s="366"/>
      <c r="Y386" s="365"/>
      <c r="Z386" s="6"/>
      <c r="AA386" s="6"/>
      <c r="AB386" s="366"/>
      <c r="AD386" s="365"/>
      <c r="AE386" s="6"/>
      <c r="AF386" s="6"/>
      <c r="AG386" s="366"/>
      <c r="AI386" s="365"/>
      <c r="AJ386" s="6"/>
      <c r="AK386" s="6"/>
      <c r="AL386" s="366"/>
      <c r="AN386" s="365"/>
      <c r="AO386" s="6"/>
      <c r="AP386" s="6"/>
      <c r="AQ386" s="366"/>
      <c r="AS386" s="365"/>
      <c r="AT386" s="6"/>
      <c r="AU386" s="6"/>
      <c r="AV386" s="366"/>
      <c r="AX386" s="365"/>
      <c r="AY386" s="6"/>
      <c r="AZ386" s="6"/>
      <c r="BA386" s="366"/>
      <c r="BC386" s="365"/>
      <c r="BD386" s="6"/>
      <c r="BE386" s="6"/>
      <c r="BF386" s="366"/>
      <c r="BH386" s="365"/>
      <c r="BI386" s="6"/>
      <c r="BJ386" s="6"/>
      <c r="BK386" s="366"/>
      <c r="BM386" s="365"/>
      <c r="BN386" s="6"/>
      <c r="BO386" s="6"/>
      <c r="BP386" s="366"/>
    </row>
    <row r="387" spans="1:70" s="2" customFormat="1">
      <c r="A387" s="1523"/>
      <c r="C387" s="37" t="s">
        <v>271</v>
      </c>
      <c r="E387" s="365"/>
      <c r="F387" s="6"/>
      <c r="G387" s="6"/>
      <c r="H387" s="366"/>
      <c r="I387" s="37"/>
      <c r="J387" s="365"/>
      <c r="K387" s="6"/>
      <c r="L387" s="6"/>
      <c r="M387" s="366"/>
      <c r="O387" s="365"/>
      <c r="P387" s="6"/>
      <c r="Q387" s="6"/>
      <c r="R387" s="366"/>
      <c r="T387" s="598"/>
      <c r="U387" s="599"/>
      <c r="V387" s="599"/>
      <c r="W387" s="600"/>
      <c r="X387" s="601"/>
      <c r="Y387" s="598">
        <f t="shared" ref="Y387:AB388" si="360">+Y63</f>
        <v>45.623531746031752</v>
      </c>
      <c r="Z387" s="599">
        <f t="shared" si="360"/>
        <v>40.663671874999991</v>
      </c>
      <c r="AA387" s="599">
        <f t="shared" si="360"/>
        <v>53.937705078124999</v>
      </c>
      <c r="AB387" s="600">
        <f t="shared" si="360"/>
        <v>46.228017578124991</v>
      </c>
      <c r="AC387" s="601">
        <f>AVERAGE(Y387:AB387)</f>
        <v>46.613231569320433</v>
      </c>
      <c r="AD387" s="598">
        <f t="shared" ref="AD387:AG388" si="361">+AD63</f>
        <v>105.87010912698418</v>
      </c>
      <c r="AE387" s="599">
        <f t="shared" si="361"/>
        <v>44.886210937500003</v>
      </c>
      <c r="AF387" s="599">
        <f t="shared" si="361"/>
        <v>43.024843750000009</v>
      </c>
      <c r="AG387" s="600">
        <f t="shared" si="361"/>
        <v>39.284560546874999</v>
      </c>
      <c r="AH387" s="601">
        <f>AVERAGE(AD387:AG387)</f>
        <v>58.266431090339793</v>
      </c>
      <c r="AI387" s="598">
        <f t="shared" ref="AI387:AL388" si="362">+AI63</f>
        <v>53.16058531746031</v>
      </c>
      <c r="AJ387" s="599">
        <f t="shared" si="362"/>
        <v>38.357529296875022</v>
      </c>
      <c r="AK387" s="599">
        <f t="shared" si="362"/>
        <v>40.580288461538458</v>
      </c>
      <c r="AL387" s="600">
        <f t="shared" si="362"/>
        <v>34.609042968750003</v>
      </c>
      <c r="AM387" s="601">
        <f>AVERAGE(AI387:AL387)</f>
        <v>41.676861511155948</v>
      </c>
      <c r="AN387" s="598">
        <f t="shared" ref="AN387:AQ388" si="363">+AN63</f>
        <v>30.752001953124989</v>
      </c>
      <c r="AO387" s="599">
        <f t="shared" si="363"/>
        <v>35.76955078124999</v>
      </c>
      <c r="AP387" s="599">
        <f t="shared" si="363"/>
        <v>46.082998046874998</v>
      </c>
      <c r="AQ387" s="600">
        <f t="shared" si="363"/>
        <v>27.32274801587301</v>
      </c>
      <c r="AR387" s="601">
        <f>AVERAGE(AN387:AQ387)</f>
        <v>34.981824699280743</v>
      </c>
      <c r="AS387" s="598">
        <f t="shared" ref="AS387:AV388" si="364">+AS63</f>
        <v>27.648046875000006</v>
      </c>
      <c r="AT387" s="599">
        <f t="shared" si="364"/>
        <v>33.630214843749989</v>
      </c>
      <c r="AU387" s="599">
        <f t="shared" si="364"/>
        <v>34.760575396825409</v>
      </c>
      <c r="AV387" s="600">
        <f t="shared" si="364"/>
        <v>35.233521825396821</v>
      </c>
      <c r="AW387" s="601">
        <f>AVERAGE(AS387:AV387)</f>
        <v>32.818089735243056</v>
      </c>
      <c r="AX387" s="598">
        <f t="shared" ref="AX387:BA388" si="365">+AX63</f>
        <v>36.453183593749984</v>
      </c>
      <c r="AY387" s="599">
        <f t="shared" si="365"/>
        <v>37.466666666666654</v>
      </c>
      <c r="AZ387" s="599">
        <f>+AZ63</f>
        <v>33.733333333333327</v>
      </c>
      <c r="BA387" s="600">
        <f t="shared" si="365"/>
        <v>37.766666666666666</v>
      </c>
      <c r="BB387" s="601">
        <f>AVERAGE(AX387:BA387)</f>
        <v>36.354962565104159</v>
      </c>
      <c r="BC387" s="598">
        <f t="shared" ref="BC387:BF388" si="366">+BC63</f>
        <v>52.984877086683944</v>
      </c>
      <c r="BD387" s="599">
        <f t="shared" si="366"/>
        <v>34.892480032694301</v>
      </c>
      <c r="BE387" s="599">
        <f t="shared" si="366"/>
        <v>31.661694844481875</v>
      </c>
      <c r="BF387" s="600">
        <f t="shared" si="366"/>
        <v>28.460948036139868</v>
      </c>
      <c r="BG387" s="601">
        <f>AVERAGE(BC387:BF387)</f>
        <v>37</v>
      </c>
      <c r="BH387" s="598">
        <f t="shared" ref="BH387:BK388" si="367">+BH63</f>
        <v>52.579137036825585</v>
      </c>
      <c r="BI387" s="599">
        <f t="shared" si="367"/>
        <v>34.625285365714404</v>
      </c>
      <c r="BJ387" s="599">
        <f t="shared" si="367"/>
        <v>31.41924042444456</v>
      </c>
      <c r="BK387" s="600">
        <f t="shared" si="367"/>
        <v>28.243003839415444</v>
      </c>
      <c r="BL387" s="601">
        <f>AVERAGE(BH387:BK387)</f>
        <v>36.716666666599998</v>
      </c>
      <c r="BM387" s="598">
        <f t="shared" ref="BM387:BP388" si="368">+BM63</f>
        <v>49.641118805082428</v>
      </c>
      <c r="BN387" s="599">
        <f t="shared" si="368"/>
        <v>37.678492608695116</v>
      </c>
      <c r="BO387" s="599">
        <f t="shared" si="368"/>
        <v>33.555542142260165</v>
      </c>
      <c r="BP387" s="600">
        <f t="shared" si="368"/>
        <v>25.903926375010165</v>
      </c>
      <c r="BQ387" s="601">
        <f>AVERAGE(BM387:BP387)</f>
        <v>36.694769982761969</v>
      </c>
    </row>
    <row r="388" spans="1:70" s="2" customFormat="1">
      <c r="A388" s="1523"/>
      <c r="C388" s="37" t="s">
        <v>211</v>
      </c>
      <c r="E388" s="365"/>
      <c r="F388" s="6"/>
      <c r="G388" s="6"/>
      <c r="H388" s="366"/>
      <c r="I388" s="37"/>
      <c r="J388" s="365"/>
      <c r="K388" s="6"/>
      <c r="L388" s="6"/>
      <c r="M388" s="366"/>
      <c r="O388" s="365"/>
      <c r="P388" s="6"/>
      <c r="Q388" s="6"/>
      <c r="R388" s="366"/>
      <c r="T388" s="598"/>
      <c r="U388" s="599"/>
      <c r="V388" s="599"/>
      <c r="W388" s="600"/>
      <c r="X388" s="601"/>
      <c r="Y388" s="598">
        <f t="shared" si="360"/>
        <v>35.609952294685982</v>
      </c>
      <c r="Z388" s="599">
        <f t="shared" si="360"/>
        <v>28.352330586080591</v>
      </c>
      <c r="AA388" s="599">
        <f t="shared" si="360"/>
        <v>26.087404891304349</v>
      </c>
      <c r="AB388" s="600">
        <f t="shared" si="360"/>
        <v>29.252230615942018</v>
      </c>
      <c r="AC388" s="601">
        <f>AVERAGE(Y388:AB388)</f>
        <v>29.825479597003238</v>
      </c>
      <c r="AD388" s="598">
        <f t="shared" si="361"/>
        <v>74.738565619967801</v>
      </c>
      <c r="AE388" s="599">
        <f t="shared" si="361"/>
        <v>27.261304945054935</v>
      </c>
      <c r="AF388" s="599">
        <f t="shared" si="361"/>
        <v>23.849180253623189</v>
      </c>
      <c r="AG388" s="600">
        <f t="shared" si="361"/>
        <v>21.799227355072475</v>
      </c>
      <c r="AH388" s="601">
        <f>AVERAGE(AD388:AG388)</f>
        <v>36.912069543429595</v>
      </c>
      <c r="AI388" s="598">
        <f t="shared" si="362"/>
        <v>37.643325281803563</v>
      </c>
      <c r="AJ388" s="599">
        <f t="shared" si="362"/>
        <v>18.227133699633701</v>
      </c>
      <c r="AK388" s="599">
        <f t="shared" si="362"/>
        <v>20.449230072463756</v>
      </c>
      <c r="AL388" s="600">
        <f t="shared" si="362"/>
        <v>14.298236956521746</v>
      </c>
      <c r="AM388" s="601">
        <f>AVERAGE(AI388:AL388)</f>
        <v>22.654481502605691</v>
      </c>
      <c r="AN388" s="598">
        <f t="shared" si="363"/>
        <v>13.624288899506292</v>
      </c>
      <c r="AO388" s="599">
        <f t="shared" si="363"/>
        <v>15.5952152014652</v>
      </c>
      <c r="AP388" s="599">
        <f t="shared" si="363"/>
        <v>19.290855978260876</v>
      </c>
      <c r="AQ388" s="600">
        <f t="shared" si="363"/>
        <v>17.24411086956523</v>
      </c>
      <c r="AR388" s="601">
        <f>AVERAGE(AN388:AQ388)</f>
        <v>16.438617737199401</v>
      </c>
      <c r="AS388" s="598">
        <f t="shared" si="364"/>
        <v>19.385393719806771</v>
      </c>
      <c r="AT388" s="599">
        <f t="shared" si="364"/>
        <v>14.500613553113544</v>
      </c>
      <c r="AU388" s="599">
        <f t="shared" si="364"/>
        <v>17.318980978260868</v>
      </c>
      <c r="AV388" s="600">
        <f t="shared" si="364"/>
        <v>19.652653804347828</v>
      </c>
      <c r="AW388" s="601">
        <f>AVERAGE(AS388:AV388)</f>
        <v>17.714410513882253</v>
      </c>
      <c r="AX388" s="598">
        <f t="shared" si="365"/>
        <v>32.735488727858289</v>
      </c>
      <c r="AY388" s="599">
        <f t="shared" si="365"/>
        <v>32.93333333333333</v>
      </c>
      <c r="AZ388" s="599">
        <f>+AZ64</f>
        <v>29.3</v>
      </c>
      <c r="BA388" s="600">
        <f t="shared" si="365"/>
        <v>33.083333333333336</v>
      </c>
      <c r="BB388" s="601">
        <f>AVERAGE(AX388:BA388)</f>
        <v>32.01303884863124</v>
      </c>
      <c r="BC388" s="598">
        <f t="shared" si="366"/>
        <v>50.208915257706195</v>
      </c>
      <c r="BD388" s="599">
        <f t="shared" si="366"/>
        <v>32.014743875122768</v>
      </c>
      <c r="BE388" s="599">
        <f t="shared" si="366"/>
        <v>27.396223447236203</v>
      </c>
      <c r="BF388" s="600">
        <f t="shared" si="366"/>
        <v>24.304750753134822</v>
      </c>
      <c r="BG388" s="601">
        <f>AVERAGE(BC388:BF388)</f>
        <v>33.481158333299994</v>
      </c>
      <c r="BH388" s="598">
        <f t="shared" si="367"/>
        <v>49.68362440537765</v>
      </c>
      <c r="BI388" s="599">
        <f t="shared" si="367"/>
        <v>31.679802321198984</v>
      </c>
      <c r="BJ388" s="599">
        <f t="shared" si="367"/>
        <v>27.109601330599784</v>
      </c>
      <c r="BK388" s="600">
        <f t="shared" si="367"/>
        <v>24.050471942823588</v>
      </c>
      <c r="BL388" s="601">
        <f>AVERAGE(BH388:BK388)</f>
        <v>33.130875000000003</v>
      </c>
      <c r="BM388" s="598">
        <f t="shared" si="368"/>
        <v>46.66040429048271</v>
      </c>
      <c r="BN388" s="599">
        <f t="shared" si="368"/>
        <v>34.291757333409386</v>
      </c>
      <c r="BO388" s="599">
        <f t="shared" si="368"/>
        <v>28.800420564115417</v>
      </c>
      <c r="BP388" s="600">
        <f t="shared" si="368"/>
        <v>21.942466060763959</v>
      </c>
      <c r="BQ388" s="601">
        <f>AVERAGE(BM388:BP388)</f>
        <v>32.923762062192864</v>
      </c>
    </row>
    <row r="389" spans="1:70" s="2" customFormat="1">
      <c r="A389" s="1523"/>
      <c r="C389" s="37" t="s">
        <v>266</v>
      </c>
      <c r="E389" s="365"/>
      <c r="F389" s="6"/>
      <c r="G389" s="6"/>
      <c r="H389" s="366"/>
      <c r="I389" s="725">
        <v>7500</v>
      </c>
      <c r="J389" s="365"/>
      <c r="K389" s="6"/>
      <c r="L389" s="6"/>
      <c r="M389" s="366"/>
      <c r="O389" s="365"/>
      <c r="P389" s="6"/>
      <c r="Q389" s="6"/>
      <c r="R389" s="366"/>
      <c r="T389" s="598"/>
      <c r="U389" s="599"/>
      <c r="V389" s="599"/>
      <c r="W389" s="600"/>
      <c r="X389" s="601"/>
      <c r="Y389" s="598">
        <f>$I$389/1000*(Y46+Y56)</f>
        <v>58.670375</v>
      </c>
      <c r="Z389" s="599">
        <f>$I$389/1000*(Z46+Z56)</f>
        <v>32.490703124999996</v>
      </c>
      <c r="AA389" s="599">
        <f>$I$389/1000*(AA46+AA56)</f>
        <v>28.252968749999994</v>
      </c>
      <c r="AB389" s="600">
        <f>$I$389/1000*(AB46+AB56)</f>
        <v>32.376328124999986</v>
      </c>
      <c r="AC389" s="601">
        <f>AVERAGE(Y389:AB389)</f>
        <v>37.947593749999996</v>
      </c>
      <c r="AD389" s="598">
        <f>$I$389/1000*(AD46+AD56)</f>
        <v>127.81659836065573</v>
      </c>
      <c r="AE389" s="599">
        <f>$I$389/1000*(AE46+AE56)</f>
        <v>27.97265625</v>
      </c>
      <c r="AF389" s="599">
        <f>$I$389/1000*(AF46+AF56)</f>
        <v>19.468828124999991</v>
      </c>
      <c r="AG389" s="600">
        <f>$I$389/1000*(AG46+AG56)</f>
        <v>23.971757812500009</v>
      </c>
      <c r="AH389" s="601">
        <f>AVERAGE(AD389:AG389)</f>
        <v>49.807460137038937</v>
      </c>
      <c r="AI389" s="1494">
        <f>$I$389/1000*(AI46+AI56/2)+AI111</f>
        <v>46.270383064516132</v>
      </c>
      <c r="AJ389" s="599">
        <f>$I$389/1000*(AJ46+AJ56)+AJ111</f>
        <v>20.652857142857144</v>
      </c>
      <c r="AK389" s="599">
        <f>$I$389/1000*(AK46+AK56)+AK111</f>
        <v>19.034492187500003</v>
      </c>
      <c r="AL389" s="600">
        <f>$I$389/1000*(AL46+AL56)+AL111</f>
        <v>16.321904761904761</v>
      </c>
      <c r="AM389" s="601">
        <f>$I$389/1000*(AM46+AM56)+AM111</f>
        <v>31.212646184355805</v>
      </c>
      <c r="AN389" s="1494">
        <f>$I$389/1000*(AN46+AN56/2)+AN111</f>
        <v>18.768463114754102</v>
      </c>
      <c r="AO389" s="599">
        <f>$I$389/1000*(AO46+AO56)+AO111</f>
        <v>14.7278515625</v>
      </c>
      <c r="AP389" s="599">
        <f>$I$389/1000*(AP46+AP56)+AP111</f>
        <v>16.378789062500001</v>
      </c>
      <c r="AQ389" s="1583">
        <f>$I$389/1000*(AQ46+AQ56/2)+AQ111</f>
        <v>23.416189516129034</v>
      </c>
      <c r="AR389" s="601">
        <f>$I$389/1000*(AR46+AR56)+AR111</f>
        <v>18.458491859052749</v>
      </c>
      <c r="AS389" s="1494">
        <f>$I$389/1000*(AS46+AS56/2)+AS111</f>
        <v>25.70084677419355</v>
      </c>
      <c r="AT389" s="599">
        <f>$I$389/1000*(AT46+AT56)+AT111</f>
        <v>22.157890625000007</v>
      </c>
      <c r="AU389" s="599">
        <f>$I$389*99%/1000*(AU46+AU56)+AU111</f>
        <v>19.901910714285719</v>
      </c>
      <c r="AV389" s="1583">
        <f>$I$389*99%/1000*(AV46+AV56/2)+AV111</f>
        <v>25.800837500000004</v>
      </c>
      <c r="AW389" s="601">
        <f>$I$389*99%/1000*(AW46+AW56)+AW111</f>
        <v>24.145377785678292</v>
      </c>
      <c r="AX389" s="1494">
        <f>$I$389*99%/1000*(AX46+AX56/2)+AX111</f>
        <v>42.542569262295089</v>
      </c>
      <c r="AY389" s="599">
        <f>$I$389*99%/1000*(AY46+AY56)+AY111</f>
        <v>20.473399999999998</v>
      </c>
      <c r="AZ389" s="599">
        <f>$I$389*99%/1000*(AZ46+AZ56)+AZ111</f>
        <v>20.599625000000003</v>
      </c>
      <c r="BA389" s="1583">
        <f>$I$389*99%/1000*(BA46+BA56/2)+BA111</f>
        <v>24.49775</v>
      </c>
      <c r="BB389" s="601">
        <f>AVERAGE(AX389:BA389)</f>
        <v>27.028336065573772</v>
      </c>
      <c r="BC389" s="1494">
        <f>$I$389*99%/1000*(BC46+BC56/2)+BC111</f>
        <v>29.632595608310215</v>
      </c>
      <c r="BD389" s="599">
        <f>$I$389*99%/1000*(BD46+BD56)+BD111</f>
        <v>15.717000345161356</v>
      </c>
      <c r="BE389" s="599">
        <f>$I$389*99%/1000*(BE46+BE56)+BE111</f>
        <v>15.012087907041458</v>
      </c>
      <c r="BF389" s="1583">
        <f>$I$389*99%/1000*(BF46+BF56/2)+BF111</f>
        <v>30.108193821417373</v>
      </c>
      <c r="BG389" s="601">
        <f>$I$389*99%/1000*(BG46+BG56)+BG111</f>
        <v>25.571033749257499</v>
      </c>
      <c r="BH389" s="1494">
        <f>$I$389*99%/1000*(BH46+BH56/2)+BH111</f>
        <v>30.071321015562361</v>
      </c>
      <c r="BI389" s="599">
        <f>$I$389*99%/1000*(BI46+BI56)+BI111</f>
        <v>15.942930841433874</v>
      </c>
      <c r="BJ389" s="599">
        <f>$I$389*99%/1000*(BJ46+BJ56)+BJ111</f>
        <v>15.226407904446466</v>
      </c>
      <c r="BK389" s="1583">
        <f>$I$389*99%/1000*(BK46+BK56/2)+BK111</f>
        <v>30.554127356228275</v>
      </c>
      <c r="BL389" s="601">
        <f>AVERAGE(BH389:BK389)</f>
        <v>22.948696779417745</v>
      </c>
      <c r="BM389" s="1494">
        <f>$I$389*99%/1000*(BM46+BM56/2)+BM111</f>
        <v>29.16028652782817</v>
      </c>
      <c r="BN389" s="599">
        <f>$I$389*99%/1000*(BN46+BN56)+BN111</f>
        <v>17.468675089262703</v>
      </c>
      <c r="BO389" s="599">
        <f>$I$389*99%/1000*(BO46+BO56)+BO111</f>
        <v>16.470415431055425</v>
      </c>
      <c r="BP389" s="1583">
        <f>$I$389*99%/1000*(BP46+BP56/2)+BP111</f>
        <v>28.803342274017769</v>
      </c>
      <c r="BQ389" s="601">
        <f>AVERAGE(BM389:BP389)</f>
        <v>22.975679830541015</v>
      </c>
    </row>
    <row r="390" spans="1:70" s="49" customFormat="1">
      <c r="A390" s="1523"/>
      <c r="B390" s="2"/>
      <c r="C390" s="37"/>
      <c r="D390" s="2"/>
      <c r="E390" s="365"/>
      <c r="F390" s="6"/>
      <c r="G390" s="6"/>
      <c r="H390" s="366"/>
      <c r="I390" s="589"/>
      <c r="J390" s="365"/>
      <c r="K390" s="6"/>
      <c r="L390" s="6"/>
      <c r="M390" s="366"/>
      <c r="N390" s="2"/>
      <c r="O390" s="365"/>
      <c r="P390" s="6"/>
      <c r="Q390" s="6"/>
      <c r="R390" s="366"/>
      <c r="S390" s="2"/>
      <c r="T390" s="598"/>
      <c r="U390" s="599"/>
      <c r="V390" s="599"/>
      <c r="W390" s="600"/>
      <c r="X390" s="601"/>
      <c r="Y390" s="598"/>
      <c r="Z390" s="599"/>
      <c r="AA390" s="599"/>
      <c r="AB390" s="600"/>
      <c r="AC390" s="601"/>
      <c r="AD390" s="598"/>
      <c r="AE390" s="599"/>
      <c r="AF390" s="599"/>
      <c r="AG390" s="600"/>
      <c r="AH390" s="601"/>
      <c r="AI390" s="598"/>
      <c r="AJ390" s="599"/>
      <c r="AK390" s="599"/>
      <c r="AL390" s="600"/>
      <c r="AM390" s="601"/>
      <c r="AN390" s="598"/>
      <c r="AO390" s="599"/>
      <c r="AP390" s="599"/>
      <c r="AQ390" s="600"/>
      <c r="AR390" s="601"/>
      <c r="AS390" s="598"/>
      <c r="AT390" s="599"/>
      <c r="AU390" s="599"/>
      <c r="AV390" s="600"/>
      <c r="AW390" s="601"/>
      <c r="AX390" s="598"/>
      <c r="AY390" s="599"/>
      <c r="AZ390" s="599"/>
      <c r="BA390" s="600"/>
      <c r="BB390" s="601"/>
      <c r="BC390" s="598"/>
      <c r="BD390" s="599"/>
      <c r="BE390" s="599"/>
      <c r="BF390" s="600"/>
      <c r="BG390" s="601"/>
      <c r="BH390" s="598"/>
      <c r="BI390" s="599"/>
      <c r="BJ390" s="599"/>
      <c r="BK390" s="600"/>
      <c r="BL390" s="601"/>
      <c r="BM390" s="598"/>
      <c r="BN390" s="599"/>
      <c r="BO390" s="599"/>
      <c r="BP390" s="600"/>
      <c r="BQ390" s="601"/>
      <c r="BR390" s="2"/>
    </row>
    <row r="391" spans="1:70" s="2" customFormat="1">
      <c r="A391" s="49"/>
      <c r="B391" s="49"/>
      <c r="C391" s="49" t="s">
        <v>267</v>
      </c>
      <c r="D391" s="49"/>
      <c r="E391" s="396"/>
      <c r="F391" s="343"/>
      <c r="G391" s="343"/>
      <c r="H391" s="397"/>
      <c r="I391" s="725">
        <v>756</v>
      </c>
      <c r="J391" s="396"/>
      <c r="K391" s="343"/>
      <c r="L391" s="343"/>
      <c r="M391" s="397"/>
      <c r="N391" s="297"/>
      <c r="O391" s="396"/>
      <c r="P391" s="343"/>
      <c r="Q391" s="343"/>
      <c r="R391" s="397"/>
      <c r="S391" s="297"/>
      <c r="T391" s="396"/>
      <c r="U391" s="343"/>
      <c r="V391" s="343"/>
      <c r="W391" s="397"/>
      <c r="X391" s="297"/>
      <c r="Y391" s="396">
        <f>I391</f>
        <v>756</v>
      </c>
      <c r="Z391" s="343">
        <f t="shared" ref="Z391:AR391" si="369">Y391</f>
        <v>756</v>
      </c>
      <c r="AA391" s="343">
        <f t="shared" si="369"/>
        <v>756</v>
      </c>
      <c r="AB391" s="397">
        <f t="shared" si="369"/>
        <v>756</v>
      </c>
      <c r="AC391" s="297">
        <f t="shared" si="369"/>
        <v>756</v>
      </c>
      <c r="AD391" s="396">
        <f>I391</f>
        <v>756</v>
      </c>
      <c r="AE391" s="343">
        <f>AD391</f>
        <v>756</v>
      </c>
      <c r="AF391" s="343">
        <f t="shared" si="369"/>
        <v>756</v>
      </c>
      <c r="AG391" s="397">
        <f t="shared" si="369"/>
        <v>756</v>
      </c>
      <c r="AH391" s="297">
        <f t="shared" si="369"/>
        <v>756</v>
      </c>
      <c r="AI391" s="396">
        <f t="shared" si="369"/>
        <v>756</v>
      </c>
      <c r="AJ391" s="343">
        <f t="shared" si="369"/>
        <v>756</v>
      </c>
      <c r="AK391" s="343">
        <f>AJ391</f>
        <v>756</v>
      </c>
      <c r="AL391" s="397">
        <f t="shared" si="369"/>
        <v>756</v>
      </c>
      <c r="AM391" s="297">
        <f t="shared" si="369"/>
        <v>756</v>
      </c>
      <c r="AN391" s="396">
        <f t="shared" si="369"/>
        <v>756</v>
      </c>
      <c r="AO391" s="343">
        <f t="shared" si="369"/>
        <v>756</v>
      </c>
      <c r="AP391" s="343">
        <f t="shared" si="369"/>
        <v>756</v>
      </c>
      <c r="AQ391" s="397">
        <f t="shared" si="369"/>
        <v>756</v>
      </c>
      <c r="AR391" s="297">
        <f t="shared" si="369"/>
        <v>756</v>
      </c>
      <c r="AS391" s="396">
        <f t="shared" ref="AS391:BB391" si="370">AR391</f>
        <v>756</v>
      </c>
      <c r="AT391" s="343">
        <f t="shared" si="370"/>
        <v>756</v>
      </c>
      <c r="AU391" s="1565">
        <f>AT391+58</f>
        <v>814</v>
      </c>
      <c r="AV391" s="397">
        <f t="shared" si="370"/>
        <v>814</v>
      </c>
      <c r="AW391" s="297">
        <f t="shared" si="370"/>
        <v>814</v>
      </c>
      <c r="AX391" s="396">
        <f t="shared" si="370"/>
        <v>814</v>
      </c>
      <c r="AY391" s="343">
        <f t="shared" si="370"/>
        <v>814</v>
      </c>
      <c r="AZ391" s="343">
        <f>AY391</f>
        <v>814</v>
      </c>
      <c r="BA391" s="397">
        <f>AY391</f>
        <v>814</v>
      </c>
      <c r="BB391" s="297">
        <f t="shared" si="370"/>
        <v>814</v>
      </c>
      <c r="BC391" s="396">
        <f t="shared" ref="BC391:BL391" si="371">BB391</f>
        <v>814</v>
      </c>
      <c r="BD391" s="343">
        <f t="shared" si="371"/>
        <v>814</v>
      </c>
      <c r="BE391" s="343">
        <f t="shared" si="371"/>
        <v>814</v>
      </c>
      <c r="BF391" s="397">
        <f t="shared" si="371"/>
        <v>814</v>
      </c>
      <c r="BG391" s="297">
        <f t="shared" si="371"/>
        <v>814</v>
      </c>
      <c r="BH391" s="396">
        <f t="shared" si="371"/>
        <v>814</v>
      </c>
      <c r="BI391" s="343">
        <f t="shared" si="371"/>
        <v>814</v>
      </c>
      <c r="BJ391" s="343">
        <f t="shared" si="371"/>
        <v>814</v>
      </c>
      <c r="BK391" s="397">
        <f t="shared" si="371"/>
        <v>814</v>
      </c>
      <c r="BL391" s="297">
        <f t="shared" si="371"/>
        <v>814</v>
      </c>
      <c r="BM391" s="396">
        <f>BL391</f>
        <v>814</v>
      </c>
      <c r="BN391" s="343">
        <f>BM391</f>
        <v>814</v>
      </c>
      <c r="BO391" s="343">
        <f>BN391</f>
        <v>814</v>
      </c>
      <c r="BP391" s="397">
        <f>BO391</f>
        <v>814</v>
      </c>
      <c r="BQ391" s="297">
        <f>BP391</f>
        <v>814</v>
      </c>
      <c r="BR391" s="49"/>
    </row>
    <row r="392" spans="1:70" s="2" customFormat="1">
      <c r="A392" s="1523"/>
      <c r="E392" s="365"/>
      <c r="F392" s="6"/>
      <c r="G392" s="6"/>
      <c r="H392" s="366"/>
      <c r="I392" s="37"/>
      <c r="J392" s="365"/>
      <c r="K392" s="6"/>
      <c r="L392" s="6"/>
      <c r="M392" s="366"/>
      <c r="O392" s="365"/>
      <c r="P392" s="6"/>
      <c r="Q392" s="6"/>
      <c r="R392" s="366"/>
      <c r="T392" s="365"/>
      <c r="U392" s="6"/>
      <c r="V392" s="6"/>
      <c r="W392" s="366"/>
      <c r="Y392" s="365"/>
      <c r="Z392" s="6"/>
      <c r="AA392" s="6"/>
      <c r="AB392" s="366"/>
      <c r="AD392" s="365"/>
      <c r="AE392" s="6"/>
      <c r="AF392" s="6"/>
      <c r="AG392" s="366"/>
      <c r="AI392" s="365"/>
      <c r="AJ392" s="6"/>
      <c r="AK392" s="6"/>
      <c r="AL392" s="366"/>
      <c r="AN392" s="365"/>
      <c r="AO392" s="6"/>
      <c r="AP392" s="6"/>
      <c r="AQ392" s="366"/>
      <c r="AS392" s="365"/>
      <c r="AT392" s="6"/>
      <c r="AU392" s="6"/>
      <c r="AV392" s="366"/>
      <c r="AX392" s="365"/>
      <c r="AY392" s="6"/>
      <c r="AZ392" s="6"/>
      <c r="BA392" s="366"/>
      <c r="BC392" s="365"/>
      <c r="BD392" s="6"/>
      <c r="BE392" s="6"/>
      <c r="BF392" s="366"/>
      <c r="BH392" s="365"/>
      <c r="BI392" s="6"/>
      <c r="BJ392" s="6"/>
      <c r="BK392" s="366"/>
      <c r="BM392" s="365"/>
      <c r="BN392" s="6"/>
      <c r="BO392" s="6"/>
      <c r="BP392" s="366"/>
    </row>
    <row r="393" spans="1:70" s="2" customFormat="1">
      <c r="A393" s="1523"/>
      <c r="C393" s="37" t="s">
        <v>214</v>
      </c>
      <c r="E393" s="365"/>
      <c r="F393" s="6"/>
      <c r="G393" s="6"/>
      <c r="H393" s="366"/>
      <c r="I393" s="726">
        <v>0.45</v>
      </c>
      <c r="J393" s="365"/>
      <c r="K393" s="6"/>
      <c r="L393" s="6"/>
      <c r="M393" s="366"/>
      <c r="O393" s="365"/>
      <c r="P393" s="6"/>
      <c r="Q393" s="6"/>
      <c r="R393" s="366"/>
      <c r="S393" s="732"/>
      <c r="T393" s="376"/>
      <c r="U393" s="334"/>
      <c r="V393" s="334"/>
      <c r="W393" s="377"/>
      <c r="X393" s="293"/>
      <c r="Y393" s="376">
        <f>IF(Y387&gt;Y389,$I393,0%)</f>
        <v>0</v>
      </c>
      <c r="Z393" s="334">
        <f>IF(Z387&gt;Z389,$I393,0%)</f>
        <v>0.45</v>
      </c>
      <c r="AA393" s="334">
        <f>IF(AA387&gt;AA389,$I393,0%)</f>
        <v>0.45</v>
      </c>
      <c r="AB393" s="377">
        <f>IF(AB387&gt;AB389,$I393,0%)</f>
        <v>0.45</v>
      </c>
      <c r="AC393" s="293">
        <f>AVERAGE(Y393:AB393)</f>
        <v>0.33750000000000002</v>
      </c>
      <c r="AD393" s="376">
        <f>IF(AD387&gt;AD389,$I393,0%)</f>
        <v>0</v>
      </c>
      <c r="AE393" s="334">
        <f>IF(AE387&gt;AE389,$I393,0%)</f>
        <v>0.45</v>
      </c>
      <c r="AF393" s="334">
        <f>IF(AF387&gt;AF389,$I393,0%)</f>
        <v>0.45</v>
      </c>
      <c r="AG393" s="377">
        <f>IF(AG387&gt;AG389,$I393,0%)</f>
        <v>0.45</v>
      </c>
      <c r="AH393" s="293">
        <f>AVERAGE(AD393:AG393)</f>
        <v>0.33750000000000002</v>
      </c>
      <c r="AI393" s="376">
        <f>IF(AI387&gt;AI389,$I393,0%)</f>
        <v>0.45</v>
      </c>
      <c r="AJ393" s="334">
        <f>IF(AJ387&gt;AJ389,$I393,0%)</f>
        <v>0.45</v>
      </c>
      <c r="AK393" s="334">
        <f>IF(AK387&gt;AK389,$I393,0%)</f>
        <v>0.45</v>
      </c>
      <c r="AL393" s="377">
        <f>IF(AL387&gt;AL389,$I393,0%)</f>
        <v>0.45</v>
      </c>
      <c r="AM393" s="293">
        <f>AVERAGE(AI393:AL393)</f>
        <v>0.45</v>
      </c>
      <c r="AN393" s="376">
        <f>IF(AN387&gt;AN389,$I393,0%)</f>
        <v>0.45</v>
      </c>
      <c r="AO393" s="334">
        <f>IF(AO387&gt;AO389,$I393,0%)</f>
        <v>0.45</v>
      </c>
      <c r="AP393" s="334">
        <f>IF(AP387&gt;AP389,$I393,0%)</f>
        <v>0.45</v>
      </c>
      <c r="AQ393" s="377">
        <f>IF(AQ387&gt;AQ389,$I393,0%)</f>
        <v>0.45</v>
      </c>
      <c r="AR393" s="293">
        <f>AVERAGE(AN393:AQ393)</f>
        <v>0.45</v>
      </c>
      <c r="AS393" s="376">
        <f>IF(AS387&gt;AS389,$I393,0%)</f>
        <v>0.45</v>
      </c>
      <c r="AT393" s="334">
        <f>IF(AT387&gt;AT389,$I393,0%)</f>
        <v>0.45</v>
      </c>
      <c r="AU393" s="334">
        <f>IF(AU387&gt;AU389,$I393,0%)</f>
        <v>0.45</v>
      </c>
      <c r="AV393" s="377">
        <f>IF(AV387&gt;AV389,$I393,0%)</f>
        <v>0.45</v>
      </c>
      <c r="AW393" s="293">
        <f>AVERAGE(AS393:AV393)</f>
        <v>0.45</v>
      </c>
      <c r="AX393" s="376">
        <f>IF(AX387&gt;AX389,$I393,0%)</f>
        <v>0</v>
      </c>
      <c r="AY393" s="334">
        <f>IF(AY387&gt;AY389,$I393,0%)</f>
        <v>0.45</v>
      </c>
      <c r="AZ393" s="334">
        <f>IF(AZ387&gt;AZ389,$I393,0%)</f>
        <v>0.45</v>
      </c>
      <c r="BA393" s="377">
        <f>IF(BA387&gt;BA389,$I393,0%)</f>
        <v>0.45</v>
      </c>
      <c r="BB393" s="293">
        <f>AVERAGE(AX393:BA393)</f>
        <v>0.33750000000000002</v>
      </c>
      <c r="BC393" s="376">
        <f>IF(BC387&gt;BC389,$I393,0%)</f>
        <v>0.45</v>
      </c>
      <c r="BD393" s="334">
        <f>IF(BD387&gt;BD389,$I393,0%)</f>
        <v>0.45</v>
      </c>
      <c r="BE393" s="334">
        <f>IF(BE387&gt;BE389,$I393,0%)</f>
        <v>0.45</v>
      </c>
      <c r="BF393" s="377">
        <f>IF(BF387&gt;BF389,$I393,0%)</f>
        <v>0</v>
      </c>
      <c r="BG393" s="293">
        <f>AVERAGE(BC393:BF393)</f>
        <v>0.33750000000000002</v>
      </c>
      <c r="BH393" s="376">
        <f>IF(BH387&gt;BH389,$I393,0%)</f>
        <v>0.45</v>
      </c>
      <c r="BI393" s="334">
        <f>IF(BI387&gt;BI389,$I393,0%)</f>
        <v>0.45</v>
      </c>
      <c r="BJ393" s="334">
        <f>IF(BJ387&gt;BJ389,$I393,0%)</f>
        <v>0.45</v>
      </c>
      <c r="BK393" s="377">
        <f>IF(BK387&gt;BK389,$I393,0%)</f>
        <v>0</v>
      </c>
      <c r="BL393" s="293">
        <f>AVERAGE(BH393:BK393)</f>
        <v>0.33750000000000002</v>
      </c>
      <c r="BM393" s="376">
        <f>IF(BM387&gt;BM389,$I393,0%)</f>
        <v>0.45</v>
      </c>
      <c r="BN393" s="334">
        <f>IF(BN387&gt;BN389,$I393,0%)</f>
        <v>0.45</v>
      </c>
      <c r="BO393" s="334">
        <f>IF(BO387&gt;BO389,$I393,0%)</f>
        <v>0.45</v>
      </c>
      <c r="BP393" s="377">
        <f>IF(BP387&gt;BP389,$I393,0%)</f>
        <v>0</v>
      </c>
      <c r="BQ393" s="293">
        <f>AVERAGE(BM393:BP393)</f>
        <v>0.33750000000000002</v>
      </c>
    </row>
    <row r="394" spans="1:70" s="2" customFormat="1">
      <c r="A394" s="1523"/>
      <c r="C394" s="37" t="s">
        <v>212</v>
      </c>
      <c r="E394" s="365"/>
      <c r="F394" s="6"/>
      <c r="G394" s="6"/>
      <c r="H394" s="366"/>
      <c r="I394" s="37"/>
      <c r="J394" s="365"/>
      <c r="K394" s="6"/>
      <c r="L394" s="6"/>
      <c r="M394" s="366"/>
      <c r="O394" s="365"/>
      <c r="P394" s="6"/>
      <c r="Q394" s="6"/>
      <c r="R394" s="366"/>
      <c r="T394" s="453"/>
      <c r="U394" s="454"/>
      <c r="V394" s="454"/>
      <c r="W394" s="455"/>
      <c r="X394" s="452"/>
      <c r="Y394" s="453">
        <f>(Y391*Y393*(8760/1000))/4</f>
        <v>0</v>
      </c>
      <c r="Z394" s="454">
        <f>(Z391*Z393*(8760/1000))/4</f>
        <v>745.03800000000001</v>
      </c>
      <c r="AA394" s="454">
        <f>(AA391*AA393*(8760/1000))/4</f>
        <v>745.03800000000001</v>
      </c>
      <c r="AB394" s="455">
        <f>(AB391*AB393*(8760/1000))/4</f>
        <v>745.03800000000001</v>
      </c>
      <c r="AC394" s="452">
        <f>SUM(Y394:AB394)</f>
        <v>2235.114</v>
      </c>
      <c r="AD394" s="453">
        <f>(AD391*AD393*(8760/1000))/4</f>
        <v>0</v>
      </c>
      <c r="AE394" s="454">
        <f>(AE391*AE393*(8760/1000))/4</f>
        <v>745.03800000000001</v>
      </c>
      <c r="AF394" s="454">
        <f>(AF391*AF393*(8760/1000))/4</f>
        <v>745.03800000000001</v>
      </c>
      <c r="AG394" s="455">
        <f>(AG391*AG393*(8760/1000))/4</f>
        <v>745.03800000000001</v>
      </c>
      <c r="AH394" s="452">
        <f>SUM(AD394:AG394)</f>
        <v>2235.114</v>
      </c>
      <c r="AI394" s="453">
        <f>(AI391*AI393*(8760/1000))/4</f>
        <v>745.03800000000001</v>
      </c>
      <c r="AJ394" s="454">
        <f>(AJ391*AJ393*(8760/1000))/4</f>
        <v>745.03800000000001</v>
      </c>
      <c r="AK394" s="454">
        <f>(AK391*AK393*(8760/1000))/4</f>
        <v>745.03800000000001</v>
      </c>
      <c r="AL394" s="455">
        <f>(AL391*AL393*(8760/1000))/4</f>
        <v>745.03800000000001</v>
      </c>
      <c r="AM394" s="452">
        <f>SUM(AI394:AL394)</f>
        <v>2980.152</v>
      </c>
      <c r="AN394" s="453">
        <f>(AN391*AN393*(8760/1000))/4</f>
        <v>745.03800000000001</v>
      </c>
      <c r="AO394" s="454">
        <f>(AO391*AO393*(8760/1000))/4</f>
        <v>745.03800000000001</v>
      </c>
      <c r="AP394" s="454">
        <f>(AP391*AP393*(8760/1000))/4</f>
        <v>745.03800000000001</v>
      </c>
      <c r="AQ394" s="455">
        <f>(AQ391*AQ393*(8760/1000))/4</f>
        <v>745.03800000000001</v>
      </c>
      <c r="AR394" s="452">
        <f>SUM(AN394:AQ394)</f>
        <v>2980.152</v>
      </c>
      <c r="AS394" s="453">
        <f>(AS391*AS393*(8760/1000))/4</f>
        <v>745.03800000000001</v>
      </c>
      <c r="AT394" s="454">
        <f>(AT391*AT393*(8760/1000))/4</f>
        <v>745.03800000000001</v>
      </c>
      <c r="AU394" s="454">
        <f>(AU391*AU393*(8760/1000))/4</f>
        <v>802.197</v>
      </c>
      <c r="AV394" s="455">
        <f>(AV391*AV393*(8760/1000))/4</f>
        <v>802.197</v>
      </c>
      <c r="AW394" s="452">
        <f>SUM(AS394:AV394)</f>
        <v>3094.4700000000003</v>
      </c>
      <c r="AX394" s="453">
        <f>(AX391*AX393*(8760/1000))/4</f>
        <v>0</v>
      </c>
      <c r="AY394" s="454">
        <f>(AY391*AY393*(8760/1000))/4</f>
        <v>802.197</v>
      </c>
      <c r="AZ394" s="454">
        <f>(AZ391*AZ393*(8760/1000))/4</f>
        <v>802.197</v>
      </c>
      <c r="BA394" s="455">
        <f>(BA391*BA393*(8760/1000))/4</f>
        <v>802.197</v>
      </c>
      <c r="BB394" s="452">
        <f>SUM(AX394:BA394)</f>
        <v>2406.5909999999999</v>
      </c>
      <c r="BC394" s="453">
        <f>(BC391*BC393*(8760/1000))/4</f>
        <v>802.197</v>
      </c>
      <c r="BD394" s="454">
        <f>(BD391*BD393*(8760/1000))/4</f>
        <v>802.197</v>
      </c>
      <c r="BE394" s="454">
        <f>(BE391*BE393*(8760/1000))/4</f>
        <v>802.197</v>
      </c>
      <c r="BF394" s="455">
        <f>(BF391*BF393*(8760/1000))/4</f>
        <v>0</v>
      </c>
      <c r="BG394" s="452">
        <f>SUM(BC394:BF394)</f>
        <v>2406.5909999999999</v>
      </c>
      <c r="BH394" s="453">
        <f>(BH391*BH393*(8760/1000))/4</f>
        <v>802.197</v>
      </c>
      <c r="BI394" s="454">
        <f>(BI391*BI393*(8760/1000))/4</f>
        <v>802.197</v>
      </c>
      <c r="BJ394" s="454">
        <f>(BJ391*BJ393*(8760/1000))/4</f>
        <v>802.197</v>
      </c>
      <c r="BK394" s="455">
        <f>(BK391*BK393*(8760/1000))/4</f>
        <v>0</v>
      </c>
      <c r="BL394" s="452">
        <f>SUM(BH394:BK394)</f>
        <v>2406.5909999999999</v>
      </c>
      <c r="BM394" s="453">
        <f>(BM391*BM393*(8760/1000))/4</f>
        <v>802.197</v>
      </c>
      <c r="BN394" s="454">
        <f>(BN391*BN393*(8760/1000))/4</f>
        <v>802.197</v>
      </c>
      <c r="BO394" s="454">
        <f>(BO391*BO393*(8760/1000))/4</f>
        <v>802.197</v>
      </c>
      <c r="BP394" s="455">
        <f>(BP391*BP393*(8760/1000))/4</f>
        <v>0</v>
      </c>
      <c r="BQ394" s="452">
        <f>SUM(BM394:BP394)</f>
        <v>2406.5909999999999</v>
      </c>
    </row>
    <row r="395" spans="1:70" s="2" customFormat="1">
      <c r="A395" s="1523"/>
      <c r="C395" s="37"/>
      <c r="E395" s="365"/>
      <c r="F395" s="6"/>
      <c r="G395" s="6"/>
      <c r="H395" s="366"/>
      <c r="I395" s="37"/>
      <c r="J395" s="365"/>
      <c r="K395" s="6"/>
      <c r="L395" s="6"/>
      <c r="M395" s="366"/>
      <c r="O395" s="365"/>
      <c r="P395" s="6"/>
      <c r="Q395" s="6"/>
      <c r="R395" s="366"/>
      <c r="T395" s="365"/>
      <c r="U395" s="6"/>
      <c r="V395" s="6"/>
      <c r="W395" s="366"/>
      <c r="Y395" s="365"/>
      <c r="Z395" s="6"/>
      <c r="AA395" s="6"/>
      <c r="AB395" s="366"/>
      <c r="AD395" s="365"/>
      <c r="AE395" s="6"/>
      <c r="AF395" s="6"/>
      <c r="AG395" s="366"/>
      <c r="AI395" s="365"/>
      <c r="AJ395" s="6"/>
      <c r="AK395" s="6"/>
      <c r="AL395" s="366"/>
      <c r="AN395" s="365"/>
      <c r="AO395" s="6"/>
      <c r="AP395" s="6"/>
      <c r="AQ395" s="366"/>
      <c r="AS395" s="365"/>
      <c r="AT395" s="6"/>
      <c r="AU395" s="6"/>
      <c r="AV395" s="366"/>
      <c r="AX395" s="365"/>
      <c r="AY395" s="6"/>
      <c r="AZ395" s="6"/>
      <c r="BA395" s="366"/>
      <c r="BC395" s="365"/>
      <c r="BD395" s="6"/>
      <c r="BE395" s="6"/>
      <c r="BF395" s="366"/>
      <c r="BH395" s="365"/>
      <c r="BI395" s="6"/>
      <c r="BJ395" s="6"/>
      <c r="BK395" s="366"/>
      <c r="BM395" s="365"/>
      <c r="BN395" s="6"/>
      <c r="BO395" s="6"/>
      <c r="BP395" s="366"/>
    </row>
    <row r="396" spans="1:70" s="2" customFormat="1">
      <c r="A396" s="1523"/>
      <c r="C396" s="37" t="s">
        <v>215</v>
      </c>
      <c r="E396" s="365"/>
      <c r="F396" s="6"/>
      <c r="G396" s="6"/>
      <c r="H396" s="366"/>
      <c r="I396" s="726">
        <v>0.25</v>
      </c>
      <c r="J396" s="365"/>
      <c r="K396" s="6"/>
      <c r="L396" s="6"/>
      <c r="M396" s="366"/>
      <c r="O396" s="365"/>
      <c r="P396" s="6"/>
      <c r="Q396" s="6"/>
      <c r="R396" s="366"/>
      <c r="T396" s="376"/>
      <c r="U396" s="334"/>
      <c r="V396" s="334"/>
      <c r="W396" s="377"/>
      <c r="X396" s="293"/>
      <c r="Y396" s="376">
        <f>IF(Y388&gt;Y389,$I396,0%)</f>
        <v>0</v>
      </c>
      <c r="Z396" s="334">
        <f>IF(Z388&gt;Z389,$I396,0%)</f>
        <v>0</v>
      </c>
      <c r="AA396" s="334">
        <f>IF(AA388&gt;AA389,$I396,0%)</f>
        <v>0</v>
      </c>
      <c r="AB396" s="377">
        <f>IF(AB388&gt;AB389,$I396,0%)</f>
        <v>0</v>
      </c>
      <c r="AC396" s="293">
        <f>AVERAGE(Y396:AB396)</f>
        <v>0</v>
      </c>
      <c r="AD396" s="376">
        <f>IF(AD388&gt;AD389,$I396,0%)</f>
        <v>0</v>
      </c>
      <c r="AE396" s="334">
        <f>IF(AE388&gt;AE389,$I396,0%)</f>
        <v>0</v>
      </c>
      <c r="AF396" s="334">
        <f>IF(AF388&gt;AF389,$I396,0%)</f>
        <v>0.25</v>
      </c>
      <c r="AG396" s="377">
        <f>IF(AG388&gt;AG389,$I396,0%)</f>
        <v>0</v>
      </c>
      <c r="AH396" s="293">
        <f>AVERAGE(AD396:AG396)</f>
        <v>6.25E-2</v>
      </c>
      <c r="AI396" s="376">
        <f>IF(AI388&gt;AI389,$I396,0%)</f>
        <v>0</v>
      </c>
      <c r="AJ396" s="334">
        <f>IF(AJ388&gt;AJ389,$I396,0%)</f>
        <v>0</v>
      </c>
      <c r="AK396" s="334">
        <f>IF(AK388&gt;AK389,$I396,0%)</f>
        <v>0.25</v>
      </c>
      <c r="AL396" s="377">
        <f>IF(AL388&gt;AL389,$I396,0%)</f>
        <v>0</v>
      </c>
      <c r="AM396" s="293">
        <f>AVERAGE(AI396:AL396)</f>
        <v>6.25E-2</v>
      </c>
      <c r="AN396" s="376">
        <f>IF(AN388&gt;AN389,$I396,0%)</f>
        <v>0</v>
      </c>
      <c r="AO396" s="334">
        <f>IF(AO388&gt;AO389,$I396,0%)</f>
        <v>0.25</v>
      </c>
      <c r="AP396" s="334">
        <f>IF(AP388&gt;AP389,$I396,0%)</f>
        <v>0.25</v>
      </c>
      <c r="AQ396" s="377">
        <f>IF(AQ388&gt;AQ389,$I396,0%)</f>
        <v>0</v>
      </c>
      <c r="AR396" s="293">
        <f>AVERAGE(AN396:AQ396)</f>
        <v>0.125</v>
      </c>
      <c r="AS396" s="376">
        <f>IF(AS388&gt;AS389,$I396,0%)</f>
        <v>0</v>
      </c>
      <c r="AT396" s="334">
        <f>IF(AT388&gt;AT389,$I396,0%)</f>
        <v>0</v>
      </c>
      <c r="AU396" s="334">
        <f>IF(AU388&gt;AU389,$I396,0%)</f>
        <v>0</v>
      </c>
      <c r="AV396" s="377">
        <f>IF(AV388&gt;AV389,$I396,0%)</f>
        <v>0</v>
      </c>
      <c r="AW396" s="293">
        <f>AVERAGE(AS396:AV396)</f>
        <v>0</v>
      </c>
      <c r="AX396" s="376">
        <f>IF(AX388&gt;AX389,$I396,0%)</f>
        <v>0</v>
      </c>
      <c r="AY396" s="334">
        <f>IF(AY388&gt;AY389,$I396,0%)</f>
        <v>0.25</v>
      </c>
      <c r="AZ396" s="334">
        <f>IF(AZ388&gt;AZ389,$I396,0%)</f>
        <v>0.25</v>
      </c>
      <c r="BA396" s="377">
        <f>IF(BA388&gt;BA389,$I396,0%)</f>
        <v>0.25</v>
      </c>
      <c r="BB396" s="293">
        <f>AVERAGE(AX396:BA396)</f>
        <v>0.1875</v>
      </c>
      <c r="BC396" s="376">
        <f>IF(BC388&gt;BC389,$I396,0%)</f>
        <v>0.25</v>
      </c>
      <c r="BD396" s="334">
        <f>IF(BD388&gt;BD389,$I396,0%)</f>
        <v>0.25</v>
      </c>
      <c r="BE396" s="334">
        <f>IF(BE388&gt;BE389,$I396,0%)</f>
        <v>0.25</v>
      </c>
      <c r="BF396" s="377">
        <f>IF(BF388&gt;BF389,$I396,0%)</f>
        <v>0</v>
      </c>
      <c r="BG396" s="293">
        <f>AVERAGE(BC396:BF396)</f>
        <v>0.1875</v>
      </c>
      <c r="BH396" s="376">
        <f>IF(BH388&gt;BH389,$I396,0%)</f>
        <v>0.25</v>
      </c>
      <c r="BI396" s="334">
        <f>IF(BI388&gt;BI389,$I396,0%)</f>
        <v>0.25</v>
      </c>
      <c r="BJ396" s="334">
        <f>IF(BJ388&gt;BJ389,$I396,0%)</f>
        <v>0.25</v>
      </c>
      <c r="BK396" s="377">
        <f>IF(BK388&gt;BK389,$I396,0%)</f>
        <v>0</v>
      </c>
      <c r="BL396" s="293">
        <f>AVERAGE(BH396:BK396)</f>
        <v>0.1875</v>
      </c>
      <c r="BM396" s="376">
        <f>IF(BM388&gt;BM389,$I396,0%)</f>
        <v>0.25</v>
      </c>
      <c r="BN396" s="334">
        <f>IF(BN388&gt;BN389,$I396,0%)</f>
        <v>0.25</v>
      </c>
      <c r="BO396" s="334">
        <f>IF(BO388&gt;BO389,$I396,0%)</f>
        <v>0.25</v>
      </c>
      <c r="BP396" s="377">
        <f>IF(BP388&gt;BP389,$I396,0%)</f>
        <v>0</v>
      </c>
      <c r="BQ396" s="293">
        <f>AVERAGE(BM396:BP396)</f>
        <v>0.1875</v>
      </c>
    </row>
    <row r="397" spans="1:70" s="2" customFormat="1">
      <c r="A397" s="1523"/>
      <c r="C397" s="37" t="s">
        <v>213</v>
      </c>
      <c r="E397" s="365"/>
      <c r="F397" s="6"/>
      <c r="G397" s="6"/>
      <c r="H397" s="366"/>
      <c r="I397" s="732"/>
      <c r="J397" s="365"/>
      <c r="K397" s="6"/>
      <c r="L397" s="6"/>
      <c r="M397" s="366"/>
      <c r="O397" s="365"/>
      <c r="P397" s="6"/>
      <c r="Q397" s="6"/>
      <c r="R397" s="366"/>
      <c r="T397" s="453"/>
      <c r="U397" s="454"/>
      <c r="V397" s="454"/>
      <c r="W397" s="455"/>
      <c r="X397" s="452"/>
      <c r="Y397" s="453">
        <f>(Y391*Y396*(8760/1000))/4</f>
        <v>0</v>
      </c>
      <c r="Z397" s="454">
        <f>(Z391*Z396*(8760/1000))/4</f>
        <v>0</v>
      </c>
      <c r="AA397" s="454">
        <f>(AA391*AA396*(8760/1000))/4</f>
        <v>0</v>
      </c>
      <c r="AB397" s="455">
        <f>(AB391*AB396*(8760/1000))/4</f>
        <v>0</v>
      </c>
      <c r="AC397" s="452">
        <f>SUM(Y397:AB397)</f>
        <v>0</v>
      </c>
      <c r="AD397" s="453">
        <f>(AD391*AD396*(8760/1000))/4</f>
        <v>0</v>
      </c>
      <c r="AE397" s="454">
        <f>(AE391*AE396*(8760/1000))/4</f>
        <v>0</v>
      </c>
      <c r="AF397" s="454">
        <f>(AF391*AF396*(8760/1000))/4</f>
        <v>413.90999999999997</v>
      </c>
      <c r="AG397" s="455">
        <f>(AG391*AG396*(8760/1000))/4</f>
        <v>0</v>
      </c>
      <c r="AH397" s="452">
        <f>SUM(AD397:AG397)</f>
        <v>413.90999999999997</v>
      </c>
      <c r="AI397" s="453">
        <f>(AI391*AI396*(8760/1000))/4</f>
        <v>0</v>
      </c>
      <c r="AJ397" s="454">
        <f>(AJ391*AJ396*(8760/1000))/4</f>
        <v>0</v>
      </c>
      <c r="AK397" s="454">
        <f>(AK391*AK396*(8760/1000))/4</f>
        <v>413.90999999999997</v>
      </c>
      <c r="AL397" s="455">
        <f>(AL391*AL396*(8760/1000))/4</f>
        <v>0</v>
      </c>
      <c r="AM397" s="452">
        <f>SUM(AI397:AL397)</f>
        <v>413.90999999999997</v>
      </c>
      <c r="AN397" s="453">
        <f>(AN391*AN396*(8760/1000))/4</f>
        <v>0</v>
      </c>
      <c r="AO397" s="454">
        <f>(AO391*AO396*(8760/1000))/4</f>
        <v>413.90999999999997</v>
      </c>
      <c r="AP397" s="454">
        <f>(AP391*AP396*(8760/1000))/4</f>
        <v>413.90999999999997</v>
      </c>
      <c r="AQ397" s="455">
        <f>(AQ391*AQ396*(8760/1000))/4</f>
        <v>0</v>
      </c>
      <c r="AR397" s="452">
        <f>SUM(AN397:AQ397)</f>
        <v>827.81999999999994</v>
      </c>
      <c r="AS397" s="453">
        <f>(AS391*AS396*(8760/1000))/4</f>
        <v>0</v>
      </c>
      <c r="AT397" s="454">
        <f>(AT391*AT396*(8760/1000))/4</f>
        <v>0</v>
      </c>
      <c r="AU397" s="454">
        <f>(AU391*AU396*(8760/1000))/4</f>
        <v>0</v>
      </c>
      <c r="AV397" s="455">
        <f>(AV391*AV396*(8760/1000))/4</f>
        <v>0</v>
      </c>
      <c r="AW397" s="452">
        <f>SUM(AS397:AV397)</f>
        <v>0</v>
      </c>
      <c r="AX397" s="453">
        <f>(AX391*AX396*(8760/1000))/4</f>
        <v>0</v>
      </c>
      <c r="AY397" s="454">
        <f>(AY391*AY396*(8760/1000))/4</f>
        <v>445.66499999999996</v>
      </c>
      <c r="AZ397" s="454">
        <f>(AZ391*AZ396*(8760/1000))/4</f>
        <v>445.66499999999996</v>
      </c>
      <c r="BA397" s="455">
        <f>(BA391*BA396*(8760/1000))/4</f>
        <v>445.66499999999996</v>
      </c>
      <c r="BB397" s="452">
        <f>SUM(AX397:BA397)</f>
        <v>1336.9949999999999</v>
      </c>
      <c r="BC397" s="453">
        <f>(BC391*BC396*(8760/1000))/4</f>
        <v>445.66499999999996</v>
      </c>
      <c r="BD397" s="454">
        <f>(BD391*BD396*(8760/1000))/4</f>
        <v>445.66499999999996</v>
      </c>
      <c r="BE397" s="454">
        <f>(BE391*BE396*(8760/1000))/4</f>
        <v>445.66499999999996</v>
      </c>
      <c r="BF397" s="455">
        <f>(BF391*BF396*(8760/1000))/4</f>
        <v>0</v>
      </c>
      <c r="BG397" s="452">
        <f>SUM(BC397:BF397)</f>
        <v>1336.9949999999999</v>
      </c>
      <c r="BH397" s="453">
        <f>(BH391*BH396*(8760/1000))/4</f>
        <v>445.66499999999996</v>
      </c>
      <c r="BI397" s="454">
        <f>(BI391*BI396*(8760/1000))/4</f>
        <v>445.66499999999996</v>
      </c>
      <c r="BJ397" s="454">
        <f>(BJ391*BJ396*(8760/1000))/4</f>
        <v>445.66499999999996</v>
      </c>
      <c r="BK397" s="455">
        <f>(BK391*BK396*(8760/1000))/4</f>
        <v>0</v>
      </c>
      <c r="BL397" s="452">
        <f>SUM(BH397:BK397)</f>
        <v>1336.9949999999999</v>
      </c>
      <c r="BM397" s="453">
        <f>(BM391*BM396*(8760/1000))/4</f>
        <v>445.66499999999996</v>
      </c>
      <c r="BN397" s="454">
        <f>(BN391*BN396*(8760/1000))/4</f>
        <v>445.66499999999996</v>
      </c>
      <c r="BO397" s="454">
        <f>(BO391*BO396*(8760/1000))/4</f>
        <v>445.66499999999996</v>
      </c>
      <c r="BP397" s="455">
        <f>(BP391*BP396*(8760/1000))/4</f>
        <v>0</v>
      </c>
      <c r="BQ397" s="452">
        <f>SUM(BM397:BP397)</f>
        <v>1336.9949999999999</v>
      </c>
    </row>
    <row r="398" spans="1:70" s="2" customFormat="1">
      <c r="A398" s="1523"/>
      <c r="C398" s="37"/>
      <c r="E398" s="365"/>
      <c r="F398" s="6"/>
      <c r="G398" s="6"/>
      <c r="H398" s="366"/>
      <c r="I398" s="37"/>
      <c r="J398" s="365"/>
      <c r="K398" s="6"/>
      <c r="L398" s="6"/>
      <c r="M398" s="366"/>
      <c r="O398" s="365"/>
      <c r="P398" s="6"/>
      <c r="Q398" s="6"/>
      <c r="R398" s="366"/>
      <c r="T398" s="365"/>
      <c r="U398" s="6"/>
      <c r="V398" s="6"/>
      <c r="W398" s="366"/>
      <c r="Y398" s="365"/>
      <c r="Z398" s="6"/>
      <c r="AA398" s="6"/>
      <c r="AB398" s="366"/>
      <c r="AD398" s="365"/>
      <c r="AE398" s="6"/>
      <c r="AF398" s="6"/>
      <c r="AG398" s="366"/>
      <c r="AI398" s="365"/>
      <c r="AJ398" s="6"/>
      <c r="AK398" s="6"/>
      <c r="AL398" s="366"/>
      <c r="AN398" s="365"/>
      <c r="AO398" s="6"/>
      <c r="AP398" s="6"/>
      <c r="AQ398" s="366"/>
      <c r="AS398" s="365"/>
      <c r="AT398" s="6"/>
      <c r="AU398" s="6"/>
      <c r="AV398" s="366"/>
      <c r="AX398" s="365"/>
      <c r="AY398" s="6"/>
      <c r="AZ398" s="6"/>
      <c r="BA398" s="366"/>
      <c r="BC398" s="365"/>
      <c r="BD398" s="6"/>
      <c r="BE398" s="6"/>
      <c r="BF398" s="366"/>
      <c r="BH398" s="365"/>
      <c r="BI398" s="6"/>
      <c r="BJ398" s="6"/>
      <c r="BK398" s="366"/>
      <c r="BM398" s="365"/>
      <c r="BN398" s="6"/>
      <c r="BO398" s="6"/>
      <c r="BP398" s="366"/>
    </row>
    <row r="399" spans="1:70" s="49" customFormat="1">
      <c r="A399" s="1523"/>
      <c r="B399" s="2"/>
      <c r="C399" s="37" t="s">
        <v>216</v>
      </c>
      <c r="D399" s="2"/>
      <c r="E399" s="365"/>
      <c r="F399" s="6"/>
      <c r="G399" s="6"/>
      <c r="H399" s="366"/>
      <c r="I399" s="37"/>
      <c r="J399" s="365"/>
      <c r="K399" s="6"/>
      <c r="L399" s="6"/>
      <c r="M399" s="366"/>
      <c r="N399" s="2"/>
      <c r="O399" s="365"/>
      <c r="P399" s="6"/>
      <c r="Q399" s="6"/>
      <c r="R399" s="366"/>
      <c r="S399" s="2"/>
      <c r="T399" s="376"/>
      <c r="U399" s="334"/>
      <c r="V399" s="334"/>
      <c r="W399" s="377"/>
      <c r="X399" s="293"/>
      <c r="Y399" s="376">
        <f>(Y397+Y394)/(8.76*Y391/4)</f>
        <v>0</v>
      </c>
      <c r="Z399" s="334">
        <f>(Z397+Z394)/(8.76*Z391/4)</f>
        <v>0.45000000000000007</v>
      </c>
      <c r="AA399" s="334">
        <f>(AA397+AA394)/(8.76*AA391/4)</f>
        <v>0.45000000000000007</v>
      </c>
      <c r="AB399" s="377">
        <f>(AB397+AB394)/(8.76*AB391/4)</f>
        <v>0.45000000000000007</v>
      </c>
      <c r="AC399" s="293">
        <f>AVERAGE(Y399:AB399)</f>
        <v>0.33750000000000002</v>
      </c>
      <c r="AD399" s="376">
        <f>(AD397+AD394)/(8.76*AD391/4)</f>
        <v>0</v>
      </c>
      <c r="AE399" s="334">
        <f>(AE397+AE394)/(8.76*AE391/4)</f>
        <v>0.45000000000000007</v>
      </c>
      <c r="AF399" s="334">
        <f>(AF397+AF394)/(8.76*AF391/4)</f>
        <v>0.7</v>
      </c>
      <c r="AG399" s="377">
        <f>(AG397+AG394)/(8.76*AG391/4)</f>
        <v>0.45000000000000007</v>
      </c>
      <c r="AH399" s="293">
        <f>AVERAGE(AD399:AG399)</f>
        <v>0.4</v>
      </c>
      <c r="AI399" s="376">
        <f>(AI397+AI394)/(8.76*AI391/4)</f>
        <v>0.45000000000000007</v>
      </c>
      <c r="AJ399" s="334">
        <f>(AJ397+AJ394)/(8.76*AJ391/4)</f>
        <v>0.45000000000000007</v>
      </c>
      <c r="AK399" s="334">
        <f>(AK397+AK394)/(8.76*AK391/4)</f>
        <v>0.7</v>
      </c>
      <c r="AL399" s="377">
        <f>(AL397+AL394)/(8.76*AL391/4)</f>
        <v>0.45000000000000007</v>
      </c>
      <c r="AM399" s="293">
        <f>AVERAGE(AI399:AL399)</f>
        <v>0.51250000000000007</v>
      </c>
      <c r="AN399" s="376">
        <f>(AN397+AN394)/(8.76*AN391/4)</f>
        <v>0.45000000000000007</v>
      </c>
      <c r="AO399" s="334">
        <f>(AO397+AO394)/(8.76*AO391/4)</f>
        <v>0.7</v>
      </c>
      <c r="AP399" s="334">
        <f>(AP397+AP394)/(8.76*AP391/4)</f>
        <v>0.7</v>
      </c>
      <c r="AQ399" s="377">
        <f>(AQ397+AQ394)/(8.76*AQ391/4)</f>
        <v>0.45000000000000007</v>
      </c>
      <c r="AR399" s="293">
        <f>AVERAGE(AN399:AQ399)</f>
        <v>0.57499999999999996</v>
      </c>
      <c r="AS399" s="376">
        <f>(AS397+AS394)/(8.76*AS391/4)</f>
        <v>0.45000000000000007</v>
      </c>
      <c r="AT399" s="334">
        <f>(AT397+AT394)/(8.76*AT391/4)</f>
        <v>0.45000000000000007</v>
      </c>
      <c r="AU399" s="334">
        <f>(AU397+AU394)/(8.76*AU391/4)</f>
        <v>0.45</v>
      </c>
      <c r="AV399" s="377">
        <f>(AV397+AV394)/(8.76*AV391/4)</f>
        <v>0.45</v>
      </c>
      <c r="AW399" s="293">
        <f>AVERAGE(AS399:AV399)</f>
        <v>0.45</v>
      </c>
      <c r="AX399" s="376">
        <f>(AX397+AX394)/(8.76*AX391/4)</f>
        <v>0</v>
      </c>
      <c r="AY399" s="334">
        <f>(AY397+AY394)/(8.76*AY391/4)</f>
        <v>0.70000000000000007</v>
      </c>
      <c r="AZ399" s="1661">
        <f>(AZ397+AZ394)/(8.76*AZ391/4)</f>
        <v>0.70000000000000007</v>
      </c>
      <c r="BA399" s="377">
        <f>(BA397+BA394)/(8.76*BA391/4)</f>
        <v>0.70000000000000007</v>
      </c>
      <c r="BB399" s="293">
        <f>AVERAGE(AX399:BA399)</f>
        <v>0.52500000000000002</v>
      </c>
      <c r="BC399" s="376">
        <f>(BC397+BC394)/(8.76*BC391/4)</f>
        <v>0.70000000000000007</v>
      </c>
      <c r="BD399" s="334">
        <f>(BD397+BD394)/(8.76*BD391/4)</f>
        <v>0.70000000000000007</v>
      </c>
      <c r="BE399" s="334">
        <f>(BE397+BE394)/(8.76*BE391/4)</f>
        <v>0.70000000000000007</v>
      </c>
      <c r="BF399" s="377">
        <f>(BF397+BF394)/(8.76*BF391/4)</f>
        <v>0</v>
      </c>
      <c r="BG399" s="293">
        <f>AVERAGE(BC399:BF399)</f>
        <v>0.52500000000000002</v>
      </c>
      <c r="BH399" s="376">
        <f>(BH397+BH394)/(8.76*BH391/4)</f>
        <v>0.70000000000000007</v>
      </c>
      <c r="BI399" s="334">
        <f>(BI397+BI394)/(8.76*BI391/4)</f>
        <v>0.70000000000000007</v>
      </c>
      <c r="BJ399" s="334">
        <f>(BJ397+BJ394)/(8.76*BJ391/4)</f>
        <v>0.70000000000000007</v>
      </c>
      <c r="BK399" s="377">
        <f>(BK397+BK394)/(8.76*BK391/4)</f>
        <v>0</v>
      </c>
      <c r="BL399" s="293">
        <f>AVERAGE(BH399:BK399)</f>
        <v>0.52500000000000002</v>
      </c>
      <c r="BM399" s="376">
        <f>(BM397+BM394)/(8.76*BM391/4)</f>
        <v>0.70000000000000007</v>
      </c>
      <c r="BN399" s="334">
        <f>(BN397+BN394)/(8.76*BN391/4)</f>
        <v>0.70000000000000007</v>
      </c>
      <c r="BO399" s="334">
        <f>(BO397+BO394)/(8.76*BO391/4)</f>
        <v>0.70000000000000007</v>
      </c>
      <c r="BP399" s="377">
        <f>(BP397+BP394)/(8.76*BP391/4)</f>
        <v>0</v>
      </c>
      <c r="BQ399" s="293">
        <f>AVERAGE(BM399:BP399)</f>
        <v>0.52500000000000002</v>
      </c>
      <c r="BR399" s="2"/>
    </row>
    <row r="400" spans="1:70" s="2" customFormat="1">
      <c r="A400" s="49"/>
      <c r="B400" s="49"/>
      <c r="C400" s="49" t="s">
        <v>217</v>
      </c>
      <c r="D400" s="49"/>
      <c r="E400" s="663"/>
      <c r="F400" s="468"/>
      <c r="G400" s="468"/>
      <c r="H400" s="664"/>
      <c r="I400" s="49"/>
      <c r="J400" s="663"/>
      <c r="K400" s="468"/>
      <c r="L400" s="468"/>
      <c r="M400" s="664"/>
      <c r="N400" s="49"/>
      <c r="O400" s="663"/>
      <c r="P400" s="468"/>
      <c r="Q400" s="468"/>
      <c r="R400" s="664"/>
      <c r="S400" s="49"/>
      <c r="T400" s="396"/>
      <c r="U400" s="343"/>
      <c r="V400" s="343"/>
      <c r="W400" s="397"/>
      <c r="X400" s="475"/>
      <c r="Y400" s="396">
        <f>+Y397+Y394</f>
        <v>0</v>
      </c>
      <c r="Z400" s="343">
        <f>+Z397+Z394</f>
        <v>745.03800000000001</v>
      </c>
      <c r="AA400" s="343">
        <f>+AA397+AA394</f>
        <v>745.03800000000001</v>
      </c>
      <c r="AB400" s="397">
        <f>+AB397+AB394</f>
        <v>745.03800000000001</v>
      </c>
      <c r="AC400" s="475">
        <f>SUM(Y400:AB400)</f>
        <v>2235.114</v>
      </c>
      <c r="AD400" s="396">
        <f>+AD397+AD394</f>
        <v>0</v>
      </c>
      <c r="AE400" s="343">
        <f>+AE397+AE394</f>
        <v>745.03800000000001</v>
      </c>
      <c r="AF400" s="343">
        <f>+AF397+AF394</f>
        <v>1158.9479999999999</v>
      </c>
      <c r="AG400" s="397">
        <f>+AG397+AG394</f>
        <v>745.03800000000001</v>
      </c>
      <c r="AH400" s="475">
        <f>SUM(AD400:AG400)</f>
        <v>2649.0239999999999</v>
      </c>
      <c r="AI400" s="396">
        <f>+AI397+AI394</f>
        <v>745.03800000000001</v>
      </c>
      <c r="AJ400" s="343">
        <f>+AJ397+AJ394</f>
        <v>745.03800000000001</v>
      </c>
      <c r="AK400" s="343">
        <f>+AK397+AK394</f>
        <v>1158.9479999999999</v>
      </c>
      <c r="AL400" s="397">
        <f>+AL397+AL394</f>
        <v>745.03800000000001</v>
      </c>
      <c r="AM400" s="475">
        <f>SUM(AI400:AL400)</f>
        <v>3394.0619999999999</v>
      </c>
      <c r="AN400" s="396">
        <f>+AN397+AN394</f>
        <v>745.03800000000001</v>
      </c>
      <c r="AO400" s="343">
        <f>+AO397+AO394</f>
        <v>1158.9479999999999</v>
      </c>
      <c r="AP400" s="343">
        <f>+AP397+AP394</f>
        <v>1158.9479999999999</v>
      </c>
      <c r="AQ400" s="397">
        <f>+AQ397+AQ394</f>
        <v>745.03800000000001</v>
      </c>
      <c r="AR400" s="475">
        <f>SUM(AN400:AQ400)</f>
        <v>3807.9719999999998</v>
      </c>
      <c r="AS400" s="396">
        <f>+AS397+AS394</f>
        <v>745.03800000000001</v>
      </c>
      <c r="AT400" s="343">
        <f>+AT397+AT394</f>
        <v>745.03800000000001</v>
      </c>
      <c r="AU400" s="343">
        <f>+AU397+AU394</f>
        <v>802.197</v>
      </c>
      <c r="AV400" s="397">
        <f>+AV397+AV394</f>
        <v>802.197</v>
      </c>
      <c r="AW400" s="475">
        <f>SUM(AS400:AV400)</f>
        <v>3094.4700000000003</v>
      </c>
      <c r="AX400" s="396">
        <f>+AX397+AX394</f>
        <v>0</v>
      </c>
      <c r="AY400" s="343">
        <f>+AY397+AY394</f>
        <v>1247.8620000000001</v>
      </c>
      <c r="AZ400" s="343">
        <f>+AZ397+AZ394</f>
        <v>1247.8620000000001</v>
      </c>
      <c r="BA400" s="397">
        <f>+BA397+BA394</f>
        <v>1247.8620000000001</v>
      </c>
      <c r="BB400" s="475">
        <f>SUM(AX400:BA400)</f>
        <v>3743.5860000000002</v>
      </c>
      <c r="BC400" s="396">
        <f>+BC397+BC394</f>
        <v>1247.8620000000001</v>
      </c>
      <c r="BD400" s="343">
        <f>+BD397+BD394</f>
        <v>1247.8620000000001</v>
      </c>
      <c r="BE400" s="343">
        <f>+BE397+BE394</f>
        <v>1247.8620000000001</v>
      </c>
      <c r="BF400" s="397">
        <f>+BF397+BF394</f>
        <v>0</v>
      </c>
      <c r="BG400" s="475">
        <f>SUM(BC400:BF400)</f>
        <v>3743.5860000000002</v>
      </c>
      <c r="BH400" s="396">
        <f>+BH397+BH394</f>
        <v>1247.8620000000001</v>
      </c>
      <c r="BI400" s="343">
        <f>+BI397+BI394</f>
        <v>1247.8620000000001</v>
      </c>
      <c r="BJ400" s="343">
        <f>+BJ397+BJ394</f>
        <v>1247.8620000000001</v>
      </c>
      <c r="BK400" s="397">
        <f>+BK397+BK394</f>
        <v>0</v>
      </c>
      <c r="BL400" s="475">
        <f>SUM(BH400:BK400)</f>
        <v>3743.5860000000002</v>
      </c>
      <c r="BM400" s="396">
        <f>+BM397+BM394</f>
        <v>1247.8620000000001</v>
      </c>
      <c r="BN400" s="343">
        <f>+BN397+BN394</f>
        <v>1247.8620000000001</v>
      </c>
      <c r="BO400" s="343">
        <f>+BO397+BO394</f>
        <v>1247.8620000000001</v>
      </c>
      <c r="BP400" s="397">
        <f>+BP397+BP394</f>
        <v>0</v>
      </c>
      <c r="BQ400" s="475">
        <f>SUM(BM400:BP400)</f>
        <v>3743.5860000000002</v>
      </c>
      <c r="BR400" s="49"/>
    </row>
    <row r="401" spans="1:75" s="2" customFormat="1">
      <c r="A401" s="1523"/>
      <c r="C401" s="37"/>
      <c r="E401" s="365"/>
      <c r="F401" s="6"/>
      <c r="G401" s="6"/>
      <c r="H401" s="366"/>
      <c r="I401" s="37"/>
      <c r="J401" s="365"/>
      <c r="K401" s="6"/>
      <c r="L401" s="6"/>
      <c r="M401" s="366"/>
      <c r="O401" s="365"/>
      <c r="P401" s="6"/>
      <c r="Q401" s="6"/>
      <c r="R401" s="366"/>
      <c r="T401" s="365"/>
      <c r="U401" s="6"/>
      <c r="V401" s="6"/>
      <c r="W401" s="366"/>
      <c r="Y401" s="365"/>
      <c r="Z401" s="6"/>
      <c r="AA401" s="6"/>
      <c r="AB401" s="366"/>
      <c r="AD401" s="365"/>
      <c r="AE401" s="6"/>
      <c r="AF401" s="6"/>
      <c r="AG401" s="366"/>
      <c r="AI401" s="365"/>
      <c r="AJ401" s="6"/>
      <c r="AK401" s="6"/>
      <c r="AL401" s="366"/>
      <c r="AN401" s="365"/>
      <c r="AO401" s="6"/>
      <c r="AP401" s="6"/>
      <c r="AQ401" s="366"/>
      <c r="AS401" s="365"/>
      <c r="AT401" s="6"/>
      <c r="AU401" s="6"/>
      <c r="AV401" s="366"/>
      <c r="AX401" s="365"/>
      <c r="AY401" s="6"/>
      <c r="AZ401" s="6"/>
      <c r="BA401" s="366"/>
      <c r="BC401" s="365"/>
      <c r="BD401" s="6"/>
      <c r="BE401" s="6"/>
      <c r="BF401" s="366"/>
      <c r="BH401" s="365"/>
      <c r="BI401" s="6"/>
      <c r="BJ401" s="6"/>
      <c r="BK401" s="366"/>
      <c r="BM401" s="365"/>
      <c r="BN401" s="6"/>
      <c r="BO401" s="6"/>
      <c r="BP401" s="366"/>
    </row>
    <row r="402" spans="1:75" s="2" customFormat="1">
      <c r="A402" s="1523"/>
      <c r="C402" s="37" t="s">
        <v>663</v>
      </c>
      <c r="D402" s="37"/>
      <c r="E402" s="365"/>
      <c r="F402" s="6"/>
      <c r="G402" s="6"/>
      <c r="H402" s="366"/>
      <c r="J402" s="365"/>
      <c r="K402" s="6"/>
      <c r="L402" s="6"/>
      <c r="M402" s="366"/>
      <c r="O402" s="365"/>
      <c r="P402" s="6"/>
      <c r="Q402" s="6"/>
      <c r="R402" s="366"/>
      <c r="T402" s="392"/>
      <c r="U402" s="341"/>
      <c r="V402" s="341"/>
      <c r="W402" s="393"/>
      <c r="X402" s="296"/>
      <c r="Y402" s="392">
        <f>(Y387/1000*Y394)+(Y388/1000*Y397)</f>
        <v>0</v>
      </c>
      <c r="Z402" s="341">
        <f>(Z387/1000*Z394)+(Z388/1000*Z397)</f>
        <v>30.295980766406245</v>
      </c>
      <c r="AA402" s="341">
        <f>(AA387/1000*AA394)+(AA388/1000*AA397)</f>
        <v>40.185639915996099</v>
      </c>
      <c r="AB402" s="393">
        <f>(AB387/1000*AB394)+(AB388/1000*AB397)</f>
        <v>34.441629760371086</v>
      </c>
      <c r="AC402" s="296">
        <f>SUM(Y402:AB402)</f>
        <v>104.92325044277342</v>
      </c>
      <c r="AD402" s="392">
        <f>(AD387/1000*AD394)+(AD388/1000*AD397)</f>
        <v>0</v>
      </c>
      <c r="AE402" s="341">
        <f>(AE387/1000*AE394)+(AE388/1000*AE397)</f>
        <v>33.441932824453126</v>
      </c>
      <c r="AF402" s="341">
        <f>(AF387/1000*AF394)+(AF388/1000*AF397)</f>
        <v>41.926557736589679</v>
      </c>
      <c r="AG402" s="393">
        <f>(AG387/1000*AG394)+(AG388/1000*AG397)</f>
        <v>29.268490420722657</v>
      </c>
      <c r="AH402" s="296">
        <f>SUM(AD402:AG402)</f>
        <v>104.63698098176546</v>
      </c>
      <c r="AI402" s="392">
        <f>(AI387/1000*AI394)+(AI388/1000*AI397)</f>
        <v>39.606656163749996</v>
      </c>
      <c r="AJ402" s="341">
        <f>(AJ387/1000*AJ394)+(AJ388/1000*AJ397)</f>
        <v>28.577816912285172</v>
      </c>
      <c r="AK402" s="341">
        <f>(AK387/1000*AK394)+(AK388/1000*AK397)</f>
        <v>38.697997774101168</v>
      </c>
      <c r="AL402" s="393">
        <f>(AL387/1000*AL394)+(AL388/1000*AL397)</f>
        <v>25.785052155351565</v>
      </c>
      <c r="AM402" s="296">
        <f>SUM(AI402:AL402)</f>
        <v>132.66752300548791</v>
      </c>
      <c r="AN402" s="392">
        <f>(AN387/1000*AN394)+(AN388/1000*AN397)</f>
        <v>22.911410031152336</v>
      </c>
      <c r="AO402" s="341">
        <f>(AO387/1000*AO394)+(AO388/1000*AO397)</f>
        <v>33.104690098999392</v>
      </c>
      <c r="AP402" s="341">
        <f>(AP387/1000*AP394)+(AP388/1000*AP397)</f>
        <v>42.318262896809607</v>
      </c>
      <c r="AQ402" s="393">
        <f>(AQ387/1000*AQ394)+(AQ388/1000*AQ397)</f>
        <v>20.356485536249995</v>
      </c>
      <c r="AR402" s="296">
        <f>SUM(AN402:AQ402)</f>
        <v>118.69084856321133</v>
      </c>
      <c r="AS402" s="392">
        <f>(AS387/1000*AS394)+(AS388/1000*AS397)</f>
        <v>20.598845547656254</v>
      </c>
      <c r="AT402" s="341">
        <f>(AT387/1000*AT394)+(AT388/1000*AT397)</f>
        <v>25.055788006757808</v>
      </c>
      <c r="AU402" s="341">
        <f>(AU387/1000*AU394)+(AU388/1000*AU397)</f>
        <v>27.884829301607152</v>
      </c>
      <c r="AV402" s="393">
        <f>(AV387/1000*AV394)+(AV388/1000*AV397)</f>
        <v>28.264225507767858</v>
      </c>
      <c r="AW402" s="296">
        <f>SUM(AS402:AV402)</f>
        <v>101.80368836378908</v>
      </c>
      <c r="AX402" s="392">
        <f>(AX387/1000*AX394)+(AX388/1000*AX397)</f>
        <v>0</v>
      </c>
      <c r="AY402" s="341">
        <f>(AY387/1000*AY394)+(AY388/1000*AY397)</f>
        <v>44.732881599999985</v>
      </c>
      <c r="AZ402" s="341">
        <f>(AZ387/1000*AZ394)+(AZ388/1000*AZ397)</f>
        <v>40.118763299999998</v>
      </c>
      <c r="BA402" s="393">
        <f>(BA387/1000*BA394)+(BA388/1000*BA397)</f>
        <v>45.040390449999997</v>
      </c>
      <c r="BB402" s="296">
        <f>SUM(AX402:BA402)</f>
        <v>129.89203534999999</v>
      </c>
      <c r="BC402" s="392">
        <f>(BC387/1000*BC394)+(BC388/1000*BC397)</f>
        <v>64.880665662632225</v>
      </c>
      <c r="BD402" s="341">
        <f>(BD387/1000*BD394)+(BD388/1000*BD397)</f>
        <v>42.258493633893863</v>
      </c>
      <c r="BE402" s="341">
        <f>(BE387/1000*BE394)+(BE388/1000*BE397)</f>
        <v>37.608454541771351</v>
      </c>
      <c r="BF402" s="393">
        <f>(BF387/1000*BF394)+(BF388/1000*BF397)</f>
        <v>0</v>
      </c>
      <c r="BG402" s="296">
        <f>SUM(BC402:BF402)</f>
        <v>144.74761383829744</v>
      </c>
      <c r="BH402" s="392">
        <f>(BH387/1000*BH394)+(BH388/1000*BH397)</f>
        <v>64.321078464153004</v>
      </c>
      <c r="BI402" s="341">
        <f>(BI387/1000*BI394)+(BI388/1000*BI397)</f>
        <v>41.894879145997137</v>
      </c>
      <c r="BJ402" s="341">
        <f>(BJ387/1000*BJ394)+(BJ388/1000*BJ397)</f>
        <v>37.2862208877699</v>
      </c>
      <c r="BK402" s="393">
        <f>(BK387/1000*BK394)+(BK388/1000*BK397)</f>
        <v>0</v>
      </c>
      <c r="BL402" s="296">
        <f>SUM(BH402:BK402)</f>
        <v>143.50217849792006</v>
      </c>
      <c r="BM402" s="392">
        <f>(BM387/1000*BM394)+(BM388/1000*BM397)</f>
        <v>60.616865660198684</v>
      </c>
      <c r="BN402" s="341">
        <f>(BN387/1000*BN394)+(BN388/1000*BN397)</f>
        <v>45.508209767211284</v>
      </c>
      <c r="BO402" s="341">
        <f>(BO387/1000*BO394)+(BO388/1000*BO397)</f>
        <v>39.753494670601171</v>
      </c>
      <c r="BP402" s="393">
        <f>(BP387/1000*BP394)+(BP388/1000*BP397)</f>
        <v>0</v>
      </c>
      <c r="BQ402" s="296">
        <f>SUM(BM402:BP402)</f>
        <v>145.87857009801115</v>
      </c>
      <c r="BR402" s="261"/>
      <c r="BV402" s="299"/>
      <c r="BW402" s="299"/>
    </row>
    <row r="403" spans="1:75" s="49" customFormat="1">
      <c r="A403" s="1523"/>
      <c r="B403" s="2"/>
      <c r="C403" s="37" t="s">
        <v>346</v>
      </c>
      <c r="D403" s="37"/>
      <c r="E403" s="365"/>
      <c r="F403" s="6"/>
      <c r="G403" s="6"/>
      <c r="H403" s="366"/>
      <c r="I403" s="2"/>
      <c r="J403" s="365"/>
      <c r="K403" s="6"/>
      <c r="L403" s="6"/>
      <c r="M403" s="366"/>
      <c r="N403" s="2"/>
      <c r="O403" s="365"/>
      <c r="P403" s="6"/>
      <c r="Q403" s="6"/>
      <c r="R403" s="366"/>
      <c r="S403" s="2"/>
      <c r="T403" s="392"/>
      <c r="U403" s="341"/>
      <c r="V403" s="341"/>
      <c r="W403" s="393"/>
      <c r="X403" s="296"/>
      <c r="Y403" s="392">
        <f>Y389/1000*Y400</f>
        <v>0</v>
      </c>
      <c r="Z403" s="341">
        <f>Z389/1000*Z400</f>
        <v>24.206808474843751</v>
      </c>
      <c r="AA403" s="341">
        <f>AA389/1000*AA400</f>
        <v>21.049535331562495</v>
      </c>
      <c r="AB403" s="393">
        <f>AB389/1000*AB400</f>
        <v>24.12159475359374</v>
      </c>
      <c r="AC403" s="296">
        <f>SUM(Y403:AB403)</f>
        <v>69.37793855999999</v>
      </c>
      <c r="AD403" s="392">
        <f>AD389/1000*AD400</f>
        <v>0</v>
      </c>
      <c r="AE403" s="341">
        <f>AE389/1000*AE400</f>
        <v>20.840691867187498</v>
      </c>
      <c r="AF403" s="341">
        <f>AF389/1000*AF400</f>
        <v>22.563359417812485</v>
      </c>
      <c r="AG403" s="393">
        <f>AG389/1000*AG400</f>
        <v>17.85987049710938</v>
      </c>
      <c r="AH403" s="296">
        <f>SUM(AD403:AG403)</f>
        <v>61.263921782109364</v>
      </c>
      <c r="AI403" s="392">
        <f>AI389/1000*AI400</f>
        <v>34.473193657620975</v>
      </c>
      <c r="AJ403" s="341">
        <f>AJ389/1000*AJ400</f>
        <v>15.387163380000001</v>
      </c>
      <c r="AK403" s="341">
        <f>AK389/1000*AK400</f>
        <v>22.059986651718749</v>
      </c>
      <c r="AL403" s="393">
        <f>AL389/1000*AL400</f>
        <v>12.16043928</v>
      </c>
      <c r="AM403" s="296">
        <f>SUM(AI403:AL403)</f>
        <v>84.080782969339722</v>
      </c>
      <c r="AN403" s="392">
        <f>AN389/1000*AN400</f>
        <v>13.983218222090166</v>
      </c>
      <c r="AO403" s="341">
        <f>AO389/1000*AO400</f>
        <v>17.068814112656248</v>
      </c>
      <c r="AP403" s="341">
        <f>AP389/1000*AP400</f>
        <v>18.982164826406247</v>
      </c>
      <c r="AQ403" s="393">
        <f>AQ389/1000*AQ400</f>
        <v>17.445951004717742</v>
      </c>
      <c r="AR403" s="296">
        <f>SUM(AN403:AQ403)</f>
        <v>67.480148165870403</v>
      </c>
      <c r="AS403" s="392">
        <f>AS389/1000*AS400</f>
        <v>19.148107478951612</v>
      </c>
      <c r="AT403" s="341">
        <f>AT389/1000*AT400</f>
        <v>16.508470515468755</v>
      </c>
      <c r="AU403" s="341">
        <f>AU389/1000*AU400</f>
        <v>15.965253069267861</v>
      </c>
      <c r="AV403" s="393">
        <f>AV389/1000*AV400</f>
        <v>20.697354439987503</v>
      </c>
      <c r="AW403" s="296">
        <f>SUM(AS403:AV403)</f>
        <v>72.319185503675726</v>
      </c>
      <c r="AX403" s="392">
        <f>AX389/1000*AX400</f>
        <v>0</v>
      </c>
      <c r="AY403" s="341">
        <f>AY389/1000*AY400</f>
        <v>25.5479778708</v>
      </c>
      <c r="AZ403" s="341">
        <f>AZ389/1000*AZ400</f>
        <v>25.705489251750006</v>
      </c>
      <c r="BA403" s="393">
        <f>BA389/1000*BA400</f>
        <v>30.5698113105</v>
      </c>
      <c r="BB403" s="296">
        <f>SUM(AX403:BA403)</f>
        <v>81.823278433050007</v>
      </c>
      <c r="BC403" s="392">
        <f>BC389/1000*BC400</f>
        <v>36.977390020977204</v>
      </c>
      <c r="BD403" s="341">
        <f>BD389/1000*BD400</f>
        <v>19.61264748471374</v>
      </c>
      <c r="BE403" s="341">
        <f>BE389/1000*BE400</f>
        <v>18.73301403985657</v>
      </c>
      <c r="BF403" s="393">
        <f>BF389/1000*BF400</f>
        <v>0</v>
      </c>
      <c r="BG403" s="296">
        <f>SUM(BC403:BF403)</f>
        <v>75.323051545547514</v>
      </c>
      <c r="BH403" s="392">
        <f>BH389/1000*BH400</f>
        <v>37.52485878512168</v>
      </c>
      <c r="BI403" s="341">
        <f>BI389/1000*BI400</f>
        <v>19.894577565653361</v>
      </c>
      <c r="BJ403" s="341">
        <f>BJ389/1000*BJ400</f>
        <v>19.000455820458377</v>
      </c>
      <c r="BK403" s="393">
        <f>BK389/1000*BK400</f>
        <v>0</v>
      </c>
      <c r="BL403" s="296">
        <f>SUM(BH403:BK403)</f>
        <v>76.419892171233414</v>
      </c>
      <c r="BM403" s="392">
        <f>BM389/1000*BM400</f>
        <v>36.388013467188721</v>
      </c>
      <c r="BN403" s="341">
        <f>BN389/1000*BN400</f>
        <v>21.798495834237539</v>
      </c>
      <c r="BO403" s="341">
        <f>BO389/1000*BO400</f>
        <v>20.552805540627688</v>
      </c>
      <c r="BP403" s="393">
        <f>BP389/1000*BP400</f>
        <v>0</v>
      </c>
      <c r="BQ403" s="296">
        <f>SUM(BM403:BP403)</f>
        <v>78.739314842053943</v>
      </c>
      <c r="BR403" s="299"/>
    </row>
    <row r="404" spans="1:75" s="49" customFormat="1">
      <c r="C404" s="49" t="s">
        <v>270</v>
      </c>
      <c r="D404" s="37"/>
      <c r="E404" s="663"/>
      <c r="F404" s="468"/>
      <c r="G404" s="468"/>
      <c r="H404" s="664"/>
      <c r="J404" s="663"/>
      <c r="K404" s="468"/>
      <c r="L404" s="468"/>
      <c r="M404" s="664"/>
      <c r="O404" s="663"/>
      <c r="P404" s="468"/>
      <c r="Q404" s="468"/>
      <c r="R404" s="664"/>
      <c r="T404" s="396"/>
      <c r="U404" s="343"/>
      <c r="V404" s="343"/>
      <c r="W404" s="397"/>
      <c r="X404" s="297"/>
      <c r="Y404" s="396">
        <f t="shared" ref="Y404:AR404" si="372">Y402-Y403</f>
        <v>0</v>
      </c>
      <c r="Z404" s="343">
        <f t="shared" si="372"/>
        <v>6.0891722915624946</v>
      </c>
      <c r="AA404" s="343">
        <f t="shared" si="372"/>
        <v>19.136104584433603</v>
      </c>
      <c r="AB404" s="397">
        <f t="shared" si="372"/>
        <v>10.320035006777346</v>
      </c>
      <c r="AC404" s="297">
        <f t="shared" si="372"/>
        <v>35.545311882773433</v>
      </c>
      <c r="AD404" s="396">
        <f>AD402-AD403</f>
        <v>0</v>
      </c>
      <c r="AE404" s="343">
        <f>AE402-AE403</f>
        <v>12.601240957265627</v>
      </c>
      <c r="AF404" s="343">
        <f t="shared" si="372"/>
        <v>19.363198318777194</v>
      </c>
      <c r="AG404" s="397">
        <f t="shared" si="372"/>
        <v>11.408619923613276</v>
      </c>
      <c r="AH404" s="297">
        <f t="shared" si="372"/>
        <v>43.373059199656097</v>
      </c>
      <c r="AI404" s="396">
        <f t="shared" si="372"/>
        <v>5.1334625061290211</v>
      </c>
      <c r="AJ404" s="343">
        <f t="shared" si="372"/>
        <v>13.190653532285172</v>
      </c>
      <c r="AK404" s="343">
        <f t="shared" si="372"/>
        <v>16.638011122382419</v>
      </c>
      <c r="AL404" s="397">
        <f t="shared" si="372"/>
        <v>13.624612875351565</v>
      </c>
      <c r="AM404" s="297">
        <f t="shared" si="372"/>
        <v>48.586740036148186</v>
      </c>
      <c r="AN404" s="396">
        <f t="shared" si="372"/>
        <v>8.9281918090621701</v>
      </c>
      <c r="AO404" s="343">
        <f t="shared" si="372"/>
        <v>16.035875986343143</v>
      </c>
      <c r="AP404" s="343">
        <f t="shared" si="372"/>
        <v>23.336098070403359</v>
      </c>
      <c r="AQ404" s="397">
        <f t="shared" si="372"/>
        <v>2.9105345315322531</v>
      </c>
      <c r="AR404" s="297">
        <f t="shared" si="372"/>
        <v>51.210700397340929</v>
      </c>
      <c r="AS404" s="396">
        <f t="shared" ref="AS404:BB404" si="373">AS402-AS403</f>
        <v>1.4507380687046414</v>
      </c>
      <c r="AT404" s="343">
        <f t="shared" si="373"/>
        <v>8.5473174912890535</v>
      </c>
      <c r="AU404" s="343">
        <f t="shared" si="373"/>
        <v>11.91957623233929</v>
      </c>
      <c r="AV404" s="397">
        <f t="shared" si="373"/>
        <v>7.5668710677803546</v>
      </c>
      <c r="AW404" s="297">
        <f t="shared" si="373"/>
        <v>29.484502860113352</v>
      </c>
      <c r="AX404" s="396">
        <f t="shared" si="373"/>
        <v>0</v>
      </c>
      <c r="AY404" s="343">
        <f t="shared" si="373"/>
        <v>19.184903729199984</v>
      </c>
      <c r="AZ404" s="343">
        <f>AZ402-AZ403</f>
        <v>14.413274048249992</v>
      </c>
      <c r="BA404" s="397">
        <f t="shared" si="373"/>
        <v>14.470579139499996</v>
      </c>
      <c r="BB404" s="297">
        <f t="shared" si="373"/>
        <v>48.06875691694998</v>
      </c>
      <c r="BC404" s="396">
        <f t="shared" ref="BC404:BL404" si="374">BC402-BC403</f>
        <v>27.903275641655021</v>
      </c>
      <c r="BD404" s="343">
        <f t="shared" si="374"/>
        <v>22.645846149180123</v>
      </c>
      <c r="BE404" s="343">
        <f t="shared" si="374"/>
        <v>18.875440501914781</v>
      </c>
      <c r="BF404" s="397">
        <f t="shared" si="374"/>
        <v>0</v>
      </c>
      <c r="BG404" s="297">
        <f t="shared" si="374"/>
        <v>69.424562292749926</v>
      </c>
      <c r="BH404" s="396">
        <f t="shared" si="374"/>
        <v>26.796219679031324</v>
      </c>
      <c r="BI404" s="343">
        <f t="shared" si="374"/>
        <v>22.000301580343777</v>
      </c>
      <c r="BJ404" s="343">
        <f t="shared" si="374"/>
        <v>18.285765067311523</v>
      </c>
      <c r="BK404" s="397">
        <f t="shared" si="374"/>
        <v>0</v>
      </c>
      <c r="BL404" s="297">
        <f t="shared" si="374"/>
        <v>67.082286326686642</v>
      </c>
      <c r="BM404" s="396">
        <f>BM402-BM403</f>
        <v>24.228852193009963</v>
      </c>
      <c r="BN404" s="343">
        <f>BN402-BN403</f>
        <v>23.709713932973745</v>
      </c>
      <c r="BO404" s="343">
        <f>BO402-BO403</f>
        <v>19.200689129973483</v>
      </c>
      <c r="BP404" s="397">
        <f>BP402-BP403</f>
        <v>0</v>
      </c>
      <c r="BQ404" s="297">
        <f>BQ402-BQ403</f>
        <v>67.13925525595721</v>
      </c>
    </row>
    <row r="405" spans="1:75" s="49" customFormat="1">
      <c r="D405" s="37"/>
      <c r="E405" s="663"/>
      <c r="F405" s="468"/>
      <c r="G405" s="468"/>
      <c r="H405" s="664"/>
      <c r="J405" s="663"/>
      <c r="K405" s="468"/>
      <c r="L405" s="468"/>
      <c r="M405" s="664"/>
      <c r="O405" s="663"/>
      <c r="P405" s="468"/>
      <c r="Q405" s="468"/>
      <c r="R405" s="664"/>
      <c r="T405" s="396"/>
      <c r="U405" s="343"/>
      <c r="V405" s="343"/>
      <c r="W405" s="397"/>
      <c r="X405" s="297"/>
      <c r="Y405" s="396"/>
      <c r="Z405" s="343"/>
      <c r="AA405" s="343"/>
      <c r="AB405" s="397"/>
      <c r="AC405" s="297"/>
      <c r="AD405" s="396"/>
      <c r="AE405" s="343"/>
      <c r="AF405" s="343"/>
      <c r="AG405" s="397"/>
      <c r="AH405" s="297"/>
      <c r="AI405" s="396"/>
      <c r="AJ405" s="343"/>
      <c r="AK405" s="343"/>
      <c r="AL405" s="397"/>
      <c r="AM405" s="297"/>
      <c r="AN405" s="396"/>
      <c r="AO405" s="343"/>
      <c r="AP405" s="343"/>
      <c r="AQ405" s="397"/>
      <c r="AR405" s="297"/>
      <c r="AS405" s="396"/>
      <c r="AT405" s="343"/>
      <c r="AU405" s="343"/>
      <c r="AV405" s="397"/>
      <c r="AW405" s="297"/>
      <c r="AX405" s="396"/>
      <c r="AY405" s="343"/>
      <c r="AZ405" s="343"/>
      <c r="BA405" s="397"/>
      <c r="BB405" s="297"/>
      <c r="BC405" s="396"/>
      <c r="BD405" s="343"/>
      <c r="BE405" s="343"/>
      <c r="BF405" s="397"/>
      <c r="BG405" s="297"/>
      <c r="BH405" s="396"/>
      <c r="BI405" s="343"/>
      <c r="BJ405" s="343"/>
      <c r="BK405" s="397"/>
      <c r="BL405" s="297"/>
      <c r="BM405" s="396"/>
      <c r="BN405" s="343"/>
      <c r="BO405" s="343"/>
      <c r="BP405" s="397"/>
      <c r="BQ405" s="297"/>
    </row>
    <row r="406" spans="1:75" s="49" customFormat="1">
      <c r="C406" s="592" t="s">
        <v>986</v>
      </c>
      <c r="D406" s="37"/>
      <c r="E406" s="663"/>
      <c r="F406" s="468"/>
      <c r="G406" s="468"/>
      <c r="H406" s="664"/>
      <c r="J406" s="663"/>
      <c r="K406" s="468"/>
      <c r="L406" s="468"/>
      <c r="M406" s="664"/>
      <c r="O406" s="663"/>
      <c r="P406" s="468"/>
      <c r="Q406" s="468"/>
      <c r="R406" s="664"/>
      <c r="T406" s="396"/>
      <c r="U406" s="343"/>
      <c r="V406" s="343"/>
      <c r="W406" s="397"/>
      <c r="X406" s="297"/>
      <c r="Y406" s="396"/>
      <c r="Z406" s="343"/>
      <c r="AA406" s="343"/>
      <c r="AB406" s="397"/>
      <c r="AC406" s="297"/>
      <c r="AD406" s="396"/>
      <c r="AE406" s="343"/>
      <c r="AF406" s="343"/>
      <c r="AG406" s="397"/>
      <c r="AH406" s="297"/>
      <c r="AI406" s="396"/>
      <c r="AJ406" s="343"/>
      <c r="AK406" s="343"/>
      <c r="AL406" s="397"/>
      <c r="AM406" s="297"/>
      <c r="AN406" s="396"/>
      <c r="AO406" s="343"/>
      <c r="AP406" s="343"/>
      <c r="AQ406" s="397"/>
      <c r="AR406" s="297"/>
      <c r="AS406" s="396"/>
      <c r="AT406" s="343"/>
      <c r="AU406" s="343"/>
      <c r="AV406" s="397"/>
      <c r="AW406" s="297"/>
      <c r="AX406" s="396"/>
      <c r="AY406" s="343"/>
      <c r="AZ406" s="343"/>
      <c r="BA406" s="397"/>
      <c r="BB406" s="297"/>
      <c r="BC406" s="396"/>
      <c r="BD406" s="343"/>
      <c r="BE406" s="343"/>
      <c r="BF406" s="397"/>
      <c r="BG406" s="297"/>
      <c r="BH406" s="396"/>
      <c r="BI406" s="343"/>
      <c r="BJ406" s="343"/>
      <c r="BK406" s="397"/>
      <c r="BL406" s="297"/>
      <c r="BM406" s="396"/>
      <c r="BN406" s="343"/>
      <c r="BO406" s="343"/>
      <c r="BP406" s="397"/>
      <c r="BQ406" s="297"/>
    </row>
    <row r="407" spans="1:75" s="49" customFormat="1">
      <c r="C407" s="37" t="s">
        <v>271</v>
      </c>
      <c r="D407" s="37"/>
      <c r="E407" s="663"/>
      <c r="F407" s="468"/>
      <c r="G407" s="468"/>
      <c r="H407" s="664"/>
      <c r="J407" s="663"/>
      <c r="K407" s="468"/>
      <c r="L407" s="468"/>
      <c r="M407" s="664"/>
      <c r="O407" s="663"/>
      <c r="P407" s="468"/>
      <c r="Q407" s="468"/>
      <c r="R407" s="664"/>
      <c r="T407" s="396"/>
      <c r="U407" s="343"/>
      <c r="V407" s="343"/>
      <c r="W407" s="397"/>
      <c r="X407" s="297"/>
      <c r="Y407" s="396"/>
      <c r="Z407" s="343"/>
      <c r="AA407" s="343"/>
      <c r="AB407" s="397"/>
      <c r="AC407" s="601"/>
      <c r="AD407" s="598"/>
      <c r="AE407" s="599"/>
      <c r="AF407" s="599"/>
      <c r="AG407" s="600"/>
      <c r="AH407" s="601"/>
      <c r="AI407" s="598"/>
      <c r="AJ407" s="599"/>
      <c r="AK407" s="599"/>
      <c r="AL407" s="600"/>
      <c r="AM407" s="601"/>
      <c r="AN407" s="598"/>
      <c r="AO407" s="599"/>
      <c r="AP407" s="599"/>
      <c r="AQ407" s="600"/>
      <c r="AR407" s="601"/>
      <c r="AS407" s="598"/>
      <c r="AT407" s="599"/>
      <c r="AU407" s="599"/>
      <c r="AV407" s="600"/>
      <c r="AW407" s="601"/>
      <c r="AX407" s="598">
        <f t="shared" ref="AX407:BA408" si="375">AX71</f>
        <v>49.504310380859366</v>
      </c>
      <c r="AY407" s="599">
        <f t="shared" si="375"/>
        <v>34.371333333333332</v>
      </c>
      <c r="AZ407" s="599">
        <f>AZ71</f>
        <v>38.062833333333337</v>
      </c>
      <c r="BA407" s="600">
        <f t="shared" si="375"/>
        <v>34.614333333333327</v>
      </c>
      <c r="BB407" s="601">
        <f>AVERAGE(AX407:BA407)</f>
        <v>39.138202595214842</v>
      </c>
      <c r="BC407" s="598">
        <f t="shared" ref="BC407:BF408" si="376">BC71</f>
        <v>46.510944725679025</v>
      </c>
      <c r="BD407" s="599">
        <f t="shared" si="376"/>
        <v>30.296280173373429</v>
      </c>
      <c r="BE407" s="599">
        <f t="shared" si="376"/>
        <v>33.94738406386135</v>
      </c>
      <c r="BF407" s="600">
        <f t="shared" si="376"/>
        <v>36.410057703486217</v>
      </c>
      <c r="BG407" s="601">
        <f>AVERAGE(BC407:BF407)</f>
        <v>36.791166666600006</v>
      </c>
      <c r="BH407" s="598">
        <f t="shared" ref="BH407:BK408" si="377">BH71</f>
        <v>46.479340030218324</v>
      </c>
      <c r="BI407" s="599">
        <f t="shared" si="377"/>
        <v>30.275693519756331</v>
      </c>
      <c r="BJ407" s="599">
        <f t="shared" si="377"/>
        <v>33.924316445231916</v>
      </c>
      <c r="BK407" s="600">
        <f t="shared" si="377"/>
        <v>36.385316671193436</v>
      </c>
      <c r="BL407" s="601">
        <f>AVERAGE(BH407:BK407)</f>
        <v>36.7661666666</v>
      </c>
      <c r="BM407" s="598">
        <f t="shared" ref="BM407:BP408" si="378">BM71</f>
        <v>36.021428571428572</v>
      </c>
      <c r="BN407" s="599">
        <f t="shared" si="378"/>
        <v>36.021428571428572</v>
      </c>
      <c r="BO407" s="599">
        <f t="shared" si="378"/>
        <v>36.021428571428572</v>
      </c>
      <c r="BP407" s="600">
        <f t="shared" si="378"/>
        <v>36.021428571428572</v>
      </c>
      <c r="BQ407" s="601">
        <f>AVERAGE(BM407:BP407)</f>
        <v>36.021428571428572</v>
      </c>
    </row>
    <row r="408" spans="1:75" s="49" customFormat="1">
      <c r="C408" s="37" t="s">
        <v>211</v>
      </c>
      <c r="D408" s="37"/>
      <c r="E408" s="663"/>
      <c r="F408" s="468"/>
      <c r="G408" s="468"/>
      <c r="H408" s="664"/>
      <c r="J408" s="663"/>
      <c r="K408" s="468"/>
      <c r="L408" s="468"/>
      <c r="M408" s="664"/>
      <c r="O408" s="663"/>
      <c r="P408" s="468"/>
      <c r="Q408" s="468"/>
      <c r="R408" s="664"/>
      <c r="T408" s="396"/>
      <c r="U408" s="343"/>
      <c r="V408" s="343"/>
      <c r="W408" s="397"/>
      <c r="X408" s="297"/>
      <c r="Y408" s="396"/>
      <c r="Z408" s="343"/>
      <c r="AA408" s="343"/>
      <c r="AB408" s="397"/>
      <c r="AC408" s="601"/>
      <c r="AD408" s="598"/>
      <c r="AE408" s="599"/>
      <c r="AF408" s="599"/>
      <c r="AG408" s="600"/>
      <c r="AH408" s="601"/>
      <c r="AI408" s="598"/>
      <c r="AJ408" s="599"/>
      <c r="AK408" s="599"/>
      <c r="AL408" s="600"/>
      <c r="AM408" s="601"/>
      <c r="AN408" s="598"/>
      <c r="AO408" s="599"/>
      <c r="AP408" s="599"/>
      <c r="AQ408" s="600"/>
      <c r="AR408" s="601"/>
      <c r="AS408" s="598"/>
      <c r="AT408" s="599"/>
      <c r="AU408" s="599"/>
      <c r="AV408" s="600"/>
      <c r="AW408" s="601"/>
      <c r="AX408" s="598">
        <f t="shared" si="375"/>
        <v>46.651077805173117</v>
      </c>
      <c r="AY408" s="599">
        <f t="shared" si="375"/>
        <v>25.158666666666669</v>
      </c>
      <c r="AZ408" s="599">
        <f>AZ72</f>
        <v>25.266666666666666</v>
      </c>
      <c r="BA408" s="600">
        <f t="shared" si="375"/>
        <v>25.499833333333331</v>
      </c>
      <c r="BB408" s="601">
        <f>AVERAGE(AX408:BA408)</f>
        <v>30.644061117959946</v>
      </c>
      <c r="BC408" s="598">
        <f t="shared" si="376"/>
        <v>37.348531597794086</v>
      </c>
      <c r="BD408" s="599">
        <f t="shared" si="376"/>
        <v>20.745010650110842</v>
      </c>
      <c r="BE408" s="599">
        <f t="shared" si="376"/>
        <v>21.194398638146538</v>
      </c>
      <c r="BF408" s="600">
        <f t="shared" si="376"/>
        <v>30.99135911394854</v>
      </c>
      <c r="BG408" s="601">
        <f>AVERAGE(BC408:BF408)</f>
        <v>27.569825000000002</v>
      </c>
      <c r="BH408" s="598">
        <f t="shared" si="377"/>
        <v>37.020764656216237</v>
      </c>
      <c r="BI408" s="599">
        <f t="shared" si="377"/>
        <v>20.562954531626438</v>
      </c>
      <c r="BJ408" s="599">
        <f t="shared" si="377"/>
        <v>21.008398736061572</v>
      </c>
      <c r="BK408" s="600">
        <f t="shared" si="377"/>
        <v>30.719382076095741</v>
      </c>
      <c r="BL408" s="601">
        <f>AVERAGE(BH408:BK408)</f>
        <v>27.327874999999999</v>
      </c>
      <c r="BM408" s="598">
        <f t="shared" si="378"/>
        <v>26.910278327419032</v>
      </c>
      <c r="BN408" s="599">
        <f t="shared" si="378"/>
        <v>26.910278327419032</v>
      </c>
      <c r="BO408" s="599">
        <f t="shared" si="378"/>
        <v>26.910278327419032</v>
      </c>
      <c r="BP408" s="600">
        <f t="shared" si="378"/>
        <v>26.910278327419032</v>
      </c>
      <c r="BQ408" s="601">
        <f>AVERAGE(BM408:BP408)</f>
        <v>26.910278327419032</v>
      </c>
    </row>
    <row r="409" spans="1:75" s="49" customFormat="1">
      <c r="C409" s="37" t="s">
        <v>266</v>
      </c>
      <c r="D409" s="37"/>
      <c r="E409" s="663"/>
      <c r="F409" s="468"/>
      <c r="G409" s="468"/>
      <c r="H409" s="664"/>
      <c r="I409" s="725">
        <v>6900</v>
      </c>
      <c r="J409" s="663"/>
      <c r="K409" s="468"/>
      <c r="L409" s="468"/>
      <c r="M409" s="664"/>
      <c r="O409" s="663"/>
      <c r="P409" s="468"/>
      <c r="Q409" s="468"/>
      <c r="R409" s="664"/>
      <c r="T409" s="396"/>
      <c r="U409" s="343"/>
      <c r="V409" s="343"/>
      <c r="W409" s="397"/>
      <c r="X409" s="297"/>
      <c r="Y409" s="396"/>
      <c r="Z409" s="343"/>
      <c r="AA409" s="343"/>
      <c r="AB409" s="397"/>
      <c r="AC409" s="601"/>
      <c r="AD409" s="598"/>
      <c r="AE409" s="599"/>
      <c r="AF409" s="599"/>
      <c r="AG409" s="600"/>
      <c r="AH409" s="601"/>
      <c r="AI409" s="1494"/>
      <c r="AJ409" s="599"/>
      <c r="AK409" s="599"/>
      <c r="AL409" s="600"/>
      <c r="AM409" s="601"/>
      <c r="AN409" s="598"/>
      <c r="AO409" s="599"/>
      <c r="AP409" s="599"/>
      <c r="AQ409" s="600"/>
      <c r="AR409" s="601"/>
      <c r="AS409" s="598"/>
      <c r="AT409" s="599"/>
      <c r="AU409" s="599"/>
      <c r="AV409" s="600"/>
      <c r="AW409" s="601"/>
      <c r="AX409" s="1494">
        <f>$I$409/1000*(AX46)+AX111</f>
        <v>23.464542622950823</v>
      </c>
      <c r="AY409" s="599">
        <f>$I$409/1000*(AY46+AY55)+AY111</f>
        <v>17.292700000000004</v>
      </c>
      <c r="AZ409" s="599">
        <f>$I$409/1000*(AZ46+AZ55)+AZ111</f>
        <v>17.318000000000001</v>
      </c>
      <c r="BA409" s="600">
        <f>$I$409/1000*(BA46+BA55)+BA111</f>
        <v>20.526500000000002</v>
      </c>
      <c r="BB409" s="601">
        <f>$I$409/1000*(BB46+BB55)+BB111</f>
        <v>25.591675000000002</v>
      </c>
      <c r="BC409" s="598">
        <f>$I$409/1000*(BC47+BC55)+BC111</f>
        <v>27.166191455282185</v>
      </c>
      <c r="BD409" s="599">
        <f t="shared" ref="BD409:BL409" si="379">$I$409/1000*(BD47+BD55)+BD111</f>
        <v>14.281131439051103</v>
      </c>
      <c r="BE409" s="599">
        <f t="shared" si="379"/>
        <v>14.384286941364454</v>
      </c>
      <c r="BF409" s="600">
        <f t="shared" si="379"/>
        <v>28.474322620822271</v>
      </c>
      <c r="BG409" s="601">
        <f t="shared" si="379"/>
        <v>21.076483114130003</v>
      </c>
      <c r="BH409" s="598">
        <f t="shared" si="379"/>
        <v>26.777502129583905</v>
      </c>
      <c r="BI409" s="599">
        <f t="shared" si="379"/>
        <v>14.091450584626278</v>
      </c>
      <c r="BJ409" s="599">
        <f t="shared" si="379"/>
        <v>14.193012860459273</v>
      </c>
      <c r="BK409" s="600">
        <f t="shared" si="379"/>
        <v>28.065429339290546</v>
      </c>
      <c r="BL409" s="601">
        <f t="shared" si="379"/>
        <v>20.781848728490001</v>
      </c>
      <c r="BM409" s="598">
        <f>$I$409/1000*(BM47+BM55)+BM111</f>
        <v>19.25</v>
      </c>
      <c r="BN409" s="599">
        <f>$I$409/1000*(BN47+BN55)+BN111</f>
        <v>19.25</v>
      </c>
      <c r="BO409" s="599">
        <f>$I$409/1000*(BO47+BO55)+BO111</f>
        <v>19.25</v>
      </c>
      <c r="BP409" s="600">
        <f>$I$409/1000*(BP47+BP55)+BP111</f>
        <v>19.25</v>
      </c>
      <c r="BQ409" s="601">
        <f>$I$409/1000*(BQ47+BQ55)+BQ111</f>
        <v>19.25</v>
      </c>
    </row>
    <row r="410" spans="1:75" s="49" customFormat="1">
      <c r="C410" s="37"/>
      <c r="D410" s="37"/>
      <c r="E410" s="663"/>
      <c r="F410" s="468"/>
      <c r="G410" s="468"/>
      <c r="H410" s="664"/>
      <c r="I410" s="589"/>
      <c r="J410" s="663"/>
      <c r="K410" s="468"/>
      <c r="L410" s="468"/>
      <c r="M410" s="664"/>
      <c r="O410" s="663"/>
      <c r="P410" s="468"/>
      <c r="Q410" s="468"/>
      <c r="R410" s="664"/>
      <c r="T410" s="396"/>
      <c r="U410" s="343"/>
      <c r="V410" s="343"/>
      <c r="W410" s="397"/>
      <c r="X410" s="297"/>
      <c r="Y410" s="396"/>
      <c r="Z410" s="343"/>
      <c r="AA410" s="343"/>
      <c r="AB410" s="397"/>
      <c r="AC410" s="601"/>
      <c r="AD410" s="598"/>
      <c r="AE410" s="599"/>
      <c r="AF410" s="599"/>
      <c r="AG410" s="600"/>
      <c r="AH410" s="601"/>
      <c r="AI410" s="598"/>
      <c r="AJ410" s="599"/>
      <c r="AK410" s="599"/>
      <c r="AL410" s="600"/>
      <c r="AM410" s="601"/>
      <c r="AN410" s="598"/>
      <c r="AO410" s="599"/>
      <c r="AP410" s="599"/>
      <c r="AQ410" s="600"/>
      <c r="AR410" s="601"/>
      <c r="AS410" s="598"/>
      <c r="AT410" s="599"/>
      <c r="AU410" s="599"/>
      <c r="AV410" s="600"/>
      <c r="AW410" s="601"/>
      <c r="AX410" s="598"/>
      <c r="AY410" s="599"/>
      <c r="AZ410" s="599"/>
      <c r="BA410" s="600"/>
      <c r="BB410" s="601"/>
      <c r="BC410" s="598"/>
      <c r="BD410" s="599"/>
      <c r="BE410" s="599"/>
      <c r="BF410" s="600"/>
      <c r="BG410" s="601"/>
      <c r="BH410" s="598"/>
      <c r="BI410" s="599"/>
      <c r="BJ410" s="599"/>
      <c r="BK410" s="600"/>
      <c r="BL410" s="601"/>
      <c r="BM410" s="598"/>
      <c r="BN410" s="599"/>
      <c r="BO410" s="599"/>
      <c r="BP410" s="600"/>
      <c r="BQ410" s="601"/>
    </row>
    <row r="411" spans="1:75" s="49" customFormat="1">
      <c r="C411" s="49" t="s">
        <v>267</v>
      </c>
      <c r="D411" s="37"/>
      <c r="E411" s="663"/>
      <c r="F411" s="468"/>
      <c r="G411" s="468"/>
      <c r="H411" s="664"/>
      <c r="I411" s="725">
        <v>755</v>
      </c>
      <c r="J411" s="663"/>
      <c r="K411" s="468"/>
      <c r="L411" s="468"/>
      <c r="M411" s="664"/>
      <c r="O411" s="663"/>
      <c r="P411" s="468"/>
      <c r="Q411" s="468"/>
      <c r="R411" s="664"/>
      <c r="T411" s="396"/>
      <c r="U411" s="343"/>
      <c r="V411" s="343"/>
      <c r="W411" s="397"/>
      <c r="X411" s="297"/>
      <c r="Y411" s="396"/>
      <c r="Z411" s="343"/>
      <c r="AA411" s="343"/>
      <c r="AB411" s="397"/>
      <c r="AC411" s="297"/>
      <c r="AD411" s="396"/>
      <c r="AE411" s="343"/>
      <c r="AF411" s="343"/>
      <c r="AG411" s="397"/>
      <c r="AH411" s="297"/>
      <c r="AI411" s="396"/>
      <c r="AJ411" s="343"/>
      <c r="AK411" s="343"/>
      <c r="AL411" s="397"/>
      <c r="AM411" s="297"/>
      <c r="AN411" s="396"/>
      <c r="AO411" s="343"/>
      <c r="AP411" s="343"/>
      <c r="AQ411" s="397"/>
      <c r="AR411" s="297"/>
      <c r="AS411" s="396"/>
      <c r="AT411" s="343"/>
      <c r="AU411" s="343"/>
      <c r="AV411" s="397"/>
      <c r="AW411" s="297"/>
      <c r="AX411" s="1566">
        <v>0</v>
      </c>
      <c r="AY411" s="343">
        <f>I411</f>
        <v>755</v>
      </c>
      <c r="AZ411" s="343">
        <f>AY411</f>
        <v>755</v>
      </c>
      <c r="BA411" s="397">
        <f>AY411</f>
        <v>755</v>
      </c>
      <c r="BB411" s="297">
        <f t="shared" ref="BB411:BL411" si="380">BA411</f>
        <v>755</v>
      </c>
      <c r="BC411" s="396">
        <f t="shared" si="380"/>
        <v>755</v>
      </c>
      <c r="BD411" s="343">
        <f t="shared" si="380"/>
        <v>755</v>
      </c>
      <c r="BE411" s="343">
        <f t="shared" si="380"/>
        <v>755</v>
      </c>
      <c r="BF411" s="397">
        <f t="shared" si="380"/>
        <v>755</v>
      </c>
      <c r="BG411" s="297">
        <f t="shared" si="380"/>
        <v>755</v>
      </c>
      <c r="BH411" s="396">
        <f t="shared" si="380"/>
        <v>755</v>
      </c>
      <c r="BI411" s="343">
        <f t="shared" si="380"/>
        <v>755</v>
      </c>
      <c r="BJ411" s="343">
        <f t="shared" si="380"/>
        <v>755</v>
      </c>
      <c r="BK411" s="397">
        <f t="shared" si="380"/>
        <v>755</v>
      </c>
      <c r="BL411" s="297">
        <f t="shared" si="380"/>
        <v>755</v>
      </c>
      <c r="BM411" s="396">
        <f>BL411</f>
        <v>755</v>
      </c>
      <c r="BN411" s="343">
        <f>BM411</f>
        <v>755</v>
      </c>
      <c r="BO411" s="343">
        <f>BN411</f>
        <v>755</v>
      </c>
      <c r="BP411" s="397">
        <f>BO411</f>
        <v>755</v>
      </c>
      <c r="BQ411" s="297">
        <f>BP411</f>
        <v>755</v>
      </c>
    </row>
    <row r="412" spans="1:75" s="49" customFormat="1">
      <c r="C412" s="2"/>
      <c r="D412" s="37"/>
      <c r="E412" s="663"/>
      <c r="F412" s="468"/>
      <c r="G412" s="468"/>
      <c r="H412" s="664"/>
      <c r="I412" s="37"/>
      <c r="J412" s="663"/>
      <c r="K412" s="468"/>
      <c r="L412" s="468"/>
      <c r="M412" s="664"/>
      <c r="O412" s="663"/>
      <c r="P412" s="468"/>
      <c r="Q412" s="468"/>
      <c r="R412" s="664"/>
      <c r="T412" s="396"/>
      <c r="U412" s="343"/>
      <c r="V412" s="343"/>
      <c r="W412" s="397"/>
      <c r="X412" s="297"/>
      <c r="Y412" s="396"/>
      <c r="Z412" s="343"/>
      <c r="AA412" s="343"/>
      <c r="AB412" s="397"/>
      <c r="AC412" s="2"/>
      <c r="AD412" s="365"/>
      <c r="AE412" s="6"/>
      <c r="AF412" s="6"/>
      <c r="AG412" s="366"/>
      <c r="AH412" s="2"/>
      <c r="AI412" s="365"/>
      <c r="AJ412" s="6"/>
      <c r="AK412" s="6"/>
      <c r="AL412" s="366"/>
      <c r="AM412" s="2"/>
      <c r="AN412" s="365"/>
      <c r="AO412" s="6"/>
      <c r="AP412" s="6"/>
      <c r="AQ412" s="366"/>
      <c r="AR412" s="2"/>
      <c r="AS412" s="365"/>
      <c r="AT412" s="6"/>
      <c r="AU412" s="6"/>
      <c r="AV412" s="366"/>
      <c r="AW412" s="2"/>
      <c r="AX412" s="365"/>
      <c r="AY412" s="6"/>
      <c r="AZ412" s="6"/>
      <c r="BA412" s="366"/>
      <c r="BB412" s="2"/>
      <c r="BC412" s="365"/>
      <c r="BD412" s="6"/>
      <c r="BE412" s="6"/>
      <c r="BF412" s="366"/>
      <c r="BG412" s="2"/>
      <c r="BH412" s="365"/>
      <c r="BI412" s="6"/>
      <c r="BJ412" s="6"/>
      <c r="BK412" s="366"/>
      <c r="BL412" s="2"/>
      <c r="BM412" s="365"/>
      <c r="BN412" s="6"/>
      <c r="BO412" s="6"/>
      <c r="BP412" s="366"/>
      <c r="BQ412" s="2"/>
    </row>
    <row r="413" spans="1:75" s="49" customFormat="1">
      <c r="C413" s="37" t="s">
        <v>214</v>
      </c>
      <c r="D413" s="37"/>
      <c r="E413" s="663"/>
      <c r="F413" s="468"/>
      <c r="G413" s="468"/>
      <c r="H413" s="664"/>
      <c r="I413" s="726">
        <v>0.47499999999999998</v>
      </c>
      <c r="J413" s="663"/>
      <c r="K413" s="468"/>
      <c r="L413" s="468"/>
      <c r="M413" s="664"/>
      <c r="O413" s="663"/>
      <c r="P413" s="468"/>
      <c r="Q413" s="468"/>
      <c r="R413" s="664"/>
      <c r="T413" s="396"/>
      <c r="U413" s="343"/>
      <c r="V413" s="343"/>
      <c r="W413" s="397"/>
      <c r="X413" s="297"/>
      <c r="Y413" s="396"/>
      <c r="Z413" s="343"/>
      <c r="AA413" s="343"/>
      <c r="AB413" s="397"/>
      <c r="AC413" s="293"/>
      <c r="AD413" s="376"/>
      <c r="AE413" s="334"/>
      <c r="AF413" s="334"/>
      <c r="AG413" s="377"/>
      <c r="AH413" s="293"/>
      <c r="AI413" s="376"/>
      <c r="AJ413" s="334"/>
      <c r="AK413" s="334"/>
      <c r="AL413" s="377"/>
      <c r="AM413" s="293"/>
      <c r="AN413" s="376"/>
      <c r="AO413" s="334"/>
      <c r="AP413" s="334"/>
      <c r="AQ413" s="377"/>
      <c r="AR413" s="293"/>
      <c r="AS413" s="376"/>
      <c r="AT413" s="334"/>
      <c r="AU413" s="334"/>
      <c r="AV413" s="377"/>
      <c r="AW413" s="293"/>
      <c r="AX413" s="376">
        <f>IF(AX407&gt;AX409,$I413,0%)</f>
        <v>0.47499999999999998</v>
      </c>
      <c r="AY413" s="334">
        <f t="shared" ref="AY413:BK413" si="381">IF(AY407&gt;AY409,$I413,0%)</f>
        <v>0.47499999999999998</v>
      </c>
      <c r="AZ413" s="334">
        <f>IF(AZ407&gt;AZ409,$I413,0%)</f>
        <v>0.47499999999999998</v>
      </c>
      <c r="BA413" s="377">
        <f t="shared" si="381"/>
        <v>0.47499999999999998</v>
      </c>
      <c r="BB413" s="293">
        <f>AVERAGE(AX413:BA413)</f>
        <v>0.47499999999999998</v>
      </c>
      <c r="BC413" s="376">
        <f t="shared" si="381"/>
        <v>0.47499999999999998</v>
      </c>
      <c r="BD413" s="334">
        <f t="shared" si="381"/>
        <v>0.47499999999999998</v>
      </c>
      <c r="BE413" s="334">
        <f t="shared" si="381"/>
        <v>0.47499999999999998</v>
      </c>
      <c r="BF413" s="377">
        <f t="shared" si="381"/>
        <v>0.47499999999999998</v>
      </c>
      <c r="BG413" s="293">
        <f>AVERAGE(BC413:BF413)</f>
        <v>0.47499999999999998</v>
      </c>
      <c r="BH413" s="376">
        <f t="shared" si="381"/>
        <v>0.47499999999999998</v>
      </c>
      <c r="BI413" s="334">
        <f t="shared" si="381"/>
        <v>0.47499999999999998</v>
      </c>
      <c r="BJ413" s="334">
        <f t="shared" si="381"/>
        <v>0.47499999999999998</v>
      </c>
      <c r="BK413" s="377">
        <f t="shared" si="381"/>
        <v>0.47499999999999998</v>
      </c>
      <c r="BL413" s="293">
        <f>AVERAGE(BH413:BK413)</f>
        <v>0.47499999999999998</v>
      </c>
      <c r="BM413" s="376">
        <f>IF(BM407&gt;BM409,$I413,0%)</f>
        <v>0.47499999999999998</v>
      </c>
      <c r="BN413" s="334">
        <f>IF(BN407&gt;BN409,$I413,0%)</f>
        <v>0.47499999999999998</v>
      </c>
      <c r="BO413" s="334">
        <f>IF(BO407&gt;BO409,$I413,0%)</f>
        <v>0.47499999999999998</v>
      </c>
      <c r="BP413" s="377">
        <f>IF(BP407&gt;BP409,$I413,0%)</f>
        <v>0.47499999999999998</v>
      </c>
      <c r="BQ413" s="293">
        <f>AVERAGE(BM413:BP413)</f>
        <v>0.47499999999999998</v>
      </c>
    </row>
    <row r="414" spans="1:75" s="49" customFormat="1">
      <c r="C414" s="37" t="s">
        <v>212</v>
      </c>
      <c r="D414" s="37"/>
      <c r="E414" s="663"/>
      <c r="F414" s="468"/>
      <c r="G414" s="468"/>
      <c r="H414" s="664"/>
      <c r="I414" s="37"/>
      <c r="J414" s="663"/>
      <c r="K414" s="468"/>
      <c r="L414" s="468"/>
      <c r="M414" s="664"/>
      <c r="O414" s="663"/>
      <c r="P414" s="468"/>
      <c r="Q414" s="468"/>
      <c r="R414" s="664"/>
      <c r="T414" s="396"/>
      <c r="U414" s="343"/>
      <c r="V414" s="343"/>
      <c r="W414" s="397"/>
      <c r="X414" s="297"/>
      <c r="Y414" s="396"/>
      <c r="Z414" s="343"/>
      <c r="AA414" s="343"/>
      <c r="AB414" s="397"/>
      <c r="AC414" s="452"/>
      <c r="AD414" s="453"/>
      <c r="AE414" s="454"/>
      <c r="AF414" s="454"/>
      <c r="AG414" s="455"/>
      <c r="AH414" s="452"/>
      <c r="AI414" s="453"/>
      <c r="AJ414" s="454"/>
      <c r="AK414" s="454"/>
      <c r="AL414" s="455"/>
      <c r="AM414" s="452"/>
      <c r="AN414" s="453"/>
      <c r="AO414" s="454"/>
      <c r="AP414" s="454"/>
      <c r="AQ414" s="455"/>
      <c r="AR414" s="452"/>
      <c r="AS414" s="453"/>
      <c r="AT414" s="454"/>
      <c r="AU414" s="454"/>
      <c r="AV414" s="455"/>
      <c r="AW414" s="452"/>
      <c r="AX414" s="453">
        <f>AX413*AX411*8760/1000/4</f>
        <v>0</v>
      </c>
      <c r="AY414" s="454">
        <f t="shared" ref="AY414:BK414" si="382">AY413*AY411*8760/1000/4</f>
        <v>785.38874999999996</v>
      </c>
      <c r="AZ414" s="454">
        <f>AZ413*AZ411*8760/1000/4</f>
        <v>785.38874999999996</v>
      </c>
      <c r="BA414" s="455">
        <f t="shared" si="382"/>
        <v>785.38874999999996</v>
      </c>
      <c r="BB414" s="452">
        <f>SUM(AX414:BA414)</f>
        <v>2356.1662499999998</v>
      </c>
      <c r="BC414" s="453">
        <f t="shared" si="382"/>
        <v>785.38874999999996</v>
      </c>
      <c r="BD414" s="454">
        <f t="shared" si="382"/>
        <v>785.38874999999996</v>
      </c>
      <c r="BE414" s="454">
        <f t="shared" si="382"/>
        <v>785.38874999999996</v>
      </c>
      <c r="BF414" s="455">
        <f t="shared" si="382"/>
        <v>785.38874999999996</v>
      </c>
      <c r="BG414" s="452">
        <f>SUM(BC414:BF414)</f>
        <v>3141.5549999999998</v>
      </c>
      <c r="BH414" s="453">
        <f t="shared" si="382"/>
        <v>785.38874999999996</v>
      </c>
      <c r="BI414" s="454">
        <f t="shared" si="382"/>
        <v>785.38874999999996</v>
      </c>
      <c r="BJ414" s="454">
        <f t="shared" si="382"/>
        <v>785.38874999999996</v>
      </c>
      <c r="BK414" s="455">
        <f t="shared" si="382"/>
        <v>785.38874999999996</v>
      </c>
      <c r="BL414" s="452">
        <f>SUM(BH414:BK414)</f>
        <v>3141.5549999999998</v>
      </c>
      <c r="BM414" s="453">
        <f>BM413*BM411*8760/1000/4</f>
        <v>785.38874999999996</v>
      </c>
      <c r="BN414" s="454">
        <f>BN413*BN411*8760/1000/4</f>
        <v>785.38874999999996</v>
      </c>
      <c r="BO414" s="454">
        <f>BO413*BO411*8760/1000/4</f>
        <v>785.38874999999996</v>
      </c>
      <c r="BP414" s="455">
        <f>BP413*BP411*8760/1000/4</f>
        <v>785.38874999999996</v>
      </c>
      <c r="BQ414" s="452">
        <f>SUM(BM414:BP414)</f>
        <v>3141.5549999999998</v>
      </c>
    </row>
    <row r="415" spans="1:75" s="49" customFormat="1">
      <c r="C415" s="37"/>
      <c r="D415" s="37"/>
      <c r="E415" s="663"/>
      <c r="F415" s="468"/>
      <c r="G415" s="468"/>
      <c r="H415" s="664"/>
      <c r="I415" s="37"/>
      <c r="J415" s="663"/>
      <c r="K415" s="468"/>
      <c r="L415" s="468"/>
      <c r="M415" s="664"/>
      <c r="O415" s="663"/>
      <c r="P415" s="468"/>
      <c r="Q415" s="468"/>
      <c r="R415" s="664"/>
      <c r="T415" s="396"/>
      <c r="U415" s="343"/>
      <c r="V415" s="343"/>
      <c r="W415" s="397"/>
      <c r="X415" s="297"/>
      <c r="Y415" s="396"/>
      <c r="Z415" s="343"/>
      <c r="AA415" s="343"/>
      <c r="AB415" s="397"/>
      <c r="AC415" s="2"/>
      <c r="AD415" s="365"/>
      <c r="AE415" s="6"/>
      <c r="AF415" s="6"/>
      <c r="AG415" s="366"/>
      <c r="AH415" s="2"/>
      <c r="AI415" s="365"/>
      <c r="AJ415" s="6"/>
      <c r="AK415" s="6"/>
      <c r="AL415" s="366"/>
      <c r="AM415" s="2"/>
      <c r="AN415" s="365"/>
      <c r="AO415" s="6"/>
      <c r="AP415" s="6"/>
      <c r="AQ415" s="366"/>
      <c r="AR415" s="2"/>
      <c r="AS415" s="365"/>
      <c r="AT415" s="6"/>
      <c r="AU415" s="6"/>
      <c r="AV415" s="366"/>
      <c r="AW415" s="2"/>
      <c r="AX415" s="365"/>
      <c r="AY415" s="6"/>
      <c r="AZ415" s="6"/>
      <c r="BA415" s="366"/>
      <c r="BB415" s="2"/>
      <c r="BC415" s="365"/>
      <c r="BD415" s="6"/>
      <c r="BE415" s="6"/>
      <c r="BF415" s="366"/>
      <c r="BG415" s="2"/>
      <c r="BH415" s="365"/>
      <c r="BI415" s="6"/>
      <c r="BJ415" s="6"/>
      <c r="BK415" s="366"/>
      <c r="BL415" s="2"/>
      <c r="BM415" s="365"/>
      <c r="BN415" s="6"/>
      <c r="BO415" s="6"/>
      <c r="BP415" s="366"/>
      <c r="BQ415" s="2"/>
    </row>
    <row r="416" spans="1:75" s="49" customFormat="1">
      <c r="C416" s="37" t="s">
        <v>215</v>
      </c>
      <c r="D416" s="37"/>
      <c r="E416" s="663"/>
      <c r="F416" s="468"/>
      <c r="G416" s="468"/>
      <c r="H416" s="664"/>
      <c r="I416" s="726">
        <v>0.3</v>
      </c>
      <c r="J416" s="663"/>
      <c r="K416" s="468"/>
      <c r="L416" s="468"/>
      <c r="M416" s="664"/>
      <c r="O416" s="663"/>
      <c r="P416" s="468"/>
      <c r="Q416" s="468"/>
      <c r="R416" s="664"/>
      <c r="T416" s="396"/>
      <c r="U416" s="343"/>
      <c r="V416" s="343"/>
      <c r="W416" s="397"/>
      <c r="X416" s="297"/>
      <c r="Y416" s="396"/>
      <c r="Z416" s="343"/>
      <c r="AA416" s="343"/>
      <c r="AB416" s="397"/>
      <c r="AC416" s="293"/>
      <c r="AD416" s="376"/>
      <c r="AE416" s="334"/>
      <c r="AF416" s="334"/>
      <c r="AG416" s="377"/>
      <c r="AH416" s="293"/>
      <c r="AI416" s="376"/>
      <c r="AJ416" s="334"/>
      <c r="AK416" s="334"/>
      <c r="AL416" s="377"/>
      <c r="AM416" s="293"/>
      <c r="AN416" s="376"/>
      <c r="AO416" s="334"/>
      <c r="AP416" s="334"/>
      <c r="AQ416" s="377"/>
      <c r="AR416" s="293"/>
      <c r="AS416" s="376"/>
      <c r="AT416" s="334"/>
      <c r="AU416" s="334"/>
      <c r="AV416" s="377"/>
      <c r="AW416" s="293"/>
      <c r="AX416" s="376">
        <f>IF(AX408&gt;AX409,$I416,0%)</f>
        <v>0.3</v>
      </c>
      <c r="AY416" s="334">
        <f>IF(AY408&gt;AY409,$I416,0%)</f>
        <v>0.3</v>
      </c>
      <c r="AZ416" s="334">
        <f>IF(AZ408&gt;AZ409,$I416,0%)</f>
        <v>0.3</v>
      </c>
      <c r="BA416" s="377">
        <f>IF(BA408&gt;BA409,$I416,0%)</f>
        <v>0.3</v>
      </c>
      <c r="BB416" s="293">
        <f>AVERAGE(AX416:BA416)</f>
        <v>0.3</v>
      </c>
      <c r="BC416" s="376">
        <f>IF(BC408&gt;BC409,$I416,0%)</f>
        <v>0.3</v>
      </c>
      <c r="BD416" s="334">
        <f>IF(BD408&gt;BD409,$I416,0%)</f>
        <v>0.3</v>
      </c>
      <c r="BE416" s="334">
        <f>IF(BE408&gt;BE409,$I416,0%)</f>
        <v>0.3</v>
      </c>
      <c r="BF416" s="377">
        <f>IF(BF408&gt;BF409,$I416,0%)</f>
        <v>0.3</v>
      </c>
      <c r="BG416" s="293">
        <f>AVERAGE(BC416:BF416)</f>
        <v>0.3</v>
      </c>
      <c r="BH416" s="376">
        <f>IF(BH408&gt;BH409,$I416,0%)</f>
        <v>0.3</v>
      </c>
      <c r="BI416" s="334">
        <f>IF(BI408&gt;BI409,$I416,0%)</f>
        <v>0.3</v>
      </c>
      <c r="BJ416" s="334">
        <f>IF(BJ408&gt;BJ409,$I416,0%)</f>
        <v>0.3</v>
      </c>
      <c r="BK416" s="377">
        <f>IF(BK408&gt;BK409,$I416,0%)</f>
        <v>0.3</v>
      </c>
      <c r="BL416" s="293">
        <f>AVERAGE(BH416:BK416)</f>
        <v>0.3</v>
      </c>
      <c r="BM416" s="376">
        <f>IF(BM408&gt;BM409,$I416,0%)</f>
        <v>0.3</v>
      </c>
      <c r="BN416" s="334">
        <f>IF(BN408&gt;BN409,$I416,0%)</f>
        <v>0.3</v>
      </c>
      <c r="BO416" s="334">
        <f>IF(BO408&gt;BO409,$I416,0%)</f>
        <v>0.3</v>
      </c>
      <c r="BP416" s="377">
        <f>IF(BP408&gt;BP409,$I416,0%)</f>
        <v>0.3</v>
      </c>
      <c r="BQ416" s="293">
        <f>AVERAGE(BM416:BP416)</f>
        <v>0.3</v>
      </c>
    </row>
    <row r="417" spans="1:70" s="49" customFormat="1">
      <c r="C417" s="37" t="s">
        <v>213</v>
      </c>
      <c r="D417" s="37"/>
      <c r="E417" s="663"/>
      <c r="F417" s="468"/>
      <c r="G417" s="468"/>
      <c r="H417" s="664"/>
      <c r="J417" s="663"/>
      <c r="K417" s="468"/>
      <c r="L417" s="468"/>
      <c r="M417" s="664"/>
      <c r="O417" s="663"/>
      <c r="P417" s="468"/>
      <c r="Q417" s="468"/>
      <c r="R417" s="664"/>
      <c r="T417" s="396"/>
      <c r="U417" s="343"/>
      <c r="V417" s="343"/>
      <c r="W417" s="397"/>
      <c r="X417" s="297"/>
      <c r="Y417" s="396"/>
      <c r="Z417" s="343"/>
      <c r="AA417" s="343"/>
      <c r="AB417" s="397"/>
      <c r="AC417" s="452"/>
      <c r="AD417" s="453"/>
      <c r="AE417" s="454"/>
      <c r="AF417" s="454"/>
      <c r="AG417" s="455"/>
      <c r="AH417" s="452"/>
      <c r="AI417" s="453"/>
      <c r="AJ417" s="454"/>
      <c r="AK417" s="454"/>
      <c r="AL417" s="455"/>
      <c r="AM417" s="452"/>
      <c r="AN417" s="453"/>
      <c r="AO417" s="454"/>
      <c r="AP417" s="454"/>
      <c r="AQ417" s="455"/>
      <c r="AR417" s="452"/>
      <c r="AS417" s="453"/>
      <c r="AT417" s="454"/>
      <c r="AU417" s="454"/>
      <c r="AV417" s="455"/>
      <c r="AW417" s="452"/>
      <c r="AX417" s="453">
        <f>AX411*AX416*8760/1000/4</f>
        <v>0</v>
      </c>
      <c r="AY417" s="454">
        <f>AY411*AY416*8760/1000/4</f>
        <v>496.03500000000003</v>
      </c>
      <c r="AZ417" s="454">
        <f>AZ411*AZ416*8760/1000/4</f>
        <v>496.03500000000003</v>
      </c>
      <c r="BA417" s="455">
        <f>BA411*BA416*8760/1000/4</f>
        <v>496.03500000000003</v>
      </c>
      <c r="BB417" s="452">
        <f>SUM(AX417:BA417)</f>
        <v>1488.105</v>
      </c>
      <c r="BC417" s="453">
        <f>BC411*BC416*8760/1000/4</f>
        <v>496.03500000000003</v>
      </c>
      <c r="BD417" s="454">
        <f>BD411*BD416*8760/1000/4</f>
        <v>496.03500000000003</v>
      </c>
      <c r="BE417" s="454">
        <f>BE411*BE416*8760/1000/4</f>
        <v>496.03500000000003</v>
      </c>
      <c r="BF417" s="455">
        <f>BF411*BF416*8760/1000/4</f>
        <v>496.03500000000003</v>
      </c>
      <c r="BG417" s="452">
        <f>SUM(BC417:BF417)</f>
        <v>1984.14</v>
      </c>
      <c r="BH417" s="453">
        <f>BH411*BH416*8760/1000/4</f>
        <v>496.03500000000003</v>
      </c>
      <c r="BI417" s="454">
        <f>BI411*BI416*8760/1000/4</f>
        <v>496.03500000000003</v>
      </c>
      <c r="BJ417" s="454">
        <f>BJ411*BJ416*8760/1000/4</f>
        <v>496.03500000000003</v>
      </c>
      <c r="BK417" s="455">
        <f>BK411*BK416*8760/1000/4</f>
        <v>496.03500000000003</v>
      </c>
      <c r="BL417" s="452">
        <f>SUM(BH417:BK417)</f>
        <v>1984.14</v>
      </c>
      <c r="BM417" s="453">
        <f>BM411*BM416*8760/1000/4</f>
        <v>496.03500000000003</v>
      </c>
      <c r="BN417" s="454">
        <f>BN411*BN416*8760/1000/4</f>
        <v>496.03500000000003</v>
      </c>
      <c r="BO417" s="454">
        <f>BO411*BO416*8760/1000/4</f>
        <v>496.03500000000003</v>
      </c>
      <c r="BP417" s="455">
        <f>BP411*BP416*8760/1000/4</f>
        <v>496.03500000000003</v>
      </c>
      <c r="BQ417" s="452">
        <f>SUM(BM417:BP417)</f>
        <v>1984.14</v>
      </c>
    </row>
    <row r="418" spans="1:70" s="49" customFormat="1">
      <c r="C418" s="37"/>
      <c r="D418" s="37"/>
      <c r="E418" s="663"/>
      <c r="F418" s="468"/>
      <c r="G418" s="468"/>
      <c r="H418" s="664"/>
      <c r="J418" s="663"/>
      <c r="K418" s="468"/>
      <c r="L418" s="468"/>
      <c r="M418" s="664"/>
      <c r="O418" s="663"/>
      <c r="P418" s="468"/>
      <c r="Q418" s="468"/>
      <c r="R418" s="664"/>
      <c r="T418" s="396"/>
      <c r="U418" s="343"/>
      <c r="V418" s="343"/>
      <c r="W418" s="397"/>
      <c r="X418" s="297"/>
      <c r="Y418" s="396"/>
      <c r="Z418" s="343"/>
      <c r="AA418" s="343"/>
      <c r="AB418" s="397"/>
      <c r="AC418" s="2"/>
      <c r="AD418" s="365"/>
      <c r="AE418" s="6"/>
      <c r="AF418" s="6"/>
      <c r="AG418" s="366"/>
      <c r="AH418" s="2"/>
      <c r="AI418" s="365"/>
      <c r="AJ418" s="6"/>
      <c r="AK418" s="6"/>
      <c r="AL418" s="366"/>
      <c r="AM418" s="2"/>
      <c r="AN418" s="365"/>
      <c r="AO418" s="6"/>
      <c r="AP418" s="6"/>
      <c r="AQ418" s="366"/>
      <c r="AR418" s="2"/>
      <c r="AS418" s="365"/>
      <c r="AT418" s="6"/>
      <c r="AU418" s="6"/>
      <c r="AV418" s="366"/>
      <c r="AW418" s="2"/>
      <c r="AX418" s="365"/>
      <c r="AY418" s="6"/>
      <c r="AZ418" s="6"/>
      <c r="BA418" s="366"/>
      <c r="BB418" s="2"/>
      <c r="BC418" s="365"/>
      <c r="BD418" s="6"/>
      <c r="BE418" s="6"/>
      <c r="BF418" s="366"/>
      <c r="BG418" s="2"/>
      <c r="BH418" s="365"/>
      <c r="BI418" s="6"/>
      <c r="BJ418" s="6"/>
      <c r="BK418" s="366"/>
      <c r="BL418" s="2"/>
      <c r="BM418" s="365"/>
      <c r="BN418" s="6"/>
      <c r="BO418" s="6"/>
      <c r="BP418" s="366"/>
      <c r="BQ418" s="2"/>
    </row>
    <row r="419" spans="1:70" s="49" customFormat="1">
      <c r="C419" s="37" t="s">
        <v>216</v>
      </c>
      <c r="D419" s="37"/>
      <c r="E419" s="663"/>
      <c r="F419" s="468"/>
      <c r="G419" s="468"/>
      <c r="H419" s="664"/>
      <c r="J419" s="663"/>
      <c r="K419" s="468"/>
      <c r="L419" s="468"/>
      <c r="M419" s="664"/>
      <c r="O419" s="663"/>
      <c r="P419" s="468"/>
      <c r="Q419" s="468"/>
      <c r="R419" s="664"/>
      <c r="T419" s="396"/>
      <c r="U419" s="343"/>
      <c r="V419" s="343"/>
      <c r="W419" s="397"/>
      <c r="X419" s="297"/>
      <c r="Y419" s="396"/>
      <c r="Z419" s="343"/>
      <c r="AA419" s="343"/>
      <c r="AB419" s="397"/>
      <c r="AC419" s="293"/>
      <c r="AD419" s="376"/>
      <c r="AE419" s="334"/>
      <c r="AF419" s="334"/>
      <c r="AG419" s="377"/>
      <c r="AH419" s="293"/>
      <c r="AI419" s="376"/>
      <c r="AJ419" s="334"/>
      <c r="AK419" s="334"/>
      <c r="AL419" s="377"/>
      <c r="AM419" s="293"/>
      <c r="AN419" s="376"/>
      <c r="AO419" s="334"/>
      <c r="AP419" s="334"/>
      <c r="AQ419" s="377"/>
      <c r="AR419" s="293"/>
      <c r="AS419" s="376"/>
      <c r="AT419" s="334"/>
      <c r="AU419" s="334"/>
      <c r="AV419" s="377"/>
      <c r="AW419" s="293"/>
      <c r="AX419" s="1493">
        <v>0</v>
      </c>
      <c r="AY419" s="334">
        <f>(AY417+AY414)/(8.76*AY411/4)</f>
        <v>0.77499999999999991</v>
      </c>
      <c r="AZ419" s="1661">
        <f>(AZ417+AZ414)/(8.76*AZ411/4)</f>
        <v>0.77499999999999991</v>
      </c>
      <c r="BA419" s="377">
        <f>(BA417+BA414)/(8.76*BA411/4)</f>
        <v>0.77499999999999991</v>
      </c>
      <c r="BB419" s="293">
        <f>AVERAGE(AX419:BA419)</f>
        <v>0.58124999999999993</v>
      </c>
      <c r="BC419" s="376">
        <f>(BC417+BC414)/(8.76*BC411/4)</f>
        <v>0.77499999999999991</v>
      </c>
      <c r="BD419" s="334">
        <f>(BD417+BD414)/(8.76*BD411/4)</f>
        <v>0.77499999999999991</v>
      </c>
      <c r="BE419" s="334">
        <f>(BE417+BE414)/(8.76*BE411/4)</f>
        <v>0.77499999999999991</v>
      </c>
      <c r="BF419" s="377">
        <f>(BF417+BF414)/(8.76*BF411/4)</f>
        <v>0.77499999999999991</v>
      </c>
      <c r="BG419" s="293">
        <f>AVERAGE(BC419:BF419)</f>
        <v>0.77499999999999991</v>
      </c>
      <c r="BH419" s="376">
        <f>(BH417+BH414)/(8.76*BH411/4)</f>
        <v>0.77499999999999991</v>
      </c>
      <c r="BI419" s="334">
        <f>(BI417+BI414)/(8.76*BI411/4)</f>
        <v>0.77499999999999991</v>
      </c>
      <c r="BJ419" s="334">
        <f>(BJ417+BJ414)/(8.76*BJ411/4)</f>
        <v>0.77499999999999991</v>
      </c>
      <c r="BK419" s="377">
        <f>(BK417+BK414)/(8.76*BK411/4)</f>
        <v>0.77499999999999991</v>
      </c>
      <c r="BL419" s="293">
        <f>AVERAGE(BH419:BK419)</f>
        <v>0.77499999999999991</v>
      </c>
      <c r="BM419" s="376">
        <f>(BM417+BM414)/(8.76*BM411/4)</f>
        <v>0.77499999999999991</v>
      </c>
      <c r="BN419" s="334">
        <f>(BN417+BN414)/(8.76*BN411/4)</f>
        <v>0.77499999999999991</v>
      </c>
      <c r="BO419" s="334">
        <f>(BO417+BO414)/(8.76*BO411/4)</f>
        <v>0.77499999999999991</v>
      </c>
      <c r="BP419" s="377">
        <f>(BP417+BP414)/(8.76*BP411/4)</f>
        <v>0.77499999999999991</v>
      </c>
      <c r="BQ419" s="293">
        <f>AVERAGE(BM419:BP419)</f>
        <v>0.77499999999999991</v>
      </c>
    </row>
    <row r="420" spans="1:70" s="49" customFormat="1">
      <c r="C420" s="49" t="s">
        <v>217</v>
      </c>
      <c r="D420" s="37"/>
      <c r="E420" s="663"/>
      <c r="F420" s="468"/>
      <c r="G420" s="468"/>
      <c r="H420" s="664"/>
      <c r="J420" s="663"/>
      <c r="K420" s="468"/>
      <c r="L420" s="468"/>
      <c r="M420" s="664"/>
      <c r="O420" s="663"/>
      <c r="P420" s="468"/>
      <c r="Q420" s="468"/>
      <c r="R420" s="664"/>
      <c r="T420" s="396"/>
      <c r="U420" s="343"/>
      <c r="V420" s="343"/>
      <c r="W420" s="397"/>
      <c r="X420" s="297"/>
      <c r="Y420" s="396"/>
      <c r="Z420" s="343"/>
      <c r="AA420" s="343"/>
      <c r="AB420" s="397"/>
      <c r="AC420" s="475"/>
      <c r="AD420" s="396"/>
      <c r="AE420" s="343"/>
      <c r="AF420" s="343"/>
      <c r="AG420" s="397"/>
      <c r="AH420" s="475"/>
      <c r="AI420" s="396"/>
      <c r="AJ420" s="343"/>
      <c r="AK420" s="343"/>
      <c r="AL420" s="397"/>
      <c r="AM420" s="475"/>
      <c r="AN420" s="396"/>
      <c r="AO420" s="343"/>
      <c r="AP420" s="343"/>
      <c r="AQ420" s="397"/>
      <c r="AR420" s="475"/>
      <c r="AS420" s="396"/>
      <c r="AT420" s="343"/>
      <c r="AU420" s="343"/>
      <c r="AV420" s="397"/>
      <c r="AW420" s="475"/>
      <c r="AX420" s="396">
        <f>AX414+AX417</f>
        <v>0</v>
      </c>
      <c r="AY420" s="343">
        <f>AY414+AY417</f>
        <v>1281.4237499999999</v>
      </c>
      <c r="AZ420" s="343">
        <f>AZ414+AZ417</f>
        <v>1281.4237499999999</v>
      </c>
      <c r="BA420" s="397">
        <f>BA414+BA417</f>
        <v>1281.4237499999999</v>
      </c>
      <c r="BB420" s="608">
        <f>SUM(AX420:BA420)</f>
        <v>3844.2712499999998</v>
      </c>
      <c r="BC420" s="396">
        <f>BC414+BC417</f>
        <v>1281.4237499999999</v>
      </c>
      <c r="BD420" s="343">
        <f>BD414+BD417</f>
        <v>1281.4237499999999</v>
      </c>
      <c r="BE420" s="343">
        <f>BE414+BE417</f>
        <v>1281.4237499999999</v>
      </c>
      <c r="BF420" s="397">
        <f>BF414+BF417</f>
        <v>1281.4237499999999</v>
      </c>
      <c r="BG420" s="608">
        <f>SUM(BC420:BF420)</f>
        <v>5125.6949999999997</v>
      </c>
      <c r="BH420" s="396">
        <f>BH414+BH417</f>
        <v>1281.4237499999999</v>
      </c>
      <c r="BI420" s="343">
        <f>BI414+BI417</f>
        <v>1281.4237499999999</v>
      </c>
      <c r="BJ420" s="343">
        <f>BJ414+BJ417</f>
        <v>1281.4237499999999</v>
      </c>
      <c r="BK420" s="397">
        <f>BK414+BK417</f>
        <v>1281.4237499999999</v>
      </c>
      <c r="BL420" s="608">
        <f>SUM(BH420:BK420)</f>
        <v>5125.6949999999997</v>
      </c>
      <c r="BM420" s="396">
        <f>BM414+BM417</f>
        <v>1281.4237499999999</v>
      </c>
      <c r="BN420" s="343">
        <f>BN414+BN417</f>
        <v>1281.4237499999999</v>
      </c>
      <c r="BO420" s="343">
        <f>BO414+BO417</f>
        <v>1281.4237499999999</v>
      </c>
      <c r="BP420" s="397">
        <f>BP414+BP417</f>
        <v>1281.4237499999999</v>
      </c>
      <c r="BQ420" s="608">
        <f>SUM(BM420:BP420)</f>
        <v>5125.6949999999997</v>
      </c>
    </row>
    <row r="421" spans="1:70" s="49" customFormat="1">
      <c r="C421" s="37"/>
      <c r="D421" s="37"/>
      <c r="E421" s="663"/>
      <c r="F421" s="468"/>
      <c r="G421" s="468"/>
      <c r="H421" s="664"/>
      <c r="J421" s="663"/>
      <c r="K421" s="468"/>
      <c r="L421" s="468"/>
      <c r="M421" s="664"/>
      <c r="O421" s="663"/>
      <c r="P421" s="468"/>
      <c r="Q421" s="468"/>
      <c r="R421" s="664"/>
      <c r="T421" s="396"/>
      <c r="U421" s="343"/>
      <c r="V421" s="343"/>
      <c r="W421" s="397"/>
      <c r="X421" s="297"/>
      <c r="Y421" s="396"/>
      <c r="Z421" s="343"/>
      <c r="AA421" s="343"/>
      <c r="AB421" s="397"/>
      <c r="AC421" s="2"/>
      <c r="AD421" s="365"/>
      <c r="AE421" s="6"/>
      <c r="AF421" s="6"/>
      <c r="AG421" s="366"/>
      <c r="AH421" s="2"/>
      <c r="AI421" s="365"/>
      <c r="AJ421" s="6"/>
      <c r="AK421" s="6"/>
      <c r="AL421" s="366"/>
      <c r="AM421" s="2"/>
      <c r="AN421" s="365"/>
      <c r="AO421" s="6"/>
      <c r="AP421" s="6"/>
      <c r="AQ421" s="366"/>
      <c r="AR421" s="2"/>
      <c r="AS421" s="365"/>
      <c r="AT421" s="6"/>
      <c r="AU421" s="6"/>
      <c r="AV421" s="366"/>
      <c r="AW421" s="2"/>
      <c r="AX421" s="365"/>
      <c r="AY421" s="6"/>
      <c r="AZ421" s="6"/>
      <c r="BA421" s="366"/>
      <c r="BB421" s="2"/>
      <c r="BC421" s="365"/>
      <c r="BD421" s="6"/>
      <c r="BE421" s="6"/>
      <c r="BF421" s="366"/>
      <c r="BG421" s="2"/>
      <c r="BH421" s="365"/>
      <c r="BI421" s="6"/>
      <c r="BJ421" s="6"/>
      <c r="BK421" s="366"/>
      <c r="BL421" s="2"/>
      <c r="BM421" s="365"/>
      <c r="BN421" s="6"/>
      <c r="BO421" s="6"/>
      <c r="BP421" s="366"/>
      <c r="BQ421" s="2"/>
    </row>
    <row r="422" spans="1:70" s="49" customFormat="1">
      <c r="C422" s="37" t="s">
        <v>663</v>
      </c>
      <c r="D422" s="37"/>
      <c r="E422" s="663"/>
      <c r="F422" s="468"/>
      <c r="G422" s="468"/>
      <c r="H422" s="664"/>
      <c r="J422" s="663"/>
      <c r="K422" s="468"/>
      <c r="L422" s="468"/>
      <c r="M422" s="664"/>
      <c r="O422" s="663"/>
      <c r="P422" s="468"/>
      <c r="Q422" s="468"/>
      <c r="R422" s="664"/>
      <c r="T422" s="396"/>
      <c r="U422" s="343"/>
      <c r="V422" s="343"/>
      <c r="W422" s="397"/>
      <c r="X422" s="297"/>
      <c r="Y422" s="396"/>
      <c r="Z422" s="343"/>
      <c r="AA422" s="343"/>
      <c r="AB422" s="397"/>
      <c r="AC422" s="296"/>
      <c r="AD422" s="392"/>
      <c r="AE422" s="341"/>
      <c r="AF422" s="341"/>
      <c r="AG422" s="393"/>
      <c r="AH422" s="296"/>
      <c r="AI422" s="392"/>
      <c r="AJ422" s="341"/>
      <c r="AK422" s="341"/>
      <c r="AL422" s="393"/>
      <c r="AM422" s="296"/>
      <c r="AN422" s="392"/>
      <c r="AO422" s="341"/>
      <c r="AP422" s="341"/>
      <c r="AQ422" s="393"/>
      <c r="AR422" s="296"/>
      <c r="AS422" s="392"/>
      <c r="AT422" s="341"/>
      <c r="AU422" s="341"/>
      <c r="AV422" s="393"/>
      <c r="AW422" s="296"/>
      <c r="AX422" s="392">
        <f>(AX414*AX407)/1000+(AX417*AX408)/1000</f>
        <v>0</v>
      </c>
      <c r="AY422" s="341">
        <f>(AY414*AY407)/1000+(AY417*AY408)/1000</f>
        <v>39.474437742500001</v>
      </c>
      <c r="AZ422" s="341">
        <f>(AZ414*AZ407)/1000+(AZ417*AZ408)/1000</f>
        <v>42.427272093124998</v>
      </c>
      <c r="BA422" s="393">
        <f>(BA414*BA407)/1000+(BA417*BA408)/1000</f>
        <v>39.834517816249992</v>
      </c>
      <c r="BB422" s="452">
        <f>SUM(AX422:BA422)</f>
        <v>121.736227651875</v>
      </c>
      <c r="BC422" s="392">
        <f>(BC414*BC407)/1000+(BC417*BC408)/1000</f>
        <v>55.055351610531929</v>
      </c>
      <c r="BD422" s="341">
        <f>(BD414*BD407)/1000+(BD417*BD408)/1000</f>
        <v>34.08460897284327</v>
      </c>
      <c r="BE422" s="341">
        <f>(BE414*BE407)/1000+(BE417*BE408)/1000</f>
        <v>37.175057064159006</v>
      </c>
      <c r="BF422" s="393">
        <f>(BF414*BF407)/1000+(BF417*BF408)/1000</f>
        <v>43.968848525256377</v>
      </c>
      <c r="BG422" s="452">
        <f>SUM(BC422:BF422)</f>
        <v>170.28386617279057</v>
      </c>
      <c r="BH422" s="392">
        <f>(BH414*BH407)/1000+(BH417*BH408)/1000</f>
        <v>54.86794576340435</v>
      </c>
      <c r="BI422" s="341">
        <f>(BI414*BI407)/1000+(BI417*BI408)/1000</f>
        <v>33.978134239959843</v>
      </c>
      <c r="BJ422" s="341">
        <f>(BJ414*BJ407)/1000+(BJ417*BJ408)/1000</f>
        <v>37.064677554567439</v>
      </c>
      <c r="BK422" s="393">
        <f>(BK414*BK407)/1000+(BK417*BK408)/1000</f>
        <v>43.814507066858923</v>
      </c>
      <c r="BL422" s="452">
        <f>SUM(BH422:BK422)</f>
        <v>169.72526462479055</v>
      </c>
      <c r="BM422" s="392">
        <f>(BM414*BM407)/1000+(BM417*BM408)/1000</f>
        <v>41.639264669069874</v>
      </c>
      <c r="BN422" s="341">
        <f>(BN414*BN407)/1000+(BN417*BN408)/1000</f>
        <v>41.639264669069874</v>
      </c>
      <c r="BO422" s="341">
        <f>(BO414*BO407)/1000+(BO417*BO408)/1000</f>
        <v>41.639264669069874</v>
      </c>
      <c r="BP422" s="393">
        <f>(BP414*BP407)/1000+(BP417*BP408)/1000</f>
        <v>41.639264669069874</v>
      </c>
      <c r="BQ422" s="452">
        <f>SUM(BM422:BP422)</f>
        <v>166.5570586762795</v>
      </c>
    </row>
    <row r="423" spans="1:70" s="49" customFormat="1">
      <c r="C423" s="37" t="s">
        <v>346</v>
      </c>
      <c r="D423" s="37"/>
      <c r="E423" s="663"/>
      <c r="F423" s="468"/>
      <c r="G423" s="468"/>
      <c r="H423" s="664"/>
      <c r="J423" s="663"/>
      <c r="K423" s="468"/>
      <c r="L423" s="468"/>
      <c r="M423" s="664"/>
      <c r="O423" s="663"/>
      <c r="P423" s="468"/>
      <c r="Q423" s="468"/>
      <c r="R423" s="664"/>
      <c r="T423" s="396"/>
      <c r="U423" s="343"/>
      <c r="V423" s="343"/>
      <c r="W423" s="397"/>
      <c r="X423" s="297"/>
      <c r="Y423" s="396"/>
      <c r="Z423" s="343"/>
      <c r="AA423" s="343"/>
      <c r="AB423" s="397"/>
      <c r="AC423" s="296"/>
      <c r="AD423" s="392"/>
      <c r="AE423" s="341"/>
      <c r="AF423" s="341"/>
      <c r="AG423" s="393"/>
      <c r="AH423" s="296"/>
      <c r="AI423" s="392"/>
      <c r="AJ423" s="341"/>
      <c r="AK423" s="341"/>
      <c r="AL423" s="393"/>
      <c r="AM423" s="296"/>
      <c r="AN423" s="392"/>
      <c r="AO423" s="341"/>
      <c r="AP423" s="341"/>
      <c r="AQ423" s="393"/>
      <c r="AR423" s="296"/>
      <c r="AS423" s="392"/>
      <c r="AT423" s="341"/>
      <c r="AU423" s="341"/>
      <c r="AV423" s="393"/>
      <c r="AW423" s="296"/>
      <c r="AX423" s="392">
        <f>AX409*AX420/1000</f>
        <v>0</v>
      </c>
      <c r="AY423" s="341">
        <f>AY409*AY420/1000</f>
        <v>22.159276481625003</v>
      </c>
      <c r="AZ423" s="341">
        <f>AZ409*AZ420/1000</f>
        <v>22.191696502499997</v>
      </c>
      <c r="BA423" s="393">
        <f>BA409*BA420/1000</f>
        <v>26.303144604374999</v>
      </c>
      <c r="BB423" s="452">
        <f>SUM(AX423:BA423)</f>
        <v>70.6541175885</v>
      </c>
      <c r="BC423" s="392">
        <f>BC409*BC420/1000</f>
        <v>34.811402927845648</v>
      </c>
      <c r="BD423" s="341">
        <f>BD409*BD420/1000</f>
        <v>18.30018100287176</v>
      </c>
      <c r="BE423" s="341">
        <f>BE409*BE420/1000</f>
        <v>18.432366913479267</v>
      </c>
      <c r="BF423" s="393">
        <f>BF409*BF420/1000</f>
        <v>36.487673271483899</v>
      </c>
      <c r="BG423" s="452">
        <f>SUM(BC423:BF423)</f>
        <v>108.03162411568057</v>
      </c>
      <c r="BH423" s="392">
        <f>BH409*BH420/1000</f>
        <v>34.313327194524391</v>
      </c>
      <c r="BI423" s="341">
        <f>BI409*BI420/1000</f>
        <v>18.057119451091499</v>
      </c>
      <c r="BJ423" s="341">
        <f>BJ409*BJ420/1000</f>
        <v>18.187263763447948</v>
      </c>
      <c r="BK423" s="393">
        <f>BK409*BK420/1000</f>
        <v>35.963707709313709</v>
      </c>
      <c r="BL423" s="452">
        <f>SUM(BH423:BK423)</f>
        <v>106.52141811837754</v>
      </c>
      <c r="BM423" s="392">
        <f>BM409*BM420/1000</f>
        <v>24.667407187499997</v>
      </c>
      <c r="BN423" s="341">
        <f>BN409*BN420/1000</f>
        <v>24.667407187499997</v>
      </c>
      <c r="BO423" s="341">
        <f>BO409*BO420/1000</f>
        <v>24.667407187499997</v>
      </c>
      <c r="BP423" s="393">
        <f>BP409*BP420/1000</f>
        <v>24.667407187499997</v>
      </c>
      <c r="BQ423" s="452">
        <f>SUM(BM423:BP423)</f>
        <v>98.669628749999987</v>
      </c>
    </row>
    <row r="424" spans="1:70" s="49" customFormat="1">
      <c r="C424" s="49" t="s">
        <v>270</v>
      </c>
      <c r="D424" s="37"/>
      <c r="E424" s="663"/>
      <c r="F424" s="468"/>
      <c r="G424" s="468"/>
      <c r="H424" s="664"/>
      <c r="J424" s="663"/>
      <c r="K424" s="468"/>
      <c r="L424" s="468"/>
      <c r="M424" s="664"/>
      <c r="O424" s="663"/>
      <c r="P424" s="468"/>
      <c r="Q424" s="468"/>
      <c r="R424" s="664"/>
      <c r="T424" s="396"/>
      <c r="U424" s="343"/>
      <c r="V424" s="343"/>
      <c r="W424" s="397"/>
      <c r="X424" s="297"/>
      <c r="Y424" s="396"/>
      <c r="Z424" s="343"/>
      <c r="AA424" s="343"/>
      <c r="AB424" s="397"/>
      <c r="AC424" s="297"/>
      <c r="AD424" s="396"/>
      <c r="AE424" s="343"/>
      <c r="AF424" s="343"/>
      <c r="AG424" s="397"/>
      <c r="AH424" s="297"/>
      <c r="AI424" s="396"/>
      <c r="AJ424" s="343"/>
      <c r="AK424" s="343"/>
      <c r="AL424" s="397"/>
      <c r="AM424" s="297"/>
      <c r="AN424" s="396"/>
      <c r="AO424" s="343"/>
      <c r="AP424" s="343"/>
      <c r="AQ424" s="397"/>
      <c r="AR424" s="297"/>
      <c r="AS424" s="396"/>
      <c r="AT424" s="343"/>
      <c r="AU424" s="343"/>
      <c r="AV424" s="397"/>
      <c r="AW424" s="297"/>
      <c r="AX424" s="396">
        <f>AX422-AX423</f>
        <v>0</v>
      </c>
      <c r="AY424" s="343">
        <f t="shared" ref="AY424:BL424" si="383">AY422-AY423</f>
        <v>17.315161260874998</v>
      </c>
      <c r="AZ424" s="343">
        <f>AZ422-AZ423</f>
        <v>20.235575590625</v>
      </c>
      <c r="BA424" s="397">
        <f t="shared" si="383"/>
        <v>13.531373211874993</v>
      </c>
      <c r="BB424" s="297">
        <f t="shared" si="383"/>
        <v>51.082110063374998</v>
      </c>
      <c r="BC424" s="396">
        <f t="shared" si="383"/>
        <v>20.24394868268628</v>
      </c>
      <c r="BD424" s="343">
        <f t="shared" si="383"/>
        <v>15.78442796997151</v>
      </c>
      <c r="BE424" s="343">
        <f t="shared" si="383"/>
        <v>18.742690150679739</v>
      </c>
      <c r="BF424" s="397">
        <f t="shared" si="383"/>
        <v>7.4811752537724772</v>
      </c>
      <c r="BG424" s="297">
        <f t="shared" si="383"/>
        <v>62.252242057109996</v>
      </c>
      <c r="BH424" s="396">
        <f t="shared" si="383"/>
        <v>20.55461856887996</v>
      </c>
      <c r="BI424" s="343">
        <f t="shared" si="383"/>
        <v>15.921014788868344</v>
      </c>
      <c r="BJ424" s="343">
        <f t="shared" si="383"/>
        <v>18.877413791119491</v>
      </c>
      <c r="BK424" s="397">
        <f t="shared" si="383"/>
        <v>7.8507993575452133</v>
      </c>
      <c r="BL424" s="297">
        <f t="shared" si="383"/>
        <v>63.203846506413015</v>
      </c>
      <c r="BM424" s="396">
        <f>BM422-BM423</f>
        <v>16.971857481569877</v>
      </c>
      <c r="BN424" s="343">
        <f>BN422-BN423</f>
        <v>16.971857481569877</v>
      </c>
      <c r="BO424" s="343">
        <f>BO422-BO423</f>
        <v>16.971857481569877</v>
      </c>
      <c r="BP424" s="397">
        <f>BP422-BP423</f>
        <v>16.971857481569877</v>
      </c>
      <c r="BQ424" s="297">
        <f>BQ422-BQ423</f>
        <v>67.887429926279509</v>
      </c>
    </row>
    <row r="425" spans="1:70" s="2" customFormat="1">
      <c r="A425" s="49"/>
      <c r="B425" s="49"/>
      <c r="C425" s="49"/>
      <c r="D425" s="37"/>
      <c r="E425" s="663"/>
      <c r="F425" s="468"/>
      <c r="G425" s="468"/>
      <c r="H425" s="664"/>
      <c r="I425" s="49"/>
      <c r="J425" s="663"/>
      <c r="K425" s="468"/>
      <c r="L425" s="468"/>
      <c r="M425" s="664"/>
      <c r="N425" s="49"/>
      <c r="O425" s="663"/>
      <c r="P425" s="468"/>
      <c r="Q425" s="468"/>
      <c r="R425" s="664"/>
      <c r="S425" s="49"/>
      <c r="T425" s="396"/>
      <c r="U425" s="343"/>
      <c r="V425" s="343"/>
      <c r="W425" s="397"/>
      <c r="X425" s="297"/>
      <c r="Y425" s="396"/>
      <c r="Z425" s="343"/>
      <c r="AA425" s="343"/>
      <c r="AB425" s="397"/>
      <c r="AC425" s="297"/>
      <c r="AD425" s="396"/>
      <c r="AE425" s="343"/>
      <c r="AF425" s="343"/>
      <c r="AG425" s="397"/>
      <c r="AH425" s="297"/>
      <c r="AI425" s="396"/>
      <c r="AJ425" s="343"/>
      <c r="AK425" s="343"/>
      <c r="AL425" s="397"/>
      <c r="AM425" s="297"/>
      <c r="AN425" s="396"/>
      <c r="AO425" s="343"/>
      <c r="AP425" s="343"/>
      <c r="AQ425" s="397"/>
      <c r="AR425" s="297"/>
      <c r="AS425" s="396"/>
      <c r="AT425" s="343"/>
      <c r="AU425" s="343"/>
      <c r="AV425" s="397"/>
      <c r="AW425" s="297"/>
      <c r="AX425" s="396"/>
      <c r="AY425" s="343"/>
      <c r="AZ425" s="343"/>
      <c r="BA425" s="397"/>
      <c r="BB425" s="297"/>
      <c r="BC425" s="396"/>
      <c r="BD425" s="343"/>
      <c r="BE425" s="343"/>
      <c r="BF425" s="397"/>
      <c r="BG425" s="297"/>
      <c r="BH425" s="396"/>
      <c r="BI425" s="343"/>
      <c r="BJ425" s="343"/>
      <c r="BK425" s="397"/>
      <c r="BL425" s="297"/>
      <c r="BM425" s="396"/>
      <c r="BN425" s="343"/>
      <c r="BO425" s="343"/>
      <c r="BP425" s="397"/>
      <c r="BQ425" s="297"/>
      <c r="BR425" s="49"/>
    </row>
    <row r="426" spans="1:70" s="2" customFormat="1">
      <c r="A426" s="1523"/>
      <c r="C426" s="37"/>
      <c r="E426" s="365"/>
      <c r="F426" s="6"/>
      <c r="G426" s="6"/>
      <c r="H426" s="366"/>
      <c r="I426" s="37"/>
      <c r="J426" s="365"/>
      <c r="K426" s="6"/>
      <c r="L426" s="6"/>
      <c r="M426" s="366"/>
      <c r="O426" s="365"/>
      <c r="P426" s="6"/>
      <c r="Q426" s="6"/>
      <c r="R426" s="366"/>
      <c r="T426" s="365"/>
      <c r="U426" s="6"/>
      <c r="V426" s="6"/>
      <c r="W426" s="366"/>
      <c r="Y426" s="365"/>
      <c r="Z426" s="6"/>
      <c r="AA426" s="6"/>
      <c r="AB426" s="366"/>
      <c r="AD426" s="365"/>
      <c r="AE426" s="6"/>
      <c r="AF426" s="6"/>
      <c r="AG426" s="366"/>
      <c r="AI426" s="365"/>
      <c r="AJ426" s="6"/>
      <c r="AK426" s="6"/>
      <c r="AL426" s="366"/>
      <c r="AN426" s="365"/>
      <c r="AO426" s="6"/>
      <c r="AP426" s="6"/>
      <c r="AQ426" s="366"/>
      <c r="AS426" s="365"/>
      <c r="AT426" s="6"/>
      <c r="AU426" s="6"/>
      <c r="AV426" s="366"/>
      <c r="AX426" s="365"/>
      <c r="AY426" s="6"/>
      <c r="AZ426" s="6"/>
      <c r="BA426" s="366"/>
      <c r="BC426" s="365"/>
      <c r="BD426" s="6"/>
      <c r="BE426" s="6"/>
      <c r="BF426" s="366"/>
      <c r="BH426" s="365"/>
      <c r="BI426" s="6"/>
      <c r="BJ426" s="6"/>
      <c r="BK426" s="366"/>
      <c r="BM426" s="365"/>
      <c r="BN426" s="6"/>
      <c r="BO426" s="6"/>
      <c r="BP426" s="366"/>
    </row>
    <row r="427" spans="1:70">
      <c r="A427" s="1502"/>
      <c r="B427" s="1438" t="s">
        <v>927</v>
      </c>
      <c r="C427" s="1438"/>
      <c r="D427" s="1438"/>
      <c r="E427" s="1439"/>
      <c r="F427" s="1440"/>
      <c r="G427" s="1440"/>
      <c r="H427" s="1441"/>
      <c r="J427" s="1439"/>
      <c r="K427" s="1440"/>
      <c r="L427" s="1440"/>
      <c r="M427" s="1441"/>
      <c r="O427" s="1439"/>
      <c r="P427" s="1440"/>
      <c r="Q427" s="1440"/>
      <c r="R427" s="1441"/>
      <c r="T427" s="1439"/>
      <c r="U427" s="1440"/>
      <c r="V427" s="1440"/>
      <c r="W427" s="1441"/>
      <c r="X427" s="1442"/>
      <c r="Y427" s="1439"/>
      <c r="Z427" s="1440"/>
      <c r="AA427" s="1440"/>
      <c r="AB427" s="1441"/>
      <c r="AD427" s="1439"/>
      <c r="AE427" s="1440"/>
      <c r="AF427" s="1440"/>
      <c r="AG427" s="1441"/>
      <c r="AI427" s="1439"/>
      <c r="AJ427" s="1440"/>
      <c r="AK427" s="1440"/>
      <c r="AL427" s="1441"/>
      <c r="AN427" s="1439"/>
      <c r="AO427" s="1440"/>
      <c r="AP427" s="1440"/>
      <c r="AQ427" s="1441"/>
      <c r="AS427" s="1439"/>
      <c r="AT427" s="1440"/>
      <c r="AU427" s="1440"/>
      <c r="AV427" s="1441"/>
      <c r="AX427" s="1439"/>
      <c r="AY427" s="1440"/>
      <c r="AZ427" s="1440"/>
      <c r="BA427" s="1441"/>
      <c r="BC427" s="1439"/>
      <c r="BD427" s="1440"/>
      <c r="BE427" s="1440"/>
      <c r="BF427" s="1441"/>
      <c r="BH427" s="1439"/>
      <c r="BI427" s="1440"/>
      <c r="BJ427" s="1440"/>
      <c r="BK427" s="1441"/>
      <c r="BM427" s="1439"/>
      <c r="BN427" s="1440"/>
      <c r="BO427" s="1440"/>
      <c r="BP427" s="1441"/>
    </row>
    <row r="428" spans="1:70">
      <c r="A428" s="1502"/>
      <c r="E428" s="1443"/>
      <c r="F428" s="1444"/>
      <c r="G428" s="1444"/>
      <c r="H428" s="1445"/>
      <c r="I428" s="1449"/>
      <c r="J428" s="1443"/>
      <c r="K428" s="1444"/>
      <c r="L428" s="1444"/>
      <c r="M428" s="1445"/>
      <c r="N428" s="1400"/>
      <c r="O428" s="1443"/>
      <c r="P428" s="1444"/>
      <c r="Q428" s="1444"/>
      <c r="R428" s="1445"/>
      <c r="S428" s="1400"/>
      <c r="T428" s="1443"/>
      <c r="U428" s="1444"/>
      <c r="V428" s="1444"/>
      <c r="W428" s="1445"/>
      <c r="X428" s="1400"/>
      <c r="Y428" s="1443"/>
      <c r="Z428" s="1444"/>
      <c r="AA428" s="1444"/>
      <c r="AB428" s="1445"/>
      <c r="AC428" s="1400"/>
      <c r="AD428" s="1443"/>
      <c r="AE428" s="1444"/>
      <c r="AF428" s="1444"/>
      <c r="AG428" s="1445"/>
      <c r="AH428" s="1400"/>
      <c r="AI428" s="1443"/>
      <c r="AJ428" s="1444"/>
      <c r="AK428" s="1444"/>
      <c r="AL428" s="1445"/>
      <c r="AM428" s="1400"/>
      <c r="AN428" s="1443"/>
      <c r="AO428" s="1444"/>
      <c r="AP428" s="1444"/>
      <c r="AQ428" s="1445"/>
      <c r="AR428" s="1400"/>
      <c r="AS428" s="1443"/>
      <c r="AT428" s="1444"/>
      <c r="AU428" s="1444"/>
      <c r="AV428" s="1445"/>
      <c r="AW428" s="1400"/>
      <c r="AX428" s="1443"/>
      <c r="AY428" s="1444"/>
      <c r="AZ428" s="1444"/>
      <c r="BA428" s="1445"/>
      <c r="BB428" s="1400"/>
      <c r="BC428" s="1443"/>
      <c r="BD428" s="1444"/>
      <c r="BE428" s="1444"/>
      <c r="BF428" s="1445"/>
      <c r="BG428" s="1400"/>
      <c r="BH428" s="1443"/>
      <c r="BI428" s="1444"/>
      <c r="BJ428" s="1444"/>
      <c r="BK428" s="1445"/>
      <c r="BL428" s="1400"/>
      <c r="BM428" s="1443"/>
      <c r="BN428" s="1444"/>
      <c r="BO428" s="1444"/>
      <c r="BP428" s="1445"/>
      <c r="BQ428" s="1400"/>
    </row>
    <row r="429" spans="1:70">
      <c r="A429" s="1502"/>
      <c r="C429" s="1321" t="s">
        <v>928</v>
      </c>
      <c r="E429" s="1444"/>
      <c r="F429" s="1444"/>
      <c r="G429" s="1444"/>
      <c r="H429" s="1445"/>
      <c r="I429" s="1446"/>
      <c r="J429" s="1443"/>
      <c r="K429" s="1444"/>
      <c r="L429" s="1444"/>
      <c r="M429" s="1445"/>
      <c r="N429" s="1446"/>
      <c r="O429" s="1443"/>
      <c r="P429" s="1444"/>
      <c r="Q429" s="1444"/>
      <c r="R429" s="1445"/>
      <c r="S429" s="1446"/>
      <c r="T429" s="1443"/>
      <c r="U429" s="1444"/>
      <c r="V429" s="1444"/>
      <c r="W429" s="1445"/>
      <c r="X429" s="1446"/>
      <c r="Y429" s="1443"/>
      <c r="Z429" s="1444"/>
      <c r="AA429" s="1444"/>
      <c r="AB429" s="1445"/>
      <c r="AC429" s="1446"/>
      <c r="AD429" s="1443">
        <f>+AC429-AD448</f>
        <v>0</v>
      </c>
      <c r="AE429" s="1444">
        <f>+AD429-AE448</f>
        <v>0</v>
      </c>
      <c r="AF429" s="1444">
        <f>+AE429-AF448</f>
        <v>0</v>
      </c>
      <c r="AG429" s="1445">
        <f>+AF429-AG448</f>
        <v>0</v>
      </c>
      <c r="AH429" s="1446">
        <f>+AG429</f>
        <v>0</v>
      </c>
      <c r="AI429" s="1443">
        <f>AI431*3</f>
        <v>369</v>
      </c>
      <c r="AJ429" s="1444">
        <f>AI429-AJ448+AJ432/2.75</f>
        <v>365.92500000000001</v>
      </c>
      <c r="AK429" s="1444">
        <f>AJ429-AK448+AK432/2.75</f>
        <v>362.87562500000001</v>
      </c>
      <c r="AL429" s="1445">
        <f>AK429-AL448+AL432/2.75</f>
        <v>359.85166145833335</v>
      </c>
      <c r="AM429" s="1446">
        <f>+AL429</f>
        <v>359.85166145833335</v>
      </c>
      <c r="AN429" s="1443">
        <f t="shared" ref="AN429:BK429" si="384">AM429-AN448+AN432/2.75</f>
        <v>356.85289761284724</v>
      </c>
      <c r="AO429" s="1444">
        <f t="shared" si="384"/>
        <v>353.87912346607351</v>
      </c>
      <c r="AP429" s="1444">
        <f t="shared" si="384"/>
        <v>350.93013077052291</v>
      </c>
      <c r="AQ429" s="1445">
        <f t="shared" si="384"/>
        <v>348.0057130141019</v>
      </c>
      <c r="AR429" s="1446">
        <f>+AQ429</f>
        <v>348.0057130141019</v>
      </c>
      <c r="AS429" s="1443">
        <f t="shared" si="384"/>
        <v>350.28748358746924</v>
      </c>
      <c r="AT429" s="1444">
        <f t="shared" si="384"/>
        <v>352.55023940605849</v>
      </c>
      <c r="AU429" s="1444">
        <f t="shared" si="384"/>
        <v>354.79413892615952</v>
      </c>
      <c r="AV429" s="1445">
        <f>AU429-AV448+AV432/2.75</f>
        <v>357.01933928359307</v>
      </c>
      <c r="AW429" s="1446">
        <f>+AV429</f>
        <v>357.01933928359307</v>
      </c>
      <c r="AX429" s="1443">
        <f t="shared" si="384"/>
        <v>354.04417812289648</v>
      </c>
      <c r="AY429" s="1444">
        <f t="shared" si="384"/>
        <v>351.09380997187236</v>
      </c>
      <c r="AZ429" s="1444">
        <f>AY429-AZ448+AZ432/2.75</f>
        <v>348.16802822210678</v>
      </c>
      <c r="BA429" s="1445">
        <f>AY429-BA448+BA432/2.75</f>
        <v>348.16802822210678</v>
      </c>
      <c r="BB429" s="1446">
        <f>+BA429</f>
        <v>348.16802822210678</v>
      </c>
      <c r="BC429" s="1443">
        <f t="shared" si="384"/>
        <v>345.26662798692257</v>
      </c>
      <c r="BD429" s="1444">
        <f t="shared" si="384"/>
        <v>342.38940608703155</v>
      </c>
      <c r="BE429" s="1444">
        <f t="shared" si="384"/>
        <v>339.53616103630628</v>
      </c>
      <c r="BF429" s="1445">
        <f t="shared" si="384"/>
        <v>336.70669302767038</v>
      </c>
      <c r="BG429" s="1446">
        <f>+BF429</f>
        <v>336.70669302767038</v>
      </c>
      <c r="BH429" s="1443">
        <f t="shared" si="384"/>
        <v>333.90080391910647</v>
      </c>
      <c r="BI429" s="1444">
        <f t="shared" si="384"/>
        <v>331.11829721978057</v>
      </c>
      <c r="BJ429" s="1444">
        <f t="shared" si="384"/>
        <v>328.35897807628243</v>
      </c>
      <c r="BK429" s="1445">
        <f t="shared" si="384"/>
        <v>325.62265325898005</v>
      </c>
      <c r="BL429" s="1446">
        <f>+BK429</f>
        <v>325.62265325898005</v>
      </c>
      <c r="BM429" s="1443">
        <f>BL429-BM448+BM432/2.75</f>
        <v>322.90913114848854</v>
      </c>
      <c r="BN429" s="1444">
        <f>BM429-BN448+BN432/2.75</f>
        <v>320.21822172225114</v>
      </c>
      <c r="BO429" s="1444">
        <f>BN429-BO448+BO432/2.75</f>
        <v>317.54973654123239</v>
      </c>
      <c r="BP429" s="1445">
        <f>BO429-BP448+BP432/2.75</f>
        <v>314.90348873672212</v>
      </c>
      <c r="BQ429" s="1446">
        <f>+BP429</f>
        <v>314.90348873672212</v>
      </c>
    </row>
    <row r="430" spans="1:70">
      <c r="A430" s="1502"/>
      <c r="C430" s="1321"/>
      <c r="E430" s="1443"/>
      <c r="F430" s="1444"/>
      <c r="G430" s="1444"/>
      <c r="H430" s="1445"/>
      <c r="I430" s="1449"/>
      <c r="J430" s="1443"/>
      <c r="K430" s="1444"/>
      <c r="L430" s="1444"/>
      <c r="M430" s="1445"/>
      <c r="N430" s="1400"/>
      <c r="O430" s="1443"/>
      <c r="P430" s="1444"/>
      <c r="Q430" s="1444"/>
      <c r="R430" s="1445"/>
      <c r="S430" s="1400"/>
      <c r="T430" s="1443"/>
      <c r="U430" s="1444"/>
      <c r="V430" s="1444"/>
      <c r="W430" s="1445"/>
      <c r="X430" s="1400"/>
      <c r="Y430" s="1443"/>
      <c r="Z430" s="1444"/>
      <c r="AA430" s="1444"/>
      <c r="AB430" s="1445"/>
      <c r="AC430" s="1400"/>
      <c r="AD430" s="1443"/>
      <c r="AE430" s="1444"/>
      <c r="AF430" s="1444"/>
      <c r="AG430" s="1445"/>
      <c r="AH430" s="1400"/>
      <c r="AI430" s="1443"/>
      <c r="AJ430" s="1444"/>
      <c r="AK430" s="1444"/>
      <c r="AL430" s="1445"/>
      <c r="AM430" s="1400"/>
      <c r="AN430" s="1443"/>
      <c r="AO430" s="1444"/>
      <c r="AP430" s="1444"/>
      <c r="AQ430" s="1445"/>
      <c r="AR430" s="1400"/>
      <c r="AS430" s="1443"/>
      <c r="AT430" s="1444"/>
      <c r="AU430" s="1444"/>
      <c r="AV430" s="1445"/>
      <c r="AW430" s="1400"/>
      <c r="AX430" s="1443"/>
      <c r="AY430" s="1444"/>
      <c r="AZ430" s="1444"/>
      <c r="BA430" s="1445"/>
      <c r="BB430" s="1400"/>
      <c r="BC430" s="1443"/>
      <c r="BD430" s="1444"/>
      <c r="BE430" s="1444"/>
      <c r="BF430" s="1445"/>
      <c r="BG430" s="1400"/>
      <c r="BH430" s="1443"/>
      <c r="BI430" s="1444"/>
      <c r="BJ430" s="1444"/>
      <c r="BK430" s="1445"/>
      <c r="BL430" s="1400"/>
      <c r="BM430" s="1443"/>
      <c r="BN430" s="1444"/>
      <c r="BO430" s="1444"/>
      <c r="BP430" s="1445"/>
      <c r="BQ430" s="1400"/>
    </row>
    <row r="431" spans="1:70">
      <c r="A431" s="1502"/>
      <c r="C431" s="1321" t="s">
        <v>965</v>
      </c>
      <c r="E431" s="1452">
        <v>0</v>
      </c>
      <c r="F431" s="1444">
        <f>+AVERAGE(E431,I431)</f>
        <v>0</v>
      </c>
      <c r="G431" s="1444">
        <f>+AVERAGE(E431,I431)</f>
        <v>0</v>
      </c>
      <c r="H431" s="1445">
        <f>+I431</f>
        <v>0</v>
      </c>
      <c r="I431" s="1400"/>
      <c r="J431" s="1443"/>
      <c r="K431" s="1444"/>
      <c r="L431" s="1444"/>
      <c r="M431" s="1445"/>
      <c r="N431" s="1400"/>
      <c r="O431" s="1452"/>
      <c r="P431" s="1453"/>
      <c r="Q431" s="1453"/>
      <c r="R431" s="1454"/>
      <c r="S431" s="1400"/>
      <c r="T431" s="1443"/>
      <c r="U431" s="1444"/>
      <c r="V431" s="1444"/>
      <c r="W431" s="1445"/>
      <c r="X431" s="1400"/>
      <c r="Y431" s="1443"/>
      <c r="Z431" s="1444"/>
      <c r="AA431" s="1444"/>
      <c r="AB431" s="1445"/>
      <c r="AC431" s="1400"/>
      <c r="AD431" s="1443">
        <f>+AC431</f>
        <v>0</v>
      </c>
      <c r="AE431" s="1444">
        <f>+AVERAGE(AD431,AH431)</f>
        <v>0</v>
      </c>
      <c r="AF431" s="1444">
        <f>+AVERAGE(AD431,AH431)</f>
        <v>0</v>
      </c>
      <c r="AG431" s="1445">
        <f>+AH431</f>
        <v>0</v>
      </c>
      <c r="AH431" s="1400">
        <v>0</v>
      </c>
      <c r="AI431" s="1443">
        <f>AH433+AI432</f>
        <v>123</v>
      </c>
      <c r="AJ431" s="1444">
        <f>AI431+AJ432</f>
        <v>123</v>
      </c>
      <c r="AK431" s="1444">
        <f>AJ431+AK432</f>
        <v>123</v>
      </c>
      <c r="AL431" s="1445">
        <f>AK431+AL432</f>
        <v>123</v>
      </c>
      <c r="AM431" s="1400">
        <f>0.77*148</f>
        <v>113.96000000000001</v>
      </c>
      <c r="AN431" s="1443">
        <f>AM431+AN432</f>
        <v>113.96000000000001</v>
      </c>
      <c r="AO431" s="1444">
        <f>AN431+AO432</f>
        <v>113.96000000000001</v>
      </c>
      <c r="AP431" s="1444">
        <f>AO431+AP432</f>
        <v>113.96000000000001</v>
      </c>
      <c r="AQ431" s="1445">
        <f>AP431+AQ432</f>
        <v>113.96000000000001</v>
      </c>
      <c r="AR431" s="1400">
        <f>AQ431</f>
        <v>113.96000000000001</v>
      </c>
      <c r="AS431" s="1443">
        <f>AR431+AS432</f>
        <v>128.21</v>
      </c>
      <c r="AT431" s="1444">
        <f>AS431+AT432</f>
        <v>142.46</v>
      </c>
      <c r="AU431" s="1444">
        <f>AT431+AU432</f>
        <v>156.71</v>
      </c>
      <c r="AV431" s="1445">
        <f>AU431+AV432</f>
        <v>170.96</v>
      </c>
      <c r="AW431" s="1400">
        <f>AV431</f>
        <v>170.96</v>
      </c>
      <c r="AX431" s="1443">
        <f>AW431+AX432</f>
        <v>170.96</v>
      </c>
      <c r="AY431" s="1444">
        <f>AX431+AY432</f>
        <v>170.96</v>
      </c>
      <c r="AZ431" s="1444">
        <f>AY431+AZ432</f>
        <v>170.96</v>
      </c>
      <c r="BA431" s="1445">
        <f>AY431+BA432</f>
        <v>170.96</v>
      </c>
      <c r="BB431" s="1400">
        <f>BA431</f>
        <v>170.96</v>
      </c>
      <c r="BC431" s="1443">
        <f>BB431+BC432</f>
        <v>170.96</v>
      </c>
      <c r="BD431" s="1444">
        <f>BC431+BD432</f>
        <v>170.96</v>
      </c>
      <c r="BE431" s="1444">
        <f>BD431+BE432</f>
        <v>170.96</v>
      </c>
      <c r="BF431" s="1445">
        <f>BE431+BF432</f>
        <v>170.96</v>
      </c>
      <c r="BG431" s="1400">
        <f>BF431</f>
        <v>170.96</v>
      </c>
      <c r="BH431" s="1443">
        <f>BG431+BH432</f>
        <v>170.96</v>
      </c>
      <c r="BI431" s="1444">
        <f>BH431+BI432</f>
        <v>170.96</v>
      </c>
      <c r="BJ431" s="1444">
        <f>BI431+BJ432</f>
        <v>170.96</v>
      </c>
      <c r="BK431" s="1445">
        <f>BJ431+BK432</f>
        <v>170.96</v>
      </c>
      <c r="BL431" s="1400">
        <f>BK431</f>
        <v>170.96</v>
      </c>
      <c r="BM431" s="1443">
        <f>BL431+BM432</f>
        <v>170.96</v>
      </c>
      <c r="BN431" s="1444">
        <f>BM431+BN432</f>
        <v>170.96</v>
      </c>
      <c r="BO431" s="1444">
        <f>BN431+BO432</f>
        <v>170.96</v>
      </c>
      <c r="BP431" s="1445">
        <f>BO431+BP432</f>
        <v>170.96</v>
      </c>
      <c r="BQ431" s="1400">
        <f>BP431</f>
        <v>170.96</v>
      </c>
    </row>
    <row r="432" spans="1:70">
      <c r="A432" s="1502"/>
      <c r="C432" s="1321" t="s">
        <v>964</v>
      </c>
      <c r="E432" s="1452"/>
      <c r="F432" s="1444"/>
      <c r="G432" s="1444"/>
      <c r="H432" s="1445"/>
      <c r="I432" s="1400"/>
      <c r="J432" s="1443"/>
      <c r="K432" s="1444"/>
      <c r="L432" s="1444"/>
      <c r="M432" s="1445"/>
      <c r="N432" s="1400"/>
      <c r="O432" s="1452"/>
      <c r="P432" s="1453"/>
      <c r="Q432" s="1453"/>
      <c r="R432" s="1454"/>
      <c r="S432" s="1400"/>
      <c r="T432" s="1443"/>
      <c r="U432" s="1444"/>
      <c r="V432" s="1444"/>
      <c r="W432" s="1445"/>
      <c r="X432" s="1400"/>
      <c r="Y432" s="1443"/>
      <c r="Z432" s="1444"/>
      <c r="AA432" s="1444"/>
      <c r="AB432" s="1445"/>
      <c r="AC432" s="1400"/>
      <c r="AD432" s="1443"/>
      <c r="AE432" s="1444"/>
      <c r="AF432" s="1444"/>
      <c r="AG432" s="1445"/>
      <c r="AH432" s="1400"/>
      <c r="AI432" s="1443">
        <f>$AM432/4</f>
        <v>0</v>
      </c>
      <c r="AJ432" s="1444">
        <f>$AM432/4</f>
        <v>0</v>
      </c>
      <c r="AK432" s="1444">
        <f>$AM432/4</f>
        <v>0</v>
      </c>
      <c r="AL432" s="1445">
        <f>$AM432/4</f>
        <v>0</v>
      </c>
      <c r="AM432" s="1400">
        <f>AM479/2.75</f>
        <v>0</v>
      </c>
      <c r="AN432" s="1443">
        <f>$AR432/4</f>
        <v>0</v>
      </c>
      <c r="AO432" s="1444">
        <f>$AR432/4</f>
        <v>0</v>
      </c>
      <c r="AP432" s="1444">
        <f>$AR432/4</f>
        <v>0</v>
      </c>
      <c r="AQ432" s="1445">
        <f>$AR432/4</f>
        <v>0</v>
      </c>
      <c r="AR432" s="1400">
        <f>AR479/2.3</f>
        <v>0</v>
      </c>
      <c r="AS432" s="1443">
        <f>AW432/4</f>
        <v>14.25</v>
      </c>
      <c r="AT432" s="1444">
        <f>AW432/4</f>
        <v>14.25</v>
      </c>
      <c r="AU432" s="1444">
        <f>AW432/4</f>
        <v>14.25</v>
      </c>
      <c r="AV432" s="1445">
        <f>AW432/4</f>
        <v>14.25</v>
      </c>
      <c r="AW432" s="1753">
        <v>57</v>
      </c>
      <c r="AX432" s="1443">
        <f>BB432/4</f>
        <v>0</v>
      </c>
      <c r="AY432" s="1444">
        <f>BB432/4</f>
        <v>0</v>
      </c>
      <c r="AZ432" s="1444">
        <f>BC432/4</f>
        <v>0</v>
      </c>
      <c r="BA432" s="1445">
        <f>BB432/4</f>
        <v>0</v>
      </c>
      <c r="BB432" s="1400">
        <f>BB479/2.3</f>
        <v>0</v>
      </c>
      <c r="BC432" s="1443">
        <f>BG432/4</f>
        <v>0</v>
      </c>
      <c r="BD432" s="1444">
        <f>BG432/4</f>
        <v>0</v>
      </c>
      <c r="BE432" s="1444">
        <f>BG432/4</f>
        <v>0</v>
      </c>
      <c r="BF432" s="1445">
        <f>BG432/4</f>
        <v>0</v>
      </c>
      <c r="BG432" s="1400">
        <f>BG479/2.3</f>
        <v>0</v>
      </c>
      <c r="BH432" s="1443">
        <f>BL432/4</f>
        <v>0</v>
      </c>
      <c r="BI432" s="1444">
        <f>BL432/4</f>
        <v>0</v>
      </c>
      <c r="BJ432" s="1444">
        <f>BL432/4</f>
        <v>0</v>
      </c>
      <c r="BK432" s="1445">
        <f>BL432/4</f>
        <v>0</v>
      </c>
      <c r="BL432" s="1400">
        <f>BL479/2.3</f>
        <v>0</v>
      </c>
      <c r="BM432" s="1443">
        <f>BQ432/4</f>
        <v>0</v>
      </c>
      <c r="BN432" s="1444">
        <f>BQ432/4</f>
        <v>0</v>
      </c>
      <c r="BO432" s="1444">
        <f>BQ432/4</f>
        <v>0</v>
      </c>
      <c r="BP432" s="1445">
        <f>BQ432/4</f>
        <v>0</v>
      </c>
      <c r="BQ432" s="1400">
        <f>BQ479/2.3</f>
        <v>0</v>
      </c>
    </row>
    <row r="433" spans="1:69">
      <c r="A433" s="1502"/>
      <c r="C433" s="1321" t="s">
        <v>966</v>
      </c>
      <c r="E433" s="1452"/>
      <c r="F433" s="1444"/>
      <c r="G433" s="1444"/>
      <c r="H433" s="1445"/>
      <c r="I433" s="1400"/>
      <c r="J433" s="1443"/>
      <c r="K433" s="1444"/>
      <c r="L433" s="1444"/>
      <c r="M433" s="1445"/>
      <c r="N433" s="1400"/>
      <c r="O433" s="1452"/>
      <c r="P433" s="1453"/>
      <c r="Q433" s="1453"/>
      <c r="R433" s="1454"/>
      <c r="S433" s="1400"/>
      <c r="T433" s="1443"/>
      <c r="U433" s="1444"/>
      <c r="V433" s="1444"/>
      <c r="W433" s="1445"/>
      <c r="X433" s="1400"/>
      <c r="Y433" s="1443"/>
      <c r="Z433" s="1444"/>
      <c r="AA433" s="1444"/>
      <c r="AB433" s="1445"/>
      <c r="AC433" s="1400"/>
      <c r="AD433" s="1443"/>
      <c r="AE433" s="1444"/>
      <c r="AF433" s="1444"/>
      <c r="AG433" s="1445"/>
      <c r="AH433" s="1400">
        <v>123</v>
      </c>
      <c r="AI433" s="1443"/>
      <c r="AJ433" s="1444"/>
      <c r="AK433" s="1444"/>
      <c r="AL433" s="1445"/>
      <c r="AM433" s="1400"/>
      <c r="AN433" s="1443"/>
      <c r="AO433" s="1444"/>
      <c r="AP433" s="1444"/>
      <c r="AQ433" s="1445"/>
      <c r="AR433" s="1400"/>
      <c r="AS433" s="1443"/>
      <c r="AT433" s="1444"/>
      <c r="AU433" s="1444"/>
      <c r="AV433" s="1445"/>
      <c r="AW433" s="1400"/>
      <c r="AX433" s="1443"/>
      <c r="AY433" s="1444"/>
      <c r="AZ433" s="1444"/>
      <c r="BA433" s="1445"/>
      <c r="BB433" s="1400"/>
      <c r="BC433" s="1443"/>
      <c r="BD433" s="1444"/>
      <c r="BE433" s="1444"/>
      <c r="BF433" s="1445"/>
      <c r="BG433" s="1400"/>
      <c r="BH433" s="1443"/>
      <c r="BI433" s="1444"/>
      <c r="BJ433" s="1444"/>
      <c r="BK433" s="1445"/>
      <c r="BL433" s="1400"/>
      <c r="BM433" s="1443"/>
      <c r="BN433" s="1444"/>
      <c r="BO433" s="1444"/>
      <c r="BP433" s="1445"/>
      <c r="BQ433" s="1400"/>
    </row>
    <row r="434" spans="1:69">
      <c r="A434" s="1502"/>
      <c r="E434" s="1439"/>
      <c r="F434" s="1440"/>
      <c r="G434" s="1440"/>
      <c r="H434" s="1441"/>
      <c r="J434" s="1439"/>
      <c r="K434" s="1440"/>
      <c r="L434" s="1440"/>
      <c r="M434" s="1441"/>
      <c r="O434" s="1439"/>
      <c r="P434" s="1440"/>
      <c r="Q434" s="1440"/>
      <c r="R434" s="1441"/>
      <c r="T434" s="1439"/>
      <c r="U434" s="1440"/>
      <c r="V434" s="1440"/>
      <c r="W434" s="1441"/>
      <c r="Y434" s="1439"/>
      <c r="Z434" s="1440"/>
      <c r="AA434" s="1440"/>
      <c r="AB434" s="1441"/>
      <c r="AD434" s="1439"/>
      <c r="AE434" s="1440"/>
      <c r="AF434" s="1440"/>
      <c r="AG434" s="1441"/>
      <c r="AI434" s="1439"/>
      <c r="AJ434" s="1440"/>
      <c r="AK434" s="1440"/>
      <c r="AL434" s="1441"/>
      <c r="AN434" s="1439"/>
      <c r="AO434" s="1440"/>
      <c r="AP434" s="1440"/>
      <c r="AQ434" s="1441"/>
      <c r="AS434" s="1439"/>
      <c r="AT434" s="1440"/>
      <c r="AU434" s="1440"/>
      <c r="AV434" s="1441"/>
      <c r="AX434" s="1439"/>
      <c r="AY434" s="1440"/>
      <c r="AZ434" s="1440"/>
      <c r="BA434" s="1441"/>
      <c r="BC434" s="1439"/>
      <c r="BD434" s="1440"/>
      <c r="BE434" s="1440"/>
      <c r="BF434" s="1441"/>
      <c r="BH434" s="1439"/>
      <c r="BI434" s="1440"/>
      <c r="BJ434" s="1440"/>
      <c r="BK434" s="1441"/>
      <c r="BM434" s="1439"/>
      <c r="BN434" s="1440"/>
      <c r="BO434" s="1440"/>
      <c r="BP434" s="1441"/>
    </row>
    <row r="435" spans="1:69">
      <c r="A435" s="1502"/>
      <c r="C435" s="1447" t="s">
        <v>920</v>
      </c>
      <c r="E435" s="1439"/>
      <c r="F435" s="1440"/>
      <c r="G435" s="1440"/>
      <c r="H435" s="1441"/>
      <c r="J435" s="1439"/>
      <c r="K435" s="1440"/>
      <c r="L435" s="1440"/>
      <c r="M435" s="1441"/>
      <c r="O435" s="1439"/>
      <c r="P435" s="1440"/>
      <c r="Q435" s="1440"/>
      <c r="R435" s="1441"/>
      <c r="T435" s="1439"/>
      <c r="U435" s="1440"/>
      <c r="V435" s="1440"/>
      <c r="W435" s="1441"/>
      <c r="Y435" s="1439"/>
      <c r="Z435" s="1440"/>
      <c r="AA435" s="1440"/>
      <c r="AB435" s="1441"/>
      <c r="AD435" s="1439"/>
      <c r="AE435" s="1440"/>
      <c r="AF435" s="1440"/>
      <c r="AG435" s="1441"/>
      <c r="AI435" s="1439"/>
      <c r="AJ435" s="1440"/>
      <c r="AK435" s="1440"/>
      <c r="AL435" s="1441"/>
      <c r="AN435" s="1439"/>
      <c r="AO435" s="1440"/>
      <c r="AP435" s="1440"/>
      <c r="AQ435" s="1441"/>
      <c r="AS435" s="1439"/>
      <c r="AT435" s="1440"/>
      <c r="AU435" s="1440"/>
      <c r="AV435" s="1441"/>
      <c r="AX435" s="1439"/>
      <c r="AY435" s="1440"/>
      <c r="AZ435" s="1440"/>
      <c r="BA435" s="1441"/>
      <c r="BC435" s="1439"/>
      <c r="BD435" s="1440"/>
      <c r="BE435" s="1440"/>
      <c r="BF435" s="1441"/>
      <c r="BH435" s="1439"/>
      <c r="BI435" s="1440"/>
      <c r="BJ435" s="1440"/>
      <c r="BK435" s="1441"/>
      <c r="BM435" s="1439"/>
      <c r="BN435" s="1440"/>
      <c r="BO435" s="1440"/>
      <c r="BP435" s="1441"/>
    </row>
    <row r="436" spans="1:69">
      <c r="A436" s="1502"/>
      <c r="C436" t="s">
        <v>268</v>
      </c>
      <c r="E436" s="1455">
        <f t="shared" ref="E436:H438" si="385">+F436</f>
        <v>0</v>
      </c>
      <c r="F436" s="1456">
        <f t="shared" si="385"/>
        <v>0</v>
      </c>
      <c r="G436" s="1456">
        <f t="shared" si="385"/>
        <v>0</v>
      </c>
      <c r="H436" s="1457">
        <f t="shared" si="385"/>
        <v>0</v>
      </c>
      <c r="I436" s="1458"/>
      <c r="J436" s="1455"/>
      <c r="K436" s="1456"/>
      <c r="L436" s="1456"/>
      <c r="M436" s="1457"/>
      <c r="N436" s="1458"/>
      <c r="O436" s="1455"/>
      <c r="P436" s="1456"/>
      <c r="Q436" s="1456"/>
      <c r="R436" s="1457"/>
      <c r="S436" s="1458"/>
      <c r="T436" s="1455"/>
      <c r="U436" s="1456"/>
      <c r="V436" s="1456"/>
      <c r="W436" s="1457"/>
      <c r="X436" s="1458"/>
      <c r="Y436" s="1455"/>
      <c r="Z436" s="1456"/>
      <c r="AA436" s="1456"/>
      <c r="AB436" s="1457"/>
      <c r="AC436" s="1458"/>
      <c r="AD436" s="1455">
        <f t="shared" ref="AD436:AG438" si="386">+AE436</f>
        <v>0.23</v>
      </c>
      <c r="AE436" s="1456">
        <f t="shared" si="386"/>
        <v>0.23</v>
      </c>
      <c r="AF436" s="1456">
        <f t="shared" si="386"/>
        <v>0.23</v>
      </c>
      <c r="AG436" s="1457">
        <f t="shared" si="386"/>
        <v>0.23</v>
      </c>
      <c r="AH436" s="1458">
        <v>0.23</v>
      </c>
      <c r="AI436" s="1455">
        <f t="shared" ref="AI436:AL438" si="387">+AJ436</f>
        <v>0.23</v>
      </c>
      <c r="AJ436" s="1456">
        <f t="shared" si="387"/>
        <v>0.23</v>
      </c>
      <c r="AK436" s="1456">
        <f t="shared" si="387"/>
        <v>0.23</v>
      </c>
      <c r="AL436" s="1457">
        <f t="shared" si="387"/>
        <v>0.23</v>
      </c>
      <c r="AM436" s="1458">
        <v>0.23</v>
      </c>
      <c r="AN436" s="1455">
        <f t="shared" ref="AN436:AQ438" si="388">+AO436</f>
        <v>0.23</v>
      </c>
      <c r="AO436" s="1456">
        <f t="shared" si="388"/>
        <v>0.23</v>
      </c>
      <c r="AP436" s="1456">
        <f t="shared" si="388"/>
        <v>0.23</v>
      </c>
      <c r="AQ436" s="1457">
        <f t="shared" si="388"/>
        <v>0.23</v>
      </c>
      <c r="AR436" s="1458">
        <v>0.23</v>
      </c>
      <c r="AS436" s="1455">
        <f t="shared" ref="AS436:AV438" si="389">+AT436</f>
        <v>0.23</v>
      </c>
      <c r="AT436" s="1456">
        <f t="shared" si="389"/>
        <v>0.23</v>
      </c>
      <c r="AU436" s="1456">
        <f t="shared" si="389"/>
        <v>0.23</v>
      </c>
      <c r="AV436" s="1457">
        <f t="shared" si="389"/>
        <v>0.23</v>
      </c>
      <c r="AW436" s="1458">
        <v>0.23</v>
      </c>
      <c r="AX436" s="1455">
        <f t="shared" ref="AX436:BA438" si="390">+AY436</f>
        <v>0.23</v>
      </c>
      <c r="AY436" s="1456">
        <f t="shared" si="390"/>
        <v>0.23</v>
      </c>
      <c r="AZ436" s="1456">
        <f>+BA436</f>
        <v>0.23</v>
      </c>
      <c r="BA436" s="1457">
        <f t="shared" si="390"/>
        <v>0.23</v>
      </c>
      <c r="BB436" s="1458">
        <v>0.23</v>
      </c>
      <c r="BC436" s="1455">
        <f t="shared" ref="BC436:BF438" si="391">+BD436</f>
        <v>0.23</v>
      </c>
      <c r="BD436" s="1456">
        <f t="shared" si="391"/>
        <v>0.23</v>
      </c>
      <c r="BE436" s="1456">
        <f t="shared" si="391"/>
        <v>0.23</v>
      </c>
      <c r="BF436" s="1457">
        <f t="shared" si="391"/>
        <v>0.23</v>
      </c>
      <c r="BG436" s="1458">
        <v>0.23</v>
      </c>
      <c r="BH436" s="1455">
        <f t="shared" ref="BH436:BK438" si="392">+BI436</f>
        <v>0.23</v>
      </c>
      <c r="BI436" s="1456">
        <f t="shared" si="392"/>
        <v>0.23</v>
      </c>
      <c r="BJ436" s="1456">
        <f t="shared" si="392"/>
        <v>0.23</v>
      </c>
      <c r="BK436" s="1457">
        <f t="shared" si="392"/>
        <v>0.23</v>
      </c>
      <c r="BL436" s="1458">
        <v>0.23</v>
      </c>
      <c r="BM436" s="1455">
        <f t="shared" ref="BM436:BP438" si="393">+BN436</f>
        <v>0.23</v>
      </c>
      <c r="BN436" s="1456">
        <f t="shared" si="393"/>
        <v>0.23</v>
      </c>
      <c r="BO436" s="1456">
        <f t="shared" si="393"/>
        <v>0.23</v>
      </c>
      <c r="BP436" s="1457">
        <f t="shared" si="393"/>
        <v>0.23</v>
      </c>
      <c r="BQ436" s="1458">
        <v>0.23</v>
      </c>
    </row>
    <row r="437" spans="1:69">
      <c r="A437" s="1502"/>
      <c r="C437" t="s">
        <v>921</v>
      </c>
      <c r="E437" s="1459">
        <f t="shared" si="385"/>
        <v>0</v>
      </c>
      <c r="F437" s="1460">
        <f t="shared" si="385"/>
        <v>0</v>
      </c>
      <c r="G437" s="1460">
        <f t="shared" si="385"/>
        <v>0</v>
      </c>
      <c r="H437" s="1461">
        <f t="shared" si="385"/>
        <v>0</v>
      </c>
      <c r="I437" s="1400"/>
      <c r="J437" s="1459"/>
      <c r="K437" s="1460"/>
      <c r="L437" s="1460"/>
      <c r="M437" s="1461"/>
      <c r="N437" s="1400"/>
      <c r="O437" s="1459"/>
      <c r="P437" s="1460"/>
      <c r="Q437" s="1460"/>
      <c r="R437" s="1461"/>
      <c r="S437" s="1400"/>
      <c r="T437" s="1459"/>
      <c r="U437" s="1460"/>
      <c r="V437" s="1460"/>
      <c r="W437" s="1461"/>
      <c r="X437" s="1400"/>
      <c r="Y437" s="1459"/>
      <c r="Z437" s="1460"/>
      <c r="AA437" s="1460"/>
      <c r="AB437" s="1461"/>
      <c r="AC437" s="1400"/>
      <c r="AD437" s="1459">
        <f t="shared" si="386"/>
        <v>25</v>
      </c>
      <c r="AE437" s="1460">
        <f t="shared" si="386"/>
        <v>25</v>
      </c>
      <c r="AF437" s="1460">
        <f t="shared" si="386"/>
        <v>25</v>
      </c>
      <c r="AG437" s="1461">
        <f t="shared" si="386"/>
        <v>25</v>
      </c>
      <c r="AH437" s="1400">
        <v>25</v>
      </c>
      <c r="AI437" s="1459">
        <f t="shared" si="387"/>
        <v>25</v>
      </c>
      <c r="AJ437" s="1460">
        <f t="shared" si="387"/>
        <v>25</v>
      </c>
      <c r="AK437" s="1460">
        <f t="shared" si="387"/>
        <v>25</v>
      </c>
      <c r="AL437" s="1461">
        <f t="shared" si="387"/>
        <v>25</v>
      </c>
      <c r="AM437" s="1400">
        <v>25</v>
      </c>
      <c r="AN437" s="1459">
        <f t="shared" si="388"/>
        <v>25</v>
      </c>
      <c r="AO437" s="1460">
        <f t="shared" si="388"/>
        <v>25</v>
      </c>
      <c r="AP437" s="1460">
        <f t="shared" si="388"/>
        <v>25</v>
      </c>
      <c r="AQ437" s="1461">
        <f t="shared" si="388"/>
        <v>25</v>
      </c>
      <c r="AR437" s="1400">
        <v>25</v>
      </c>
      <c r="AS437" s="1459">
        <f t="shared" si="389"/>
        <v>25</v>
      </c>
      <c r="AT437" s="1460">
        <f t="shared" si="389"/>
        <v>25</v>
      </c>
      <c r="AU437" s="1460">
        <f t="shared" si="389"/>
        <v>25</v>
      </c>
      <c r="AV437" s="1461">
        <f t="shared" si="389"/>
        <v>25</v>
      </c>
      <c r="AW437" s="1400">
        <v>25</v>
      </c>
      <c r="AX437" s="1459">
        <f t="shared" si="390"/>
        <v>25</v>
      </c>
      <c r="AY437" s="1460">
        <f t="shared" si="390"/>
        <v>25</v>
      </c>
      <c r="AZ437" s="1460">
        <f>+BA437</f>
        <v>25</v>
      </c>
      <c r="BA437" s="1461">
        <f t="shared" si="390"/>
        <v>25</v>
      </c>
      <c r="BB437" s="1400">
        <v>25</v>
      </c>
      <c r="BC437" s="1459">
        <f t="shared" si="391"/>
        <v>25</v>
      </c>
      <c r="BD437" s="1460">
        <f t="shared" si="391"/>
        <v>25</v>
      </c>
      <c r="BE437" s="1460">
        <f t="shared" si="391"/>
        <v>25</v>
      </c>
      <c r="BF437" s="1461">
        <f t="shared" si="391"/>
        <v>25</v>
      </c>
      <c r="BG437" s="1400">
        <v>25</v>
      </c>
      <c r="BH437" s="1459">
        <f t="shared" si="392"/>
        <v>25</v>
      </c>
      <c r="BI437" s="1460">
        <f t="shared" si="392"/>
        <v>25</v>
      </c>
      <c r="BJ437" s="1460">
        <f t="shared" si="392"/>
        <v>25</v>
      </c>
      <c r="BK437" s="1461">
        <f t="shared" si="392"/>
        <v>25</v>
      </c>
      <c r="BL437" s="1400">
        <v>25</v>
      </c>
      <c r="BM437" s="1459">
        <f t="shared" si="393"/>
        <v>25</v>
      </c>
      <c r="BN437" s="1460">
        <f t="shared" si="393"/>
        <v>25</v>
      </c>
      <c r="BO437" s="1460">
        <f t="shared" si="393"/>
        <v>25</v>
      </c>
      <c r="BP437" s="1461">
        <f t="shared" si="393"/>
        <v>25</v>
      </c>
      <c r="BQ437" s="1400">
        <v>25</v>
      </c>
    </row>
    <row r="438" spans="1:69">
      <c r="A438" s="1502"/>
      <c r="C438" t="s">
        <v>163</v>
      </c>
      <c r="E438" s="1455">
        <f>+F438</f>
        <v>0</v>
      </c>
      <c r="F438" s="1456">
        <f t="shared" si="385"/>
        <v>0</v>
      </c>
      <c r="G438" s="1456">
        <f t="shared" si="385"/>
        <v>0</v>
      </c>
      <c r="H438" s="1457">
        <f t="shared" si="385"/>
        <v>0</v>
      </c>
      <c r="I438" s="1458"/>
      <c r="J438" s="1455"/>
      <c r="K438" s="1456"/>
      <c r="L438" s="1456"/>
      <c r="M438" s="1457"/>
      <c r="N438" s="1458"/>
      <c r="O438" s="1455"/>
      <c r="P438" s="1456"/>
      <c r="Q438" s="1456"/>
      <c r="R438" s="1457"/>
      <c r="S438" s="1458"/>
      <c r="T438" s="1455"/>
      <c r="U438" s="1456"/>
      <c r="V438" s="1456"/>
      <c r="W438" s="1457"/>
      <c r="X438" s="1458"/>
      <c r="Y438" s="1455"/>
      <c r="Z438" s="1456"/>
      <c r="AA438" s="1456"/>
      <c r="AB438" s="1457"/>
      <c r="AC438" s="1458"/>
      <c r="AD438" s="1455">
        <f t="shared" si="386"/>
        <v>3.3333333333333333E-2</v>
      </c>
      <c r="AE438" s="1456">
        <f t="shared" si="386"/>
        <v>3.3333333333333333E-2</v>
      </c>
      <c r="AF438" s="1456">
        <f t="shared" si="386"/>
        <v>3.3333333333333333E-2</v>
      </c>
      <c r="AG438" s="1457">
        <f t="shared" si="386"/>
        <v>3.3333333333333333E-2</v>
      </c>
      <c r="AH438" s="1458">
        <f>1/30</f>
        <v>3.3333333333333333E-2</v>
      </c>
      <c r="AI438" s="1455">
        <f t="shared" si="387"/>
        <v>3.3333333333333333E-2</v>
      </c>
      <c r="AJ438" s="1456">
        <f t="shared" si="387"/>
        <v>3.3333333333333333E-2</v>
      </c>
      <c r="AK438" s="1456">
        <f t="shared" si="387"/>
        <v>3.3333333333333333E-2</v>
      </c>
      <c r="AL438" s="1457">
        <f t="shared" si="387"/>
        <v>3.3333333333333333E-2</v>
      </c>
      <c r="AM438" s="1458">
        <f>1/30</f>
        <v>3.3333333333333333E-2</v>
      </c>
      <c r="AN438" s="1455">
        <f t="shared" si="388"/>
        <v>3.3333333333333333E-2</v>
      </c>
      <c r="AO438" s="1456">
        <f t="shared" si="388"/>
        <v>3.3333333333333333E-2</v>
      </c>
      <c r="AP438" s="1456">
        <f t="shared" si="388"/>
        <v>3.3333333333333333E-2</v>
      </c>
      <c r="AQ438" s="1457">
        <f t="shared" si="388"/>
        <v>3.3333333333333333E-2</v>
      </c>
      <c r="AR438" s="1458">
        <f>1/30</f>
        <v>3.3333333333333333E-2</v>
      </c>
      <c r="AS438" s="1455">
        <f t="shared" si="389"/>
        <v>3.3333333333333333E-2</v>
      </c>
      <c r="AT438" s="1456">
        <f t="shared" si="389"/>
        <v>3.3333333333333333E-2</v>
      </c>
      <c r="AU438" s="1456">
        <f t="shared" si="389"/>
        <v>3.3333333333333333E-2</v>
      </c>
      <c r="AV438" s="1457">
        <f t="shared" si="389"/>
        <v>3.3333333333333333E-2</v>
      </c>
      <c r="AW438" s="1458">
        <f>1/30</f>
        <v>3.3333333333333333E-2</v>
      </c>
      <c r="AX438" s="1455">
        <f t="shared" si="390"/>
        <v>3.3333333333333333E-2</v>
      </c>
      <c r="AY438" s="1456">
        <f t="shared" si="390"/>
        <v>3.3333333333333333E-2</v>
      </c>
      <c r="AZ438" s="1456">
        <f>+BA438</f>
        <v>3.3333333333333333E-2</v>
      </c>
      <c r="BA438" s="1457">
        <f t="shared" si="390"/>
        <v>3.3333333333333333E-2</v>
      </c>
      <c r="BB438" s="1458">
        <f>1/30</f>
        <v>3.3333333333333333E-2</v>
      </c>
      <c r="BC438" s="1455">
        <f t="shared" si="391"/>
        <v>3.3333333333333333E-2</v>
      </c>
      <c r="BD438" s="1456">
        <f t="shared" si="391"/>
        <v>3.3333333333333333E-2</v>
      </c>
      <c r="BE438" s="1456">
        <f t="shared" si="391"/>
        <v>3.3333333333333333E-2</v>
      </c>
      <c r="BF438" s="1457">
        <f t="shared" si="391"/>
        <v>3.3333333333333333E-2</v>
      </c>
      <c r="BG438" s="1458">
        <f>1/30</f>
        <v>3.3333333333333333E-2</v>
      </c>
      <c r="BH438" s="1455">
        <f t="shared" si="392"/>
        <v>3.3333333333333333E-2</v>
      </c>
      <c r="BI438" s="1456">
        <f t="shared" si="392"/>
        <v>3.3333333333333333E-2</v>
      </c>
      <c r="BJ438" s="1456">
        <f t="shared" si="392"/>
        <v>3.3333333333333333E-2</v>
      </c>
      <c r="BK438" s="1457">
        <f t="shared" si="392"/>
        <v>3.3333333333333333E-2</v>
      </c>
      <c r="BL438" s="1458">
        <f>1/30</f>
        <v>3.3333333333333333E-2</v>
      </c>
      <c r="BM438" s="1455">
        <f t="shared" si="393"/>
        <v>3.3333333333333333E-2</v>
      </c>
      <c r="BN438" s="1456">
        <f t="shared" si="393"/>
        <v>3.3333333333333333E-2</v>
      </c>
      <c r="BO438" s="1456">
        <f t="shared" si="393"/>
        <v>3.3333333333333333E-2</v>
      </c>
      <c r="BP438" s="1457">
        <f t="shared" si="393"/>
        <v>3.3333333333333333E-2</v>
      </c>
      <c r="BQ438" s="1458">
        <f>1/30</f>
        <v>3.3333333333333333E-2</v>
      </c>
    </row>
    <row r="439" spans="1:69">
      <c r="A439" s="1502"/>
      <c r="E439" s="1455"/>
      <c r="F439" s="1456"/>
      <c r="G439" s="1456"/>
      <c r="H439" s="1457"/>
      <c r="I439" s="1458"/>
      <c r="J439" s="1455"/>
      <c r="K439" s="1456"/>
      <c r="L439" s="1456"/>
      <c r="M439" s="1457"/>
      <c r="N439" s="1458"/>
      <c r="O439" s="1455"/>
      <c r="P439" s="1456"/>
      <c r="Q439" s="1456"/>
      <c r="R439" s="1457"/>
      <c r="S439" s="1458"/>
      <c r="T439" s="1455"/>
      <c r="U439" s="1456"/>
      <c r="V439" s="1456"/>
      <c r="W439" s="1457"/>
      <c r="X439" s="1458"/>
      <c r="Y439" s="1455"/>
      <c r="Z439" s="1456"/>
      <c r="AA439" s="1456"/>
      <c r="AB439" s="1457"/>
      <c r="AC439" s="1458"/>
      <c r="AD439" s="1455"/>
      <c r="AE439" s="1456"/>
      <c r="AF439" s="1456"/>
      <c r="AG439" s="1457"/>
      <c r="AH439" s="1458"/>
      <c r="AI439" s="1455"/>
      <c r="AJ439" s="1456"/>
      <c r="AK439" s="1456"/>
      <c r="AL439" s="1457"/>
      <c r="AM439" s="1458"/>
      <c r="AN439" s="1455"/>
      <c r="AO439" s="1456"/>
      <c r="AP439" s="1456"/>
      <c r="AQ439" s="1457"/>
      <c r="AR439" s="1458"/>
      <c r="AS439" s="1455"/>
      <c r="AT439" s="1456"/>
      <c r="AU439" s="1456"/>
      <c r="AV439" s="1457"/>
      <c r="AW439" s="1458"/>
      <c r="AX439" s="1455"/>
      <c r="AY439" s="1456"/>
      <c r="AZ439" s="1456"/>
      <c r="BA439" s="1457"/>
      <c r="BB439" s="1458"/>
      <c r="BC439" s="1455"/>
      <c r="BD439" s="1456"/>
      <c r="BE439" s="1456"/>
      <c r="BF439" s="1457"/>
      <c r="BG439" s="1458"/>
      <c r="BH439" s="1455"/>
      <c r="BI439" s="1456"/>
      <c r="BJ439" s="1456"/>
      <c r="BK439" s="1457"/>
      <c r="BL439" s="1458"/>
      <c r="BM439" s="1455"/>
      <c r="BN439" s="1456"/>
      <c r="BO439" s="1456"/>
      <c r="BP439" s="1457"/>
      <c r="BQ439" s="1458"/>
    </row>
    <row r="440" spans="1:69">
      <c r="A440" s="1502"/>
      <c r="C440" t="s">
        <v>922</v>
      </c>
      <c r="E440" s="1462">
        <f t="shared" ref="E440:H441" si="394">+F440</f>
        <v>0</v>
      </c>
      <c r="F440" s="1463">
        <f t="shared" si="394"/>
        <v>0</v>
      </c>
      <c r="G440" s="1463">
        <f t="shared" si="394"/>
        <v>0</v>
      </c>
      <c r="H440" s="1464">
        <f t="shared" si="394"/>
        <v>0</v>
      </c>
      <c r="I440" s="1465"/>
      <c r="J440" s="1462"/>
      <c r="K440" s="1463"/>
      <c r="L440" s="1463"/>
      <c r="M440" s="1464"/>
      <c r="N440" s="1465"/>
      <c r="O440" s="1462"/>
      <c r="P440" s="1463"/>
      <c r="Q440" s="1463"/>
      <c r="R440" s="1464"/>
      <c r="S440" s="1465"/>
      <c r="T440" s="1462"/>
      <c r="U440" s="1463"/>
      <c r="V440" s="1463"/>
      <c r="W440" s="1464"/>
      <c r="X440" s="1465"/>
      <c r="Y440" s="1462"/>
      <c r="Z440" s="1463"/>
      <c r="AA440" s="1463"/>
      <c r="AB440" s="1464"/>
      <c r="AC440" s="1465"/>
      <c r="AD440" s="1462">
        <f t="shared" ref="AD440:AG441" si="395">+AE440</f>
        <v>50</v>
      </c>
      <c r="AE440" s="1463">
        <f t="shared" si="395"/>
        <v>50</v>
      </c>
      <c r="AF440" s="1463">
        <f t="shared" si="395"/>
        <v>50</v>
      </c>
      <c r="AG440" s="1464">
        <f t="shared" si="395"/>
        <v>50</v>
      </c>
      <c r="AH440" s="1465">
        <v>50</v>
      </c>
      <c r="AI440" s="1462">
        <f t="shared" ref="AI440:AL441" si="396">+AJ440</f>
        <v>50</v>
      </c>
      <c r="AJ440" s="1463">
        <f t="shared" si="396"/>
        <v>50</v>
      </c>
      <c r="AK440" s="1463">
        <f t="shared" si="396"/>
        <v>50</v>
      </c>
      <c r="AL440" s="1464">
        <f t="shared" si="396"/>
        <v>50</v>
      </c>
      <c r="AM440" s="1465">
        <v>50</v>
      </c>
      <c r="AN440" s="1462">
        <f t="shared" ref="AN440:AQ441" si="397">+AO440</f>
        <v>50</v>
      </c>
      <c r="AO440" s="1463">
        <f t="shared" si="397"/>
        <v>50</v>
      </c>
      <c r="AP440" s="1463">
        <f t="shared" si="397"/>
        <v>50</v>
      </c>
      <c r="AQ440" s="1464">
        <f t="shared" si="397"/>
        <v>50</v>
      </c>
      <c r="AR440" s="1465">
        <v>50</v>
      </c>
      <c r="AS440" s="1462">
        <f t="shared" ref="AS440:AV441" si="398">+AT440</f>
        <v>50</v>
      </c>
      <c r="AT440" s="1463">
        <f t="shared" si="398"/>
        <v>50</v>
      </c>
      <c r="AU440" s="1463">
        <f t="shared" si="398"/>
        <v>50</v>
      </c>
      <c r="AV440" s="1464">
        <f t="shared" si="398"/>
        <v>50</v>
      </c>
      <c r="AW440" s="1465">
        <v>50</v>
      </c>
      <c r="AX440" s="1462">
        <f t="shared" ref="AX440:BA441" si="399">+AY440</f>
        <v>50</v>
      </c>
      <c r="AY440" s="1463">
        <f t="shared" si="399"/>
        <v>50</v>
      </c>
      <c r="AZ440" s="1463">
        <f>+BA440</f>
        <v>50</v>
      </c>
      <c r="BA440" s="1464">
        <f t="shared" si="399"/>
        <v>50</v>
      </c>
      <c r="BB440" s="1465">
        <v>50</v>
      </c>
      <c r="BC440" s="1462">
        <f t="shared" ref="BC440:BF441" si="400">+BD440</f>
        <v>50</v>
      </c>
      <c r="BD440" s="1463">
        <f t="shared" si="400"/>
        <v>50</v>
      </c>
      <c r="BE440" s="1463">
        <f t="shared" si="400"/>
        <v>50</v>
      </c>
      <c r="BF440" s="1464">
        <f t="shared" si="400"/>
        <v>50</v>
      </c>
      <c r="BG440" s="1465">
        <v>50</v>
      </c>
      <c r="BH440" s="1462">
        <f t="shared" ref="BH440:BK441" si="401">+BI440</f>
        <v>50</v>
      </c>
      <c r="BI440" s="1463">
        <f t="shared" si="401"/>
        <v>50</v>
      </c>
      <c r="BJ440" s="1463">
        <f t="shared" si="401"/>
        <v>50</v>
      </c>
      <c r="BK440" s="1464">
        <f t="shared" si="401"/>
        <v>50</v>
      </c>
      <c r="BL440" s="1465">
        <v>50</v>
      </c>
      <c r="BM440" s="1462">
        <f t="shared" ref="BM440:BP441" si="402">+BN440</f>
        <v>50</v>
      </c>
      <c r="BN440" s="1463">
        <f t="shared" si="402"/>
        <v>50</v>
      </c>
      <c r="BO440" s="1463">
        <f t="shared" si="402"/>
        <v>50</v>
      </c>
      <c r="BP440" s="1464">
        <f t="shared" si="402"/>
        <v>50</v>
      </c>
      <c r="BQ440" s="1465">
        <v>50</v>
      </c>
    </row>
    <row r="441" spans="1:69">
      <c r="A441" s="1502"/>
      <c r="C441" t="s">
        <v>923</v>
      </c>
      <c r="E441" s="1462">
        <f t="shared" si="394"/>
        <v>0</v>
      </c>
      <c r="F441" s="1463">
        <f t="shared" si="394"/>
        <v>0</v>
      </c>
      <c r="G441" s="1463">
        <f t="shared" si="394"/>
        <v>0</v>
      </c>
      <c r="H441" s="1464">
        <f t="shared" si="394"/>
        <v>0</v>
      </c>
      <c r="I441" s="1465"/>
      <c r="J441" s="1462"/>
      <c r="K441" s="1463"/>
      <c r="L441" s="1463"/>
      <c r="M441" s="1464"/>
      <c r="N441" s="1465"/>
      <c r="O441" s="1462"/>
      <c r="P441" s="1463"/>
      <c r="Q441" s="1463"/>
      <c r="R441" s="1464"/>
      <c r="S441" s="1465"/>
      <c r="T441" s="1462"/>
      <c r="U441" s="1463"/>
      <c r="V441" s="1463"/>
      <c r="W441" s="1464"/>
      <c r="X441" s="1465"/>
      <c r="Y441" s="1462"/>
      <c r="Z441" s="1463"/>
      <c r="AA441" s="1463"/>
      <c r="AB441" s="1464"/>
      <c r="AC441" s="1465"/>
      <c r="AD441" s="1462">
        <f t="shared" si="395"/>
        <v>100</v>
      </c>
      <c r="AE441" s="1463">
        <f t="shared" si="395"/>
        <v>100</v>
      </c>
      <c r="AF441" s="1463">
        <f t="shared" si="395"/>
        <v>100</v>
      </c>
      <c r="AG441" s="1464">
        <f t="shared" si="395"/>
        <v>100</v>
      </c>
      <c r="AH441" s="1465">
        <v>100</v>
      </c>
      <c r="AI441" s="1462">
        <f t="shared" si="396"/>
        <v>100</v>
      </c>
      <c r="AJ441" s="1463">
        <f t="shared" si="396"/>
        <v>100</v>
      </c>
      <c r="AK441" s="1463">
        <f t="shared" si="396"/>
        <v>100</v>
      </c>
      <c r="AL441" s="1464">
        <f t="shared" si="396"/>
        <v>100</v>
      </c>
      <c r="AM441" s="1465">
        <v>100</v>
      </c>
      <c r="AN441" s="1462">
        <f t="shared" si="397"/>
        <v>100</v>
      </c>
      <c r="AO441" s="1463">
        <f t="shared" si="397"/>
        <v>100</v>
      </c>
      <c r="AP441" s="1463">
        <f t="shared" si="397"/>
        <v>100</v>
      </c>
      <c r="AQ441" s="1464">
        <f t="shared" si="397"/>
        <v>100</v>
      </c>
      <c r="AR441" s="1465">
        <v>100</v>
      </c>
      <c r="AS441" s="1462">
        <f t="shared" si="398"/>
        <v>100</v>
      </c>
      <c r="AT441" s="1463">
        <f t="shared" si="398"/>
        <v>100</v>
      </c>
      <c r="AU441" s="1463">
        <f t="shared" si="398"/>
        <v>100</v>
      </c>
      <c r="AV441" s="1464">
        <f t="shared" si="398"/>
        <v>100</v>
      </c>
      <c r="AW441" s="1465">
        <v>100</v>
      </c>
      <c r="AX441" s="1462">
        <f t="shared" si="399"/>
        <v>100</v>
      </c>
      <c r="AY441" s="1463">
        <f t="shared" si="399"/>
        <v>100</v>
      </c>
      <c r="AZ441" s="1463">
        <f>+BA441</f>
        <v>100</v>
      </c>
      <c r="BA441" s="1464">
        <f t="shared" si="399"/>
        <v>100</v>
      </c>
      <c r="BB441" s="1465">
        <v>100</v>
      </c>
      <c r="BC441" s="1462">
        <f t="shared" si="400"/>
        <v>100</v>
      </c>
      <c r="BD441" s="1463">
        <f t="shared" si="400"/>
        <v>100</v>
      </c>
      <c r="BE441" s="1463">
        <f t="shared" si="400"/>
        <v>100</v>
      </c>
      <c r="BF441" s="1464">
        <f t="shared" si="400"/>
        <v>100</v>
      </c>
      <c r="BG441" s="1465">
        <v>100</v>
      </c>
      <c r="BH441" s="1462">
        <f t="shared" si="401"/>
        <v>100</v>
      </c>
      <c r="BI441" s="1463">
        <f t="shared" si="401"/>
        <v>100</v>
      </c>
      <c r="BJ441" s="1463">
        <f t="shared" si="401"/>
        <v>100</v>
      </c>
      <c r="BK441" s="1464">
        <f t="shared" si="401"/>
        <v>100</v>
      </c>
      <c r="BL441" s="1465">
        <v>100</v>
      </c>
      <c r="BM441" s="1462">
        <f t="shared" si="402"/>
        <v>100</v>
      </c>
      <c r="BN441" s="1463">
        <f t="shared" si="402"/>
        <v>100</v>
      </c>
      <c r="BO441" s="1463">
        <f t="shared" si="402"/>
        <v>100</v>
      </c>
      <c r="BP441" s="1464">
        <f t="shared" si="402"/>
        <v>100</v>
      </c>
      <c r="BQ441" s="1465">
        <v>100</v>
      </c>
    </row>
    <row r="442" spans="1:69">
      <c r="A442" s="1502"/>
      <c r="C442" s="1447" t="s">
        <v>924</v>
      </c>
      <c r="E442" s="1466">
        <f>+E440+E441</f>
        <v>0</v>
      </c>
      <c r="F442" s="1467">
        <f>+F440+F441</f>
        <v>0</v>
      </c>
      <c r="G442" s="1467">
        <f>+G440+G441</f>
        <v>0</v>
      </c>
      <c r="H442" s="1468">
        <f>+H440+H441</f>
        <v>0</v>
      </c>
      <c r="I442" s="1469"/>
      <c r="J442" s="1466"/>
      <c r="K442" s="1467"/>
      <c r="L442" s="1467"/>
      <c r="M442" s="1468"/>
      <c r="N442" s="1469"/>
      <c r="O442" s="1466"/>
      <c r="P442" s="1467"/>
      <c r="Q442" s="1467"/>
      <c r="R442" s="1468"/>
      <c r="S442" s="1469"/>
      <c r="T442" s="1466"/>
      <c r="U442" s="1467"/>
      <c r="V442" s="1467"/>
      <c r="W442" s="1468"/>
      <c r="X442" s="1469"/>
      <c r="Y442" s="1466"/>
      <c r="Z442" s="1467"/>
      <c r="AA442" s="1467"/>
      <c r="AB442" s="1468"/>
      <c r="AC442" s="1469"/>
      <c r="AD442" s="1466">
        <f t="shared" ref="AD442:BB442" si="403">+AD440+AD441</f>
        <v>150</v>
      </c>
      <c r="AE442" s="1467">
        <f t="shared" si="403"/>
        <v>150</v>
      </c>
      <c r="AF442" s="1467">
        <f t="shared" si="403"/>
        <v>150</v>
      </c>
      <c r="AG442" s="1468">
        <f t="shared" si="403"/>
        <v>150</v>
      </c>
      <c r="AH442" s="1469">
        <f t="shared" si="403"/>
        <v>150</v>
      </c>
      <c r="AI442" s="1466">
        <f t="shared" si="403"/>
        <v>150</v>
      </c>
      <c r="AJ442" s="1467">
        <f t="shared" si="403"/>
        <v>150</v>
      </c>
      <c r="AK442" s="1467">
        <f t="shared" si="403"/>
        <v>150</v>
      </c>
      <c r="AL442" s="1468">
        <f t="shared" si="403"/>
        <v>150</v>
      </c>
      <c r="AM442" s="1469">
        <f t="shared" si="403"/>
        <v>150</v>
      </c>
      <c r="AN442" s="1466">
        <f t="shared" si="403"/>
        <v>150</v>
      </c>
      <c r="AO442" s="1467">
        <f t="shared" si="403"/>
        <v>150</v>
      </c>
      <c r="AP442" s="1467">
        <f t="shared" si="403"/>
        <v>150</v>
      </c>
      <c r="AQ442" s="1468">
        <f t="shared" si="403"/>
        <v>150</v>
      </c>
      <c r="AR442" s="1469">
        <f t="shared" si="403"/>
        <v>150</v>
      </c>
      <c r="AS442" s="1466">
        <f t="shared" si="403"/>
        <v>150</v>
      </c>
      <c r="AT442" s="1467">
        <f t="shared" si="403"/>
        <v>150</v>
      </c>
      <c r="AU442" s="1467">
        <f t="shared" si="403"/>
        <v>150</v>
      </c>
      <c r="AV442" s="1468">
        <f t="shared" si="403"/>
        <v>150</v>
      </c>
      <c r="AW442" s="1469">
        <f t="shared" si="403"/>
        <v>150</v>
      </c>
      <c r="AX442" s="1466">
        <f t="shared" si="403"/>
        <v>150</v>
      </c>
      <c r="AY442" s="1467">
        <f t="shared" si="403"/>
        <v>150</v>
      </c>
      <c r="AZ442" s="1467">
        <f>+AZ440+AZ441</f>
        <v>150</v>
      </c>
      <c r="BA442" s="1468">
        <f t="shared" si="403"/>
        <v>150</v>
      </c>
      <c r="BB442" s="1469">
        <f t="shared" si="403"/>
        <v>150</v>
      </c>
      <c r="BC442" s="1466">
        <f t="shared" ref="BC442:BL442" si="404">+BC440+BC441</f>
        <v>150</v>
      </c>
      <c r="BD442" s="1467">
        <f t="shared" si="404"/>
        <v>150</v>
      </c>
      <c r="BE442" s="1467">
        <f t="shared" si="404"/>
        <v>150</v>
      </c>
      <c r="BF442" s="1468">
        <f t="shared" si="404"/>
        <v>150</v>
      </c>
      <c r="BG442" s="1469">
        <f t="shared" si="404"/>
        <v>150</v>
      </c>
      <c r="BH442" s="1466">
        <f t="shared" si="404"/>
        <v>150</v>
      </c>
      <c r="BI442" s="1467">
        <f t="shared" si="404"/>
        <v>150</v>
      </c>
      <c r="BJ442" s="1467">
        <f t="shared" si="404"/>
        <v>150</v>
      </c>
      <c r="BK442" s="1468">
        <f t="shared" si="404"/>
        <v>150</v>
      </c>
      <c r="BL442" s="1469">
        <f t="shared" si="404"/>
        <v>150</v>
      </c>
      <c r="BM442" s="1466">
        <f>+BM440+BM441</f>
        <v>150</v>
      </c>
      <c r="BN442" s="1467">
        <f>+BN440+BN441</f>
        <v>150</v>
      </c>
      <c r="BO442" s="1467">
        <f>+BO440+BO441</f>
        <v>150</v>
      </c>
      <c r="BP442" s="1468">
        <f>+BP440+BP441</f>
        <v>150</v>
      </c>
      <c r="BQ442" s="1469">
        <f>+BQ440+BQ441</f>
        <v>150</v>
      </c>
    </row>
    <row r="443" spans="1:69">
      <c r="A443" s="1502"/>
      <c r="E443" s="1439"/>
      <c r="F443" s="1440"/>
      <c r="G443" s="1440"/>
      <c r="H443" s="1441"/>
      <c r="J443" s="1439"/>
      <c r="K443" s="1440"/>
      <c r="L443" s="1440"/>
      <c r="M443" s="1441"/>
      <c r="O443" s="1439"/>
      <c r="P443" s="1440"/>
      <c r="Q443" s="1440"/>
      <c r="R443" s="1441"/>
      <c r="T443" s="1439"/>
      <c r="U443" s="1440"/>
      <c r="V443" s="1440"/>
      <c r="W443" s="1441"/>
      <c r="Y443" s="1439"/>
      <c r="Z443" s="1440"/>
      <c r="AA443" s="1440"/>
      <c r="AB443" s="1441"/>
      <c r="AD443" s="1439"/>
      <c r="AE443" s="1440"/>
      <c r="AF443" s="1440"/>
      <c r="AG443" s="1441"/>
      <c r="AI443" s="1439"/>
      <c r="AJ443" s="1440"/>
      <c r="AK443" s="1440"/>
      <c r="AL443" s="1441"/>
      <c r="AN443" s="1439"/>
      <c r="AO443" s="1440"/>
      <c r="AP443" s="1440"/>
      <c r="AQ443" s="1441"/>
      <c r="AS443" s="1439"/>
      <c r="AT443" s="1440"/>
      <c r="AU443" s="1440"/>
      <c r="AV443" s="1441"/>
      <c r="AX443" s="1439"/>
      <c r="AY443" s="1440"/>
      <c r="AZ443" s="1440"/>
      <c r="BA443" s="1441"/>
      <c r="BC443" s="1439"/>
      <c r="BD443" s="1440"/>
      <c r="BE443" s="1440"/>
      <c r="BF443" s="1441"/>
      <c r="BH443" s="1439"/>
      <c r="BI443" s="1440"/>
      <c r="BJ443" s="1440"/>
      <c r="BK443" s="1441"/>
      <c r="BM443" s="1439"/>
      <c r="BN443" s="1440"/>
      <c r="BO443" s="1440"/>
      <c r="BP443" s="1441"/>
    </row>
    <row r="444" spans="1:69">
      <c r="A444" s="1502"/>
      <c r="C444" s="1447" t="s">
        <v>925</v>
      </c>
      <c r="E444" s="1439"/>
      <c r="F444" s="1440"/>
      <c r="G444" s="1440"/>
      <c r="H444" s="1441"/>
      <c r="J444" s="1439"/>
      <c r="K444" s="1440"/>
      <c r="L444" s="1440"/>
      <c r="M444" s="1441"/>
      <c r="O444" s="1439"/>
      <c r="P444" s="1440"/>
      <c r="Q444" s="1440"/>
      <c r="R444" s="1441"/>
      <c r="T444" s="1439"/>
      <c r="U444" s="1440"/>
      <c r="V444" s="1440"/>
      <c r="W444" s="1441"/>
      <c r="Y444" s="1439"/>
      <c r="Z444" s="1440"/>
      <c r="AA444" s="1440"/>
      <c r="AB444" s="1441"/>
      <c r="AD444" s="1439"/>
      <c r="AE444" s="1440"/>
      <c r="AF444" s="1440"/>
      <c r="AG444" s="1441"/>
      <c r="AI444" s="1439"/>
      <c r="AJ444" s="1440"/>
      <c r="AK444" s="1440"/>
      <c r="AL444" s="1441"/>
      <c r="AN444" s="1439"/>
      <c r="AO444" s="1440"/>
      <c r="AP444" s="1440"/>
      <c r="AQ444" s="1441"/>
      <c r="AS444" s="1439"/>
      <c r="AT444" s="1440"/>
      <c r="AU444" s="1440"/>
      <c r="AV444" s="1441"/>
      <c r="AX444" s="1439"/>
      <c r="AY444" s="1440"/>
      <c r="AZ444" s="1440"/>
      <c r="BA444" s="1441"/>
      <c r="BC444" s="1439"/>
      <c r="BD444" s="1440"/>
      <c r="BE444" s="1440"/>
      <c r="BF444" s="1441"/>
      <c r="BH444" s="1439"/>
      <c r="BI444" s="1440"/>
      <c r="BJ444" s="1440"/>
      <c r="BK444" s="1441"/>
      <c r="BM444" s="1439"/>
      <c r="BN444" s="1440"/>
      <c r="BO444" s="1440"/>
      <c r="BP444" s="1441"/>
    </row>
    <row r="445" spans="1:69">
      <c r="A445" s="1502"/>
      <c r="C445" t="s">
        <v>926</v>
      </c>
      <c r="E445" s="1443">
        <f>+E431*E436*8.76*E442/1000/4</f>
        <v>0</v>
      </c>
      <c r="F445" s="1444">
        <f>+F431*F436*8.76*F442/1000/4</f>
        <v>0</v>
      </c>
      <c r="G445" s="1444">
        <f>+G431*G436*8.76*G442/1000/4</f>
        <v>0</v>
      </c>
      <c r="H445" s="1445">
        <f>+H431*H436*8.76*H442/1000/4</f>
        <v>0</v>
      </c>
      <c r="I445" s="1470"/>
      <c r="J445" s="1443"/>
      <c r="K445" s="1444"/>
      <c r="L445" s="1444"/>
      <c r="M445" s="1445"/>
      <c r="N445" s="1470"/>
      <c r="O445" s="1443"/>
      <c r="P445" s="1444"/>
      <c r="Q445" s="1444"/>
      <c r="R445" s="1445"/>
      <c r="S445" s="1470"/>
      <c r="T445" s="1443"/>
      <c r="U445" s="1444"/>
      <c r="V445" s="1444"/>
      <c r="W445" s="1445"/>
      <c r="X445" s="1470"/>
      <c r="Y445" s="1443"/>
      <c r="Z445" s="1444"/>
      <c r="AA445" s="1444"/>
      <c r="AB445" s="1445"/>
      <c r="AC445" s="1470"/>
      <c r="AD445" s="1443">
        <f>+AD431*AD436*8.76*AD442/1000/4</f>
        <v>0</v>
      </c>
      <c r="AE445" s="1444">
        <f>+AE431*AE436*8.76*AE442/1000/4</f>
        <v>0</v>
      </c>
      <c r="AF445" s="1444">
        <f>+AF431*AF436*8.76*AF442/1000/4</f>
        <v>0</v>
      </c>
      <c r="AG445" s="1445">
        <f>+AG431*AG436*8.76*AG442/1000/4</f>
        <v>0</v>
      </c>
      <c r="AH445" s="1470">
        <f>SUM(AD445:AG445)</f>
        <v>0</v>
      </c>
      <c r="AI445" s="1443">
        <f>+AI431*AI436*8.76*AI442/1000/4</f>
        <v>9.2932649999999999</v>
      </c>
      <c r="AJ445" s="1444">
        <f>+AJ431*AJ436*8.76*AJ442/1000/4</f>
        <v>9.2932649999999999</v>
      </c>
      <c r="AK445" s="1444">
        <f>+AK431*AK436*8.76*AK442/1000/4</f>
        <v>9.2932649999999999</v>
      </c>
      <c r="AL445" s="1445">
        <f>+AL431*AL436*8.76*AL442/1000/4</f>
        <v>9.2932649999999999</v>
      </c>
      <c r="AM445" s="1470">
        <f>SUM(AI445:AL445)</f>
        <v>37.17306</v>
      </c>
      <c r="AN445" s="1443">
        <f>+AN431*AN436*8.76*AN442/1000/4</f>
        <v>8.6102478000000016</v>
      </c>
      <c r="AO445" s="1444">
        <f>+AO431*AO436*8.76*AO442/1000/4</f>
        <v>8.6102478000000016</v>
      </c>
      <c r="AP445" s="1444">
        <f>+AP431*AP436*8.76*AP442/1000/4</f>
        <v>8.6102478000000016</v>
      </c>
      <c r="AQ445" s="1445">
        <f>+AQ431*AQ436*8.76*AQ442/1000/4</f>
        <v>8.6102478000000016</v>
      </c>
      <c r="AR445" s="1470">
        <f>SUM(AN445:AQ445)</f>
        <v>34.440991200000006</v>
      </c>
      <c r="AS445" s="1443">
        <f>+AS431*AS436*8.76*AS442/1000/4</f>
        <v>9.6869065500000016</v>
      </c>
      <c r="AT445" s="1444">
        <f>+AT431*AT436*8.76*AT442/1000/4</f>
        <v>10.763565300000002</v>
      </c>
      <c r="AU445" s="1444">
        <f>+AU431*AU436*8.76*AU442/1000/4</f>
        <v>11.84022405</v>
      </c>
      <c r="AV445" s="1445">
        <f>+AV431*AV436*8.76*AV442/1000/4</f>
        <v>12.916882800000002</v>
      </c>
      <c r="AW445" s="1470">
        <f>SUM(AS445:AV445)</f>
        <v>45.207578700000006</v>
      </c>
      <c r="AX445" s="1443">
        <f>+AX431*AX436*8.76*AX442/1000/4</f>
        <v>12.916882800000002</v>
      </c>
      <c r="AY445" s="1444">
        <f>+AY431*AY436*8.76*AY442/1000/4</f>
        <v>12.916882800000002</v>
      </c>
      <c r="AZ445" s="1444">
        <f>+AZ431*AZ436*8.76*AZ442/1000/4</f>
        <v>12.916882800000002</v>
      </c>
      <c r="BA445" s="1445">
        <f>+BA431*BA436*8.76*BA442/1000/4</f>
        <v>12.916882800000002</v>
      </c>
      <c r="BB445" s="1470">
        <f>SUM(AX445:BA445)</f>
        <v>51.667531200000006</v>
      </c>
      <c r="BC445" s="1443">
        <f>+BC431*BC436*8.76*BC442/1000/4</f>
        <v>12.916882800000002</v>
      </c>
      <c r="BD445" s="1444">
        <f>+BD431*BD436*8.76*BD442/1000/4</f>
        <v>12.916882800000002</v>
      </c>
      <c r="BE445" s="1444">
        <f>+BE431*BE436*8.76*BE442/1000/4</f>
        <v>12.916882800000002</v>
      </c>
      <c r="BF445" s="1445">
        <f>+BF431*BF436*8.76*BF442/1000/4</f>
        <v>12.916882800000002</v>
      </c>
      <c r="BG445" s="1470">
        <f>SUM(BC445:BF445)</f>
        <v>51.667531200000006</v>
      </c>
      <c r="BH445" s="1443">
        <f>+BH431*BH436*8.76*BH442/1000/4</f>
        <v>12.916882800000002</v>
      </c>
      <c r="BI445" s="1444">
        <f>+BI431*BI436*8.76*BI442/1000/4</f>
        <v>12.916882800000002</v>
      </c>
      <c r="BJ445" s="1444">
        <f>+BJ431*BJ436*8.76*BJ442/1000/4</f>
        <v>12.916882800000002</v>
      </c>
      <c r="BK445" s="1445">
        <f>+BK431*BK436*8.76*BK442/1000/4</f>
        <v>12.916882800000002</v>
      </c>
      <c r="BL445" s="1470">
        <f>SUM(BH445:BK445)</f>
        <v>51.667531200000006</v>
      </c>
      <c r="BM445" s="1443">
        <f>+BM431*BM436*8.76*BM442/1000/4</f>
        <v>12.916882800000002</v>
      </c>
      <c r="BN445" s="1444">
        <f>+BN431*BN436*8.76*BN442/1000/4</f>
        <v>12.916882800000002</v>
      </c>
      <c r="BO445" s="1444">
        <f>+BO431*BO436*8.76*BO442/1000/4</f>
        <v>12.916882800000002</v>
      </c>
      <c r="BP445" s="1445">
        <f>+BP431*BP436*8.76*BP442/1000/4</f>
        <v>12.916882800000002</v>
      </c>
      <c r="BQ445" s="1470">
        <f>SUM(BM445:BP445)</f>
        <v>51.667531200000006</v>
      </c>
    </row>
    <row r="446" spans="1:69">
      <c r="A446" s="1502"/>
      <c r="E446" s="1439"/>
      <c r="F446" s="1440"/>
      <c r="G446" s="1440"/>
      <c r="H446" s="1441"/>
      <c r="J446" s="1439"/>
      <c r="K446" s="1440"/>
      <c r="L446" s="1440"/>
      <c r="M446" s="1441"/>
      <c r="O446" s="1439"/>
      <c r="P446" s="1440"/>
      <c r="Q446" s="1440"/>
      <c r="R446" s="1441"/>
      <c r="T446" s="1439"/>
      <c r="U446" s="1440"/>
      <c r="V446" s="1440"/>
      <c r="W446" s="1441"/>
      <c r="Y446" s="1439"/>
      <c r="Z446" s="1440"/>
      <c r="AA446" s="1440"/>
      <c r="AB446" s="1441"/>
      <c r="AD446" s="1439"/>
      <c r="AE446" s="1440"/>
      <c r="AF446" s="1440"/>
      <c r="AG446" s="1441"/>
      <c r="AI446" s="1439"/>
      <c r="AJ446" s="1440"/>
      <c r="AK446" s="1440"/>
      <c r="AL446" s="1441"/>
      <c r="AN446" s="1439"/>
      <c r="AO446" s="1440"/>
      <c r="AP446" s="1440"/>
      <c r="AQ446" s="1441"/>
      <c r="AS446" s="1439"/>
      <c r="AT446" s="1440"/>
      <c r="AU446" s="1440"/>
      <c r="AV446" s="1441"/>
      <c r="AX446" s="1439"/>
      <c r="AY446" s="1440"/>
      <c r="AZ446" s="1440"/>
      <c r="BA446" s="1441"/>
      <c r="BC446" s="1439"/>
      <c r="BD446" s="1440"/>
      <c r="BE446" s="1440"/>
      <c r="BF446" s="1441"/>
      <c r="BH446" s="1439"/>
      <c r="BI446" s="1440"/>
      <c r="BJ446" s="1440"/>
      <c r="BK446" s="1441"/>
      <c r="BM446" s="1439"/>
      <c r="BN446" s="1440"/>
      <c r="BO446" s="1440"/>
      <c r="BP446" s="1441"/>
    </row>
    <row r="447" spans="1:69">
      <c r="A447" s="1502"/>
      <c r="C447" s="1471" t="s">
        <v>128</v>
      </c>
      <c r="E447" s="1443">
        <f>+E431*E437/1000/4</f>
        <v>0</v>
      </c>
      <c r="F447" s="1444">
        <f>+F431*F437/1000/4</f>
        <v>0</v>
      </c>
      <c r="G447" s="1444">
        <f>+G431*G437/1000/4</f>
        <v>0</v>
      </c>
      <c r="H447" s="1445">
        <f>+H431*H437/1000/4</f>
        <v>0</v>
      </c>
      <c r="I447" s="1470"/>
      <c r="J447" s="1443"/>
      <c r="K447" s="1444"/>
      <c r="L447" s="1444"/>
      <c r="M447" s="1445"/>
      <c r="N447" s="1470"/>
      <c r="O447" s="1443"/>
      <c r="P447" s="1444"/>
      <c r="Q447" s="1444"/>
      <c r="R447" s="1445"/>
      <c r="S447" s="1470"/>
      <c r="T447" s="1443"/>
      <c r="U447" s="1444"/>
      <c r="V447" s="1444"/>
      <c r="W447" s="1445"/>
      <c r="X447" s="1470"/>
      <c r="Y447" s="1443"/>
      <c r="Z447" s="1444"/>
      <c r="AA447" s="1444"/>
      <c r="AB447" s="1445"/>
      <c r="AC447" s="1470"/>
      <c r="AD447" s="1443">
        <f>+AD431*AD437/1000/4</f>
        <v>0</v>
      </c>
      <c r="AE447" s="1444">
        <f>+AE431*AE437/1000/4</f>
        <v>0</v>
      </c>
      <c r="AF447" s="1444">
        <f>+AF431*AF437/1000/4</f>
        <v>0</v>
      </c>
      <c r="AG447" s="1445">
        <f>+AG431*AG437/1000/4</f>
        <v>0</v>
      </c>
      <c r="AH447" s="1470">
        <f>SUM(AD447:AG447)</f>
        <v>0</v>
      </c>
      <c r="AI447" s="1443">
        <f>+AI431*AI437/1000/4</f>
        <v>0.76875000000000004</v>
      </c>
      <c r="AJ447" s="1444">
        <f>+AJ431*AJ437/1000/4</f>
        <v>0.76875000000000004</v>
      </c>
      <c r="AK447" s="1444">
        <f>+AK431*AK437/1000/4</f>
        <v>0.76875000000000004</v>
      </c>
      <c r="AL447" s="1445">
        <f>+AL431*AL437/1000/4</f>
        <v>0.76875000000000004</v>
      </c>
      <c r="AM447" s="1470">
        <f>SUM(AI447:AL447)</f>
        <v>3.0750000000000002</v>
      </c>
      <c r="AN447" s="1443">
        <f>+AN431*AN437/1000/4</f>
        <v>0.71225000000000005</v>
      </c>
      <c r="AO447" s="1444">
        <f>+AO431*AO437/1000/4</f>
        <v>0.71225000000000005</v>
      </c>
      <c r="AP447" s="1444">
        <f>+AP431*AP437/1000/4</f>
        <v>0.71225000000000005</v>
      </c>
      <c r="AQ447" s="1445">
        <f>+AQ431*AQ437/1000/4</f>
        <v>0.71225000000000005</v>
      </c>
      <c r="AR447" s="1470">
        <f>SUM(AN447:AQ447)</f>
        <v>2.8490000000000002</v>
      </c>
      <c r="AS447" s="1443">
        <f>+AS431*AS437/1000/4</f>
        <v>0.80131249999999998</v>
      </c>
      <c r="AT447" s="1444">
        <f>+AT431*AT437/1000/4</f>
        <v>0.89037500000000003</v>
      </c>
      <c r="AU447" s="1444">
        <f>+AU431*AU437/1000/4</f>
        <v>0.97943749999999996</v>
      </c>
      <c r="AV447" s="1445">
        <f>+AV431*AV437/1000/4</f>
        <v>1.0685</v>
      </c>
      <c r="AW447" s="1470">
        <f>SUM(AS447:AV447)</f>
        <v>3.7396250000000002</v>
      </c>
      <c r="AX447" s="1443">
        <f>+AX431*AX437/1000/4</f>
        <v>1.0685</v>
      </c>
      <c r="AY447" s="1444">
        <f>+AY431*AY437/1000/4</f>
        <v>1.0685</v>
      </c>
      <c r="AZ447" s="1444">
        <f>+AZ431*AZ437/1000/4</f>
        <v>1.0685</v>
      </c>
      <c r="BA447" s="1445">
        <f>+BA431*BA437/1000/4</f>
        <v>1.0685</v>
      </c>
      <c r="BB447" s="1470">
        <f>SUM(AX447:BA447)</f>
        <v>4.274</v>
      </c>
      <c r="BC447" s="1443">
        <f>+BC431*BC437/1000/4</f>
        <v>1.0685</v>
      </c>
      <c r="BD447" s="1444">
        <f>+BD431*BD437/1000/4</f>
        <v>1.0685</v>
      </c>
      <c r="BE447" s="1444">
        <f>+BE431*BE437/1000/4</f>
        <v>1.0685</v>
      </c>
      <c r="BF447" s="1445">
        <f>+BF431*BF437/1000/4</f>
        <v>1.0685</v>
      </c>
      <c r="BG447" s="1470">
        <f>SUM(BC447:BF447)</f>
        <v>4.274</v>
      </c>
      <c r="BH447" s="1443">
        <f>+BH431*BH437/1000/4</f>
        <v>1.0685</v>
      </c>
      <c r="BI447" s="1444">
        <f>+BI431*BI437/1000/4</f>
        <v>1.0685</v>
      </c>
      <c r="BJ447" s="1444">
        <f>+BJ431*BJ437/1000/4</f>
        <v>1.0685</v>
      </c>
      <c r="BK447" s="1445">
        <f>+BK431*BK437/1000/4</f>
        <v>1.0685</v>
      </c>
      <c r="BL447" s="1470">
        <f>SUM(BH447:BK447)</f>
        <v>4.274</v>
      </c>
      <c r="BM447" s="1443">
        <f>+BM431*BM437/1000/4</f>
        <v>1.0685</v>
      </c>
      <c r="BN447" s="1444">
        <f>+BN431*BN437/1000/4</f>
        <v>1.0685</v>
      </c>
      <c r="BO447" s="1444">
        <f>+BO431*BO437/1000/4</f>
        <v>1.0685</v>
      </c>
      <c r="BP447" s="1445">
        <f>+BP431*BP437/1000/4</f>
        <v>1.0685</v>
      </c>
      <c r="BQ447" s="1470">
        <f>SUM(BM447:BP447)</f>
        <v>4.274</v>
      </c>
    </row>
    <row r="448" spans="1:69">
      <c r="A448" s="1502"/>
      <c r="C448" t="s">
        <v>632</v>
      </c>
      <c r="E448" s="1443"/>
      <c r="F448" s="1444">
        <f>F438*E429/4</f>
        <v>0</v>
      </c>
      <c r="G448" s="1444">
        <f>G438*F429/4</f>
        <v>0</v>
      </c>
      <c r="H448" s="1445">
        <f>H438*G429/4</f>
        <v>0</v>
      </c>
      <c r="I448" s="1470"/>
      <c r="J448" s="1443"/>
      <c r="K448" s="1444"/>
      <c r="L448" s="1444"/>
      <c r="M448" s="1445"/>
      <c r="N448" s="1470"/>
      <c r="O448" s="1443"/>
      <c r="P448" s="1444"/>
      <c r="Q448" s="1444"/>
      <c r="R448" s="1445"/>
      <c r="S448" s="1470"/>
      <c r="T448" s="1443"/>
      <c r="U448" s="1444"/>
      <c r="V448" s="1444"/>
      <c r="W448" s="1445"/>
      <c r="X448" s="1470"/>
      <c r="Y448" s="1443"/>
      <c r="Z448" s="1444"/>
      <c r="AA448" s="1444"/>
      <c r="AB448" s="1445"/>
      <c r="AC448" s="1470"/>
      <c r="AD448" s="1443">
        <f>AD438*AC429/4</f>
        <v>0</v>
      </c>
      <c r="AE448" s="1444">
        <f>AE438*AD429/4</f>
        <v>0</v>
      </c>
      <c r="AF448" s="1444">
        <f>AF438*AE429/4</f>
        <v>0</v>
      </c>
      <c r="AG448" s="1445">
        <f>AG438*AF429/4</f>
        <v>0</v>
      </c>
      <c r="AH448" s="1470">
        <f>SUM(AD448:AG448)</f>
        <v>0</v>
      </c>
      <c r="AI448" s="1443">
        <f>AI438*AI429/4</f>
        <v>3.0750000000000002</v>
      </c>
      <c r="AJ448" s="1444">
        <f>AJ438*AI429/4</f>
        <v>3.0750000000000002</v>
      </c>
      <c r="AK448" s="1444">
        <f>AK438*AJ429/4</f>
        <v>3.0493749999999999</v>
      </c>
      <c r="AL448" s="1445">
        <f>AL438*AK429/4</f>
        <v>3.0239635416666668</v>
      </c>
      <c r="AM448" s="1470">
        <f>SUM(AI448:AL448)</f>
        <v>12.223338541666667</v>
      </c>
      <c r="AN448" s="1443">
        <f>AN438*AM429/4</f>
        <v>2.9987638454861112</v>
      </c>
      <c r="AO448" s="1444">
        <f>AO438*AN429/4</f>
        <v>2.9737741467737271</v>
      </c>
      <c r="AP448" s="1444">
        <f>AP438*AO429/4</f>
        <v>2.9489926955506127</v>
      </c>
      <c r="AQ448" s="1445">
        <f>AQ438*AP429/4</f>
        <v>2.9244177564210241</v>
      </c>
      <c r="AR448" s="1470">
        <f>SUM(AN448:AQ448)</f>
        <v>11.845948444231475</v>
      </c>
      <c r="AS448" s="1443">
        <f>AS438*AR429/4</f>
        <v>2.9000476084508491</v>
      </c>
      <c r="AT448" s="1444">
        <f>AT438*AS429/4</f>
        <v>2.9190623632289103</v>
      </c>
      <c r="AU448" s="1444">
        <f>AU438*AT429/4</f>
        <v>2.9379186617171542</v>
      </c>
      <c r="AV448" s="1445">
        <f>AV438*AU429/4</f>
        <v>2.9566178243846628</v>
      </c>
      <c r="AW448" s="1470">
        <f>SUM(AS448:AV448)</f>
        <v>11.713646457781577</v>
      </c>
      <c r="AX448" s="1443">
        <f>AX438*AW429/4</f>
        <v>2.9751611606966089</v>
      </c>
      <c r="AY448" s="1444">
        <f>AY438*AX429/4</f>
        <v>2.9503681510241373</v>
      </c>
      <c r="AZ448" s="1444">
        <f>AZ438*AY429/4</f>
        <v>2.9257817497656031</v>
      </c>
      <c r="BA448" s="1445">
        <f>BA438*AY429/4</f>
        <v>2.9257817497656031</v>
      </c>
      <c r="BB448" s="1470">
        <f>SUM(AX448:BA448)</f>
        <v>11.777092811251952</v>
      </c>
      <c r="BC448" s="1443">
        <f>BC438*BB429/4</f>
        <v>2.901400235184223</v>
      </c>
      <c r="BD448" s="1444">
        <f>BD438*BC429/4</f>
        <v>2.8772218998910213</v>
      </c>
      <c r="BE448" s="1444">
        <f>BE438*BD429/4</f>
        <v>2.8532450507252629</v>
      </c>
      <c r="BF448" s="1445">
        <f>BF438*BE429/4</f>
        <v>2.8294680086358857</v>
      </c>
      <c r="BG448" s="1470">
        <f>SUM(BC448:BF448)</f>
        <v>11.461335194436392</v>
      </c>
      <c r="BH448" s="1443">
        <f>BH438*BG429/4</f>
        <v>2.8058891085639197</v>
      </c>
      <c r="BI448" s="1444">
        <f>BI438*BH429/4</f>
        <v>2.7825066993258871</v>
      </c>
      <c r="BJ448" s="1444">
        <f>BJ438*BI429/4</f>
        <v>2.7593191434981712</v>
      </c>
      <c r="BK448" s="1445">
        <f>BK438*BJ429/4</f>
        <v>2.7363248173023536</v>
      </c>
      <c r="BL448" s="1470">
        <f>SUM(BH448:BK448)</f>
        <v>11.084039768690332</v>
      </c>
      <c r="BM448" s="1443">
        <f>BM438*BL429/4</f>
        <v>2.7135221104915006</v>
      </c>
      <c r="BN448" s="1444">
        <f>BN438*BM429/4</f>
        <v>2.6909094262374045</v>
      </c>
      <c r="BO448" s="1444">
        <f>BO438*BN429/4</f>
        <v>2.6684851810187595</v>
      </c>
      <c r="BP448" s="1445">
        <f>BP438*BO429/4</f>
        <v>2.6462478045102698</v>
      </c>
      <c r="BQ448" s="1470">
        <f>SUM(BM448:BP448)</f>
        <v>10.719164522257934</v>
      </c>
    </row>
    <row r="449" spans="1:70">
      <c r="A449" s="1502"/>
      <c r="E449" s="1439"/>
      <c r="F449" s="1440"/>
      <c r="G449" s="1440"/>
      <c r="H449" s="1441"/>
      <c r="J449" s="1439"/>
      <c r="K449" s="1440"/>
      <c r="L449" s="1440"/>
      <c r="M449" s="1441"/>
      <c r="O449" s="1439"/>
      <c r="P449" s="1440"/>
      <c r="Q449" s="1440"/>
      <c r="R449" s="1441"/>
      <c r="T449" s="1439"/>
      <c r="U449" s="1440"/>
      <c r="V449" s="1440"/>
      <c r="W449" s="1441"/>
      <c r="Y449" s="1439"/>
      <c r="Z449" s="1440"/>
      <c r="AA449" s="1440"/>
      <c r="AB449" s="1441"/>
      <c r="AD449" s="1439"/>
      <c r="AE449" s="1440"/>
      <c r="AF449" s="1440"/>
      <c r="AG449" s="1441"/>
      <c r="AI449" s="1439"/>
      <c r="AJ449" s="1440"/>
      <c r="AK449" s="1440"/>
      <c r="AL449" s="1441"/>
      <c r="AN449" s="1439"/>
      <c r="AO449" s="1440"/>
      <c r="AP449" s="1440"/>
      <c r="AQ449" s="1441"/>
      <c r="AS449" s="1439"/>
      <c r="AT449" s="1440"/>
      <c r="AU449" s="1440"/>
      <c r="AV449" s="1441"/>
      <c r="AX449" s="1439"/>
      <c r="AY449" s="1440"/>
      <c r="AZ449" s="1440"/>
      <c r="BA449" s="1441"/>
      <c r="BC449" s="1439"/>
      <c r="BD449" s="1440"/>
      <c r="BE449" s="1440"/>
      <c r="BF449" s="1441"/>
      <c r="BH449" s="1439"/>
      <c r="BI449" s="1440"/>
      <c r="BJ449" s="1440"/>
      <c r="BK449" s="1441"/>
      <c r="BM449" s="1439"/>
      <c r="BN449" s="1440"/>
      <c r="BO449" s="1440"/>
      <c r="BP449" s="1441"/>
    </row>
    <row r="450" spans="1:70">
      <c r="A450" s="1502"/>
      <c r="C450" s="1447" t="s">
        <v>545</v>
      </c>
      <c r="E450" s="1473">
        <f>+E445-E447-E448</f>
        <v>0</v>
      </c>
      <c r="F450" s="1474">
        <f>+F445-F447-F448</f>
        <v>0</v>
      </c>
      <c r="G450" s="1474">
        <f>+G445-G447-G448</f>
        <v>0</v>
      </c>
      <c r="H450" s="1475">
        <f>+H445-H447-H448</f>
        <v>0</v>
      </c>
      <c r="I450" s="1472"/>
      <c r="J450" s="1473"/>
      <c r="K450" s="1474"/>
      <c r="L450" s="1474"/>
      <c r="M450" s="1475"/>
      <c r="N450" s="1472"/>
      <c r="O450" s="1473"/>
      <c r="P450" s="1474"/>
      <c r="Q450" s="1474"/>
      <c r="R450" s="1475"/>
      <c r="S450" s="1472"/>
      <c r="T450" s="1473"/>
      <c r="U450" s="1474"/>
      <c r="V450" s="1474"/>
      <c r="W450" s="1475"/>
      <c r="X450" s="1472"/>
      <c r="Y450" s="1473"/>
      <c r="Z450" s="1474"/>
      <c r="AA450" s="1474"/>
      <c r="AB450" s="1475"/>
      <c r="AC450" s="1472"/>
      <c r="AD450" s="1473">
        <f t="shared" ref="AD450:BB450" si="405">+AD445-AD447-AD448</f>
        <v>0</v>
      </c>
      <c r="AE450" s="1474">
        <f t="shared" si="405"/>
        <v>0</v>
      </c>
      <c r="AF450" s="1474">
        <f t="shared" si="405"/>
        <v>0</v>
      </c>
      <c r="AG450" s="1475">
        <f t="shared" si="405"/>
        <v>0</v>
      </c>
      <c r="AH450" s="1472">
        <f t="shared" si="405"/>
        <v>0</v>
      </c>
      <c r="AI450" s="1473">
        <f t="shared" si="405"/>
        <v>5.449514999999999</v>
      </c>
      <c r="AJ450" s="1474">
        <f t="shared" si="405"/>
        <v>5.449514999999999</v>
      </c>
      <c r="AK450" s="1474">
        <f t="shared" si="405"/>
        <v>5.4751399999999997</v>
      </c>
      <c r="AL450" s="1475">
        <f t="shared" si="405"/>
        <v>5.5005514583333319</v>
      </c>
      <c r="AM450" s="1472">
        <f t="shared" si="405"/>
        <v>21.87472145833333</v>
      </c>
      <c r="AN450" s="1473">
        <f t="shared" si="405"/>
        <v>4.8992339545138908</v>
      </c>
      <c r="AO450" s="1474">
        <f t="shared" si="405"/>
        <v>4.9242236532262744</v>
      </c>
      <c r="AP450" s="1474">
        <f t="shared" si="405"/>
        <v>4.9490051044493892</v>
      </c>
      <c r="AQ450" s="1475">
        <f t="shared" si="405"/>
        <v>4.973580043578977</v>
      </c>
      <c r="AR450" s="1472">
        <f t="shared" si="405"/>
        <v>19.746042755768531</v>
      </c>
      <c r="AS450" s="1473">
        <f t="shared" si="405"/>
        <v>5.9855464415491522</v>
      </c>
      <c r="AT450" s="1474">
        <f t="shared" si="405"/>
        <v>6.9541279367710906</v>
      </c>
      <c r="AU450" s="1474">
        <f t="shared" si="405"/>
        <v>7.9228678882828465</v>
      </c>
      <c r="AV450" s="1475">
        <f t="shared" si="405"/>
        <v>8.8917649756153381</v>
      </c>
      <c r="AW450" s="1472">
        <f t="shared" si="405"/>
        <v>29.754307242218431</v>
      </c>
      <c r="AX450" s="1473">
        <f t="shared" si="405"/>
        <v>8.8732216393033916</v>
      </c>
      <c r="AY450" s="1474">
        <f t="shared" si="405"/>
        <v>8.8980146489758631</v>
      </c>
      <c r="AZ450" s="1474">
        <f>+AZ445-AZ447-AZ448</f>
        <v>8.9226010502343982</v>
      </c>
      <c r="BA450" s="1475">
        <f t="shared" si="405"/>
        <v>8.9226010502343982</v>
      </c>
      <c r="BB450" s="1472">
        <f t="shared" si="405"/>
        <v>35.616438388748051</v>
      </c>
      <c r="BC450" s="1473">
        <f t="shared" ref="BC450:BL450" si="406">+BC445-BC447-BC448</f>
        <v>8.9469825648157784</v>
      </c>
      <c r="BD450" s="1474">
        <f t="shared" si="406"/>
        <v>8.9711609001089805</v>
      </c>
      <c r="BE450" s="1474">
        <f t="shared" si="406"/>
        <v>8.995137749274738</v>
      </c>
      <c r="BF450" s="1475">
        <f t="shared" si="406"/>
        <v>9.0189147913641161</v>
      </c>
      <c r="BG450" s="1472">
        <f t="shared" si="406"/>
        <v>35.932196005563611</v>
      </c>
      <c r="BH450" s="1473">
        <f t="shared" si="406"/>
        <v>9.0424936914360821</v>
      </c>
      <c r="BI450" s="1474">
        <f t="shared" si="406"/>
        <v>9.0658761006741138</v>
      </c>
      <c r="BJ450" s="1474">
        <f t="shared" si="406"/>
        <v>9.0890636565018301</v>
      </c>
      <c r="BK450" s="1475">
        <f t="shared" si="406"/>
        <v>9.1120579826976478</v>
      </c>
      <c r="BL450" s="1472">
        <f t="shared" si="406"/>
        <v>36.309491431309674</v>
      </c>
      <c r="BM450" s="1473">
        <f>+BM445-BM447-BM448</f>
        <v>9.1348606895084998</v>
      </c>
      <c r="BN450" s="1474">
        <f>+BN445-BN447-BN448</f>
        <v>9.1574733737625973</v>
      </c>
      <c r="BO450" s="1474">
        <f>+BO445-BO447-BO448</f>
        <v>9.1798976189812418</v>
      </c>
      <c r="BP450" s="1475">
        <f>+BP445-BP447-BP448</f>
        <v>9.2021349954897325</v>
      </c>
      <c r="BQ450" s="1472">
        <f>+BQ445-BQ447-BQ448</f>
        <v>36.674366677742071</v>
      </c>
    </row>
    <row r="451" spans="1:70">
      <c r="A451" s="1502"/>
      <c r="C451" s="1447" t="s">
        <v>75</v>
      </c>
      <c r="E451" s="1473">
        <f>+E450+E448</f>
        <v>0</v>
      </c>
      <c r="F451" s="1474">
        <f>+F450+F448</f>
        <v>0</v>
      </c>
      <c r="G451" s="1474">
        <f>+G450+G448</f>
        <v>0</v>
      </c>
      <c r="H451" s="1475">
        <f>+H450+H448</f>
        <v>0</v>
      </c>
      <c r="I451" s="1472"/>
      <c r="J451" s="1473"/>
      <c r="K451" s="1474"/>
      <c r="L451" s="1474"/>
      <c r="M451" s="1475"/>
      <c r="N451" s="1472"/>
      <c r="O451" s="1473"/>
      <c r="P451" s="1474"/>
      <c r="Q451" s="1474"/>
      <c r="R451" s="1475"/>
      <c r="S451" s="1472"/>
      <c r="T451" s="1473"/>
      <c r="U451" s="1474"/>
      <c r="V451" s="1474"/>
      <c r="W451" s="1475"/>
      <c r="X451" s="1472"/>
      <c r="Y451" s="1473"/>
      <c r="Z451" s="1474"/>
      <c r="AA451" s="1474"/>
      <c r="AB451" s="1475"/>
      <c r="AC451" s="1472"/>
      <c r="AD451" s="1473">
        <f t="shared" ref="AD451:AY451" si="407">+AD450+AD448</f>
        <v>0</v>
      </c>
      <c r="AE451" s="1474">
        <f t="shared" si="407"/>
        <v>0</v>
      </c>
      <c r="AF451" s="1474">
        <f t="shared" si="407"/>
        <v>0</v>
      </c>
      <c r="AG451" s="1475">
        <f t="shared" si="407"/>
        <v>0</v>
      </c>
      <c r="AH451" s="1472">
        <f t="shared" si="407"/>
        <v>0</v>
      </c>
      <c r="AI451" s="1473">
        <f t="shared" si="407"/>
        <v>8.5245149999999992</v>
      </c>
      <c r="AJ451" s="1474">
        <f t="shared" si="407"/>
        <v>8.5245149999999992</v>
      </c>
      <c r="AK451" s="1474">
        <f t="shared" si="407"/>
        <v>8.5245149999999992</v>
      </c>
      <c r="AL451" s="1475">
        <f t="shared" si="407"/>
        <v>8.5245149999999992</v>
      </c>
      <c r="AM451" s="1472">
        <f t="shared" si="407"/>
        <v>34.098059999999997</v>
      </c>
      <c r="AN451" s="1473">
        <f t="shared" si="407"/>
        <v>7.8979978000000024</v>
      </c>
      <c r="AO451" s="1474">
        <f t="shared" si="407"/>
        <v>7.8979978000000015</v>
      </c>
      <c r="AP451" s="1474">
        <f t="shared" si="407"/>
        <v>7.8979978000000024</v>
      </c>
      <c r="AQ451" s="1475">
        <f t="shared" si="407"/>
        <v>7.8979978000000006</v>
      </c>
      <c r="AR451" s="1472">
        <f t="shared" si="407"/>
        <v>31.591991200000006</v>
      </c>
      <c r="AS451" s="1473">
        <f t="shared" si="407"/>
        <v>8.8855940500000017</v>
      </c>
      <c r="AT451" s="1474">
        <f t="shared" si="407"/>
        <v>9.873190300000001</v>
      </c>
      <c r="AU451" s="1474">
        <f t="shared" si="407"/>
        <v>10.86078655</v>
      </c>
      <c r="AV451" s="1475">
        <f t="shared" si="407"/>
        <v>11.848382800000001</v>
      </c>
      <c r="AW451" s="1472">
        <f t="shared" si="407"/>
        <v>41.46795370000001</v>
      </c>
      <c r="AX451" s="1473">
        <f t="shared" si="407"/>
        <v>11.8483828</v>
      </c>
      <c r="AY451" s="1474">
        <f t="shared" si="407"/>
        <v>11.8483828</v>
      </c>
      <c r="AZ451" s="1474">
        <f>+AZ450+AZ448</f>
        <v>11.848382800000001</v>
      </c>
      <c r="BA451" s="1475">
        <f>+BA450+BA448</f>
        <v>11.848382800000001</v>
      </c>
      <c r="BB451" s="1472">
        <f>+BB450+BB448</f>
        <v>47.393531200000005</v>
      </c>
      <c r="BC451" s="1473">
        <f t="shared" ref="BC451:BL451" si="408">+BC450+BC448</f>
        <v>11.848382800000001</v>
      </c>
      <c r="BD451" s="1474">
        <f t="shared" si="408"/>
        <v>11.848382800000001</v>
      </c>
      <c r="BE451" s="1474">
        <f t="shared" si="408"/>
        <v>11.848382800000001</v>
      </c>
      <c r="BF451" s="1475">
        <f t="shared" si="408"/>
        <v>11.848382800000001</v>
      </c>
      <c r="BG451" s="1472">
        <f t="shared" si="408"/>
        <v>47.393531200000005</v>
      </c>
      <c r="BH451" s="1473">
        <f t="shared" si="408"/>
        <v>11.848382800000001</v>
      </c>
      <c r="BI451" s="1474">
        <f t="shared" si="408"/>
        <v>11.848382800000001</v>
      </c>
      <c r="BJ451" s="1474">
        <f t="shared" si="408"/>
        <v>11.848382800000001</v>
      </c>
      <c r="BK451" s="1475">
        <f t="shared" si="408"/>
        <v>11.848382800000001</v>
      </c>
      <c r="BL451" s="1472">
        <f t="shared" si="408"/>
        <v>47.393531200000005</v>
      </c>
      <c r="BM451" s="1473">
        <f>+BM450+BM448</f>
        <v>11.8483828</v>
      </c>
      <c r="BN451" s="1474">
        <f>+BN450+BN448</f>
        <v>11.848382800000001</v>
      </c>
      <c r="BO451" s="1474">
        <f>+BO450+BO448</f>
        <v>11.848382800000001</v>
      </c>
      <c r="BP451" s="1475">
        <f>+BP450+BP448</f>
        <v>11.848382800000003</v>
      </c>
      <c r="BQ451" s="1472">
        <f>+BQ450+BQ448</f>
        <v>47.393531200000005</v>
      </c>
    </row>
    <row r="452" spans="1:70">
      <c r="A452" s="1502"/>
      <c r="E452" s="1439"/>
      <c r="F452" s="1440"/>
      <c r="G452" s="1440"/>
      <c r="H452" s="1441"/>
      <c r="J452" s="1439"/>
      <c r="K452" s="1440"/>
      <c r="L452" s="1440"/>
      <c r="M452" s="1441"/>
      <c r="O452" s="1439"/>
      <c r="P452" s="1440"/>
      <c r="Q452" s="1440"/>
      <c r="R452" s="1441"/>
      <c r="T452" s="1439"/>
      <c r="U452" s="1440"/>
      <c r="V452" s="1440"/>
      <c r="W452" s="1441"/>
      <c r="Y452" s="1439"/>
      <c r="Z452" s="1440"/>
      <c r="AA452" s="1440"/>
      <c r="AB452" s="1441"/>
      <c r="AD452" s="1439"/>
      <c r="AE452" s="1440"/>
      <c r="AF452" s="1440"/>
      <c r="AG452" s="1441"/>
      <c r="AI452" s="1439"/>
      <c r="AJ452" s="1440"/>
      <c r="AK452" s="1440"/>
      <c r="AL452" s="1441"/>
      <c r="AN452" s="1439"/>
      <c r="AO452" s="1440"/>
      <c r="AP452" s="1440"/>
      <c r="AQ452" s="1441"/>
      <c r="AS452" s="1439"/>
      <c r="AT452" s="1440"/>
      <c r="AU452" s="1440"/>
      <c r="AV452" s="1441"/>
      <c r="AX452" s="1439"/>
      <c r="AY452" s="1440"/>
      <c r="AZ452" s="1440"/>
      <c r="BA452" s="1441"/>
      <c r="BC452" s="1439"/>
      <c r="BD452" s="1440"/>
      <c r="BE452" s="1440"/>
      <c r="BF452" s="1441"/>
      <c r="BH452" s="1439"/>
      <c r="BI452" s="1440"/>
      <c r="BJ452" s="1440"/>
      <c r="BK452" s="1441"/>
      <c r="BM452" s="1439"/>
      <c r="BN452" s="1440"/>
      <c r="BO452" s="1440"/>
      <c r="BP452" s="1441"/>
    </row>
    <row r="453" spans="1:70">
      <c r="A453" s="1502"/>
      <c r="C453" s="1450"/>
      <c r="D453" s="1448"/>
      <c r="E453" s="1459"/>
      <c r="F453" s="1460"/>
      <c r="G453" s="1460"/>
      <c r="H453" s="1461"/>
      <c r="I453" s="1451"/>
      <c r="J453" s="1459"/>
      <c r="K453" s="1460"/>
      <c r="L453" s="1460"/>
      <c r="M453" s="1461"/>
      <c r="N453" s="1451"/>
      <c r="O453" s="1459"/>
      <c r="P453" s="1460"/>
      <c r="Q453" s="1460"/>
      <c r="R453" s="1461"/>
      <c r="S453" s="1451"/>
      <c r="T453" s="1459"/>
      <c r="U453" s="1460"/>
      <c r="V453" s="1460"/>
      <c r="W453" s="1461"/>
      <c r="X453" s="1451"/>
      <c r="Y453" s="1459"/>
      <c r="Z453" s="1460"/>
      <c r="AA453" s="1460"/>
      <c r="AB453" s="1461"/>
      <c r="AC453" s="1451"/>
      <c r="AD453" s="1459"/>
      <c r="AE453" s="1460"/>
      <c r="AF453" s="1460"/>
      <c r="AG453" s="1461"/>
      <c r="AH453" s="1451"/>
      <c r="AI453" s="1459"/>
      <c r="AJ453" s="1460"/>
      <c r="AK453" s="1460"/>
      <c r="AL453" s="1461"/>
      <c r="AM453" s="1451"/>
      <c r="AN453" s="1459"/>
      <c r="AO453" s="1460"/>
      <c r="AP453" s="1460"/>
      <c r="AQ453" s="1461"/>
      <c r="AR453" s="1451"/>
      <c r="AS453" s="1459"/>
      <c r="AT453" s="1460"/>
      <c r="AU453" s="1460"/>
      <c r="AV453" s="1461"/>
      <c r="AW453" s="1451"/>
      <c r="AX453" s="1459"/>
      <c r="AY453" s="1460"/>
      <c r="AZ453" s="1460"/>
      <c r="BA453" s="1461"/>
      <c r="BB453" s="1451"/>
      <c r="BC453" s="1459"/>
      <c r="BD453" s="1460"/>
      <c r="BE453" s="1460"/>
      <c r="BF453" s="1461"/>
      <c r="BG453" s="1451"/>
      <c r="BH453" s="1459"/>
      <c r="BI453" s="1460"/>
      <c r="BJ453" s="1460"/>
      <c r="BK453" s="1461"/>
      <c r="BL453" s="1451"/>
      <c r="BM453" s="1459"/>
      <c r="BN453" s="1460"/>
      <c r="BO453" s="1460"/>
      <c r="BP453" s="1461"/>
      <c r="BQ453" s="1451"/>
    </row>
    <row r="454" spans="1:70" s="2" customFormat="1">
      <c r="A454" s="1523"/>
      <c r="B454" s="276" t="s">
        <v>429</v>
      </c>
      <c r="C454" s="277"/>
      <c r="D454" s="277"/>
      <c r="E454" s="356"/>
      <c r="F454" s="326"/>
      <c r="G454" s="326"/>
      <c r="H454" s="357"/>
      <c r="J454" s="356"/>
      <c r="K454" s="326"/>
      <c r="L454" s="326"/>
      <c r="M454" s="357"/>
      <c r="O454" s="356"/>
      <c r="P454" s="326"/>
      <c r="Q454" s="326"/>
      <c r="R454" s="357"/>
      <c r="T454" s="356"/>
      <c r="U454" s="326"/>
      <c r="V454" s="326"/>
      <c r="W454" s="357"/>
      <c r="Y454" s="356"/>
      <c r="Z454" s="326"/>
      <c r="AA454" s="326"/>
      <c r="AB454" s="357"/>
      <c r="AD454" s="356"/>
      <c r="AE454" s="326"/>
      <c r="AF454" s="326"/>
      <c r="AG454" s="357"/>
      <c r="AI454" s="356"/>
      <c r="AJ454" s="326"/>
      <c r="AK454" s="326"/>
      <c r="AL454" s="357"/>
      <c r="AN454" s="356"/>
      <c r="AO454" s="326"/>
      <c r="AP454" s="326"/>
      <c r="AQ454" s="357"/>
      <c r="AS454" s="356"/>
      <c r="AT454" s="326"/>
      <c r="AU454" s="326"/>
      <c r="AV454" s="357"/>
      <c r="AX454" s="356"/>
      <c r="AY454" s="326"/>
      <c r="AZ454" s="326"/>
      <c r="BA454" s="357"/>
      <c r="BB454" s="437"/>
      <c r="BC454" s="356"/>
      <c r="BD454" s="326"/>
      <c r="BE454" s="326"/>
      <c r="BF454" s="357"/>
      <c r="BH454" s="356"/>
      <c r="BI454" s="326"/>
      <c r="BJ454" s="326"/>
      <c r="BK454" s="357"/>
      <c r="BM454" s="356"/>
      <c r="BN454" s="326"/>
      <c r="BO454" s="326"/>
      <c r="BP454" s="357"/>
    </row>
    <row r="455" spans="1:70" s="2" customFormat="1">
      <c r="A455" s="1523"/>
      <c r="C455" s="38" t="s">
        <v>468</v>
      </c>
      <c r="E455" s="407"/>
      <c r="F455" s="349"/>
      <c r="G455" s="349"/>
      <c r="H455" s="408"/>
      <c r="I455" s="437"/>
      <c r="J455" s="365"/>
      <c r="K455" s="6"/>
      <c r="L455" s="6"/>
      <c r="M455" s="366"/>
      <c r="O455" s="365"/>
      <c r="P455" s="6"/>
      <c r="Q455" s="6"/>
      <c r="R455" s="366"/>
      <c r="T455" s="365"/>
      <c r="U455" s="6"/>
      <c r="V455" s="6"/>
      <c r="W455" s="366"/>
      <c r="Y455" s="365"/>
      <c r="Z455" s="6"/>
      <c r="AA455" s="6"/>
      <c r="AB455" s="366"/>
      <c r="AD455" s="365"/>
      <c r="AE455" s="6"/>
      <c r="AF455" s="6"/>
      <c r="AG455" s="366"/>
      <c r="AI455" s="365"/>
      <c r="AJ455" s="6"/>
      <c r="AK455" s="6"/>
      <c r="AL455" s="366"/>
      <c r="AN455" s="365"/>
      <c r="AO455" s="6"/>
      <c r="AP455" s="6"/>
      <c r="AQ455" s="366"/>
      <c r="AS455" s="365"/>
      <c r="AT455" s="6"/>
      <c r="AU455" s="6"/>
      <c r="AV455" s="366"/>
      <c r="AX455" s="365"/>
      <c r="AY455" s="6"/>
      <c r="AZ455" s="6"/>
      <c r="BA455" s="366"/>
      <c r="BC455" s="365"/>
      <c r="BD455" s="6"/>
      <c r="BE455" s="6"/>
      <c r="BF455" s="366"/>
      <c r="BH455" s="365"/>
      <c r="BI455" s="6"/>
      <c r="BJ455" s="6"/>
      <c r="BK455" s="366"/>
      <c r="BM455" s="365"/>
      <c r="BN455" s="6"/>
      <c r="BO455" s="6"/>
      <c r="BP455" s="366"/>
    </row>
    <row r="456" spans="1:70" s="290" customFormat="1">
      <c r="A456" s="1523"/>
      <c r="B456" s="2"/>
      <c r="C456" s="2" t="s">
        <v>340</v>
      </c>
      <c r="D456" s="2"/>
      <c r="E456" s="407"/>
      <c r="F456" s="349"/>
      <c r="G456" s="349"/>
      <c r="H456" s="408"/>
      <c r="I456" s="2"/>
      <c r="J456" s="417">
        <f>+J12</f>
        <v>251</v>
      </c>
      <c r="K456" s="66">
        <f>+K12</f>
        <v>260</v>
      </c>
      <c r="L456" s="66">
        <f>+L12</f>
        <v>263</v>
      </c>
      <c r="M456" s="474">
        <f>+M12</f>
        <v>272</v>
      </c>
      <c r="N456" s="296">
        <f>SUM(J456:M456)</f>
        <v>1046</v>
      </c>
      <c r="O456" s="417">
        <f>+O12</f>
        <v>277</v>
      </c>
      <c r="P456" s="66">
        <f>+P12</f>
        <v>271</v>
      </c>
      <c r="Q456" s="66">
        <f>+Q12</f>
        <v>262</v>
      </c>
      <c r="R456" s="474">
        <f>+R12</f>
        <v>292</v>
      </c>
      <c r="S456" s="296">
        <f>SUM(O456:R456)</f>
        <v>1102</v>
      </c>
      <c r="T456" s="417">
        <f>+T12</f>
        <v>241</v>
      </c>
      <c r="U456" s="66">
        <f>+U12</f>
        <v>284</v>
      </c>
      <c r="V456" s="66">
        <f>+V12</f>
        <v>255</v>
      </c>
      <c r="W456" s="399">
        <f>+W12-(85-19)</f>
        <v>276</v>
      </c>
      <c r="X456" s="296">
        <f>SUM(T456:W456)</f>
        <v>1056</v>
      </c>
      <c r="Y456" s="1343">
        <f>+Y12-28</f>
        <v>254</v>
      </c>
      <c r="Z456" s="433">
        <f>+Z12-(22-25)</f>
        <v>283</v>
      </c>
      <c r="AA456" s="433">
        <f>+AA12-17</f>
        <v>287</v>
      </c>
      <c r="AB456" s="399">
        <f>+AB12-79</f>
        <v>279</v>
      </c>
      <c r="AC456" s="296">
        <f>SUM(Y456:AB456)</f>
        <v>1103</v>
      </c>
      <c r="AD456" s="1343">
        <f>+AD12-6</f>
        <v>296</v>
      </c>
      <c r="AE456" s="433">
        <f>+AE12-5</f>
        <v>322</v>
      </c>
      <c r="AF456" s="433">
        <f>+AF12-2</f>
        <v>240</v>
      </c>
      <c r="AG456" s="399">
        <f>+AG12-3</f>
        <v>312</v>
      </c>
      <c r="AH456" s="296">
        <f>SUM(AD456:AG456)</f>
        <v>1170</v>
      </c>
      <c r="AI456" s="1343">
        <f>+AI12+128</f>
        <v>300</v>
      </c>
      <c r="AJ456" s="433">
        <f>+AJ12-145+128</f>
        <v>296</v>
      </c>
      <c r="AK456" s="433">
        <f>+AK12</f>
        <v>263</v>
      </c>
      <c r="AL456" s="399">
        <f>+AL12</f>
        <v>309</v>
      </c>
      <c r="AM456" s="296">
        <f>SUM(AI456:AL456)</f>
        <v>1168</v>
      </c>
      <c r="AN456" s="1343">
        <f>+AN12</f>
        <v>253</v>
      </c>
      <c r="AO456" s="433">
        <f>+AO12</f>
        <v>265</v>
      </c>
      <c r="AP456" s="433">
        <f>+AP12</f>
        <v>289</v>
      </c>
      <c r="AQ456" s="399">
        <f>+AQ12</f>
        <v>336</v>
      </c>
      <c r="AR456" s="296">
        <f>SUM(AN456:AQ456)</f>
        <v>1143</v>
      </c>
      <c r="AS456" s="1343">
        <f>+AS12</f>
        <v>230</v>
      </c>
      <c r="AT456" s="433">
        <f>+AT12</f>
        <v>254</v>
      </c>
      <c r="AU456" s="433">
        <f>+AU12</f>
        <v>227</v>
      </c>
      <c r="AV456" s="399">
        <f>+AV12</f>
        <v>327</v>
      </c>
      <c r="AW456" s="296">
        <f>SUM(AS456:AV456)</f>
        <v>1038</v>
      </c>
      <c r="AX456" s="392">
        <f>AS456*(1+AX457)*(1-0.107)</f>
        <v>217.71340000000001</v>
      </c>
      <c r="AY456" s="341">
        <f>AT456*(1+AY457)*(1-0.107)</f>
        <v>240.43132</v>
      </c>
      <c r="AZ456" s="344">
        <f>AU456*(1+AZ457)-5</f>
        <v>235.62</v>
      </c>
      <c r="BA456" s="393">
        <f>AV456*(1+BA457)</f>
        <v>346.62</v>
      </c>
      <c r="BB456" s="296">
        <f>SUM(AX456:BA456)</f>
        <v>1040.38472</v>
      </c>
      <c r="BC456" s="392">
        <f>AX456*(1+BC457)</f>
        <v>219.890534</v>
      </c>
      <c r="BD456" s="341">
        <f>AY456*(1+BD457)</f>
        <v>242.83563319999999</v>
      </c>
      <c r="BE456" s="341">
        <f>AZ456*(1+BE457)</f>
        <v>241.51049999999998</v>
      </c>
      <c r="BF456" s="393">
        <f>BA456*(1+BF457)</f>
        <v>355.28549999999996</v>
      </c>
      <c r="BG456" s="296">
        <f>SUM(BC456:BF456)</f>
        <v>1059.5221671999998</v>
      </c>
      <c r="BH456" s="392">
        <f>BC456*(1+BH457)</f>
        <v>224.28834467999999</v>
      </c>
      <c r="BI456" s="341">
        <f>BD456*(1+BI457)</f>
        <v>247.692345864</v>
      </c>
      <c r="BJ456" s="341">
        <f>BE456*(1+BJ457)</f>
        <v>242.71805249999994</v>
      </c>
      <c r="BK456" s="393">
        <f>BF456*(1+BK457)</f>
        <v>357.06192749999991</v>
      </c>
      <c r="BL456" s="296">
        <f>SUM(BH456:BK456)</f>
        <v>1071.7606705439998</v>
      </c>
      <c r="BM456" s="392">
        <f>BH456*(1+BM457)</f>
        <v>225.40978640339998</v>
      </c>
      <c r="BN456" s="341">
        <f>BI456*(1+BN457)</f>
        <v>248.93080759331997</v>
      </c>
      <c r="BO456" s="341">
        <f>BJ456*(1+BO457)</f>
        <v>243.93164276249991</v>
      </c>
      <c r="BP456" s="393">
        <f>BK456*(1+BP457)</f>
        <v>358.84723713749986</v>
      </c>
      <c r="BQ456" s="296">
        <f>SUM(BM456:BP456)</f>
        <v>1077.1194738967197</v>
      </c>
      <c r="BR456" s="2"/>
    </row>
    <row r="457" spans="1:70" s="2" customFormat="1">
      <c r="A457" s="290"/>
      <c r="B457" s="290"/>
      <c r="C457" s="290" t="s">
        <v>469</v>
      </c>
      <c r="D457" s="290"/>
      <c r="E457" s="529"/>
      <c r="F457" s="530"/>
      <c r="G457" s="530"/>
      <c r="H457" s="531"/>
      <c r="I457" s="290"/>
      <c r="J457" s="529">
        <f t="shared" ref="J457:AI457" si="409">J12/E12-1</f>
        <v>-8.3941605839416011E-2</v>
      </c>
      <c r="K457" s="530">
        <f t="shared" si="409"/>
        <v>-7.4733096085409234E-2</v>
      </c>
      <c r="L457" s="530">
        <f t="shared" si="409"/>
        <v>-7.547169811320753E-3</v>
      </c>
      <c r="M457" s="531">
        <f t="shared" si="409"/>
        <v>0.2088888888888889</v>
      </c>
      <c r="N457" s="528">
        <f t="shared" si="409"/>
        <v>9.5693779904304499E-4</v>
      </c>
      <c r="O457" s="529">
        <f t="shared" si="409"/>
        <v>0.10358565737051784</v>
      </c>
      <c r="P457" s="530">
        <f t="shared" si="409"/>
        <v>4.2307692307692379E-2</v>
      </c>
      <c r="Q457" s="530">
        <f t="shared" si="409"/>
        <v>-3.8022813688213253E-3</v>
      </c>
      <c r="R457" s="531">
        <f t="shared" si="409"/>
        <v>7.3529411764705843E-2</v>
      </c>
      <c r="S457" s="528">
        <f t="shared" si="409"/>
        <v>5.3537284894837445E-2</v>
      </c>
      <c r="T457" s="529">
        <f t="shared" si="409"/>
        <v>-0.12996389891696747</v>
      </c>
      <c r="U457" s="530">
        <f t="shared" si="409"/>
        <v>4.7970479704797064E-2</v>
      </c>
      <c r="V457" s="530">
        <f t="shared" si="409"/>
        <v>-2.6717557251908386E-2</v>
      </c>
      <c r="W457" s="531">
        <f t="shared" si="409"/>
        <v>0.17123287671232879</v>
      </c>
      <c r="X457" s="528">
        <f t="shared" si="409"/>
        <v>1.8148820326678861E-2</v>
      </c>
      <c r="Y457" s="529">
        <f t="shared" si="409"/>
        <v>0.17012448132780089</v>
      </c>
      <c r="Z457" s="530">
        <f t="shared" si="409"/>
        <v>-1.4084507042253502E-2</v>
      </c>
      <c r="AA457" s="530">
        <f t="shared" si="409"/>
        <v>0.19215686274509802</v>
      </c>
      <c r="AB457" s="531">
        <f t="shared" si="409"/>
        <v>4.6783625730994149E-2</v>
      </c>
      <c r="AC457" s="528">
        <f t="shared" si="409"/>
        <v>9.0909090909090828E-2</v>
      </c>
      <c r="AD457" s="529">
        <f t="shared" si="409"/>
        <v>7.0921985815602939E-2</v>
      </c>
      <c r="AE457" s="530">
        <f t="shared" si="409"/>
        <v>0.16785714285714293</v>
      </c>
      <c r="AF457" s="530">
        <f t="shared" si="409"/>
        <v>-0.20394736842105265</v>
      </c>
      <c r="AG457" s="531">
        <f t="shared" si="409"/>
        <v>-0.12011173184357538</v>
      </c>
      <c r="AH457" s="528">
        <f t="shared" si="409"/>
        <v>-3.1045751633986929E-2</v>
      </c>
      <c r="AI457" s="529">
        <f t="shared" si="409"/>
        <v>-0.43046357615894038</v>
      </c>
      <c r="AJ457" s="530">
        <f t="shared" ref="AJ457:AP457" si="410">AJ12/AE12-1</f>
        <v>-4.2813455657492394E-2</v>
      </c>
      <c r="AK457" s="530">
        <f t="shared" si="410"/>
        <v>8.6776859504132275E-2</v>
      </c>
      <c r="AL457" s="531">
        <f t="shared" si="410"/>
        <v>-1.9047619047619091E-2</v>
      </c>
      <c r="AM457" s="528">
        <f t="shared" si="410"/>
        <v>-0.10876897133220909</v>
      </c>
      <c r="AN457" s="529">
        <f t="shared" si="410"/>
        <v>0.47093023255813948</v>
      </c>
      <c r="AO457" s="530">
        <f t="shared" si="410"/>
        <v>-0.15335463258785942</v>
      </c>
      <c r="AP457" s="530">
        <f t="shared" si="410"/>
        <v>9.8859315589353569E-2</v>
      </c>
      <c r="AQ457" s="531">
        <f t="shared" ref="AQ457:AW457" si="411">AQ12/AL12-1</f>
        <v>8.737864077669899E-2</v>
      </c>
      <c r="AR457" s="528">
        <f t="shared" si="411"/>
        <v>8.1362346263008423E-2</v>
      </c>
      <c r="AS457" s="529">
        <f t="shared" si="411"/>
        <v>-9.0909090909090939E-2</v>
      </c>
      <c r="AT457" s="530">
        <f t="shared" si="411"/>
        <v>-4.1509433962264142E-2</v>
      </c>
      <c r="AU457" s="530">
        <f t="shared" si="411"/>
        <v>-0.2145328719723183</v>
      </c>
      <c r="AV457" s="531">
        <f t="shared" si="411"/>
        <v>-2.6785714285714302E-2</v>
      </c>
      <c r="AW457" s="528">
        <f t="shared" si="411"/>
        <v>-9.1863517060367439E-2</v>
      </c>
      <c r="AX457" s="529">
        <f>+AY457</f>
        <v>0.06</v>
      </c>
      <c r="AY457" s="530">
        <f>+AZ457</f>
        <v>0.06</v>
      </c>
      <c r="AZ457" s="530">
        <f>+BA457</f>
        <v>0.06</v>
      </c>
      <c r="BA457" s="531">
        <f>+BB457</f>
        <v>0.06</v>
      </c>
      <c r="BB457" s="762">
        <v>0.06</v>
      </c>
      <c r="BC457" s="529">
        <f>BG457</f>
        <v>0.01</v>
      </c>
      <c r="BD457" s="530">
        <f>BG457</f>
        <v>0.01</v>
      </c>
      <c r="BE457" s="1755">
        <f>BG457+1.5%</f>
        <v>2.5000000000000001E-2</v>
      </c>
      <c r="BF457" s="1756">
        <f>BG457+1.5%</f>
        <v>2.5000000000000001E-2</v>
      </c>
      <c r="BG457" s="762">
        <v>0.01</v>
      </c>
      <c r="BH457" s="1754">
        <f>+BL457+1.5%</f>
        <v>0.02</v>
      </c>
      <c r="BI457" s="1755">
        <f>+BL457+1.5%</f>
        <v>0.02</v>
      </c>
      <c r="BJ457" s="530">
        <f>+BL457</f>
        <v>5.0000000000000001E-3</v>
      </c>
      <c r="BK457" s="531">
        <f>+BL457</f>
        <v>5.0000000000000001E-3</v>
      </c>
      <c r="BL457" s="762">
        <v>5.0000000000000001E-3</v>
      </c>
      <c r="BM457" s="529">
        <f>+BN457</f>
        <v>5.0000000000000001E-3</v>
      </c>
      <c r="BN457" s="530">
        <f>+BO457</f>
        <v>5.0000000000000001E-3</v>
      </c>
      <c r="BO457" s="530">
        <f>+BP457</f>
        <v>5.0000000000000001E-3</v>
      </c>
      <c r="BP457" s="531">
        <f>+BQ457</f>
        <v>5.0000000000000001E-3</v>
      </c>
      <c r="BQ457" s="762">
        <v>5.0000000000000001E-3</v>
      </c>
      <c r="BR457" s="290"/>
    </row>
    <row r="458" spans="1:70" s="2" customFormat="1">
      <c r="A458" s="1523"/>
      <c r="C458" s="37"/>
      <c r="E458" s="386"/>
      <c r="F458" s="316"/>
      <c r="G458" s="316"/>
      <c r="H458" s="387"/>
      <c r="J458" s="386"/>
      <c r="K458" s="316"/>
      <c r="L458" s="316"/>
      <c r="M458" s="387"/>
      <c r="N458" s="32"/>
      <c r="O458" s="386"/>
      <c r="P458" s="316"/>
      <c r="Q458" s="316"/>
      <c r="R458" s="387"/>
      <c r="S458" s="32"/>
      <c r="T458" s="384"/>
      <c r="U458" s="338"/>
      <c r="V458" s="338"/>
      <c r="W458" s="385"/>
      <c r="X458" s="32"/>
      <c r="Y458" s="384"/>
      <c r="Z458" s="338"/>
      <c r="AA458" s="338"/>
      <c r="AB458" s="385"/>
      <c r="AC458" s="32"/>
      <c r="AD458" s="384"/>
      <c r="AE458" s="338"/>
      <c r="AF458" s="338"/>
      <c r="AG458" s="385"/>
      <c r="AH458" s="32"/>
      <c r="AI458" s="384"/>
      <c r="AJ458" s="338"/>
      <c r="AK458" s="338"/>
      <c r="AL458" s="385"/>
      <c r="AM458" s="32"/>
      <c r="AN458" s="384"/>
      <c r="AO458" s="338"/>
      <c r="AP458" s="338"/>
      <c r="AQ458" s="385"/>
      <c r="AR458" s="32"/>
      <c r="AS458" s="384"/>
      <c r="AT458" s="338"/>
      <c r="AU458" s="338"/>
      <c r="AV458" s="385"/>
      <c r="AW458" s="32"/>
      <c r="AX458" s="384"/>
      <c r="AY458" s="338"/>
      <c r="AZ458" s="338"/>
      <c r="BA458" s="385"/>
      <c r="BB458" s="32"/>
      <c r="BC458" s="384"/>
      <c r="BD458" s="338"/>
      <c r="BE458" s="338"/>
      <c r="BF458" s="385"/>
      <c r="BG458" s="32"/>
      <c r="BH458" s="384"/>
      <c r="BI458" s="338"/>
      <c r="BJ458" s="338"/>
      <c r="BK458" s="385"/>
      <c r="BL458" s="32"/>
      <c r="BM458" s="384"/>
      <c r="BN458" s="338"/>
      <c r="BO458" s="338"/>
      <c r="BP458" s="385"/>
      <c r="BQ458" s="32"/>
    </row>
    <row r="459" spans="1:70" s="2" customFormat="1">
      <c r="A459" s="1523"/>
      <c r="C459" s="37" t="s">
        <v>241</v>
      </c>
      <c r="E459" s="386"/>
      <c r="F459" s="316"/>
      <c r="G459" s="316"/>
      <c r="H459" s="387"/>
      <c r="J459" s="386"/>
      <c r="K459" s="316"/>
      <c r="L459" s="316"/>
      <c r="M459" s="387"/>
      <c r="N459" s="32"/>
      <c r="O459" s="386"/>
      <c r="P459" s="316"/>
      <c r="Q459" s="316"/>
      <c r="R459" s="387"/>
      <c r="S459" s="32"/>
      <c r="T459" s="394"/>
      <c r="U459" s="342"/>
      <c r="V459" s="342"/>
      <c r="W459" s="395"/>
      <c r="X459" s="77"/>
      <c r="Y459" s="394"/>
      <c r="Z459" s="342"/>
      <c r="AA459" s="342">
        <f t="shared" ref="AA459:BL459" si="412">+AA188</f>
        <v>13274</v>
      </c>
      <c r="AB459" s="395">
        <f t="shared" si="412"/>
        <v>13274</v>
      </c>
      <c r="AC459" s="77">
        <f t="shared" si="412"/>
        <v>13274</v>
      </c>
      <c r="AD459" s="394">
        <f t="shared" si="412"/>
        <v>13274</v>
      </c>
      <c r="AE459" s="342">
        <f t="shared" si="412"/>
        <v>13274</v>
      </c>
      <c r="AF459" s="342">
        <f t="shared" si="412"/>
        <v>13337</v>
      </c>
      <c r="AG459" s="395">
        <f t="shared" si="412"/>
        <v>13337</v>
      </c>
      <c r="AH459" s="77">
        <f t="shared" si="412"/>
        <v>13337</v>
      </c>
      <c r="AI459" s="394">
        <f t="shared" si="412"/>
        <v>13337</v>
      </c>
      <c r="AJ459" s="342">
        <f t="shared" si="412"/>
        <v>13337</v>
      </c>
      <c r="AK459" s="342">
        <f t="shared" si="412"/>
        <v>11605</v>
      </c>
      <c r="AL459" s="395">
        <f t="shared" si="412"/>
        <v>11605</v>
      </c>
      <c r="AM459" s="77">
        <f t="shared" si="412"/>
        <v>11605</v>
      </c>
      <c r="AN459" s="394">
        <f t="shared" ref="AN459:AS459" si="413">+AN188</f>
        <v>11605</v>
      </c>
      <c r="AO459" s="342">
        <f t="shared" si="413"/>
        <v>11605</v>
      </c>
      <c r="AP459" s="342">
        <f t="shared" si="413"/>
        <v>11749.5</v>
      </c>
      <c r="AQ459" s="395">
        <f t="shared" si="413"/>
        <v>11749.5</v>
      </c>
      <c r="AR459" s="77">
        <f t="shared" si="413"/>
        <v>11749.5</v>
      </c>
      <c r="AS459" s="394">
        <f t="shared" si="413"/>
        <v>11749.5</v>
      </c>
      <c r="AT459" s="342">
        <f>+AT188</f>
        <v>11749.5</v>
      </c>
      <c r="AU459" s="342">
        <f>+AU188</f>
        <v>10555.5</v>
      </c>
      <c r="AV459" s="395">
        <f>+AV188</f>
        <v>10555.5</v>
      </c>
      <c r="AW459" s="77">
        <f>+AW188</f>
        <v>10555.5</v>
      </c>
      <c r="AX459" s="394">
        <f t="shared" si="412"/>
        <v>10555.5</v>
      </c>
      <c r="AY459" s="342">
        <f t="shared" si="412"/>
        <v>11310.5</v>
      </c>
      <c r="AZ459" s="342">
        <f>+AZ188</f>
        <v>11390.5</v>
      </c>
      <c r="BA459" s="395">
        <f t="shared" si="412"/>
        <v>11310.5</v>
      </c>
      <c r="BB459" s="77">
        <f t="shared" si="412"/>
        <v>11310.5</v>
      </c>
      <c r="BC459" s="394">
        <f t="shared" si="412"/>
        <v>11310.5</v>
      </c>
      <c r="BD459" s="342">
        <f t="shared" si="412"/>
        <v>11472.166666666668</v>
      </c>
      <c r="BE459" s="342">
        <f t="shared" si="412"/>
        <v>11795.5</v>
      </c>
      <c r="BF459" s="395">
        <f t="shared" si="412"/>
        <v>11795.5</v>
      </c>
      <c r="BG459" s="77">
        <f t="shared" si="412"/>
        <v>11795.5</v>
      </c>
      <c r="BH459" s="394">
        <f t="shared" si="412"/>
        <v>11795.5</v>
      </c>
      <c r="BI459" s="342">
        <f t="shared" si="412"/>
        <v>11795.5</v>
      </c>
      <c r="BJ459" s="342">
        <f t="shared" si="412"/>
        <v>11795.5</v>
      </c>
      <c r="BK459" s="395">
        <f t="shared" si="412"/>
        <v>11795.5</v>
      </c>
      <c r="BL459" s="77">
        <f t="shared" si="412"/>
        <v>11795.5</v>
      </c>
      <c r="BM459" s="394">
        <f>+BM188</f>
        <v>11795.5</v>
      </c>
      <c r="BN459" s="342">
        <f>+BN188</f>
        <v>11795.5</v>
      </c>
      <c r="BO459" s="342">
        <f>+BO188</f>
        <v>11795.5</v>
      </c>
      <c r="BP459" s="395">
        <f>+BP188</f>
        <v>11795.5</v>
      </c>
      <c r="BQ459" s="77">
        <f>+BQ188</f>
        <v>11795.5</v>
      </c>
    </row>
    <row r="460" spans="1:70" s="2" customFormat="1">
      <c r="A460" s="1523"/>
      <c r="C460" s="37" t="s">
        <v>242</v>
      </c>
      <c r="E460" s="386"/>
      <c r="F460" s="316"/>
      <c r="G460" s="316"/>
      <c r="H460" s="387"/>
      <c r="J460" s="386"/>
      <c r="K460" s="316"/>
      <c r="L460" s="316"/>
      <c r="M460" s="387"/>
      <c r="N460" s="32"/>
      <c r="O460" s="386"/>
      <c r="P460" s="316"/>
      <c r="Q460" s="316"/>
      <c r="R460" s="387"/>
      <c r="S460" s="32"/>
      <c r="T460" s="394"/>
      <c r="U460" s="342"/>
      <c r="V460" s="342"/>
      <c r="W460" s="395"/>
      <c r="X460" s="77"/>
      <c r="Y460" s="394"/>
      <c r="Z460" s="342"/>
      <c r="AA460" s="342">
        <f t="shared" ref="AA460:BL460" si="414">+AA166</f>
        <v>13386.177900000001</v>
      </c>
      <c r="AB460" s="395">
        <f t="shared" si="414"/>
        <v>13060.9629</v>
      </c>
      <c r="AC460" s="77">
        <f t="shared" si="414"/>
        <v>51681.678599999999</v>
      </c>
      <c r="AD460" s="394">
        <f t="shared" si="414"/>
        <v>11587.530900000002</v>
      </c>
      <c r="AE460" s="342">
        <f t="shared" si="414"/>
        <v>13315.002899999999</v>
      </c>
      <c r="AF460" s="342">
        <f t="shared" si="414"/>
        <v>13882.8699</v>
      </c>
      <c r="AG460" s="395">
        <f t="shared" si="414"/>
        <v>10960.2492</v>
      </c>
      <c r="AH460" s="77">
        <f t="shared" si="414"/>
        <v>49745.652900000001</v>
      </c>
      <c r="AI460" s="394">
        <f t="shared" si="414"/>
        <v>14778.0543</v>
      </c>
      <c r="AJ460" s="342">
        <f t="shared" si="414"/>
        <v>13077.081300000002</v>
      </c>
      <c r="AK460" s="342">
        <f t="shared" si="414"/>
        <v>13759.353899999998</v>
      </c>
      <c r="AL460" s="395">
        <f t="shared" si="414"/>
        <v>12303.1572</v>
      </c>
      <c r="AM460" s="77">
        <f t="shared" si="414"/>
        <v>53917.646699999998</v>
      </c>
      <c r="AN460" s="394">
        <f t="shared" ref="AN460:AS460" si="415">+AN166</f>
        <v>13234.180950000002</v>
      </c>
      <c r="AO460" s="342">
        <f t="shared" si="415"/>
        <v>12576.3159</v>
      </c>
      <c r="AP460" s="342">
        <f t="shared" si="415"/>
        <v>13984.201200000001</v>
      </c>
      <c r="AQ460" s="395">
        <f t="shared" si="415"/>
        <v>13407.738450000001</v>
      </c>
      <c r="AR460" s="77">
        <f t="shared" si="415"/>
        <v>53202.436500000003</v>
      </c>
      <c r="AS460" s="394">
        <f t="shared" si="415"/>
        <v>13336.563450000001</v>
      </c>
      <c r="AT460" s="342">
        <f>+AT166</f>
        <v>12381.8001</v>
      </c>
      <c r="AU460" s="342">
        <f>+AU166</f>
        <v>13419.181199999999</v>
      </c>
      <c r="AV460" s="395">
        <f>+AV166</f>
        <v>13327.803449999999</v>
      </c>
      <c r="AW460" s="77">
        <f>+AW166</f>
        <v>52465.3482</v>
      </c>
      <c r="AX460" s="394">
        <f t="shared" si="414"/>
        <v>11629.239450000001</v>
      </c>
      <c r="AY460" s="342">
        <f t="shared" si="414"/>
        <v>14191.506600000001</v>
      </c>
      <c r="AZ460" s="342">
        <f>+AZ166</f>
        <v>15876.63495</v>
      </c>
      <c r="BA460" s="395">
        <f t="shared" si="414"/>
        <v>15054.8922</v>
      </c>
      <c r="BB460" s="77">
        <f t="shared" si="414"/>
        <v>56752.273199999996</v>
      </c>
      <c r="BC460" s="394">
        <f t="shared" si="414"/>
        <v>15054.8922</v>
      </c>
      <c r="BD460" s="342">
        <f t="shared" si="414"/>
        <v>14519.367850000001</v>
      </c>
      <c r="BE460" s="342">
        <f t="shared" si="414"/>
        <v>15032.740350000002</v>
      </c>
      <c r="BF460" s="395">
        <f t="shared" si="414"/>
        <v>14505.913950000002</v>
      </c>
      <c r="BG460" s="77">
        <f t="shared" si="414"/>
        <v>59112.914350000006</v>
      </c>
      <c r="BH460" s="394">
        <f t="shared" si="414"/>
        <v>15824.95095</v>
      </c>
      <c r="BI460" s="342">
        <f t="shared" si="414"/>
        <v>15032.740350000002</v>
      </c>
      <c r="BJ460" s="342">
        <f t="shared" si="414"/>
        <v>15032.740350000002</v>
      </c>
      <c r="BK460" s="395">
        <f t="shared" si="414"/>
        <v>14505.913950000002</v>
      </c>
      <c r="BL460" s="77">
        <f t="shared" si="414"/>
        <v>60396.345600000008</v>
      </c>
      <c r="BM460" s="394">
        <f>+BM166</f>
        <v>15824.95095</v>
      </c>
      <c r="BN460" s="342">
        <f>+BN166</f>
        <v>15032.740350000002</v>
      </c>
      <c r="BO460" s="342">
        <f>+BO166</f>
        <v>15032.740350000002</v>
      </c>
      <c r="BP460" s="395">
        <f>+BP166</f>
        <v>14240.37645</v>
      </c>
      <c r="BQ460" s="77">
        <f>+BQ166</f>
        <v>60130.808100000009</v>
      </c>
    </row>
    <row r="461" spans="1:70" s="2" customFormat="1">
      <c r="A461" s="1523"/>
      <c r="C461" s="37"/>
      <c r="E461" s="386"/>
      <c r="F461" s="316"/>
      <c r="G461" s="316"/>
      <c r="H461" s="387"/>
      <c r="J461" s="386"/>
      <c r="K461" s="316"/>
      <c r="L461" s="316"/>
      <c r="M461" s="387"/>
      <c r="N461" s="32"/>
      <c r="O461" s="386"/>
      <c r="P461" s="316"/>
      <c r="Q461" s="316"/>
      <c r="R461" s="387"/>
      <c r="S461" s="32"/>
      <c r="T461" s="384"/>
      <c r="U461" s="338"/>
      <c r="V461" s="338"/>
      <c r="W461" s="385"/>
      <c r="X461" s="32"/>
      <c r="Y461" s="384"/>
      <c r="Z461" s="338"/>
      <c r="AA461" s="338"/>
      <c r="AB461" s="385"/>
      <c r="AC461" s="32"/>
      <c r="AD461" s="384"/>
      <c r="AE461" s="338"/>
      <c r="AF461" s="338"/>
      <c r="AG461" s="385"/>
      <c r="AH461" s="32"/>
      <c r="AI461" s="384"/>
      <c r="AJ461" s="338"/>
      <c r="AK461" s="338"/>
      <c r="AL461" s="385"/>
      <c r="AM461" s="32"/>
      <c r="AN461" s="384"/>
      <c r="AO461" s="338"/>
      <c r="AP461" s="338"/>
      <c r="AQ461" s="385"/>
      <c r="AR461" s="32"/>
      <c r="AS461" s="384"/>
      <c r="AT461" s="338"/>
      <c r="AU461" s="338"/>
      <c r="AV461" s="385"/>
      <c r="AW461" s="32"/>
      <c r="AX461" s="384"/>
      <c r="AY461" s="338"/>
      <c r="AZ461" s="338"/>
      <c r="BA461" s="385"/>
      <c r="BB461" s="32"/>
      <c r="BC461" s="384"/>
      <c r="BD461" s="338"/>
      <c r="BE461" s="338"/>
      <c r="BF461" s="385"/>
      <c r="BG461" s="32"/>
      <c r="BH461" s="384"/>
      <c r="BI461" s="338"/>
      <c r="BJ461" s="338"/>
      <c r="BK461" s="385"/>
      <c r="BL461" s="32"/>
      <c r="BM461" s="384"/>
      <c r="BN461" s="338"/>
      <c r="BO461" s="338"/>
      <c r="BP461" s="385"/>
      <c r="BQ461" s="32"/>
    </row>
    <row r="462" spans="1:70" s="2" customFormat="1">
      <c r="A462" s="1523"/>
      <c r="C462" s="37"/>
      <c r="E462" s="386"/>
      <c r="F462" s="316"/>
      <c r="G462" s="316"/>
      <c r="H462" s="387"/>
      <c r="J462" s="386"/>
      <c r="K462" s="316"/>
      <c r="L462" s="316"/>
      <c r="M462" s="387"/>
      <c r="N462" s="32"/>
      <c r="O462" s="386"/>
      <c r="P462" s="316"/>
      <c r="Q462" s="316"/>
      <c r="R462" s="387"/>
      <c r="S462" s="32"/>
      <c r="T462" s="384"/>
      <c r="U462" s="338"/>
      <c r="V462" s="338"/>
      <c r="W462" s="385"/>
      <c r="X462" s="32"/>
      <c r="Y462" s="384"/>
      <c r="Z462" s="338"/>
      <c r="AA462" s="338"/>
      <c r="AB462" s="385"/>
      <c r="AC462" s="32"/>
      <c r="AD462" s="384"/>
      <c r="AE462" s="338"/>
      <c r="AF462" s="338"/>
      <c r="AG462" s="385"/>
      <c r="AH462" s="32"/>
      <c r="AI462" s="384"/>
      <c r="AJ462" s="338"/>
      <c r="AK462" s="338"/>
      <c r="AL462" s="385"/>
      <c r="AM462" s="32"/>
      <c r="AN462" s="384"/>
      <c r="AO462" s="338"/>
      <c r="AP462" s="338"/>
      <c r="AQ462" s="385"/>
      <c r="AR462" s="32"/>
      <c r="AS462" s="384"/>
      <c r="AT462" s="338"/>
      <c r="AU462" s="338"/>
      <c r="AV462" s="385"/>
      <c r="AW462" s="32"/>
      <c r="AX462" s="384"/>
      <c r="AY462" s="338"/>
      <c r="AZ462" s="338"/>
      <c r="BA462" s="385"/>
      <c r="BB462" s="32"/>
      <c r="BC462" s="384"/>
      <c r="BD462" s="338"/>
      <c r="BE462" s="338"/>
      <c r="BF462" s="385"/>
      <c r="BG462" s="32"/>
      <c r="BH462" s="384"/>
      <c r="BI462" s="338"/>
      <c r="BJ462" s="338"/>
      <c r="BK462" s="385"/>
      <c r="BL462" s="32"/>
      <c r="BM462" s="384"/>
      <c r="BN462" s="338"/>
      <c r="BO462" s="338"/>
      <c r="BP462" s="385"/>
      <c r="BQ462" s="32"/>
    </row>
    <row r="463" spans="1:70" s="2" customFormat="1">
      <c r="A463" s="1523"/>
      <c r="B463" s="105" t="s">
        <v>341</v>
      </c>
      <c r="C463" s="277"/>
      <c r="D463" s="277"/>
      <c r="E463" s="356"/>
      <c r="F463" s="326"/>
      <c r="G463" s="326"/>
      <c r="H463" s="357"/>
      <c r="J463" s="356"/>
      <c r="K463" s="326"/>
      <c r="L463" s="326"/>
      <c r="M463" s="357"/>
      <c r="O463" s="356"/>
      <c r="P463" s="326"/>
      <c r="Q463" s="326"/>
      <c r="R463" s="357"/>
      <c r="T463" s="356"/>
      <c r="U463" s="326"/>
      <c r="V463" s="326"/>
      <c r="W463" s="357"/>
      <c r="Y463" s="356"/>
      <c r="Z463" s="326"/>
      <c r="AA463" s="326"/>
      <c r="AB463" s="357"/>
      <c r="AD463" s="356"/>
      <c r="AE463" s="326"/>
      <c r="AF463" s="326"/>
      <c r="AG463" s="357"/>
      <c r="AI463" s="356"/>
      <c r="AJ463" s="326"/>
      <c r="AK463" s="326"/>
      <c r="AL463" s="357"/>
      <c r="AN463" s="356"/>
      <c r="AO463" s="326"/>
      <c r="AP463" s="326"/>
      <c r="AQ463" s="357"/>
      <c r="AS463" s="356"/>
      <c r="AT463" s="326"/>
      <c r="AU463" s="326"/>
      <c r="AV463" s="357"/>
      <c r="AX463" s="356"/>
      <c r="AY463" s="326"/>
      <c r="AZ463" s="326"/>
      <c r="BA463" s="357"/>
      <c r="BC463" s="356"/>
      <c r="BD463" s="326"/>
      <c r="BE463" s="326"/>
      <c r="BF463" s="357"/>
      <c r="BH463" s="356"/>
      <c r="BI463" s="326"/>
      <c r="BJ463" s="326"/>
      <c r="BK463" s="357"/>
      <c r="BM463" s="356"/>
      <c r="BN463" s="326"/>
      <c r="BO463" s="326"/>
      <c r="BP463" s="357"/>
    </row>
    <row r="464" spans="1:70" s="2" customFormat="1">
      <c r="A464" s="1523"/>
      <c r="C464" s="37"/>
      <c r="E464" s="413"/>
      <c r="F464" s="350"/>
      <c r="G464" s="350"/>
      <c r="H464" s="359"/>
      <c r="I464" s="3"/>
      <c r="J464" s="358"/>
      <c r="K464" s="312"/>
      <c r="L464" s="312"/>
      <c r="M464" s="359"/>
      <c r="N464" s="296"/>
      <c r="O464" s="394"/>
      <c r="P464" s="342"/>
      <c r="Q464" s="342"/>
      <c r="R464" s="395"/>
      <c r="S464" s="296"/>
      <c r="T464" s="394"/>
      <c r="U464" s="342"/>
      <c r="V464" s="342"/>
      <c r="W464" s="395"/>
      <c r="X464" s="296"/>
      <c r="Y464" s="394"/>
      <c r="Z464" s="342"/>
      <c r="AA464" s="342"/>
      <c r="AB464" s="395"/>
      <c r="AC464" s="296"/>
      <c r="AD464" s="394"/>
      <c r="AE464" s="342"/>
      <c r="AF464" s="342"/>
      <c r="AG464" s="395"/>
      <c r="AH464" s="296"/>
      <c r="AI464" s="394"/>
      <c r="AJ464" s="342"/>
      <c r="AK464" s="342"/>
      <c r="AL464" s="395"/>
      <c r="AM464" s="296"/>
      <c r="AN464" s="394"/>
      <c r="AO464" s="342"/>
      <c r="AP464" s="342"/>
      <c r="AQ464" s="395"/>
      <c r="AR464" s="296"/>
      <c r="AS464" s="394"/>
      <c r="AT464" s="342"/>
      <c r="AU464" s="342"/>
      <c r="AV464" s="395"/>
      <c r="AW464" s="296"/>
      <c r="AX464" s="394"/>
      <c r="AY464" s="342"/>
      <c r="AZ464" s="342"/>
      <c r="BA464" s="395"/>
      <c r="BB464" s="296"/>
      <c r="BC464" s="394"/>
      <c r="BD464" s="342"/>
      <c r="BE464" s="342"/>
      <c r="BF464" s="395"/>
      <c r="BG464" s="296"/>
      <c r="BH464" s="394"/>
      <c r="BI464" s="342"/>
      <c r="BJ464" s="342"/>
      <c r="BK464" s="395"/>
      <c r="BL464" s="296"/>
      <c r="BM464" s="394"/>
      <c r="BN464" s="342"/>
      <c r="BO464" s="342"/>
      <c r="BP464" s="395"/>
      <c r="BQ464" s="296"/>
    </row>
    <row r="465" spans="1:72" s="2" customFormat="1">
      <c r="A465" s="1523"/>
      <c r="C465" s="37" t="s">
        <v>254</v>
      </c>
      <c r="E465" s="456">
        <v>7604</v>
      </c>
      <c r="F465" s="457">
        <v>7770</v>
      </c>
      <c r="G465" s="457">
        <v>7940</v>
      </c>
      <c r="H465" s="458">
        <f>5341+1464+1121</f>
        <v>7926</v>
      </c>
      <c r="I465" s="296">
        <f>+H465</f>
        <v>7926</v>
      </c>
      <c r="J465" s="456">
        <f>8717-J469</f>
        <v>7596</v>
      </c>
      <c r="K465" s="457">
        <f>8836-K469</f>
        <v>7715</v>
      </c>
      <c r="L465" s="457">
        <f>9104-L469</f>
        <v>8663</v>
      </c>
      <c r="M465" s="458">
        <f>6520+441+1682-M469</f>
        <v>8202</v>
      </c>
      <c r="N465" s="296">
        <f>+M465</f>
        <v>8202</v>
      </c>
      <c r="O465" s="456">
        <f>8763-O469</f>
        <v>8322</v>
      </c>
      <c r="P465" s="457">
        <f>8867-P469</f>
        <v>8426</v>
      </c>
      <c r="Q465" s="457">
        <f>9118-Q469</f>
        <v>8334</v>
      </c>
      <c r="R465" s="458">
        <f>9191-R469</f>
        <v>8407</v>
      </c>
      <c r="S465" s="296">
        <f>+R465</f>
        <v>8407</v>
      </c>
      <c r="T465" s="456">
        <f>9345-T469</f>
        <v>8644.5</v>
      </c>
      <c r="U465" s="457">
        <f>9379-U469</f>
        <v>8762</v>
      </c>
      <c r="V465" s="457">
        <f>9564-V469</f>
        <v>9030.5</v>
      </c>
      <c r="W465" s="458">
        <f>9697-W469</f>
        <v>9247</v>
      </c>
      <c r="X465" s="296">
        <f>+W465</f>
        <v>9247</v>
      </c>
      <c r="Y465" s="459">
        <f>9786-Y469</f>
        <v>9326.25</v>
      </c>
      <c r="Z465" s="460">
        <f>9811-Z469</f>
        <v>9341.5</v>
      </c>
      <c r="AA465" s="460">
        <f>10035-AA469</f>
        <v>9555.75</v>
      </c>
      <c r="AB465" s="461">
        <f>10278-AB469</f>
        <v>9789</v>
      </c>
      <c r="AC465" s="296">
        <f>+AB465</f>
        <v>9789</v>
      </c>
      <c r="AD465" s="459">
        <f>10372-AD469</f>
        <v>9826.75</v>
      </c>
      <c r="AE465" s="460">
        <f>10458-AE469</f>
        <v>9856.5</v>
      </c>
      <c r="AF465" s="460">
        <f>10613-AF469</f>
        <v>9955.25</v>
      </c>
      <c r="AG465" s="461">
        <f>10732-AG469</f>
        <v>10018</v>
      </c>
      <c r="AH465" s="296">
        <f>+AG465</f>
        <v>10018</v>
      </c>
      <c r="AI465" s="459">
        <f>10825-AI469</f>
        <v>10066.5</v>
      </c>
      <c r="AJ465" s="460">
        <f>10942-AJ469</f>
        <v>10139</v>
      </c>
      <c r="AK465" s="460">
        <f>11273-AK469</f>
        <v>10425.5</v>
      </c>
      <c r="AL465" s="461">
        <f>11354-AL469</f>
        <v>10462</v>
      </c>
      <c r="AM465" s="296">
        <f>+AL465</f>
        <v>10462</v>
      </c>
      <c r="AN465" s="459">
        <f>11690-AN469</f>
        <v>11690</v>
      </c>
      <c r="AO465" s="460">
        <f>11969-AO469</f>
        <v>11969</v>
      </c>
      <c r="AP465" s="460">
        <f>12271-AP469</f>
        <v>12271</v>
      </c>
      <c r="AQ465" s="461">
        <f>12655-AQ469</f>
        <v>12655</v>
      </c>
      <c r="AR465" s="296">
        <f>+AQ465</f>
        <v>12655</v>
      </c>
      <c r="AS465" s="459">
        <f>12922-AS469</f>
        <v>12922</v>
      </c>
      <c r="AT465" s="460">
        <f>10881-AT469</f>
        <v>10881</v>
      </c>
      <c r="AU465" s="460">
        <f>11256-AU469</f>
        <v>11256</v>
      </c>
      <c r="AV465" s="461">
        <f>11755-AV469</f>
        <v>11755</v>
      </c>
      <c r="AW465" s="296">
        <f>+AV465</f>
        <v>11755</v>
      </c>
      <c r="AX465" s="394">
        <f>+AW465+AX480-(AX469-AW469)</f>
        <v>11916.25</v>
      </c>
      <c r="AY465" s="342">
        <f>+AX465+AY480-(AY469-AX469)</f>
        <v>12077.5</v>
      </c>
      <c r="AZ465" s="342">
        <f>+AY465+AZ480-(AZ469-AY469)</f>
        <v>12238.75</v>
      </c>
      <c r="BA465" s="395">
        <f>+AY465+BA480-(BA469-AY469)</f>
        <v>12238.75</v>
      </c>
      <c r="BB465" s="296">
        <f>+BA465</f>
        <v>12238.75</v>
      </c>
      <c r="BC465" s="394">
        <f>+BB465+BC480-(BC469-BB469)</f>
        <v>12303.75</v>
      </c>
      <c r="BD465" s="342">
        <f>+BC465+BD480-(BD469-BC469)</f>
        <v>12368.75</v>
      </c>
      <c r="BE465" s="342">
        <f>+BD465+BE480-(BE469-BD469)</f>
        <v>12433.75</v>
      </c>
      <c r="BF465" s="395">
        <f>+BE465+BF480-(BF469-BE469)</f>
        <v>12498.75</v>
      </c>
      <c r="BG465" s="296">
        <f>+BF465</f>
        <v>12498.75</v>
      </c>
      <c r="BH465" s="394">
        <f>+BG465+BH480-(BH469-BG469)</f>
        <v>12547.5</v>
      </c>
      <c r="BI465" s="342">
        <f>+BH465+BI480-(BI469-BH469)</f>
        <v>12596.25</v>
      </c>
      <c r="BJ465" s="342">
        <f>+BI465+BJ480-(BJ469-BI469)</f>
        <v>12645</v>
      </c>
      <c r="BK465" s="395">
        <f>+BJ465+BK480-(BK469-BJ469)</f>
        <v>12693.75</v>
      </c>
      <c r="BL465" s="296">
        <f>+BK465</f>
        <v>12693.75</v>
      </c>
      <c r="BM465" s="394">
        <f>+BL465+BM480-(BM469-BL469)</f>
        <v>12745</v>
      </c>
      <c r="BN465" s="342">
        <f>+BM465+BN480-(BN469-BM469)</f>
        <v>12796.25</v>
      </c>
      <c r="BO465" s="342">
        <f>+BN465+BO480-(BO469-BN469)</f>
        <v>12847.5</v>
      </c>
      <c r="BP465" s="395">
        <f>+BO465+BP480-(BP469-BO469)</f>
        <v>12898.75</v>
      </c>
      <c r="BQ465" s="296">
        <f>+BP465</f>
        <v>12898.75</v>
      </c>
    </row>
    <row r="466" spans="1:72" s="2" customFormat="1">
      <c r="A466" s="1523"/>
      <c r="C466" s="37" t="s">
        <v>446</v>
      </c>
      <c r="E466" s="456">
        <v>-2040</v>
      </c>
      <c r="F466" s="457">
        <v>-2068</v>
      </c>
      <c r="G466" s="457">
        <v>-2144</v>
      </c>
      <c r="H466" s="458">
        <v>-2095</v>
      </c>
      <c r="I466" s="296">
        <f>+H466</f>
        <v>-2095</v>
      </c>
      <c r="J466" s="456">
        <v>-2276</v>
      </c>
      <c r="K466" s="457">
        <v>-2333</v>
      </c>
      <c r="L466" s="457">
        <v>-2415</v>
      </c>
      <c r="M466" s="458">
        <v>-2301</v>
      </c>
      <c r="N466" s="296">
        <f>+M466</f>
        <v>-2301</v>
      </c>
      <c r="O466" s="456">
        <v>-2394</v>
      </c>
      <c r="P466" s="457">
        <v>-2457</v>
      </c>
      <c r="Q466" s="457">
        <v>-2552</v>
      </c>
      <c r="R466" s="458">
        <v>-2460</v>
      </c>
      <c r="S466" s="296">
        <f>+R466</f>
        <v>-2460</v>
      </c>
      <c r="T466" s="456">
        <v>-2550</v>
      </c>
      <c r="U466" s="457">
        <v>-2586</v>
      </c>
      <c r="V466" s="457">
        <v>-2692</v>
      </c>
      <c r="W466" s="458">
        <v>-2679</v>
      </c>
      <c r="X466" s="296">
        <f>+W466</f>
        <v>-2679</v>
      </c>
      <c r="Y466" s="459">
        <v>-2793</v>
      </c>
      <c r="Z466" s="460">
        <v>-2857</v>
      </c>
      <c r="AA466" s="460">
        <v>-2973</v>
      </c>
      <c r="AB466" s="461">
        <v>-2911</v>
      </c>
      <c r="AC466" s="296">
        <f>+AB466</f>
        <v>-2911</v>
      </c>
      <c r="AD466" s="459">
        <v>-3037</v>
      </c>
      <c r="AE466" s="460">
        <v>-3153</v>
      </c>
      <c r="AF466" s="460">
        <v>-3229</v>
      </c>
      <c r="AG466" s="461">
        <v>-3217</v>
      </c>
      <c r="AH466" s="296">
        <f>+AG466</f>
        <v>-3217</v>
      </c>
      <c r="AI466" s="459">
        <v>-3348</v>
      </c>
      <c r="AJ466" s="460">
        <v>-3235</v>
      </c>
      <c r="AK466" s="460">
        <v>-3366</v>
      </c>
      <c r="AL466" s="461">
        <v>-3227</v>
      </c>
      <c r="AM466" s="296">
        <f>+AL466</f>
        <v>-3227</v>
      </c>
      <c r="AN466" s="459">
        <v>-3364</v>
      </c>
      <c r="AO466" s="460">
        <v>-3491</v>
      </c>
      <c r="AP466" s="460">
        <v>-3564</v>
      </c>
      <c r="AQ466" s="461">
        <v>-4135</v>
      </c>
      <c r="AR466" s="296">
        <f>+AQ466</f>
        <v>-4135</v>
      </c>
      <c r="AS466" s="459">
        <v>-4837</v>
      </c>
      <c r="AT466" s="460">
        <v>-3055</v>
      </c>
      <c r="AU466" s="460">
        <v>-3184</v>
      </c>
      <c r="AV466" s="461">
        <v>-3159</v>
      </c>
      <c r="AW466" s="296">
        <f>+AV466</f>
        <v>-3159</v>
      </c>
      <c r="AX466" s="394">
        <f>+AV466-AX472</f>
        <v>-3238.4206863450922</v>
      </c>
      <c r="AY466" s="342">
        <f>+AX466-AY472</f>
        <v>-3318.5974150649658</v>
      </c>
      <c r="AZ466" s="342">
        <f>+AY466-AZ472</f>
        <v>-3399.5232008868998</v>
      </c>
      <c r="BA466" s="395">
        <f>+AY466-BA472</f>
        <v>-3399.5232008868998</v>
      </c>
      <c r="BB466" s="296">
        <f>+BA466</f>
        <v>-3399.5232008868998</v>
      </c>
      <c r="BC466" s="394">
        <f>+BA466-BC472</f>
        <v>-3481.1911230769297</v>
      </c>
      <c r="BD466" s="342">
        <f>+BC466-BD472</f>
        <v>-3562.705045985866</v>
      </c>
      <c r="BE466" s="342">
        <f>+BD466-BE472</f>
        <v>-3644.0663924532391</v>
      </c>
      <c r="BF466" s="395">
        <f>+BE466-BF472</f>
        <v>-3725.2765721725937</v>
      </c>
      <c r="BG466" s="296">
        <f>+BF466</f>
        <v>-3725.2765721725937</v>
      </c>
      <c r="BH466" s="394">
        <f>+BF466-BH472</f>
        <v>-3806.3369818129477</v>
      </c>
      <c r="BI466" s="342">
        <f>+BH466-BI472</f>
        <v>-3887.0988671501691</v>
      </c>
      <c r="BJ466" s="342">
        <f>+BI466-BJ472</f>
        <v>-3967.5649863281674</v>
      </c>
      <c r="BK466" s="395">
        <f>+BJ466-BK472</f>
        <v>-4047.7380720076408</v>
      </c>
      <c r="BL466" s="296">
        <f>+BK466</f>
        <v>-4047.7380720076408</v>
      </c>
      <c r="BM466" s="394">
        <f>+BK466-BM472</f>
        <v>-4127.6208316015227</v>
      </c>
      <c r="BN466" s="342">
        <f>+BM466-BN472</f>
        <v>-4207.2390456603998</v>
      </c>
      <c r="BO466" s="342">
        <f>+BN466-BO472</f>
        <v>-4286.5951583894794</v>
      </c>
      <c r="BP466" s="395">
        <f>+BO466-BP472</f>
        <v>-4365.6915914113188</v>
      </c>
      <c r="BQ466" s="296">
        <f>+BP466</f>
        <v>-4365.6915914113188</v>
      </c>
    </row>
    <row r="467" spans="1:72" s="2" customFormat="1">
      <c r="A467" s="1523"/>
      <c r="C467" s="49" t="s">
        <v>510</v>
      </c>
      <c r="E467" s="396">
        <f>+SUM(E465:E466)</f>
        <v>5564</v>
      </c>
      <c r="F467" s="343">
        <f>+SUM(F465:F466)</f>
        <v>5702</v>
      </c>
      <c r="G467" s="343">
        <f>+SUM(G465:G466)</f>
        <v>5796</v>
      </c>
      <c r="H467" s="397">
        <f>+SUM(H465:H466)</f>
        <v>5831</v>
      </c>
      <c r="I467" s="297">
        <f>+H467</f>
        <v>5831</v>
      </c>
      <c r="J467" s="396">
        <f>+SUM(J465:J466)</f>
        <v>5320</v>
      </c>
      <c r="K467" s="343">
        <f>+SUM(K465:K466)</f>
        <v>5382</v>
      </c>
      <c r="L467" s="343">
        <f>+SUM(L465:L466)</f>
        <v>6248</v>
      </c>
      <c r="M467" s="397">
        <f>+SUM(M465:M466)</f>
        <v>5901</v>
      </c>
      <c r="N467" s="297">
        <f>+M467</f>
        <v>5901</v>
      </c>
      <c r="O467" s="396">
        <f>+SUM(O465:O466)</f>
        <v>5928</v>
      </c>
      <c r="P467" s="343">
        <f>+SUM(P465:P466)</f>
        <v>5969</v>
      </c>
      <c r="Q467" s="343">
        <f>+SUM(Q465:Q466)</f>
        <v>5782</v>
      </c>
      <c r="R467" s="397">
        <f>+SUM(R465:R466)</f>
        <v>5947</v>
      </c>
      <c r="S467" s="297">
        <f>+R467</f>
        <v>5947</v>
      </c>
      <c r="T467" s="396">
        <f>+SUM(T465:T466)</f>
        <v>6094.5</v>
      </c>
      <c r="U467" s="343">
        <f>+SUM(U465:U466)</f>
        <v>6176</v>
      </c>
      <c r="V467" s="343">
        <f>+SUM(V465:V466)</f>
        <v>6338.5</v>
      </c>
      <c r="W467" s="397">
        <f>+SUM(W465:W466)</f>
        <v>6568</v>
      </c>
      <c r="X467" s="297">
        <f>+W467</f>
        <v>6568</v>
      </c>
      <c r="Y467" s="396">
        <f>+SUM(Y465:Y466)</f>
        <v>6533.25</v>
      </c>
      <c r="Z467" s="343">
        <f>+SUM(Z465:Z466)</f>
        <v>6484.5</v>
      </c>
      <c r="AA467" s="343">
        <f>+SUM(AA465:AA466)</f>
        <v>6582.75</v>
      </c>
      <c r="AB467" s="397">
        <f>+SUM(AB465:AB466)</f>
        <v>6878</v>
      </c>
      <c r="AC467" s="297">
        <f>+AB467</f>
        <v>6878</v>
      </c>
      <c r="AD467" s="396">
        <f>+SUM(AD465:AD466)</f>
        <v>6789.75</v>
      </c>
      <c r="AE467" s="343">
        <f>+SUM(AE465:AE466)</f>
        <v>6703.5</v>
      </c>
      <c r="AF467" s="343">
        <f>+SUM(AF465:AF466)</f>
        <v>6726.25</v>
      </c>
      <c r="AG467" s="397">
        <f>+SUM(AG465:AG466)</f>
        <v>6801</v>
      </c>
      <c r="AH467" s="297">
        <f>+AG467</f>
        <v>6801</v>
      </c>
      <c r="AI467" s="396">
        <f>+SUM(AI465:AI466)</f>
        <v>6718.5</v>
      </c>
      <c r="AJ467" s="343">
        <f>+SUM(AJ465:AJ466)</f>
        <v>6904</v>
      </c>
      <c r="AK467" s="343">
        <f>+SUM(AK465:AK466)</f>
        <v>7059.5</v>
      </c>
      <c r="AL467" s="397">
        <f>+SUM(AL465:AL466)</f>
        <v>7235</v>
      </c>
      <c r="AM467" s="297">
        <f>+AL467</f>
        <v>7235</v>
      </c>
      <c r="AN467" s="396">
        <f>+SUM(AN465:AN466)</f>
        <v>8326</v>
      </c>
      <c r="AO467" s="343">
        <f>+SUM(AO465:AO466)</f>
        <v>8478</v>
      </c>
      <c r="AP467" s="343">
        <f>+SUM(AP465:AP466)</f>
        <v>8707</v>
      </c>
      <c r="AQ467" s="397">
        <f>+SUM(AQ465:AQ466)</f>
        <v>8520</v>
      </c>
      <c r="AR467" s="297">
        <f>+AQ467</f>
        <v>8520</v>
      </c>
      <c r="AS467" s="396">
        <f>+SUM(AS465:AS466)</f>
        <v>8085</v>
      </c>
      <c r="AT467" s="343">
        <f>+SUM(AT465:AT466)</f>
        <v>7826</v>
      </c>
      <c r="AU467" s="343">
        <f>+SUM(AU465:AU466)</f>
        <v>8072</v>
      </c>
      <c r="AV467" s="397">
        <f>+SUM(AV465:AV466)</f>
        <v>8596</v>
      </c>
      <c r="AW467" s="297">
        <f>+AV467</f>
        <v>8596</v>
      </c>
      <c r="AX467" s="396">
        <f>+SUM(AX465:AX466)</f>
        <v>8677.8293136549073</v>
      </c>
      <c r="AY467" s="343">
        <f>+SUM(AY465:AY466)</f>
        <v>8758.9025849350346</v>
      </c>
      <c r="AZ467" s="343">
        <f>+SUM(AZ465:AZ466)</f>
        <v>8839.2267991131012</v>
      </c>
      <c r="BA467" s="397">
        <f>+SUM(BA465:BA466)</f>
        <v>8839.2267991131012</v>
      </c>
      <c r="BB467" s="297">
        <f>+BA467</f>
        <v>8839.2267991131012</v>
      </c>
      <c r="BC467" s="396">
        <f>+SUM(BC465:BC466)</f>
        <v>8822.5588769230708</v>
      </c>
      <c r="BD467" s="343">
        <f>+SUM(BD465:BD466)</f>
        <v>8806.0449540141344</v>
      </c>
      <c r="BE467" s="343">
        <f>+SUM(BE465:BE466)</f>
        <v>8789.6836075467618</v>
      </c>
      <c r="BF467" s="397">
        <f>+SUM(BF465:BF466)</f>
        <v>8773.4734278274063</v>
      </c>
      <c r="BG467" s="297">
        <f>+BF467</f>
        <v>8773.4734278274063</v>
      </c>
      <c r="BH467" s="396">
        <f>+SUM(BH465:BH466)</f>
        <v>8741.1630181870532</v>
      </c>
      <c r="BI467" s="343">
        <f>+SUM(BI465:BI466)</f>
        <v>8709.1511328498309</v>
      </c>
      <c r="BJ467" s="343">
        <f>+SUM(BJ465:BJ466)</f>
        <v>8677.4350136718331</v>
      </c>
      <c r="BK467" s="397">
        <f>+SUM(BK465:BK466)</f>
        <v>8646.0119279923601</v>
      </c>
      <c r="BL467" s="297">
        <f>+BK467</f>
        <v>8646.0119279923601</v>
      </c>
      <c r="BM467" s="396">
        <f>+SUM(BM465:BM466)</f>
        <v>8617.3791683984782</v>
      </c>
      <c r="BN467" s="343">
        <f>+SUM(BN465:BN466)</f>
        <v>8589.0109543395993</v>
      </c>
      <c r="BO467" s="343">
        <f>+SUM(BO465:BO466)</f>
        <v>8560.9048416105215</v>
      </c>
      <c r="BP467" s="397">
        <f>+SUM(BP465:BP466)</f>
        <v>8533.0584085886803</v>
      </c>
      <c r="BQ467" s="297">
        <f>+BP467</f>
        <v>8533.0584085886803</v>
      </c>
    </row>
    <row r="468" spans="1:72" s="2" customFormat="1">
      <c r="A468" s="1523"/>
      <c r="C468" s="49"/>
      <c r="E468" s="396"/>
      <c r="F468" s="343"/>
      <c r="G468" s="343"/>
      <c r="H468" s="397"/>
      <c r="I468" s="297"/>
      <c r="J468" s="396"/>
      <c r="K468" s="343"/>
      <c r="L468" s="343"/>
      <c r="M468" s="397"/>
      <c r="N468" s="297"/>
      <c r="O468" s="396"/>
      <c r="P468" s="343"/>
      <c r="Q468" s="343"/>
      <c r="R468" s="397"/>
      <c r="S468" s="297"/>
      <c r="T468" s="396"/>
      <c r="U468" s="343"/>
      <c r="V468" s="343"/>
      <c r="W468" s="397"/>
      <c r="X468" s="297"/>
      <c r="Y468" s="396"/>
      <c r="Z468" s="343"/>
      <c r="AA468" s="343"/>
      <c r="AB468" s="397"/>
      <c r="AC468" s="297"/>
      <c r="AD468" s="396"/>
      <c r="AE468" s="343"/>
      <c r="AF468" s="343"/>
      <c r="AG468" s="397"/>
      <c r="AH468" s="297"/>
      <c r="AI468" s="396"/>
      <c r="AJ468" s="343"/>
      <c r="AK468" s="343"/>
      <c r="AL468" s="397"/>
      <c r="AM468" s="297"/>
      <c r="AN468" s="396"/>
      <c r="AO468" s="343"/>
      <c r="AP468" s="343"/>
      <c r="AQ468" s="397"/>
      <c r="AR468" s="297"/>
      <c r="AS468" s="396"/>
      <c r="AT468" s="343"/>
      <c r="AU468" s="343"/>
      <c r="AV468" s="397"/>
      <c r="AW468" s="297"/>
      <c r="AX468" s="396"/>
      <c r="AY468" s="343"/>
      <c r="AZ468" s="343"/>
      <c r="BA468" s="397"/>
      <c r="BB468" s="297"/>
      <c r="BC468" s="396"/>
      <c r="BD468" s="343"/>
      <c r="BE468" s="343"/>
      <c r="BF468" s="397"/>
      <c r="BG468" s="297"/>
      <c r="BH468" s="396"/>
      <c r="BI468" s="343"/>
      <c r="BJ468" s="343"/>
      <c r="BK468" s="397"/>
      <c r="BL468" s="297"/>
      <c r="BM468" s="396"/>
      <c r="BN468" s="343"/>
      <c r="BO468" s="343"/>
      <c r="BP468" s="397"/>
      <c r="BQ468" s="297"/>
    </row>
    <row r="469" spans="1:72" s="290" customFormat="1">
      <c r="A469" s="1523"/>
      <c r="B469" s="2"/>
      <c r="C469" s="37" t="s">
        <v>546</v>
      </c>
      <c r="D469" s="2"/>
      <c r="E469" s="396"/>
      <c r="F469" s="343"/>
      <c r="G469" s="343"/>
      <c r="H469" s="397"/>
      <c r="I469" s="590">
        <v>1121</v>
      </c>
      <c r="J469" s="394">
        <f>+I469</f>
        <v>1121</v>
      </c>
      <c r="K469" s="342">
        <f>+J469</f>
        <v>1121</v>
      </c>
      <c r="L469" s="342">
        <f>+M469</f>
        <v>441</v>
      </c>
      <c r="M469" s="395">
        <f>+N469</f>
        <v>441</v>
      </c>
      <c r="N469" s="590">
        <v>441</v>
      </c>
      <c r="O469" s="394">
        <f>+N469</f>
        <v>441</v>
      </c>
      <c r="P469" s="342">
        <f>+O469</f>
        <v>441</v>
      </c>
      <c r="Q469" s="342">
        <f>+R469</f>
        <v>784</v>
      </c>
      <c r="R469" s="395">
        <f>+S469</f>
        <v>784</v>
      </c>
      <c r="S469" s="590">
        <v>784</v>
      </c>
      <c r="T469" s="394">
        <f>+S469+(($X$469-$S$469)/4)</f>
        <v>700.5</v>
      </c>
      <c r="U469" s="342">
        <f>+T469+(($X$469-$S$469)/4)</f>
        <v>617</v>
      </c>
      <c r="V469" s="342">
        <f>+U469+(($X$469-$S$469)/4)</f>
        <v>533.5</v>
      </c>
      <c r="W469" s="395">
        <f>+V469+(($X$469-$S$469)/4)</f>
        <v>450</v>
      </c>
      <c r="X469" s="590">
        <v>450</v>
      </c>
      <c r="Y469" s="394">
        <f>+X469+((AC469-X469)/4)</f>
        <v>459.75</v>
      </c>
      <c r="Z469" s="342">
        <f>+Y469+((AC469-X469)/4)</f>
        <v>469.5</v>
      </c>
      <c r="AA469" s="342">
        <f>+Z469+((AC469-X469)/4)</f>
        <v>479.25</v>
      </c>
      <c r="AB469" s="395">
        <f>+AA469+((AC469-X469)/4)</f>
        <v>489</v>
      </c>
      <c r="AC469" s="462">
        <v>489</v>
      </c>
      <c r="AD469" s="394">
        <f>+AC469+((AH469-AC469)/4)</f>
        <v>545.25</v>
      </c>
      <c r="AE469" s="342">
        <f>+AD469+((AH469-AC469)/4)</f>
        <v>601.5</v>
      </c>
      <c r="AF469" s="342">
        <f>+AE469+((AH469-AC469)/4)</f>
        <v>657.75</v>
      </c>
      <c r="AG469" s="395">
        <f>+AF469+((AH469-AC469)/4)</f>
        <v>714</v>
      </c>
      <c r="AH469" s="462">
        <v>714</v>
      </c>
      <c r="AI469" s="394">
        <f>+AH469+((AM469-AH469)/4)</f>
        <v>758.5</v>
      </c>
      <c r="AJ469" s="342">
        <f>+AI469+((AM469-AH469)/4)</f>
        <v>803</v>
      </c>
      <c r="AK469" s="342">
        <f>+AJ469+((AM469-AH469)/4)</f>
        <v>847.5</v>
      </c>
      <c r="AL469" s="395">
        <f>+AK469+((AM469-AH469)/4)</f>
        <v>892</v>
      </c>
      <c r="AM469" s="462">
        <v>892</v>
      </c>
      <c r="AN469" s="394">
        <f>+AR469</f>
        <v>0</v>
      </c>
      <c r="AO469" s="342">
        <f>+AN469</f>
        <v>0</v>
      </c>
      <c r="AP469" s="342">
        <f>+AO469</f>
        <v>0</v>
      </c>
      <c r="AQ469" s="395">
        <f>+AR469</f>
        <v>0</v>
      </c>
      <c r="AR469" s="462">
        <v>0</v>
      </c>
      <c r="AS469" s="394">
        <f>+AW469</f>
        <v>0</v>
      </c>
      <c r="AT469" s="342">
        <f>+AS469</f>
        <v>0</v>
      </c>
      <c r="AU469" s="342">
        <f>+AT469</f>
        <v>0</v>
      </c>
      <c r="AV469" s="395">
        <f>+AW469</f>
        <v>0</v>
      </c>
      <c r="AW469" s="462">
        <v>0</v>
      </c>
      <c r="AX469" s="394">
        <f>+AY469</f>
        <v>0</v>
      </c>
      <c r="AY469" s="342">
        <f>AZ469</f>
        <v>0</v>
      </c>
      <c r="AZ469" s="342">
        <f>BA469</f>
        <v>0</v>
      </c>
      <c r="BA469" s="395">
        <f>BB469</f>
        <v>0</v>
      </c>
      <c r="BB469" s="77">
        <f>BB470*BB480</f>
        <v>0</v>
      </c>
      <c r="BC469" s="394">
        <f>+BD469</f>
        <v>0</v>
      </c>
      <c r="BD469" s="342">
        <f>+BE469</f>
        <v>0</v>
      </c>
      <c r="BE469" s="342">
        <f>BF469</f>
        <v>0</v>
      </c>
      <c r="BF469" s="395">
        <f>BG469</f>
        <v>0</v>
      </c>
      <c r="BG469" s="77">
        <f>BG470*BG480</f>
        <v>0</v>
      </c>
      <c r="BH469" s="394">
        <f>+BI469</f>
        <v>0</v>
      </c>
      <c r="BI469" s="342">
        <f>+BJ469</f>
        <v>0</v>
      </c>
      <c r="BJ469" s="342">
        <f>BK469</f>
        <v>0</v>
      </c>
      <c r="BK469" s="395">
        <f>BL469</f>
        <v>0</v>
      </c>
      <c r="BL469" s="77">
        <f>BL470*BL480</f>
        <v>0</v>
      </c>
      <c r="BM469" s="394">
        <f>+BN469</f>
        <v>0</v>
      </c>
      <c r="BN469" s="342">
        <f>+BO469</f>
        <v>0</v>
      </c>
      <c r="BO469" s="342">
        <f>BP469</f>
        <v>0</v>
      </c>
      <c r="BP469" s="395">
        <f>BQ469</f>
        <v>0</v>
      </c>
      <c r="BQ469" s="77">
        <f>BQ470*BQ480</f>
        <v>0</v>
      </c>
      <c r="BR469" s="2"/>
    </row>
    <row r="470" spans="1:72" s="2" customFormat="1">
      <c r="A470" s="290"/>
      <c r="B470" s="290"/>
      <c r="C470" s="290" t="s">
        <v>347</v>
      </c>
      <c r="D470" s="290"/>
      <c r="E470" s="711"/>
      <c r="F470" s="712"/>
      <c r="G470" s="712"/>
      <c r="H470" s="713"/>
      <c r="I470" s="769">
        <f>I469/I480</f>
        <v>1.2899884925201381</v>
      </c>
      <c r="J470" s="766"/>
      <c r="K470" s="767"/>
      <c r="L470" s="767"/>
      <c r="M470" s="768"/>
      <c r="N470" s="769">
        <f>N469/N480</f>
        <v>0.53454545454545455</v>
      </c>
      <c r="O470" s="766"/>
      <c r="P470" s="767"/>
      <c r="Q470" s="767"/>
      <c r="R470" s="768"/>
      <c r="S470" s="771">
        <f>S469/S480</f>
        <v>1.035667107001321</v>
      </c>
      <c r="T470" s="772"/>
      <c r="U470" s="773"/>
      <c r="V470" s="773"/>
      <c r="W470" s="774"/>
      <c r="X470" s="771">
        <f>X469/X480</f>
        <v>0.69659442724458209</v>
      </c>
      <c r="Y470" s="772"/>
      <c r="Z470" s="773"/>
      <c r="AA470" s="773"/>
      <c r="AB470" s="774"/>
      <c r="AC470" s="771">
        <f>AC469/AC480</f>
        <v>0.80295566502463056</v>
      </c>
      <c r="AD470" s="772"/>
      <c r="AE470" s="773"/>
      <c r="AF470" s="773"/>
      <c r="AG470" s="774"/>
      <c r="AH470" s="771">
        <f>AH469/AH480</f>
        <v>1.1405750798722045</v>
      </c>
      <c r="AI470" s="772"/>
      <c r="AJ470" s="773"/>
      <c r="AK470" s="773"/>
      <c r="AL470" s="774"/>
      <c r="AM470" s="771">
        <f>AM469/AM480</f>
        <v>0.79856759176365266</v>
      </c>
      <c r="AN470" s="772"/>
      <c r="AO470" s="773"/>
      <c r="AP470" s="773"/>
      <c r="AQ470" s="774"/>
      <c r="AR470" s="771">
        <f>AR469/AR480</f>
        <v>0</v>
      </c>
      <c r="AS470" s="772"/>
      <c r="AT470" s="773"/>
      <c r="AU470" s="773"/>
      <c r="AV470" s="774"/>
      <c r="AW470" s="771">
        <f>AW469/AW480</f>
        <v>0</v>
      </c>
      <c r="AX470" s="772"/>
      <c r="AY470" s="773"/>
      <c r="AZ470" s="773"/>
      <c r="BA470" s="774"/>
      <c r="BB470" s="771">
        <f>AW470</f>
        <v>0</v>
      </c>
      <c r="BC470" s="772"/>
      <c r="BD470" s="773"/>
      <c r="BE470" s="773"/>
      <c r="BF470" s="774"/>
      <c r="BG470" s="771">
        <f>BB470</f>
        <v>0</v>
      </c>
      <c r="BH470" s="772"/>
      <c r="BI470" s="773"/>
      <c r="BJ470" s="773"/>
      <c r="BK470" s="774"/>
      <c r="BL470" s="771">
        <f>BG470</f>
        <v>0</v>
      </c>
      <c r="BM470" s="772"/>
      <c r="BN470" s="773"/>
      <c r="BO470" s="773"/>
      <c r="BP470" s="774"/>
      <c r="BQ470" s="771">
        <f>BL470</f>
        <v>0</v>
      </c>
      <c r="BR470" s="290"/>
    </row>
    <row r="471" spans="1:72" s="2" customFormat="1">
      <c r="A471" s="1523"/>
      <c r="C471" s="49"/>
      <c r="E471" s="396"/>
      <c r="F471" s="343"/>
      <c r="G471" s="343"/>
      <c r="H471" s="397"/>
      <c r="I471" s="297"/>
      <c r="J471" s="396"/>
      <c r="K471" s="343"/>
      <c r="L471" s="343"/>
      <c r="M471" s="397"/>
      <c r="N471" s="297"/>
      <c r="O471" s="396"/>
      <c r="P471" s="343"/>
      <c r="Q471" s="343"/>
      <c r="R471" s="397"/>
      <c r="S471" s="297"/>
      <c r="T471" s="396"/>
      <c r="U471" s="343"/>
      <c r="V471" s="343"/>
      <c r="W471" s="397"/>
      <c r="X471" s="297"/>
      <c r="Y471" s="396"/>
      <c r="Z471" s="343"/>
      <c r="AA471" s="343"/>
      <c r="AB471" s="397"/>
      <c r="AC471" s="297"/>
      <c r="AD471" s="396"/>
      <c r="AE471" s="343"/>
      <c r="AF471" s="343"/>
      <c r="AG471" s="397"/>
      <c r="AH471" s="297"/>
      <c r="AI471" s="396"/>
      <c r="AJ471" s="343"/>
      <c r="AK471" s="343"/>
      <c r="AL471" s="397"/>
      <c r="AM471" s="297"/>
      <c r="AN471" s="396"/>
      <c r="AO471" s="343"/>
      <c r="AP471" s="343"/>
      <c r="AQ471" s="397"/>
      <c r="AR471" s="297"/>
      <c r="AS471" s="396"/>
      <c r="AT471" s="343"/>
      <c r="AU471" s="343"/>
      <c r="AV471" s="397"/>
      <c r="AW471" s="297"/>
      <c r="AX471" s="396"/>
      <c r="AY471" s="343"/>
      <c r="AZ471" s="343"/>
      <c r="BA471" s="397"/>
      <c r="BB471" s="297"/>
      <c r="BC471" s="396"/>
      <c r="BD471" s="343"/>
      <c r="BE471" s="343"/>
      <c r="BF471" s="397"/>
      <c r="BG471" s="297"/>
      <c r="BH471" s="396"/>
      <c r="BI471" s="343"/>
      <c r="BJ471" s="343"/>
      <c r="BK471" s="397"/>
      <c r="BL471" s="297"/>
      <c r="BM471" s="396"/>
      <c r="BN471" s="343"/>
      <c r="BO471" s="343"/>
      <c r="BP471" s="397"/>
      <c r="BQ471" s="297"/>
    </row>
    <row r="472" spans="1:72" s="2" customFormat="1">
      <c r="A472" s="1523"/>
      <c r="C472" s="37" t="s">
        <v>632</v>
      </c>
      <c r="E472" s="394">
        <f>E13</f>
        <v>51</v>
      </c>
      <c r="F472" s="342">
        <f>F13</f>
        <v>53</v>
      </c>
      <c r="G472" s="342">
        <f>G13</f>
        <v>48</v>
      </c>
      <c r="H472" s="395">
        <f>H13</f>
        <v>32</v>
      </c>
      <c r="I472" s="77">
        <f>SUM(E472:H472)</f>
        <v>184</v>
      </c>
      <c r="J472" s="394">
        <f>J13</f>
        <v>43</v>
      </c>
      <c r="K472" s="342">
        <f>K13</f>
        <v>44</v>
      </c>
      <c r="L472" s="342">
        <f>L13</f>
        <v>48</v>
      </c>
      <c r="M472" s="395">
        <f>M13</f>
        <v>40</v>
      </c>
      <c r="N472" s="77">
        <f>+SUM(J472:M472)</f>
        <v>175</v>
      </c>
      <c r="O472" s="394">
        <f>O13</f>
        <v>54</v>
      </c>
      <c r="P472" s="342">
        <f>P13</f>
        <v>56</v>
      </c>
      <c r="Q472" s="342">
        <f>Q13</f>
        <v>56</v>
      </c>
      <c r="R472" s="395">
        <f>R13</f>
        <v>58</v>
      </c>
      <c r="S472" s="77">
        <f>+SUM(O472:R472)</f>
        <v>224</v>
      </c>
      <c r="T472" s="394">
        <f>T13</f>
        <v>57</v>
      </c>
      <c r="U472" s="342">
        <f>U13</f>
        <v>58</v>
      </c>
      <c r="V472" s="342">
        <f>V13</f>
        <v>60</v>
      </c>
      <c r="W472" s="395">
        <f>W13</f>
        <v>62</v>
      </c>
      <c r="X472" s="77">
        <f>+SUM(T472:W472)</f>
        <v>237</v>
      </c>
      <c r="Y472" s="394">
        <f>Y13</f>
        <v>64</v>
      </c>
      <c r="Z472" s="342">
        <f>Z13</f>
        <v>65</v>
      </c>
      <c r="AA472" s="342">
        <f>AA473*Z467/4</f>
        <v>64.756582358702545</v>
      </c>
      <c r="AB472" s="395">
        <f>AB473*AA467/4</f>
        <v>65.737742697470765</v>
      </c>
      <c r="AC472" s="77">
        <f>+SUM(Y472:AB472)</f>
        <v>259.4943250561733</v>
      </c>
      <c r="AD472" s="394">
        <f>AD13</f>
        <v>72</v>
      </c>
      <c r="AE472" s="342">
        <f>AE13</f>
        <v>72</v>
      </c>
      <c r="AF472" s="342">
        <f>AF13</f>
        <v>71</v>
      </c>
      <c r="AG472" s="395">
        <f>AG13</f>
        <v>77</v>
      </c>
      <c r="AH472" s="77">
        <f>+SUM(AD472:AG472)</f>
        <v>292</v>
      </c>
      <c r="AI472" s="394">
        <f>AI13</f>
        <v>76</v>
      </c>
      <c r="AJ472" s="342">
        <f>AJ13</f>
        <v>75</v>
      </c>
      <c r="AK472" s="342">
        <f>AK13</f>
        <v>75</v>
      </c>
      <c r="AL472" s="395">
        <f>AL13</f>
        <v>65</v>
      </c>
      <c r="AM472" s="77">
        <f>+SUM(AI472:AL472)</f>
        <v>291</v>
      </c>
      <c r="AN472" s="394">
        <f>AN13</f>
        <v>79</v>
      </c>
      <c r="AO472" s="342">
        <f>AO13</f>
        <v>80</v>
      </c>
      <c r="AP472" s="342">
        <f>AP13</f>
        <v>86</v>
      </c>
      <c r="AQ472" s="395">
        <f>AQ13</f>
        <v>636</v>
      </c>
      <c r="AR472" s="77">
        <f>+SUM(AN472:AQ472)</f>
        <v>881</v>
      </c>
      <c r="AS472" s="394">
        <f>AS13</f>
        <v>650</v>
      </c>
      <c r="AT472" s="342">
        <f>AT13</f>
        <v>465</v>
      </c>
      <c r="AU472" s="342">
        <f>AU13</f>
        <v>76</v>
      </c>
      <c r="AV472" s="395">
        <f>AV13</f>
        <v>77</v>
      </c>
      <c r="AW472" s="77">
        <f>+SUM(AS472:AV472)</f>
        <v>1268</v>
      </c>
      <c r="AX472" s="394">
        <f>AX473*AW467/4</f>
        <v>79.420686345092392</v>
      </c>
      <c r="AY472" s="342">
        <f>AY473*AX467/4</f>
        <v>80.176728719873751</v>
      </c>
      <c r="AZ472" s="342">
        <f>AZ473*AY467/4</f>
        <v>80.925785821933957</v>
      </c>
      <c r="BA472" s="395">
        <f>BA473*AY467/4</f>
        <v>80.925785821933957</v>
      </c>
      <c r="BB472" s="77">
        <f>+SUM(AX472:BA472)</f>
        <v>321.44898670883407</v>
      </c>
      <c r="BC472" s="394">
        <f>BC473*BB467/4</f>
        <v>81.667922190029842</v>
      </c>
      <c r="BD472" s="342">
        <f>BD473*BC467/4</f>
        <v>81.513922908936451</v>
      </c>
      <c r="BE472" s="342">
        <f>BE473*BD467/4</f>
        <v>81.36134646737321</v>
      </c>
      <c r="BF472" s="395">
        <f>BF473*BE467/4</f>
        <v>81.210179719354528</v>
      </c>
      <c r="BG472" s="77">
        <f>+SUM(BC472:BF472)</f>
        <v>325.75337128569402</v>
      </c>
      <c r="BH472" s="394">
        <f>BH473*BG467/4</f>
        <v>81.060409640353996</v>
      </c>
      <c r="BI472" s="342">
        <f>BI473*BH467/4</f>
        <v>80.761885337221386</v>
      </c>
      <c r="BJ472" s="342">
        <f>BJ473*BI467/4</f>
        <v>80.466119177998195</v>
      </c>
      <c r="BK472" s="395">
        <f>BK473*BJ467/4</f>
        <v>80.173085679473374</v>
      </c>
      <c r="BL472" s="77">
        <f>+SUM(BH472:BK472)</f>
        <v>322.46149983504694</v>
      </c>
      <c r="BM472" s="394">
        <f>BM473*BL467/4</f>
        <v>79.882759593881886</v>
      </c>
      <c r="BN472" s="342">
        <f>BN473*BM467/4</f>
        <v>79.618214058877228</v>
      </c>
      <c r="BO472" s="342">
        <f>BO473*BN467/4</f>
        <v>79.35611272907957</v>
      </c>
      <c r="BP472" s="395">
        <f>BP473*BO467/4</f>
        <v>79.096433021839459</v>
      </c>
      <c r="BQ472" s="77">
        <f>+SUM(BM472:BP472)</f>
        <v>317.95351940367811</v>
      </c>
    </row>
    <row r="473" spans="1:72" s="2" customFormat="1">
      <c r="A473" s="1523"/>
      <c r="B473" s="38"/>
      <c r="C473" s="770" t="s">
        <v>244</v>
      </c>
      <c r="E473" s="422">
        <f>4*E472/AVERAGE(D467:E467)</f>
        <v>3.6664270309130123E-2</v>
      </c>
      <c r="F473" s="431">
        <f>4*F472/AVERAGE(E467:F467)</f>
        <v>3.7635363039233094E-2</v>
      </c>
      <c r="G473" s="431">
        <f>4*G472/AVERAGE(F467:G467)</f>
        <v>3.339711254131153E-2</v>
      </c>
      <c r="H473" s="432">
        <f>H472/AVERAGE(G467:H467)*4</f>
        <v>2.2017717381955793E-2</v>
      </c>
      <c r="I473" s="482">
        <f>I472/AVERAGE(D467,I467)</f>
        <v>3.1555479334590977E-2</v>
      </c>
      <c r="J473" s="422">
        <f>4*J472/AVERAGE(I467:J467)</f>
        <v>3.0849251188234238E-2</v>
      </c>
      <c r="K473" s="431">
        <f>4*K472/AVERAGE(J467:K467)</f>
        <v>3.2891048402167819E-2</v>
      </c>
      <c r="L473" s="431">
        <f>4*L472/AVERAGE(K467:L467)</f>
        <v>3.3018056749785037E-2</v>
      </c>
      <c r="M473" s="432">
        <f>M472/AVERAGE(L467:M467)*4</f>
        <v>2.6339616429335747E-2</v>
      </c>
      <c r="N473" s="482">
        <f>N472/AVERAGE(I467,N467)</f>
        <v>2.9832935560859187E-2</v>
      </c>
      <c r="O473" s="422">
        <f>4*O472/AVERAGE(N467:O467)</f>
        <v>3.652041592695917E-2</v>
      </c>
      <c r="P473" s="431">
        <f>4*P472/AVERAGE(O467:P467)</f>
        <v>3.7656552071950913E-2</v>
      </c>
      <c r="Q473" s="431">
        <f>4*Q472/AVERAGE(P467:Q467)</f>
        <v>3.8124414943409068E-2</v>
      </c>
      <c r="R473" s="432">
        <f>R472/AVERAGE(Q467:R467)*4</f>
        <v>3.9560064796657857E-2</v>
      </c>
      <c r="S473" s="482">
        <f>S472/AVERAGE(N467,S467)</f>
        <v>3.7812288993923027E-2</v>
      </c>
      <c r="T473" s="422">
        <f>4*T472/AVERAGE(S467:T467)</f>
        <v>3.7869036249636674E-2</v>
      </c>
      <c r="U473" s="431">
        <f>4*U472/AVERAGE(T467:U467)</f>
        <v>3.7814269997147633E-2</v>
      </c>
      <c r="V473" s="431">
        <f>4*V472/AVERAGE(U467:V467)</f>
        <v>3.8355507611171041E-2</v>
      </c>
      <c r="W473" s="432">
        <f>W472/AVERAGE(V467:W467)*4</f>
        <v>3.8430248324487659E-2</v>
      </c>
      <c r="X473" s="482">
        <f>X472/AVERAGE(S467,X467)</f>
        <v>3.7874550539352778E-2</v>
      </c>
      <c r="Y473" s="422">
        <f>4*Y472/AVERAGE(X467:Y467)</f>
        <v>3.9080240435072987E-2</v>
      </c>
      <c r="Z473" s="431">
        <f>4*Z472/AVERAGE(Y467:Z467)</f>
        <v>3.9945459084711261E-2</v>
      </c>
      <c r="AA473" s="431">
        <f>+Z473</f>
        <v>3.9945459084711261E-2</v>
      </c>
      <c r="AB473" s="432">
        <f>+AA473</f>
        <v>3.9945459084711261E-2</v>
      </c>
      <c r="AC473" s="482">
        <f>AC472/AVERAGE(X467,AC467)</f>
        <v>3.859799569480489E-2</v>
      </c>
      <c r="AD473" s="422">
        <f>4*AD472/AVERAGE(AC467:AD467)</f>
        <v>4.2143000859687953E-2</v>
      </c>
      <c r="AE473" s="431">
        <f>4*AE472/AVERAGE(AD467:AE467)</f>
        <v>4.2688010672002667E-2</v>
      </c>
      <c r="AF473" s="431">
        <f>4*AF472/AVERAGE(AE467:AF467)</f>
        <v>4.2294160352947745E-2</v>
      </c>
      <c r="AG473" s="432">
        <f>4*AG472/AVERAGE(AF467:AG467)</f>
        <v>4.5537710916853019E-2</v>
      </c>
      <c r="AH473" s="482">
        <f>AH472/AVERAGE(AC467,AH467)</f>
        <v>4.269317932597412E-2</v>
      </c>
      <c r="AI473" s="422">
        <f>4*AI472/AVERAGE(AH467:AI467)</f>
        <v>4.4972077369725215E-2</v>
      </c>
      <c r="AJ473" s="431">
        <f>4*AJ472/AVERAGE(AI467:AJ467)</f>
        <v>4.4044778858506148E-2</v>
      </c>
      <c r="AK473" s="431">
        <f>4*AK472/AVERAGE(AJ467:AK467)</f>
        <v>4.2969169620797075E-2</v>
      </c>
      <c r="AL473" s="432">
        <f>4*AL472/AVERAGE(AK467:AL467)</f>
        <v>3.6377627758928256E-2</v>
      </c>
      <c r="AM473" s="482">
        <f>AM472/AVERAGE(AH467,AM467)</f>
        <v>4.1464804787688797E-2</v>
      </c>
      <c r="AN473" s="422">
        <f>4*AN472/AVERAGE(AM467:AN467)</f>
        <v>4.0614356403830085E-2</v>
      </c>
      <c r="AO473" s="431">
        <f>4*AO472/AVERAGE(AN467:AO467)</f>
        <v>3.8086169959533442E-2</v>
      </c>
      <c r="AP473" s="431">
        <f>4*AP472/AVERAGE(AO467:AP467)</f>
        <v>4.0034914169333718E-2</v>
      </c>
      <c r="AQ473" s="432">
        <f>4*AQ472/AVERAGE(AP467:AQ467)</f>
        <v>0.29535032216868867</v>
      </c>
      <c r="AR473" s="482">
        <f>AR472/AVERAGE(AM467,AR467)</f>
        <v>0.11183751190098382</v>
      </c>
      <c r="AS473" s="422">
        <f>4*AS472/AVERAGE(AR467:AS467)</f>
        <v>0.31315868714242701</v>
      </c>
      <c r="AT473" s="431">
        <f>4*AT472/AVERAGE(AS467:AT467)</f>
        <v>0.23380051536672741</v>
      </c>
      <c r="AU473" s="431">
        <f>4*AU472/AVERAGE(AT467:AU467)</f>
        <v>3.8243804252107182E-2</v>
      </c>
      <c r="AV473" s="432">
        <f>4*AV472/AVERAGE(AU467:AV467)</f>
        <v>3.6957043436525075E-2</v>
      </c>
      <c r="AW473" s="482">
        <f>AW472/AVERAGE(AR467,AW467)</f>
        <v>0.1481654592194438</v>
      </c>
      <c r="AX473" s="422">
        <f>+AV473</f>
        <v>3.6957043436525075E-2</v>
      </c>
      <c r="AY473" s="431">
        <f>+AX473</f>
        <v>3.6957043436525075E-2</v>
      </c>
      <c r="AZ473" s="431">
        <f>+AY473</f>
        <v>3.6957043436525075E-2</v>
      </c>
      <c r="BA473" s="432">
        <f>+AY473</f>
        <v>3.6957043436525075E-2</v>
      </c>
      <c r="BB473" s="482">
        <f>BB472/AVERAGE(AW467,BB467)</f>
        <v>3.6873507917337282E-2</v>
      </c>
      <c r="BC473" s="422">
        <f>+BA473</f>
        <v>3.6957043436525075E-2</v>
      </c>
      <c r="BD473" s="431">
        <f>+BC473</f>
        <v>3.6957043436525075E-2</v>
      </c>
      <c r="BE473" s="431">
        <f>+BD473</f>
        <v>3.6957043436525075E-2</v>
      </c>
      <c r="BF473" s="432">
        <f>+BE473</f>
        <v>3.6957043436525075E-2</v>
      </c>
      <c r="BG473" s="482">
        <f>BG472/AVERAGE(BB467,BG467)</f>
        <v>3.6990735899475477E-2</v>
      </c>
      <c r="BH473" s="422">
        <f>+BF473</f>
        <v>3.6957043436525075E-2</v>
      </c>
      <c r="BI473" s="431">
        <f>+BH473</f>
        <v>3.6957043436525075E-2</v>
      </c>
      <c r="BJ473" s="431">
        <f>+BI473</f>
        <v>3.6957043436525075E-2</v>
      </c>
      <c r="BK473" s="432">
        <f>+BJ473</f>
        <v>3.6957043436525075E-2</v>
      </c>
      <c r="BL473" s="482">
        <f>BL472/AVERAGE(BG467,BL467)</f>
        <v>3.7023079987528351E-2</v>
      </c>
      <c r="BM473" s="422">
        <f>+BK473</f>
        <v>3.6957043436525075E-2</v>
      </c>
      <c r="BN473" s="431">
        <f>+BM473</f>
        <v>3.6957043436525075E-2</v>
      </c>
      <c r="BO473" s="431">
        <f>+BN473</f>
        <v>3.6957043436525075E-2</v>
      </c>
      <c r="BP473" s="432">
        <f>+BO473</f>
        <v>3.6957043436525075E-2</v>
      </c>
      <c r="BQ473" s="482">
        <f>BQ472/AVERAGE(BL467,BQ467)</f>
        <v>3.7016382513625226E-2</v>
      </c>
    </row>
    <row r="474" spans="1:72" s="2" customFormat="1">
      <c r="A474" s="1523"/>
      <c r="C474" s="37"/>
      <c r="E474" s="414"/>
      <c r="F474" s="351"/>
      <c r="G474" s="351"/>
      <c r="H474" s="363"/>
      <c r="I474" s="3"/>
      <c r="J474" s="362"/>
      <c r="K474" s="317"/>
      <c r="L474" s="317"/>
      <c r="M474" s="363"/>
      <c r="N474" s="3"/>
      <c r="O474" s="362"/>
      <c r="P474" s="317"/>
      <c r="Q474" s="317"/>
      <c r="R474" s="363"/>
      <c r="S474" s="3"/>
      <c r="T474" s="362"/>
      <c r="U474" s="317"/>
      <c r="V474" s="317"/>
      <c r="W474" s="363"/>
      <c r="X474" s="3"/>
      <c r="Y474" s="362"/>
      <c r="Z474" s="317"/>
      <c r="AA474" s="317"/>
      <c r="AB474" s="363"/>
      <c r="AC474" s="3"/>
      <c r="AD474" s="362"/>
      <c r="AE474" s="317"/>
      <c r="AF474" s="317"/>
      <c r="AG474" s="363"/>
      <c r="AH474" s="3"/>
      <c r="AI474" s="362"/>
      <c r="AJ474" s="317"/>
      <c r="AK474" s="317"/>
      <c r="AL474" s="363"/>
      <c r="AM474" s="3"/>
      <c r="AN474" s="362"/>
      <c r="AO474" s="317"/>
      <c r="AP474" s="317"/>
      <c r="AQ474" s="363"/>
      <c r="AR474" s="3"/>
      <c r="AS474" s="362"/>
      <c r="AT474" s="317"/>
      <c r="AU474" s="317"/>
      <c r="AV474" s="363"/>
      <c r="AW474" s="3"/>
      <c r="AX474" s="362"/>
      <c r="AY474" s="317"/>
      <c r="AZ474" s="317"/>
      <c r="BA474" s="363"/>
      <c r="BB474" s="3"/>
      <c r="BC474" s="362"/>
      <c r="BD474" s="317"/>
      <c r="BE474" s="317"/>
      <c r="BF474" s="363"/>
      <c r="BG474" s="3"/>
      <c r="BH474" s="362"/>
      <c r="BI474" s="317"/>
      <c r="BJ474" s="317"/>
      <c r="BK474" s="363"/>
      <c r="BL474" s="3"/>
      <c r="BM474" s="362"/>
      <c r="BN474" s="317"/>
      <c r="BO474" s="317"/>
      <c r="BP474" s="363"/>
      <c r="BQ474" s="3"/>
      <c r="BT474" s="1527" t="s">
        <v>1070</v>
      </c>
    </row>
    <row r="475" spans="1:72" s="2" customFormat="1">
      <c r="A475" s="1523"/>
      <c r="C475" s="37" t="s">
        <v>828</v>
      </c>
      <c r="E475" s="396"/>
      <c r="F475" s="343"/>
      <c r="G475" s="343"/>
      <c r="H475" s="397"/>
      <c r="I475" s="296"/>
      <c r="J475" s="396"/>
      <c r="K475" s="343"/>
      <c r="L475" s="343"/>
      <c r="M475" s="397"/>
      <c r="N475" s="296"/>
      <c r="O475" s="396"/>
      <c r="P475" s="343"/>
      <c r="Q475" s="343"/>
      <c r="R475" s="397"/>
      <c r="S475" s="296"/>
      <c r="T475" s="396"/>
      <c r="U475" s="343"/>
      <c r="V475" s="343"/>
      <c r="W475" s="397"/>
      <c r="X475" s="589"/>
      <c r="Y475" s="396"/>
      <c r="Z475" s="343"/>
      <c r="AA475" s="343"/>
      <c r="AB475" s="397"/>
      <c r="AC475" s="3"/>
      <c r="AD475" s="396"/>
      <c r="AE475" s="343"/>
      <c r="AF475" s="343"/>
      <c r="AG475" s="397"/>
      <c r="AH475" s="3"/>
      <c r="AI475" s="396"/>
      <c r="AJ475" s="343"/>
      <c r="AK475" s="343"/>
      <c r="AL475" s="397"/>
      <c r="AM475" s="3"/>
      <c r="AN475" s="396"/>
      <c r="AO475" s="343"/>
      <c r="AP475" s="343"/>
      <c r="AQ475" s="397"/>
      <c r="AR475" s="3"/>
      <c r="AS475" s="396"/>
      <c r="AT475" s="343"/>
      <c r="AU475" s="343"/>
      <c r="AV475" s="397"/>
      <c r="AW475" s="3"/>
      <c r="AX475" s="396"/>
      <c r="AY475" s="343"/>
      <c r="AZ475" s="343"/>
      <c r="BA475" s="397"/>
      <c r="BB475" s="298">
        <v>170</v>
      </c>
      <c r="BC475" s="396"/>
      <c r="BD475" s="343"/>
      <c r="BE475" s="343"/>
      <c r="BF475" s="397"/>
      <c r="BG475" s="298">
        <v>165</v>
      </c>
      <c r="BH475" s="396"/>
      <c r="BI475" s="343"/>
      <c r="BJ475" s="343"/>
      <c r="BK475" s="397"/>
      <c r="BL475" s="298">
        <v>165</v>
      </c>
      <c r="BM475" s="396"/>
      <c r="BN475" s="343"/>
      <c r="BO475" s="343"/>
      <c r="BP475" s="397"/>
      <c r="BQ475" s="298">
        <v>190</v>
      </c>
      <c r="BT475" s="437">
        <f t="shared" ref="BT475:BT480" si="416">SUM(AW475,BB475,BG475,BL475,BQ475)</f>
        <v>690</v>
      </c>
    </row>
    <row r="476" spans="1:72" s="2" customFormat="1">
      <c r="A476" s="1523"/>
      <c r="C476" s="37" t="s">
        <v>245</v>
      </c>
      <c r="E476" s="396"/>
      <c r="F476" s="343"/>
      <c r="G476" s="343"/>
      <c r="H476" s="397"/>
      <c r="I476" s="296"/>
      <c r="J476" s="396"/>
      <c r="K476" s="343"/>
      <c r="L476" s="343"/>
      <c r="M476" s="397"/>
      <c r="N476" s="296"/>
      <c r="O476" s="396"/>
      <c r="P476" s="343"/>
      <c r="Q476" s="343"/>
      <c r="R476" s="397"/>
      <c r="S476" s="296"/>
      <c r="T476" s="396"/>
      <c r="U476" s="343"/>
      <c r="V476" s="343"/>
      <c r="W476" s="397"/>
      <c r="X476" s="589"/>
      <c r="Y476" s="396"/>
      <c r="Z476" s="343"/>
      <c r="AA476" s="343"/>
      <c r="AB476" s="397"/>
      <c r="AC476" s="3"/>
      <c r="AD476" s="396"/>
      <c r="AE476" s="343"/>
      <c r="AF476" s="343"/>
      <c r="AG476" s="397"/>
      <c r="AH476" s="3"/>
      <c r="AI476" s="396"/>
      <c r="AJ476" s="343"/>
      <c r="AK476" s="343"/>
      <c r="AL476" s="397"/>
      <c r="AM476" s="3"/>
      <c r="AN476" s="396"/>
      <c r="AO476" s="343"/>
      <c r="AP476" s="343"/>
      <c r="AQ476" s="397"/>
      <c r="AR476" s="3"/>
      <c r="AS476" s="396"/>
      <c r="AT476" s="343"/>
      <c r="AU476" s="343"/>
      <c r="AV476" s="397"/>
      <c r="AW476" s="3"/>
      <c r="AX476" s="396"/>
      <c r="AY476" s="343"/>
      <c r="AZ476" s="343"/>
      <c r="BA476" s="397"/>
      <c r="BB476" s="589">
        <v>30</v>
      </c>
      <c r="BC476" s="396"/>
      <c r="BD476" s="343"/>
      <c r="BE476" s="343"/>
      <c r="BF476" s="397"/>
      <c r="BG476" s="589">
        <v>30</v>
      </c>
      <c r="BH476" s="396"/>
      <c r="BI476" s="343"/>
      <c r="BJ476" s="343"/>
      <c r="BK476" s="397"/>
      <c r="BL476" s="589">
        <v>20</v>
      </c>
      <c r="BM476" s="396"/>
      <c r="BN476" s="343"/>
      <c r="BO476" s="343"/>
      <c r="BP476" s="397"/>
      <c r="BQ476" s="589">
        <v>10</v>
      </c>
      <c r="BT476" s="437">
        <f t="shared" si="416"/>
        <v>90</v>
      </c>
    </row>
    <row r="477" spans="1:72" s="49" customFormat="1">
      <c r="A477" s="1523"/>
      <c r="B477" s="2"/>
      <c r="C477" s="37" t="s">
        <v>829</v>
      </c>
      <c r="D477" s="2"/>
      <c r="E477" s="396"/>
      <c r="F477" s="343"/>
      <c r="G477" s="343"/>
      <c r="H477" s="397"/>
      <c r="I477" s="296"/>
      <c r="J477" s="396"/>
      <c r="K477" s="343"/>
      <c r="L477" s="343"/>
      <c r="M477" s="397"/>
      <c r="N477" s="296"/>
      <c r="O477" s="396"/>
      <c r="P477" s="343"/>
      <c r="Q477" s="343"/>
      <c r="R477" s="397"/>
      <c r="S477" s="296"/>
      <c r="T477" s="396"/>
      <c r="U477" s="343"/>
      <c r="V477" s="343"/>
      <c r="W477" s="397"/>
      <c r="X477" s="589"/>
      <c r="Y477" s="396"/>
      <c r="Z477" s="343"/>
      <c r="AA477" s="343"/>
      <c r="AB477" s="397"/>
      <c r="AC477" s="3"/>
      <c r="AD477" s="396"/>
      <c r="AE477" s="343"/>
      <c r="AF477" s="343"/>
      <c r="AG477" s="397"/>
      <c r="AH477" s="3"/>
      <c r="AI477" s="396"/>
      <c r="AJ477" s="343"/>
      <c r="AK477" s="343"/>
      <c r="AL477" s="397"/>
      <c r="AM477" s="3"/>
      <c r="AN477" s="396"/>
      <c r="AO477" s="343"/>
      <c r="AP477" s="343"/>
      <c r="AQ477" s="397"/>
      <c r="AR477" s="3"/>
      <c r="AS477" s="396"/>
      <c r="AT477" s="343"/>
      <c r="AU477" s="343"/>
      <c r="AV477" s="397"/>
      <c r="AW477" s="3"/>
      <c r="AX477" s="396"/>
      <c r="AY477" s="343"/>
      <c r="AZ477" s="343"/>
      <c r="BA477" s="397"/>
      <c r="BB477" s="589">
        <v>0</v>
      </c>
      <c r="BC477" s="396"/>
      <c r="BD477" s="343"/>
      <c r="BE477" s="343"/>
      <c r="BF477" s="397"/>
      <c r="BG477" s="589">
        <v>0</v>
      </c>
      <c r="BH477" s="396"/>
      <c r="BI477" s="343"/>
      <c r="BJ477" s="343"/>
      <c r="BK477" s="397"/>
      <c r="BL477" s="589">
        <v>0</v>
      </c>
      <c r="BM477" s="396"/>
      <c r="BN477" s="343"/>
      <c r="BO477" s="343"/>
      <c r="BP477" s="397"/>
      <c r="BQ477" s="589">
        <v>0</v>
      </c>
      <c r="BR477" s="2"/>
      <c r="BT477" s="437">
        <f t="shared" si="416"/>
        <v>0</v>
      </c>
    </row>
    <row r="478" spans="1:72" s="49" customFormat="1">
      <c r="A478" s="1523"/>
      <c r="B478" s="2"/>
      <c r="C478" s="37" t="s">
        <v>864</v>
      </c>
      <c r="D478" s="2"/>
      <c r="E478" s="396"/>
      <c r="F478" s="343"/>
      <c r="G478" s="343"/>
      <c r="H478" s="397"/>
      <c r="I478" s="296"/>
      <c r="J478" s="396"/>
      <c r="K478" s="343"/>
      <c r="L478" s="343"/>
      <c r="M478" s="397"/>
      <c r="N478" s="296"/>
      <c r="O478" s="396"/>
      <c r="P478" s="343"/>
      <c r="Q478" s="343"/>
      <c r="R478" s="397"/>
      <c r="S478" s="296"/>
      <c r="T478" s="396"/>
      <c r="U478" s="343"/>
      <c r="V478" s="343"/>
      <c r="W478" s="397"/>
      <c r="X478" s="589"/>
      <c r="Y478" s="396"/>
      <c r="Z478" s="343"/>
      <c r="AA478" s="343"/>
      <c r="AB478" s="397"/>
      <c r="AC478" s="3"/>
      <c r="AD478" s="396"/>
      <c r="AE478" s="343"/>
      <c r="AF478" s="343"/>
      <c r="AG478" s="397"/>
      <c r="AH478" s="3"/>
      <c r="AI478" s="396"/>
      <c r="AJ478" s="343"/>
      <c r="AK478" s="343"/>
      <c r="AL478" s="397"/>
      <c r="AM478" s="3"/>
      <c r="AN478" s="396"/>
      <c r="AO478" s="343"/>
      <c r="AP478" s="343"/>
      <c r="AQ478" s="397"/>
      <c r="AR478" s="3"/>
      <c r="AS478" s="396"/>
      <c r="AT478" s="343"/>
      <c r="AU478" s="343"/>
      <c r="AV478" s="397"/>
      <c r="AW478" s="3"/>
      <c r="AX478" s="396"/>
      <c r="AY478" s="343"/>
      <c r="AZ478" s="343"/>
      <c r="BA478" s="397"/>
      <c r="BB478" s="589">
        <v>445</v>
      </c>
      <c r="BC478" s="396"/>
      <c r="BD478" s="343"/>
      <c r="BE478" s="343"/>
      <c r="BF478" s="397"/>
      <c r="BG478" s="589">
        <v>65</v>
      </c>
      <c r="BH478" s="396"/>
      <c r="BI478" s="343"/>
      <c r="BJ478" s="343"/>
      <c r="BK478" s="397"/>
      <c r="BL478" s="589">
        <v>10</v>
      </c>
      <c r="BM478" s="396"/>
      <c r="BN478" s="343"/>
      <c r="BO478" s="343"/>
      <c r="BP478" s="397"/>
      <c r="BQ478" s="589">
        <v>5</v>
      </c>
      <c r="BR478" s="2"/>
      <c r="BT478" s="437">
        <f t="shared" si="416"/>
        <v>525</v>
      </c>
    </row>
    <row r="479" spans="1:72" s="49" customFormat="1">
      <c r="A479" s="1523"/>
      <c r="B479" s="2"/>
      <c r="C479" s="37" t="s">
        <v>963</v>
      </c>
      <c r="D479" s="2"/>
      <c r="E479" s="396"/>
      <c r="F479" s="343"/>
      <c r="G479" s="343"/>
      <c r="H479" s="397"/>
      <c r="I479" s="296"/>
      <c r="J479" s="396"/>
      <c r="K479" s="343"/>
      <c r="L479" s="343"/>
      <c r="M479" s="397"/>
      <c r="N479" s="296"/>
      <c r="O479" s="396"/>
      <c r="P479" s="343"/>
      <c r="Q479" s="343"/>
      <c r="R479" s="397"/>
      <c r="S479" s="296"/>
      <c r="T479" s="396"/>
      <c r="U479" s="343"/>
      <c r="V479" s="343"/>
      <c r="W479" s="397"/>
      <c r="X479" s="589"/>
      <c r="Y479" s="396"/>
      <c r="Z479" s="343"/>
      <c r="AA479" s="343"/>
      <c r="AB479" s="397"/>
      <c r="AC479" s="3"/>
      <c r="AD479" s="396"/>
      <c r="AE479" s="343"/>
      <c r="AF479" s="343"/>
      <c r="AG479" s="397"/>
      <c r="AH479" s="3"/>
      <c r="AI479" s="396"/>
      <c r="AJ479" s="343"/>
      <c r="AK479" s="343"/>
      <c r="AL479" s="397"/>
      <c r="AM479" s="3"/>
      <c r="AN479" s="396"/>
      <c r="AO479" s="343"/>
      <c r="AP479" s="343"/>
      <c r="AQ479" s="397"/>
      <c r="AR479" s="3"/>
      <c r="AS479" s="396"/>
      <c r="AT479" s="343"/>
      <c r="AU479" s="343"/>
      <c r="AV479" s="397"/>
      <c r="AW479" s="3"/>
      <c r="AX479" s="396"/>
      <c r="AY479" s="343"/>
      <c r="AZ479" s="343"/>
      <c r="BA479" s="397"/>
      <c r="BB479" s="589">
        <v>0</v>
      </c>
      <c r="BC479" s="396"/>
      <c r="BD479" s="343"/>
      <c r="BE479" s="343"/>
      <c r="BF479" s="397"/>
      <c r="BG479" s="589">
        <v>0</v>
      </c>
      <c r="BH479" s="396"/>
      <c r="BI479" s="343"/>
      <c r="BJ479" s="343"/>
      <c r="BK479" s="397"/>
      <c r="BL479" s="589">
        <v>0</v>
      </c>
      <c r="BM479" s="396"/>
      <c r="BN479" s="343"/>
      <c r="BO479" s="343"/>
      <c r="BP479" s="397"/>
      <c r="BQ479" s="589">
        <v>0</v>
      </c>
      <c r="BR479" s="2"/>
      <c r="BT479" s="437">
        <f t="shared" si="416"/>
        <v>0</v>
      </c>
    </row>
    <row r="480" spans="1:72" s="2" customFormat="1">
      <c r="A480" s="49"/>
      <c r="B480" s="49"/>
      <c r="C480" s="49" t="s">
        <v>455</v>
      </c>
      <c r="D480" s="49"/>
      <c r="E480" s="396">
        <f>-E510</f>
        <v>208</v>
      </c>
      <c r="F480" s="343">
        <f>-F510</f>
        <v>221</v>
      </c>
      <c r="G480" s="343">
        <f>-G510</f>
        <v>207</v>
      </c>
      <c r="H480" s="397">
        <f>-H510</f>
        <v>233</v>
      </c>
      <c r="I480" s="297">
        <f>SUM(E480:H480)</f>
        <v>869</v>
      </c>
      <c r="J480" s="396">
        <f>-J510</f>
        <v>174</v>
      </c>
      <c r="K480" s="343">
        <f>-K510</f>
        <v>154</v>
      </c>
      <c r="L480" s="343">
        <f>-L510</f>
        <v>251</v>
      </c>
      <c r="M480" s="397">
        <f>-M510</f>
        <v>246</v>
      </c>
      <c r="N480" s="297">
        <f>SUM(J480:M480)</f>
        <v>825</v>
      </c>
      <c r="O480" s="396">
        <f>-O510</f>
        <v>155</v>
      </c>
      <c r="P480" s="343">
        <f>-P510</f>
        <v>168</v>
      </c>
      <c r="Q480" s="343">
        <f>-Q510</f>
        <v>207</v>
      </c>
      <c r="R480" s="397">
        <f>-R510</f>
        <v>227</v>
      </c>
      <c r="S480" s="297">
        <f>SUM(O480:R480)</f>
        <v>757</v>
      </c>
      <c r="T480" s="396">
        <f>-T510</f>
        <v>237</v>
      </c>
      <c r="U480" s="343">
        <f>-U510</f>
        <v>107</v>
      </c>
      <c r="V480" s="343">
        <f>-V510</f>
        <v>149</v>
      </c>
      <c r="W480" s="397">
        <f>-W510</f>
        <v>153</v>
      </c>
      <c r="X480" s="297">
        <f>SUM(T480:W480)</f>
        <v>646</v>
      </c>
      <c r="Y480" s="396">
        <f>-Y510</f>
        <v>143</v>
      </c>
      <c r="Z480" s="343">
        <f>-Z510</f>
        <v>79</v>
      </c>
      <c r="AA480" s="343">
        <f>-AA510</f>
        <v>197</v>
      </c>
      <c r="AB480" s="397">
        <f>-AB510</f>
        <v>190</v>
      </c>
      <c r="AC480" s="297">
        <f>SUM(Y480:AB480)</f>
        <v>609</v>
      </c>
      <c r="AD480" s="396">
        <f>-AD510</f>
        <v>126</v>
      </c>
      <c r="AE480" s="343">
        <f>-AE510</f>
        <v>100</v>
      </c>
      <c r="AF480" s="343">
        <f>-AF510</f>
        <v>188</v>
      </c>
      <c r="AG480" s="397">
        <f>-AG510</f>
        <v>212</v>
      </c>
      <c r="AH480" s="297">
        <f>SUM(AD480:AG480)</f>
        <v>626</v>
      </c>
      <c r="AI480" s="396">
        <f>-AI510</f>
        <v>139</v>
      </c>
      <c r="AJ480" s="343">
        <f>-AJ510</f>
        <v>348</v>
      </c>
      <c r="AK480" s="343">
        <f>-AK510</f>
        <v>310</v>
      </c>
      <c r="AL480" s="397">
        <f>-AL510</f>
        <v>320</v>
      </c>
      <c r="AM480" s="297">
        <f>SUM(AI480:AL480)</f>
        <v>1117</v>
      </c>
      <c r="AN480" s="396">
        <f>-AN510</f>
        <v>333</v>
      </c>
      <c r="AO480" s="343">
        <f>-AO510</f>
        <v>265</v>
      </c>
      <c r="AP480" s="343">
        <f>-AP510</f>
        <v>325</v>
      </c>
      <c r="AQ480" s="397">
        <f>-AQ510</f>
        <v>420</v>
      </c>
      <c r="AR480" s="297">
        <f>SUM(AN480:AQ480)</f>
        <v>1343</v>
      </c>
      <c r="AS480" s="396">
        <f>-AS510</f>
        <v>307</v>
      </c>
      <c r="AT480" s="343">
        <f>-AT510</f>
        <v>269</v>
      </c>
      <c r="AU480" s="343">
        <f>-AU510</f>
        <v>327</v>
      </c>
      <c r="AV480" s="397">
        <f>-AV510</f>
        <v>328</v>
      </c>
      <c r="AW480" s="297">
        <f>SUM(AS480:AV480)</f>
        <v>1231</v>
      </c>
      <c r="AX480" s="396">
        <f>BB480/4</f>
        <v>161.25</v>
      </c>
      <c r="AY480" s="343">
        <f>(BB480-AX480)/3</f>
        <v>161.25</v>
      </c>
      <c r="AZ480" s="343">
        <f>(BB480-AX480-AY480)/2</f>
        <v>161.25</v>
      </c>
      <c r="BA480" s="397">
        <f>BB480-SUM(AX480:AZ480)</f>
        <v>161.25</v>
      </c>
      <c r="BB480" s="297">
        <f>SUM(BB475:BB479)</f>
        <v>645</v>
      </c>
      <c r="BC480" s="396">
        <f>BG480/4</f>
        <v>65</v>
      </c>
      <c r="BD480" s="343">
        <f>(BG480-BC480)/3</f>
        <v>65</v>
      </c>
      <c r="BE480" s="343">
        <f>(BG480-BC480-BD480)/2</f>
        <v>65</v>
      </c>
      <c r="BF480" s="397">
        <f>BG480-SUM(BC480:BE480)</f>
        <v>65</v>
      </c>
      <c r="BG480" s="297">
        <f>SUM(BG475:BG479)</f>
        <v>260</v>
      </c>
      <c r="BH480" s="396">
        <f>BL480/4</f>
        <v>48.75</v>
      </c>
      <c r="BI480" s="343">
        <f>(BL480-BH480)/3</f>
        <v>48.75</v>
      </c>
      <c r="BJ480" s="343">
        <f>(BL480-BH480-BI480)/2</f>
        <v>48.75</v>
      </c>
      <c r="BK480" s="397">
        <f>BL480-SUM(BH480:BJ480)</f>
        <v>48.75</v>
      </c>
      <c r="BL480" s="297">
        <f>SUM(BL475:BL479)</f>
        <v>195</v>
      </c>
      <c r="BM480" s="396">
        <f>BQ480/4</f>
        <v>51.25</v>
      </c>
      <c r="BN480" s="343">
        <f>(BQ480-BM480)/3</f>
        <v>51.25</v>
      </c>
      <c r="BO480" s="343">
        <f>(BQ480-BM480-BN480)/2</f>
        <v>51.25</v>
      </c>
      <c r="BP480" s="397">
        <f>BQ480-SUM(BM480:BO480)</f>
        <v>51.25</v>
      </c>
      <c r="BQ480" s="297">
        <f>SUM(BQ475:BQ479)</f>
        <v>205</v>
      </c>
      <c r="BR480" s="49"/>
      <c r="BS480" s="437"/>
      <c r="BT480" s="437">
        <f t="shared" si="416"/>
        <v>2536</v>
      </c>
    </row>
    <row r="481" spans="1:70" s="2" customFormat="1">
      <c r="A481" s="1523"/>
      <c r="C481" s="37"/>
      <c r="D481" s="37"/>
      <c r="E481" s="493"/>
      <c r="F481" s="494"/>
      <c r="G481" s="494"/>
      <c r="H481" s="495"/>
      <c r="I481" s="496"/>
      <c r="J481" s="493"/>
      <c r="K481" s="494"/>
      <c r="L481" s="494"/>
      <c r="M481" s="495"/>
      <c r="N481" s="496"/>
      <c r="O481" s="493"/>
      <c r="P481" s="494"/>
      <c r="Q481" s="494"/>
      <c r="R481" s="495"/>
      <c r="S481" s="496"/>
      <c r="T481" s="493"/>
      <c r="U481" s="494"/>
      <c r="V481" s="494"/>
      <c r="W481" s="495"/>
      <c r="X481" s="496"/>
      <c r="Y481" s="493"/>
      <c r="Z481" s="494"/>
      <c r="AA481" s="494"/>
      <c r="AB481" s="495"/>
      <c r="AC481" s="496"/>
      <c r="AD481" s="493"/>
      <c r="AE481" s="494"/>
      <c r="AF481" s="494"/>
      <c r="AG481" s="495"/>
      <c r="AH481" s="496"/>
      <c r="AI481" s="493"/>
      <c r="AJ481" s="494"/>
      <c r="AK481" s="494"/>
      <c r="AL481" s="495"/>
      <c r="AM481" s="496"/>
      <c r="AN481" s="493"/>
      <c r="AO481" s="494"/>
      <c r="AP481" s="494"/>
      <c r="AQ481" s="495"/>
      <c r="AR481" s="496"/>
      <c r="AS481" s="493"/>
      <c r="AT481" s="494"/>
      <c r="AU481" s="494"/>
      <c r="AV481" s="495"/>
      <c r="AW481" s="496"/>
      <c r="AX481" s="493"/>
      <c r="AY481" s="494"/>
      <c r="AZ481" s="494"/>
      <c r="BA481" s="495"/>
      <c r="BB481" s="496"/>
      <c r="BC481" s="493"/>
      <c r="BD481" s="494"/>
      <c r="BE481" s="494"/>
      <c r="BF481" s="495"/>
      <c r="BG481" s="496"/>
      <c r="BH481" s="493"/>
      <c r="BI481" s="494"/>
      <c r="BJ481" s="494"/>
      <c r="BK481" s="495"/>
      <c r="BL481" s="496"/>
      <c r="BM481" s="493"/>
      <c r="BN481" s="494"/>
      <c r="BO481" s="494"/>
      <c r="BP481" s="495"/>
      <c r="BQ481" s="496"/>
    </row>
    <row r="482" spans="1:70" s="2" customFormat="1">
      <c r="A482" s="1523"/>
      <c r="C482" s="37"/>
      <c r="D482" s="37"/>
      <c r="E482" s="493"/>
      <c r="F482" s="494"/>
      <c r="G482" s="494"/>
      <c r="H482" s="495"/>
      <c r="I482" s="496"/>
      <c r="J482" s="493"/>
      <c r="K482" s="494"/>
      <c r="L482" s="494"/>
      <c r="M482" s="495"/>
      <c r="N482" s="496"/>
      <c r="O482" s="493"/>
      <c r="P482" s="494"/>
      <c r="Q482" s="494"/>
      <c r="R482" s="495"/>
      <c r="S482" s="496"/>
      <c r="T482" s="493"/>
      <c r="U482" s="494"/>
      <c r="V482" s="494"/>
      <c r="W482" s="495"/>
      <c r="X482" s="496"/>
      <c r="Y482" s="493"/>
      <c r="Z482" s="494"/>
      <c r="AA482" s="494"/>
      <c r="AB482" s="495"/>
      <c r="AC482" s="496"/>
      <c r="AD482" s="493"/>
      <c r="AE482" s="494"/>
      <c r="AF482" s="494"/>
      <c r="AG482" s="495"/>
      <c r="AH482" s="496"/>
      <c r="AI482" s="493"/>
      <c r="AJ482" s="494"/>
      <c r="AK482" s="494"/>
      <c r="AL482" s="495"/>
      <c r="AM482" s="496"/>
      <c r="AN482" s="493"/>
      <c r="AO482" s="494"/>
      <c r="AP482" s="494"/>
      <c r="AQ482" s="495"/>
      <c r="AR482" s="496"/>
      <c r="AS482" s="493"/>
      <c r="AT482" s="494"/>
      <c r="AU482" s="494"/>
      <c r="AV482" s="495"/>
      <c r="AW482" s="496"/>
      <c r="AX482" s="493"/>
      <c r="AY482" s="494"/>
      <c r="AZ482" s="494"/>
      <c r="BA482" s="495"/>
      <c r="BB482" s="496"/>
      <c r="BC482" s="493"/>
      <c r="BD482" s="494"/>
      <c r="BE482" s="494"/>
      <c r="BF482" s="495"/>
      <c r="BG482" s="496"/>
      <c r="BH482" s="493"/>
      <c r="BI482" s="494"/>
      <c r="BJ482" s="494"/>
      <c r="BK482" s="495"/>
      <c r="BL482" s="496"/>
      <c r="BM482" s="493"/>
      <c r="BN482" s="494"/>
      <c r="BO482" s="494"/>
      <c r="BP482" s="495"/>
      <c r="BQ482" s="496"/>
    </row>
    <row r="483" spans="1:70" s="37" customFormat="1">
      <c r="A483" s="1523"/>
      <c r="B483" s="105" t="s">
        <v>342</v>
      </c>
      <c r="C483" s="277"/>
      <c r="D483" s="277"/>
      <c r="E483" s="493"/>
      <c r="F483" s="494"/>
      <c r="G483" s="494"/>
      <c r="H483" s="495"/>
      <c r="I483" s="496"/>
      <c r="J483" s="493"/>
      <c r="K483" s="494"/>
      <c r="L483" s="494"/>
      <c r="M483" s="495"/>
      <c r="N483" s="496"/>
      <c r="O483" s="493"/>
      <c r="P483" s="494"/>
      <c r="Q483" s="494"/>
      <c r="R483" s="495"/>
      <c r="S483" s="496"/>
      <c r="T483" s="493"/>
      <c r="U483" s="494"/>
      <c r="V483" s="494"/>
      <c r="W483" s="495"/>
      <c r="X483" s="496"/>
      <c r="Y483" s="493"/>
      <c r="Z483" s="494"/>
      <c r="AA483" s="494"/>
      <c r="AB483" s="495"/>
      <c r="AC483" s="496"/>
      <c r="AD483" s="493"/>
      <c r="AE483" s="494"/>
      <c r="AF483" s="494"/>
      <c r="AG483" s="495"/>
      <c r="AH483" s="496"/>
      <c r="AI483" s="493"/>
      <c r="AJ483" s="494"/>
      <c r="AK483" s="494"/>
      <c r="AL483" s="495"/>
      <c r="AM483" s="496"/>
      <c r="AN483" s="493"/>
      <c r="AO483" s="494"/>
      <c r="AP483" s="494"/>
      <c r="AQ483" s="495"/>
      <c r="AR483" s="496"/>
      <c r="AS483" s="493"/>
      <c r="AT483" s="494"/>
      <c r="AU483" s="494"/>
      <c r="AV483" s="495"/>
      <c r="AW483" s="496"/>
      <c r="AX483" s="493"/>
      <c r="AY483" s="494"/>
      <c r="AZ483" s="494"/>
      <c r="BA483" s="495"/>
      <c r="BB483" s="496"/>
      <c r="BC483" s="493"/>
      <c r="BD483" s="494"/>
      <c r="BE483" s="494"/>
      <c r="BF483" s="495"/>
      <c r="BG483" s="496"/>
      <c r="BH483" s="493"/>
      <c r="BI483" s="494"/>
      <c r="BJ483" s="494"/>
      <c r="BK483" s="495"/>
      <c r="BL483" s="496"/>
      <c r="BM483" s="493"/>
      <c r="BN483" s="494"/>
      <c r="BO483" s="494"/>
      <c r="BP483" s="495"/>
      <c r="BQ483" s="496"/>
      <c r="BR483" s="2"/>
    </row>
    <row r="484" spans="1:70" s="2" customFormat="1">
      <c r="A484" s="37"/>
      <c r="B484" s="37"/>
      <c r="C484" s="37" t="s">
        <v>302</v>
      </c>
      <c r="D484" s="37"/>
      <c r="E484" s="386"/>
      <c r="F484" s="316"/>
      <c r="G484" s="316"/>
      <c r="H484" s="387"/>
      <c r="I484" s="37"/>
      <c r="J484" s="386">
        <f t="shared" ref="J484:AH484" si="417">J27/J25</f>
        <v>0.41574803149606299</v>
      </c>
      <c r="K484" s="316">
        <f t="shared" si="417"/>
        <v>0.38972809667673713</v>
      </c>
      <c r="L484" s="316">
        <f t="shared" si="417"/>
        <v>0.39432176656151419</v>
      </c>
      <c r="M484" s="387">
        <f t="shared" si="417"/>
        <v>0.42993630573248409</v>
      </c>
      <c r="N484" s="32">
        <f t="shared" si="417"/>
        <v>0.40647857889237199</v>
      </c>
      <c r="O484" s="386">
        <f t="shared" si="417"/>
        <v>0.41106719367588934</v>
      </c>
      <c r="P484" s="316">
        <f t="shared" si="417"/>
        <v>0.41091954022988508</v>
      </c>
      <c r="Q484" s="316">
        <f t="shared" si="417"/>
        <v>0.40652173913043477</v>
      </c>
      <c r="R484" s="387">
        <f t="shared" si="417"/>
        <v>0.3941018766756032</v>
      </c>
      <c r="S484" s="32">
        <f t="shared" si="417"/>
        <v>0.40604623592175459</v>
      </c>
      <c r="T484" s="386">
        <f t="shared" si="417"/>
        <v>0.39904988123515439</v>
      </c>
      <c r="U484" s="316">
        <f t="shared" si="417"/>
        <v>0.41242937853107342</v>
      </c>
      <c r="V484" s="316">
        <f t="shared" si="417"/>
        <v>0.42356687898089174</v>
      </c>
      <c r="W484" s="387">
        <f t="shared" si="417"/>
        <v>0.35119047619047616</v>
      </c>
      <c r="X484" s="32">
        <f t="shared" si="417"/>
        <v>0.40092592592592591</v>
      </c>
      <c r="Y484" s="386">
        <f t="shared" si="417"/>
        <v>0.39912280701754388</v>
      </c>
      <c r="Z484" s="316">
        <f t="shared" si="417"/>
        <v>0.40524781341107874</v>
      </c>
      <c r="AA484" s="316">
        <f t="shared" si="417"/>
        <v>0.40909090909090912</v>
      </c>
      <c r="AB484" s="387">
        <f t="shared" si="417"/>
        <v>0.30508474576271188</v>
      </c>
      <c r="AC484" s="32">
        <f t="shared" si="417"/>
        <v>0.39416745061147695</v>
      </c>
      <c r="AD484" s="386">
        <f t="shared" si="417"/>
        <v>0.40363636363636363</v>
      </c>
      <c r="AE484" s="316">
        <f t="shared" si="417"/>
        <v>0.28947368421052633</v>
      </c>
      <c r="AF484" s="316">
        <f t="shared" si="417"/>
        <v>0.39344262295081966</v>
      </c>
      <c r="AG484" s="387">
        <f t="shared" si="417"/>
        <v>0.40074906367041196</v>
      </c>
      <c r="AH484" s="32">
        <f t="shared" si="417"/>
        <v>0.39248601119104715</v>
      </c>
      <c r="AI484" s="386">
        <f t="shared" ref="AI484:AN484" si="418">AI27/AI25</f>
        <v>0.41124780316344461</v>
      </c>
      <c r="AJ484" s="316">
        <f t="shared" si="418"/>
        <v>0.30252100840336132</v>
      </c>
      <c r="AK484" s="316">
        <f t="shared" si="418"/>
        <v>0.40289855072463771</v>
      </c>
      <c r="AL484" s="387">
        <f t="shared" si="418"/>
        <v>0.30697674418604654</v>
      </c>
      <c r="AM484" s="32">
        <f t="shared" si="418"/>
        <v>0.373811265544989</v>
      </c>
      <c r="AN484" s="386">
        <f t="shared" si="418"/>
        <v>0.40186915887850466</v>
      </c>
      <c r="AO484" s="316">
        <f t="shared" ref="AO484:AU484" si="419">AO27/AO25</f>
        <v>0.5</v>
      </c>
      <c r="AP484" s="316">
        <f t="shared" si="419"/>
        <v>0.3930131004366812</v>
      </c>
      <c r="AQ484" s="387">
        <f t="shared" si="419"/>
        <v>0.47110332749562173</v>
      </c>
      <c r="AR484" s="32">
        <f t="shared" si="419"/>
        <v>1.4186046511627908</v>
      </c>
      <c r="AS484" s="386">
        <f t="shared" si="419"/>
        <v>0.40559440559440557</v>
      </c>
      <c r="AT484" s="316">
        <f t="shared" si="419"/>
        <v>0.38993710691823902</v>
      </c>
      <c r="AU484" s="316">
        <f t="shared" si="419"/>
        <v>0.41880341880341881</v>
      </c>
      <c r="AV484" s="387">
        <f>AV27/AV25</f>
        <v>16.641025641025642</v>
      </c>
      <c r="AW484" s="32">
        <f>AW27/AW25</f>
        <v>2.9159999999999999</v>
      </c>
      <c r="AX484" s="386">
        <f>+AY484</f>
        <v>0.26</v>
      </c>
      <c r="AY484" s="316">
        <f>+AZ484</f>
        <v>0.26</v>
      </c>
      <c r="AZ484" s="316">
        <f>+BA484</f>
        <v>0.26</v>
      </c>
      <c r="BA484" s="387">
        <f>+BB484</f>
        <v>0.26</v>
      </c>
      <c r="BB484" s="801">
        <f>40%-14%</f>
        <v>0.26</v>
      </c>
      <c r="BC484" s="386">
        <f>+BD484</f>
        <v>0.26</v>
      </c>
      <c r="BD484" s="316">
        <f>+BE484</f>
        <v>0.26</v>
      </c>
      <c r="BE484" s="316">
        <f>+BF484</f>
        <v>0.26</v>
      </c>
      <c r="BF484" s="387">
        <f>+BG484</f>
        <v>0.26</v>
      </c>
      <c r="BG484" s="801">
        <f>40%-14%</f>
        <v>0.26</v>
      </c>
      <c r="BH484" s="386">
        <f>+BI484</f>
        <v>0.26</v>
      </c>
      <c r="BI484" s="316">
        <f>+BJ484</f>
        <v>0.26</v>
      </c>
      <c r="BJ484" s="316">
        <f>+BK484</f>
        <v>0.26</v>
      </c>
      <c r="BK484" s="387">
        <f>+BL484</f>
        <v>0.26</v>
      </c>
      <c r="BL484" s="801">
        <f>40%-14%</f>
        <v>0.26</v>
      </c>
      <c r="BM484" s="386">
        <f>+BN484</f>
        <v>0.26</v>
      </c>
      <c r="BN484" s="316">
        <f>+BO484</f>
        <v>0.26</v>
      </c>
      <c r="BO484" s="316">
        <f>+BP484</f>
        <v>0.26</v>
      </c>
      <c r="BP484" s="387">
        <f>+BQ484</f>
        <v>0.26</v>
      </c>
      <c r="BQ484" s="801">
        <f>40%-14%</f>
        <v>0.26</v>
      </c>
      <c r="BR484" s="37"/>
    </row>
    <row r="485" spans="1:70" s="2" customFormat="1">
      <c r="A485" s="1523"/>
      <c r="C485" s="290"/>
      <c r="D485" s="290"/>
      <c r="E485" s="529"/>
      <c r="F485" s="530"/>
      <c r="G485" s="530"/>
      <c r="H485" s="531"/>
      <c r="I485" s="290"/>
      <c r="J485" s="529"/>
      <c r="K485" s="530"/>
      <c r="L485" s="530"/>
      <c r="M485" s="531"/>
      <c r="N485" s="528"/>
      <c r="O485" s="529"/>
      <c r="P485" s="530"/>
      <c r="Q485" s="530"/>
      <c r="R485" s="531"/>
      <c r="S485" s="528"/>
      <c r="T485" s="529"/>
      <c r="U485" s="530"/>
      <c r="V485" s="530"/>
      <c r="W485" s="531"/>
      <c r="X485" s="528"/>
      <c r="Y485" s="529"/>
      <c r="Z485" s="530"/>
      <c r="AA485" s="530"/>
      <c r="AB485" s="531"/>
      <c r="AC485" s="762"/>
      <c r="AD485" s="529"/>
      <c r="AE485" s="530"/>
      <c r="AF485" s="530"/>
      <c r="AG485" s="531"/>
      <c r="AH485" s="762"/>
      <c r="AI485" s="529"/>
      <c r="AJ485" s="530"/>
      <c r="AK485" s="530"/>
      <c r="AL485" s="531"/>
      <c r="AM485" s="762"/>
      <c r="AN485" s="529"/>
      <c r="AO485" s="530"/>
      <c r="AP485" s="530"/>
      <c r="AQ485" s="531"/>
      <c r="AR485" s="762"/>
      <c r="AS485" s="529"/>
      <c r="AT485" s="530"/>
      <c r="AU485" s="530"/>
      <c r="AV485" s="531"/>
      <c r="AW485" s="762"/>
      <c r="AX485" s="529"/>
      <c r="AY485" s="530"/>
      <c r="AZ485" s="530"/>
      <c r="BA485" s="531"/>
      <c r="BB485" s="762"/>
      <c r="BC485" s="529"/>
      <c r="BD485" s="530"/>
      <c r="BE485" s="530"/>
      <c r="BF485" s="531"/>
      <c r="BG485" s="762"/>
      <c r="BH485" s="529"/>
      <c r="BI485" s="530"/>
      <c r="BJ485" s="530"/>
      <c r="BK485" s="531"/>
      <c r="BL485" s="762"/>
      <c r="BM485" s="529"/>
      <c r="BN485" s="530"/>
      <c r="BO485" s="530"/>
      <c r="BP485" s="531"/>
      <c r="BQ485" s="762"/>
    </row>
    <row r="486" spans="1:70" s="2" customFormat="1">
      <c r="A486" s="1523"/>
      <c r="C486" s="37"/>
      <c r="D486" s="37"/>
      <c r="E486" s="493"/>
      <c r="F486" s="494"/>
      <c r="G486" s="494"/>
      <c r="H486" s="495"/>
      <c r="I486" s="496"/>
      <c r="J486" s="493"/>
      <c r="K486" s="494"/>
      <c r="L486" s="494"/>
      <c r="M486" s="495"/>
      <c r="N486" s="496"/>
      <c r="O486" s="493"/>
      <c r="P486" s="494"/>
      <c r="Q486" s="494"/>
      <c r="R486" s="495"/>
      <c r="S486" s="496"/>
      <c r="T486" s="493"/>
      <c r="U486" s="494"/>
      <c r="V486" s="494"/>
      <c r="W486" s="495"/>
      <c r="X486" s="496"/>
      <c r="Y486" s="493"/>
      <c r="Z486" s="494"/>
      <c r="AA486" s="494"/>
      <c r="AB486" s="495"/>
      <c r="AC486" s="496"/>
      <c r="AD486" s="493"/>
      <c r="AE486" s="494"/>
      <c r="AF486" s="494"/>
      <c r="AG486" s="495"/>
      <c r="AH486" s="496"/>
      <c r="AI486" s="493"/>
      <c r="AJ486" s="494"/>
      <c r="AK486" s="494"/>
      <c r="AL486" s="495"/>
      <c r="AM486" s="496"/>
      <c r="AN486" s="493"/>
      <c r="AO486" s="494"/>
      <c r="AP486" s="494"/>
      <c r="AQ486" s="495"/>
      <c r="AR486" s="496"/>
      <c r="AS486" s="493"/>
      <c r="AT486" s="494"/>
      <c r="AU486" s="494"/>
      <c r="AV486" s="495"/>
      <c r="AW486" s="496"/>
      <c r="AX486" s="493"/>
      <c r="AY486" s="494"/>
      <c r="AZ486" s="494"/>
      <c r="BA486" s="495"/>
      <c r="BB486" s="496"/>
      <c r="BC486" s="493"/>
      <c r="BD486" s="494"/>
      <c r="BE486" s="494"/>
      <c r="BF486" s="495"/>
      <c r="BG486" s="496"/>
      <c r="BH486" s="493"/>
      <c r="BI486" s="494"/>
      <c r="BJ486" s="494"/>
      <c r="BK486" s="495"/>
      <c r="BL486" s="496"/>
      <c r="BM486" s="493"/>
      <c r="BN486" s="494"/>
      <c r="BO486" s="494"/>
      <c r="BP486" s="495"/>
      <c r="BQ486" s="496"/>
    </row>
    <row r="487" spans="1:70" s="2" customFormat="1">
      <c r="A487" s="1523"/>
      <c r="B487" s="105" t="s">
        <v>343</v>
      </c>
      <c r="C487" s="277"/>
      <c r="D487" s="277"/>
      <c r="E487" s="493"/>
      <c r="F487" s="494"/>
      <c r="G487" s="494"/>
      <c r="H487" s="495"/>
      <c r="I487" s="496"/>
      <c r="J487" s="493"/>
      <c r="K487" s="494"/>
      <c r="L487" s="494"/>
      <c r="M487" s="495"/>
      <c r="N487" s="496"/>
      <c r="O487" s="493"/>
      <c r="P487" s="494"/>
      <c r="Q487" s="494"/>
      <c r="R487" s="495"/>
      <c r="S487" s="496"/>
      <c r="T487" s="493"/>
      <c r="U487" s="494"/>
      <c r="V487" s="494"/>
      <c r="W487" s="495"/>
      <c r="X487" s="496"/>
      <c r="Y487" s="493"/>
      <c r="Z487" s="494"/>
      <c r="AA487" s="494"/>
      <c r="AB487" s="495"/>
      <c r="AC487" s="496"/>
      <c r="AD487" s="493"/>
      <c r="AE487" s="494"/>
      <c r="AF487" s="494"/>
      <c r="AG487" s="495"/>
      <c r="AH487" s="496"/>
      <c r="AI487" s="493"/>
      <c r="AJ487" s="494"/>
      <c r="AK487" s="494"/>
      <c r="AL487" s="495"/>
      <c r="AM487" s="496"/>
      <c r="AN487" s="493"/>
      <c r="AO487" s="494"/>
      <c r="AP487" s="494"/>
      <c r="AQ487" s="495"/>
      <c r="AR487" s="496"/>
      <c r="AS487" s="493"/>
      <c r="AT487" s="494"/>
      <c r="AU487" s="494"/>
      <c r="AV487" s="495"/>
      <c r="AW487" s="496"/>
      <c r="AX487" s="493"/>
      <c r="AY487" s="494"/>
      <c r="AZ487" s="494"/>
      <c r="BA487" s="495"/>
      <c r="BB487" s="496"/>
      <c r="BC487" s="493"/>
      <c r="BD487" s="494"/>
      <c r="BE487" s="494"/>
      <c r="BF487" s="495"/>
      <c r="BG487" s="496"/>
      <c r="BH487" s="493"/>
      <c r="BI487" s="494"/>
      <c r="BJ487" s="494"/>
      <c r="BK487" s="495"/>
      <c r="BL487" s="496"/>
      <c r="BM487" s="493"/>
      <c r="BN487" s="494"/>
      <c r="BO487" s="494"/>
      <c r="BP487" s="495"/>
      <c r="BQ487" s="496"/>
    </row>
    <row r="488" spans="1:70" s="2" customFormat="1">
      <c r="A488" s="1523"/>
      <c r="C488" s="37"/>
      <c r="D488" s="37"/>
      <c r="E488" s="493"/>
      <c r="F488" s="494"/>
      <c r="G488" s="494"/>
      <c r="H488" s="495"/>
      <c r="I488" s="496"/>
      <c r="J488" s="493"/>
      <c r="K488" s="494"/>
      <c r="L488" s="494"/>
      <c r="M488" s="495"/>
      <c r="N488" s="496"/>
      <c r="O488" s="493"/>
      <c r="P488" s="494"/>
      <c r="Q488" s="494"/>
      <c r="R488" s="495"/>
      <c r="S488" s="496"/>
      <c r="T488" s="493"/>
      <c r="U488" s="494"/>
      <c r="V488" s="494"/>
      <c r="W488" s="495"/>
      <c r="X488" s="496"/>
      <c r="Y488" s="493"/>
      <c r="Z488" s="494"/>
      <c r="AA488" s="494"/>
      <c r="AB488" s="495"/>
      <c r="AC488" s="496"/>
      <c r="AD488" s="493"/>
      <c r="AE488" s="494"/>
      <c r="AF488" s="494"/>
      <c r="AG488" s="495"/>
      <c r="AH488" s="496"/>
      <c r="AI488" s="493"/>
      <c r="AJ488" s="494"/>
      <c r="AK488" s="494"/>
      <c r="AL488" s="495"/>
      <c r="AM488" s="496"/>
      <c r="AN488" s="493"/>
      <c r="AO488" s="494"/>
      <c r="AP488" s="494"/>
      <c r="AQ488" s="495"/>
      <c r="AR488" s="496"/>
      <c r="AS488" s="493"/>
      <c r="AT488" s="494"/>
      <c r="AU488" s="494"/>
      <c r="AV488" s="495"/>
      <c r="AW488" s="496"/>
      <c r="AX488" s="493"/>
      <c r="AY488" s="494"/>
      <c r="AZ488" s="494"/>
      <c r="BA488" s="495"/>
      <c r="BB488" s="496"/>
      <c r="BC488" s="493"/>
      <c r="BD488" s="494"/>
      <c r="BE488" s="494"/>
      <c r="BF488" s="495"/>
      <c r="BG488" s="496"/>
      <c r="BH488" s="493"/>
      <c r="BI488" s="494"/>
      <c r="BJ488" s="494"/>
      <c r="BK488" s="495"/>
      <c r="BL488" s="496"/>
      <c r="BM488" s="493"/>
      <c r="BN488" s="494"/>
      <c r="BO488" s="494"/>
      <c r="BP488" s="495"/>
      <c r="BQ488" s="496"/>
    </row>
    <row r="489" spans="1:70" s="2" customFormat="1">
      <c r="A489" s="1523"/>
      <c r="C489" s="294" t="s">
        <v>318</v>
      </c>
      <c r="E489" s="384"/>
      <c r="F489" s="338"/>
      <c r="G489" s="338"/>
      <c r="H489" s="385"/>
      <c r="I489" s="297"/>
      <c r="J489" s="418"/>
      <c r="K489" s="353"/>
      <c r="L489" s="353"/>
      <c r="M489" s="419"/>
      <c r="N489" s="297"/>
      <c r="O489" s="418"/>
      <c r="P489" s="353"/>
      <c r="Q489" s="353"/>
      <c r="R489" s="419"/>
      <c r="S489" s="297"/>
      <c r="T489" s="418"/>
      <c r="U489" s="353"/>
      <c r="V489" s="353"/>
      <c r="W489" s="419"/>
      <c r="X489" s="297"/>
      <c r="Y489" s="418"/>
      <c r="Z489" s="353"/>
      <c r="AA489" s="353"/>
      <c r="AB489" s="419"/>
      <c r="AC489" s="297"/>
      <c r="AD489" s="418"/>
      <c r="AE489" s="353"/>
      <c r="AF489" s="353"/>
      <c r="AG489" s="419"/>
      <c r="AH489" s="297"/>
      <c r="AI489" s="418"/>
      <c r="AJ489" s="353"/>
      <c r="AK489" s="353"/>
      <c r="AL489" s="419"/>
      <c r="AM489" s="297"/>
      <c r="AN489" s="418"/>
      <c r="AO489" s="353"/>
      <c r="AP489" s="353"/>
      <c r="AQ489" s="419"/>
      <c r="AR489" s="297"/>
      <c r="AS489" s="418"/>
      <c r="AT489" s="353"/>
      <c r="AU489" s="353"/>
      <c r="AV489" s="419"/>
      <c r="AW489" s="297"/>
      <c r="AX489" s="418"/>
      <c r="AY489" s="353"/>
      <c r="AZ489" s="353"/>
      <c r="BA489" s="419"/>
      <c r="BB489" s="297"/>
      <c r="BC489" s="418"/>
      <c r="BD489" s="353"/>
      <c r="BE489" s="353"/>
      <c r="BF489" s="419"/>
      <c r="BG489" s="297"/>
      <c r="BH489" s="418"/>
      <c r="BI489" s="353"/>
      <c r="BJ489" s="353"/>
      <c r="BK489" s="419"/>
      <c r="BL489" s="297"/>
      <c r="BM489" s="418"/>
      <c r="BN489" s="353"/>
      <c r="BO489" s="353"/>
      <c r="BP489" s="419"/>
      <c r="BQ489" s="297"/>
    </row>
    <row r="490" spans="1:70" s="2" customFormat="1">
      <c r="A490" s="1523"/>
      <c r="C490" s="295" t="s">
        <v>316</v>
      </c>
      <c r="E490" s="472">
        <f t="shared" ref="E490:H491" si="420">+E515</f>
        <v>209</v>
      </c>
      <c r="F490" s="473">
        <f t="shared" si="420"/>
        <v>0</v>
      </c>
      <c r="G490" s="473">
        <f t="shared" si="420"/>
        <v>0</v>
      </c>
      <c r="H490" s="474">
        <f t="shared" si="420"/>
        <v>0</v>
      </c>
      <c r="I490" s="77">
        <f>+SUM(E490:H490)</f>
        <v>209</v>
      </c>
      <c r="J490" s="394">
        <f t="shared" ref="J490:M491" si="421">+J515</f>
        <v>44</v>
      </c>
      <c r="K490" s="342">
        <f t="shared" si="421"/>
        <v>550</v>
      </c>
      <c r="L490" s="342">
        <f t="shared" si="421"/>
        <v>0</v>
      </c>
      <c r="M490" s="395">
        <f t="shared" si="421"/>
        <v>0</v>
      </c>
      <c r="N490" s="77">
        <f>+SUM(J490:M490)</f>
        <v>594</v>
      </c>
      <c r="O490" s="394">
        <f t="shared" ref="O490:R491" si="422">+O515</f>
        <v>0</v>
      </c>
      <c r="P490" s="342">
        <f t="shared" si="422"/>
        <v>0</v>
      </c>
      <c r="Q490" s="342">
        <f t="shared" si="422"/>
        <v>500</v>
      </c>
      <c r="R490" s="395">
        <f t="shared" si="422"/>
        <v>44</v>
      </c>
      <c r="S490" s="77">
        <f>+SUM(O490:R490)</f>
        <v>544</v>
      </c>
      <c r="T490" s="394">
        <f t="shared" ref="T490:W491" si="423">+T515</f>
        <v>0</v>
      </c>
      <c r="U490" s="515">
        <f t="shared" si="423"/>
        <v>0</v>
      </c>
      <c r="V490" s="515">
        <f t="shared" si="423"/>
        <v>0</v>
      </c>
      <c r="W490" s="395">
        <f t="shared" si="423"/>
        <v>0</v>
      </c>
      <c r="X490" s="77">
        <f>+SUM(T490:W490)</f>
        <v>0</v>
      </c>
      <c r="Y490" s="394">
        <f t="shared" ref="Y490:AB491" si="424">+Y515</f>
        <v>0</v>
      </c>
      <c r="Z490" s="515">
        <f t="shared" si="424"/>
        <v>0</v>
      </c>
      <c r="AA490" s="515">
        <f t="shared" si="424"/>
        <v>0</v>
      </c>
      <c r="AB490" s="516">
        <f t="shared" si="424"/>
        <v>500</v>
      </c>
      <c r="AC490" s="77">
        <f>+SUM(Y490:AB490)</f>
        <v>500</v>
      </c>
      <c r="AD490" s="394">
        <f t="shared" ref="AD490:AG491" si="425">+AD515</f>
        <v>0</v>
      </c>
      <c r="AE490" s="515">
        <f t="shared" si="425"/>
        <v>0</v>
      </c>
      <c r="AF490" s="515">
        <f t="shared" si="425"/>
        <v>0</v>
      </c>
      <c r="AG490" s="516">
        <f t="shared" si="425"/>
        <v>0</v>
      </c>
      <c r="AH490" s="77">
        <f>+SUM(AD490:AG490)</f>
        <v>0</v>
      </c>
      <c r="AI490" s="394">
        <f t="shared" ref="AI490:AL491" si="426">+AI515</f>
        <v>0</v>
      </c>
      <c r="AJ490" s="515">
        <f t="shared" si="426"/>
        <v>0</v>
      </c>
      <c r="AK490" s="515">
        <f t="shared" si="426"/>
        <v>0</v>
      </c>
      <c r="AL490" s="516">
        <f t="shared" si="426"/>
        <v>0</v>
      </c>
      <c r="AM490" s="77">
        <f>+SUM(AI490:AL490)</f>
        <v>0</v>
      </c>
      <c r="AN490" s="394">
        <f t="shared" ref="AN490:AQ491" si="427">+AN515</f>
        <v>0</v>
      </c>
      <c r="AO490" s="515">
        <f t="shared" si="427"/>
        <v>700</v>
      </c>
      <c r="AP490" s="515">
        <f t="shared" si="427"/>
        <v>0</v>
      </c>
      <c r="AQ490" s="516">
        <f t="shared" si="427"/>
        <v>0</v>
      </c>
      <c r="AR490" s="77">
        <f>+SUM(AN490:AQ490)</f>
        <v>700</v>
      </c>
      <c r="AS490" s="394">
        <f t="shared" ref="AS490:AV491" si="428">+AS515</f>
        <v>0</v>
      </c>
      <c r="AT490" s="515">
        <f t="shared" si="428"/>
        <v>0</v>
      </c>
      <c r="AU490" s="515">
        <f t="shared" si="428"/>
        <v>0</v>
      </c>
      <c r="AV490" s="516">
        <f t="shared" si="428"/>
        <v>0</v>
      </c>
      <c r="AW490" s="77">
        <f>+SUM(AS490:AV490)</f>
        <v>0</v>
      </c>
      <c r="AX490" s="514">
        <f>+Debt!AL110</f>
        <v>0</v>
      </c>
      <c r="AY490" s="515">
        <f>+Debt!AM110</f>
        <v>0</v>
      </c>
      <c r="AZ490" s="515">
        <f>+Debt!AN110</f>
        <v>250</v>
      </c>
      <c r="BA490" s="516">
        <f>+Debt!AO110</f>
        <v>0</v>
      </c>
      <c r="BB490" s="298">
        <v>250</v>
      </c>
      <c r="BC490" s="514">
        <f>+Debt!AQ110</f>
        <v>0</v>
      </c>
      <c r="BD490" s="515">
        <f>+Debt!AR110</f>
        <v>0</v>
      </c>
      <c r="BE490" s="515">
        <f>+Debt!AS110</f>
        <v>100</v>
      </c>
      <c r="BF490" s="516">
        <f>+Debt!AT110</f>
        <v>0</v>
      </c>
      <c r="BG490" s="589">
        <v>100</v>
      </c>
      <c r="BH490" s="514">
        <f>+Debt!AV110</f>
        <v>0</v>
      </c>
      <c r="BI490" s="515">
        <f>+Debt!AW110</f>
        <v>0</v>
      </c>
      <c r="BJ490" s="515">
        <f>+Debt!AX110</f>
        <v>400</v>
      </c>
      <c r="BK490" s="516">
        <f>+Debt!AY110</f>
        <v>0</v>
      </c>
      <c r="BL490" s="589">
        <v>400</v>
      </c>
      <c r="BM490" s="514">
        <f>+Debt!BA110</f>
        <v>0</v>
      </c>
      <c r="BN490" s="515">
        <f>+Debt!BB110</f>
        <v>0</v>
      </c>
      <c r="BO490" s="515">
        <f>+Debt!BC110</f>
        <v>750</v>
      </c>
      <c r="BP490" s="516">
        <f>+Debt!BD110</f>
        <v>0</v>
      </c>
      <c r="BQ490" s="589">
        <v>750</v>
      </c>
    </row>
    <row r="491" spans="1:70" s="2" customFormat="1">
      <c r="A491" s="1523"/>
      <c r="C491" s="295" t="s">
        <v>317</v>
      </c>
      <c r="D491" s="300"/>
      <c r="E491" s="472">
        <f t="shared" si="420"/>
        <v>-280</v>
      </c>
      <c r="F491" s="473">
        <f t="shared" si="420"/>
        <v>-250</v>
      </c>
      <c r="G491" s="473">
        <f t="shared" si="420"/>
        <v>0</v>
      </c>
      <c r="H491" s="474">
        <f t="shared" si="420"/>
        <v>-44</v>
      </c>
      <c r="I491" s="77">
        <f>+SUM(E491:H491)</f>
        <v>-574</v>
      </c>
      <c r="J491" s="394">
        <f t="shared" si="421"/>
        <v>0</v>
      </c>
      <c r="K491" s="342">
        <f t="shared" si="421"/>
        <v>-248</v>
      </c>
      <c r="L491" s="342">
        <f t="shared" si="421"/>
        <v>0</v>
      </c>
      <c r="M491" s="395">
        <f t="shared" si="421"/>
        <v>0</v>
      </c>
      <c r="N491" s="77">
        <f>+SUM(J491:M491)</f>
        <v>-248</v>
      </c>
      <c r="O491" s="394">
        <f t="shared" si="422"/>
        <v>0</v>
      </c>
      <c r="P491" s="342">
        <f t="shared" si="422"/>
        <v>-606</v>
      </c>
      <c r="Q491" s="342">
        <f t="shared" si="422"/>
        <v>0</v>
      </c>
      <c r="R491" s="395">
        <f t="shared" si="422"/>
        <v>-644</v>
      </c>
      <c r="S491" s="77">
        <f>+SUM(O491:R491)</f>
        <v>-1250</v>
      </c>
      <c r="T491" s="394">
        <f t="shared" si="423"/>
        <v>-66</v>
      </c>
      <c r="U491" s="342">
        <f t="shared" si="423"/>
        <v>0</v>
      </c>
      <c r="V491" s="342">
        <f t="shared" si="423"/>
        <v>0</v>
      </c>
      <c r="W491" s="395">
        <f t="shared" si="423"/>
        <v>-348</v>
      </c>
      <c r="X491" s="77">
        <f>+SUM(T491:W491)</f>
        <v>-414</v>
      </c>
      <c r="Y491" s="394">
        <f t="shared" si="424"/>
        <v>0</v>
      </c>
      <c r="Z491" s="342">
        <f t="shared" si="424"/>
        <v>-300</v>
      </c>
      <c r="AA491" s="342">
        <f t="shared" si="424"/>
        <v>0</v>
      </c>
      <c r="AB491" s="395">
        <f t="shared" si="424"/>
        <v>0</v>
      </c>
      <c r="AC491" s="77">
        <f>+SUM(Y491:AB491)</f>
        <v>-300</v>
      </c>
      <c r="AD491" s="394">
        <f t="shared" si="425"/>
        <v>0</v>
      </c>
      <c r="AE491" s="342">
        <f t="shared" si="425"/>
        <v>0</v>
      </c>
      <c r="AF491" s="342">
        <f t="shared" si="425"/>
        <v>0</v>
      </c>
      <c r="AG491" s="395">
        <f t="shared" si="425"/>
        <v>0</v>
      </c>
      <c r="AH491" s="77">
        <f>+SUM(AD491:AG491)</f>
        <v>0</v>
      </c>
      <c r="AI491" s="394">
        <f t="shared" si="426"/>
        <v>0</v>
      </c>
      <c r="AJ491" s="342">
        <f t="shared" si="426"/>
        <v>0</v>
      </c>
      <c r="AK491" s="342">
        <f t="shared" si="426"/>
        <v>0</v>
      </c>
      <c r="AL491" s="395">
        <f t="shared" si="426"/>
        <v>-300</v>
      </c>
      <c r="AM491" s="77">
        <f>+SUM(AI491:AL491)</f>
        <v>-300</v>
      </c>
      <c r="AN491" s="394">
        <f t="shared" si="427"/>
        <v>0</v>
      </c>
      <c r="AO491" s="342">
        <f t="shared" si="427"/>
        <v>0</v>
      </c>
      <c r="AP491" s="342">
        <f t="shared" si="427"/>
        <v>-553</v>
      </c>
      <c r="AQ491" s="395">
        <f t="shared" si="427"/>
        <v>0</v>
      </c>
      <c r="AR491" s="77">
        <f>+SUM(AN491:AQ491)</f>
        <v>-553</v>
      </c>
      <c r="AS491" s="394">
        <f t="shared" si="428"/>
        <v>0</v>
      </c>
      <c r="AT491" s="342">
        <f t="shared" si="428"/>
        <v>0</v>
      </c>
      <c r="AU491" s="342">
        <f t="shared" si="428"/>
        <v>0</v>
      </c>
      <c r="AV491" s="395">
        <f t="shared" si="428"/>
        <v>0</v>
      </c>
      <c r="AW491" s="77">
        <f>+SUM(AS491:AV491)</f>
        <v>0</v>
      </c>
      <c r="AX491" s="394">
        <f>+Debt!AL102</f>
        <v>0</v>
      </c>
      <c r="AY491" s="342">
        <f>+Debt!AM102</f>
        <v>0</v>
      </c>
      <c r="AZ491" s="342">
        <f>+Debt!AN102</f>
        <v>0</v>
      </c>
      <c r="BA491" s="395">
        <f>+Debt!AO102</f>
        <v>-250</v>
      </c>
      <c r="BB491" s="77">
        <f>+SUM(AX491:BA491)</f>
        <v>-250</v>
      </c>
      <c r="BC491" s="394">
        <f>+Debt!AQ102</f>
        <v>-44</v>
      </c>
      <c r="BD491" s="342">
        <f>+Debt!AR102</f>
        <v>0</v>
      </c>
      <c r="BE491" s="342">
        <f>+Debt!AS102</f>
        <v>0</v>
      </c>
      <c r="BF491" s="395">
        <f>+Debt!AT102</f>
        <v>0</v>
      </c>
      <c r="BG491" s="77">
        <f>+SUM(BC491:BF491)</f>
        <v>-44</v>
      </c>
      <c r="BH491" s="394">
        <f>+Debt!AV102</f>
        <v>0</v>
      </c>
      <c r="BI491" s="342">
        <f>+Debt!AW102</f>
        <v>-406</v>
      </c>
      <c r="BJ491" s="342">
        <f>+Debt!AX102</f>
        <v>0</v>
      </c>
      <c r="BK491" s="395">
        <f>+Debt!AY102</f>
        <v>0</v>
      </c>
      <c r="BL491" s="77">
        <f>+SUM(BH491:BK491)</f>
        <v>-406</v>
      </c>
      <c r="BM491" s="394">
        <f>+Debt!BA102</f>
        <v>0</v>
      </c>
      <c r="BN491" s="342">
        <f>+Debt!BB102</f>
        <v>-700</v>
      </c>
      <c r="BO491" s="342">
        <f>+Debt!BC102</f>
        <v>-250</v>
      </c>
      <c r="BP491" s="395">
        <f>+Debt!BD102</f>
        <v>0</v>
      </c>
      <c r="BQ491" s="77">
        <f>+SUM(BM491:BP491)</f>
        <v>-950</v>
      </c>
    </row>
    <row r="492" spans="1:70" s="2" customFormat="1">
      <c r="A492" s="1523"/>
      <c r="C492" s="295"/>
      <c r="D492" s="49"/>
      <c r="E492" s="362"/>
      <c r="F492" s="317"/>
      <c r="G492" s="317"/>
      <c r="H492" s="363"/>
      <c r="I492" s="297"/>
      <c r="J492" s="396"/>
      <c r="K492" s="343"/>
      <c r="L492" s="343"/>
      <c r="M492" s="397"/>
      <c r="N492" s="297"/>
      <c r="O492" s="396"/>
      <c r="P492" s="343"/>
      <c r="Q492" s="343"/>
      <c r="R492" s="397"/>
      <c r="S492" s="297"/>
      <c r="T492" s="396"/>
      <c r="U492" s="343"/>
      <c r="V492" s="343"/>
      <c r="W492" s="397"/>
      <c r="X492" s="297"/>
      <c r="Y492" s="396"/>
      <c r="Z492" s="343"/>
      <c r="AA492" s="343"/>
      <c r="AB492" s="397"/>
      <c r="AC492" s="297"/>
      <c r="AD492" s="396"/>
      <c r="AE492" s="343"/>
      <c r="AF492" s="343"/>
      <c r="AG492" s="397"/>
      <c r="AH492" s="297"/>
      <c r="AI492" s="396"/>
      <c r="AJ492" s="343"/>
      <c r="AK492" s="343"/>
      <c r="AL492" s="397"/>
      <c r="AM492" s="297"/>
      <c r="AN492" s="396"/>
      <c r="AO492" s="343"/>
      <c r="AP492" s="343"/>
      <c r="AQ492" s="397"/>
      <c r="AR492" s="297"/>
      <c r="AS492" s="396"/>
      <c r="AT492" s="343"/>
      <c r="AU492" s="343"/>
      <c r="AV492" s="397"/>
      <c r="AW492" s="297"/>
      <c r="AX492" s="396"/>
      <c r="AY492" s="343"/>
      <c r="AZ492" s="343"/>
      <c r="BA492" s="397"/>
      <c r="BB492" s="297"/>
      <c r="BC492" s="396"/>
      <c r="BD492" s="343"/>
      <c r="BE492" s="343"/>
      <c r="BF492" s="397"/>
      <c r="BG492" s="297"/>
      <c r="BH492" s="396"/>
      <c r="BI492" s="343"/>
      <c r="BJ492" s="343"/>
      <c r="BK492" s="397"/>
      <c r="BL492" s="297"/>
      <c r="BM492" s="396"/>
      <c r="BN492" s="343"/>
      <c r="BO492" s="343"/>
      <c r="BP492" s="397"/>
      <c r="BQ492" s="297"/>
    </row>
    <row r="493" spans="1:70" s="2" customFormat="1">
      <c r="A493" s="1523"/>
      <c r="C493" s="294" t="s">
        <v>384</v>
      </c>
      <c r="E493" s="358"/>
      <c r="F493" s="312"/>
      <c r="G493" s="312"/>
      <c r="H493" s="359"/>
      <c r="I493" s="297"/>
      <c r="J493" s="394"/>
      <c r="K493" s="342"/>
      <c r="L493" s="342"/>
      <c r="M493" s="395"/>
      <c r="N493" s="297"/>
      <c r="O493" s="394"/>
      <c r="P493" s="342"/>
      <c r="Q493" s="342"/>
      <c r="R493" s="395"/>
      <c r="S493" s="297"/>
      <c r="T493" s="394"/>
      <c r="U493" s="342"/>
      <c r="V493" s="342"/>
      <c r="W493" s="395"/>
      <c r="X493" s="77"/>
      <c r="Y493" s="394"/>
      <c r="Z493" s="342"/>
      <c r="AA493" s="342"/>
      <c r="AB493" s="395"/>
      <c r="AC493" s="77"/>
      <c r="AD493" s="394"/>
      <c r="AE493" s="342"/>
      <c r="AF493" s="342"/>
      <c r="AG493" s="395"/>
      <c r="AH493" s="77"/>
      <c r="AI493" s="394"/>
      <c r="AJ493" s="342"/>
      <c r="AK493" s="342"/>
      <c r="AL493" s="395"/>
      <c r="AM493" s="77"/>
      <c r="AN493" s="394"/>
      <c r="AO493" s="342"/>
      <c r="AP493" s="342"/>
      <c r="AQ493" s="395"/>
      <c r="AR493" s="77"/>
      <c r="AS493" s="394"/>
      <c r="AT493" s="342"/>
      <c r="AU493" s="342"/>
      <c r="AV493" s="395"/>
      <c r="AW493" s="77"/>
      <c r="AX493" s="394"/>
      <c r="AY493" s="342"/>
      <c r="AZ493" s="342"/>
      <c r="BA493" s="395"/>
      <c r="BB493" s="77"/>
      <c r="BC493" s="394"/>
      <c r="BD493" s="342"/>
      <c r="BE493" s="342"/>
      <c r="BF493" s="395"/>
      <c r="BG493" s="77"/>
      <c r="BH493" s="394"/>
      <c r="BI493" s="342"/>
      <c r="BJ493" s="342"/>
      <c r="BK493" s="395"/>
      <c r="BL493" s="77"/>
      <c r="BM493" s="394"/>
      <c r="BN493" s="342"/>
      <c r="BO493" s="342"/>
      <c r="BP493" s="395"/>
      <c r="BQ493" s="77"/>
    </row>
    <row r="494" spans="1:70" s="2" customFormat="1">
      <c r="A494" s="1523"/>
      <c r="C494" s="295" t="s">
        <v>482</v>
      </c>
      <c r="E494" s="358"/>
      <c r="F494" s="312"/>
      <c r="G494" s="312"/>
      <c r="H494" s="359"/>
      <c r="I494" s="297"/>
      <c r="J494" s="394"/>
      <c r="K494" s="342"/>
      <c r="L494" s="342"/>
      <c r="M494" s="395"/>
      <c r="N494" s="297"/>
      <c r="O494" s="394"/>
      <c r="P494" s="342"/>
      <c r="Q494" s="342"/>
      <c r="R494" s="395"/>
      <c r="S494" s="297"/>
      <c r="T494" s="394"/>
      <c r="U494" s="342"/>
      <c r="V494" s="342"/>
      <c r="W494" s="395"/>
      <c r="X494" s="77"/>
      <c r="Y494" s="394"/>
      <c r="Z494" s="342"/>
      <c r="AA494" s="342"/>
      <c r="AB494" s="395"/>
      <c r="AC494" s="77"/>
      <c r="AD494" s="394"/>
      <c r="AE494" s="342"/>
      <c r="AF494" s="342"/>
      <c r="AG494" s="395"/>
      <c r="AH494" s="77"/>
      <c r="AI494" s="394"/>
      <c r="AJ494" s="342"/>
      <c r="AK494" s="342"/>
      <c r="AL494" s="395"/>
      <c r="AM494" s="77"/>
      <c r="AN494" s="394"/>
      <c r="AO494" s="342"/>
      <c r="AP494" s="342"/>
      <c r="AQ494" s="395"/>
      <c r="AR494" s="77"/>
      <c r="AS494" s="394"/>
      <c r="AT494" s="342"/>
      <c r="AU494" s="342"/>
      <c r="AV494" s="395"/>
      <c r="AW494" s="77"/>
      <c r="AX494" s="394">
        <f>(((AW532-AS532)*AX499)/4)-((AW530-AS530)*(AX499-1%)/4)</f>
        <v>1.37</v>
      </c>
      <c r="AY494" s="342">
        <f>(((AX532-AT532)*AY499)/4)-((AX530-AT530)*(AY499-1%)/4)</f>
        <v>0.91734537681873807</v>
      </c>
      <c r="AZ494" s="342">
        <f>(((AY532-AU532)*AZ499)/4)-((AY530-AU530)*(AZ499-1%)/4)</f>
        <v>0.86891575029739354</v>
      </c>
      <c r="BA494" s="395">
        <f>(((AY532-AV532)*BA499)/4)-((AY530-AV530)*(BA499-1%)/4)</f>
        <v>-0.51108424970260657</v>
      </c>
      <c r="BB494" s="77">
        <f>+SUM(AX494:BA494)</f>
        <v>2.6451768774135251</v>
      </c>
      <c r="BC494" s="394">
        <f>(((BB532-AX532)*BC499)/4)-((BB530-AX530)*(BC499-1%)/4)</f>
        <v>1.7691331676502022</v>
      </c>
      <c r="BD494" s="342">
        <f>(((BC532-AY532)*BD499)/4)-((BC530-AY530)*(BD499-1%)/4)</f>
        <v>1.4057221222206966</v>
      </c>
      <c r="BE494" s="342">
        <f>(((BD532-AY532)*BE499)/4)-((BD530-AY530)*(BE499-1%)/4)</f>
        <v>1.0704521243662928</v>
      </c>
      <c r="BF494" s="395">
        <f>(((BE532-BA532)*BF499)/4)-((BE530-BA530)*(BF499-1%)/4)</f>
        <v>-1.4522500401736573</v>
      </c>
      <c r="BG494" s="77">
        <f>+SUM(BC494:BF494)</f>
        <v>2.793057374063534</v>
      </c>
      <c r="BH494" s="394">
        <f>(((BG532-BC532)*BH499)/4)-((BG530-BC530)*(BH499-1%)/4)</f>
        <v>-0.63084133348108562</v>
      </c>
      <c r="BI494" s="342">
        <f>(((BH532-BD532)*BI499)/4)-((BH530-BD530)*(BI499-1%)/4)</f>
        <v>-1.1237097972851435</v>
      </c>
      <c r="BJ494" s="342">
        <f>(((BI532-BE532)*BJ499)/4)-((BI530-BE530)*(BJ499-1%)/4)</f>
        <v>1.2890077135110403</v>
      </c>
      <c r="BK494" s="395">
        <f>(((BJ532-BF532)*BK499)/4)-((BJ530-BF530)*(BK499-1%)/4)</f>
        <v>-1.5972824466827231</v>
      </c>
      <c r="BL494" s="77">
        <f>+SUM(BH494:BK494)</f>
        <v>-2.062825863937912</v>
      </c>
      <c r="BM494" s="394">
        <f>(((BL532-BH532)*BM499)/4)-((BL530-BH530)*(BM499-1%)/4)</f>
        <v>-0.71005232894655967</v>
      </c>
      <c r="BN494" s="342">
        <f>(((BM532-BI532)*BN499)/4)-((BM530-BI530)*(BN499-1%)/4)</f>
        <v>-2.7889202135756821</v>
      </c>
      <c r="BO494" s="342">
        <f>(((BN532-BJ532)*BO499)/4)-((BN530-BJ530)*(BO499-1%)/4)</f>
        <v>2.4030256267265431</v>
      </c>
      <c r="BP494" s="395">
        <f>(((BO532-BK532)*BP499)/4)-((BO530-BK530)*(BP499-1%)/4)</f>
        <v>-0.30996143702687512</v>
      </c>
      <c r="BQ494" s="77">
        <f>+SUM(BM494:BP494)</f>
        <v>-1.4059083528225735</v>
      </c>
    </row>
    <row r="495" spans="1:70" s="2" customFormat="1">
      <c r="A495" s="1523"/>
      <c r="C495" s="295" t="s">
        <v>306</v>
      </c>
      <c r="E495" s="382"/>
      <c r="F495" s="337"/>
      <c r="G495" s="337"/>
      <c r="H495" s="383"/>
      <c r="I495" s="296"/>
      <c r="J495" s="418"/>
      <c r="K495" s="353"/>
      <c r="L495" s="353"/>
      <c r="M495" s="419"/>
      <c r="N495" s="296"/>
      <c r="O495" s="394"/>
      <c r="P495" s="342"/>
      <c r="Q495" s="342"/>
      <c r="R495" s="395"/>
      <c r="S495" s="297"/>
      <c r="T495" s="394"/>
      <c r="U495" s="342"/>
      <c r="V495" s="342"/>
      <c r="W495" s="395"/>
      <c r="X495" s="77"/>
      <c r="Y495" s="394"/>
      <c r="Z495" s="342"/>
      <c r="AA495" s="342"/>
      <c r="AB495" s="395"/>
      <c r="AC495" s="77"/>
      <c r="AD495" s="394"/>
      <c r="AE495" s="342"/>
      <c r="AF495" s="342"/>
      <c r="AG495" s="395"/>
      <c r="AH495" s="77"/>
      <c r="AI495" s="394"/>
      <c r="AJ495" s="342"/>
      <c r="AK495" s="342"/>
      <c r="AL495" s="395"/>
      <c r="AM495" s="77"/>
      <c r="AN495" s="394"/>
      <c r="AO495" s="342"/>
      <c r="AP495" s="342"/>
      <c r="AQ495" s="395"/>
      <c r="AR495" s="77"/>
      <c r="AS495" s="394"/>
      <c r="AT495" s="342"/>
      <c r="AU495" s="342"/>
      <c r="AV495" s="395"/>
      <c r="AW495" s="77"/>
      <c r="AX495" s="394">
        <f>+Debt!CG110</f>
        <v>0</v>
      </c>
      <c r="AY495" s="342">
        <f>+Debt!CH110</f>
        <v>0</v>
      </c>
      <c r="AZ495" s="342">
        <f>+Debt!CI110</f>
        <v>3.125</v>
      </c>
      <c r="BA495" s="395">
        <f>+Debt!CJ110</f>
        <v>3.125</v>
      </c>
      <c r="BB495" s="77">
        <f>+SUM(AX495:BA495)</f>
        <v>6.25</v>
      </c>
      <c r="BC495" s="394">
        <f>+Debt!CL110</f>
        <v>3.125</v>
      </c>
      <c r="BD495" s="342">
        <f>+Debt!CM110</f>
        <v>3.125</v>
      </c>
      <c r="BE495" s="342">
        <f>+Debt!CN110</f>
        <v>1.25</v>
      </c>
      <c r="BF495" s="395">
        <f>+Debt!CO110</f>
        <v>1.25</v>
      </c>
      <c r="BG495" s="77">
        <f>+SUM(BC495:BF495)</f>
        <v>8.75</v>
      </c>
      <c r="BH495" s="394">
        <f>+Debt!CQ110</f>
        <v>1.25</v>
      </c>
      <c r="BI495" s="342">
        <f>+Debt!CR110</f>
        <v>1.25</v>
      </c>
      <c r="BJ495" s="342">
        <f>+Debt!CS110</f>
        <v>5</v>
      </c>
      <c r="BK495" s="395">
        <f>+Debt!CT110</f>
        <v>5</v>
      </c>
      <c r="BL495" s="77">
        <f>+SUM(BH495:BK495)</f>
        <v>12.5</v>
      </c>
      <c r="BM495" s="394">
        <f>+Debt!CV110</f>
        <v>5</v>
      </c>
      <c r="BN495" s="342">
        <f>+Debt!CW110</f>
        <v>5</v>
      </c>
      <c r="BO495" s="342">
        <f>+Debt!CX110</f>
        <v>9.375</v>
      </c>
      <c r="BP495" s="395">
        <f>+Debt!CY110</f>
        <v>9.375</v>
      </c>
      <c r="BQ495" s="77">
        <f>+SUM(BM495:BP495)</f>
        <v>28.75</v>
      </c>
    </row>
    <row r="496" spans="1:70" s="2" customFormat="1">
      <c r="A496" s="1523"/>
      <c r="C496" s="295" t="s">
        <v>307</v>
      </c>
      <c r="E496" s="382"/>
      <c r="F496" s="337"/>
      <c r="G496" s="337"/>
      <c r="H496" s="383"/>
      <c r="I496" s="296"/>
      <c r="J496" s="418"/>
      <c r="K496" s="353"/>
      <c r="L496" s="353"/>
      <c r="M496" s="419"/>
      <c r="N496" s="296"/>
      <c r="O496" s="418"/>
      <c r="P496" s="353"/>
      <c r="Q496" s="342"/>
      <c r="R496" s="395"/>
      <c r="S496" s="297"/>
      <c r="T496" s="394"/>
      <c r="U496" s="342"/>
      <c r="V496" s="342"/>
      <c r="W496" s="395"/>
      <c r="X496" s="77"/>
      <c r="Y496" s="394"/>
      <c r="Z496" s="342"/>
      <c r="AA496" s="342"/>
      <c r="AB496" s="395"/>
      <c r="AC496" s="77"/>
      <c r="AD496" s="394"/>
      <c r="AE496" s="342"/>
      <c r="AF496" s="342"/>
      <c r="AG496" s="395"/>
      <c r="AH496" s="77"/>
      <c r="AI496" s="394"/>
      <c r="AJ496" s="342"/>
      <c r="AK496" s="342"/>
      <c r="AL496" s="395"/>
      <c r="AM496" s="77"/>
      <c r="AN496" s="394"/>
      <c r="AO496" s="342"/>
      <c r="AP496" s="342"/>
      <c r="AQ496" s="395"/>
      <c r="AR496" s="77"/>
      <c r="AS496" s="394"/>
      <c r="AT496" s="342"/>
      <c r="AU496" s="342"/>
      <c r="AV496" s="395"/>
      <c r="AW496" s="77"/>
      <c r="AX496" s="394">
        <f>+Debt!CG102</f>
        <v>0</v>
      </c>
      <c r="AY496" s="342">
        <f>+Debt!CH102</f>
        <v>0</v>
      </c>
      <c r="AZ496" s="342">
        <f>+Debt!CI102</f>
        <v>0</v>
      </c>
      <c r="BA496" s="395">
        <f>+Debt!CJ102</f>
        <v>-1.0208333333333333</v>
      </c>
      <c r="BB496" s="77">
        <f>+SUM(AX496:BA496)</f>
        <v>-1.0208333333333333</v>
      </c>
      <c r="BC496" s="394">
        <f>+Debt!CL102</f>
        <v>-1.8612500000000001</v>
      </c>
      <c r="BD496" s="342">
        <f>+Debt!CM102</f>
        <v>-1.8612500000000001</v>
      </c>
      <c r="BE496" s="342">
        <f>+Debt!CN102</f>
        <v>-1.8612500000000001</v>
      </c>
      <c r="BF496" s="395">
        <f>+Debt!CO102</f>
        <v>-0.84041666666666659</v>
      </c>
      <c r="BG496" s="77">
        <f>+SUM(BC496:BF496)</f>
        <v>-6.4241666666666664</v>
      </c>
      <c r="BH496" s="394">
        <f>+Debt!CQ102</f>
        <v>0</v>
      </c>
      <c r="BI496" s="342">
        <f>+Debt!CR102</f>
        <v>-5.2018749999999994</v>
      </c>
      <c r="BJ496" s="342">
        <f>+Debt!CS102</f>
        <v>-5.2018749999999994</v>
      </c>
      <c r="BK496" s="395">
        <f>+Debt!CT102</f>
        <v>-5.2018749999999994</v>
      </c>
      <c r="BL496" s="77">
        <f>+SUM(BH496:BK496)</f>
        <v>-15.605624999999998</v>
      </c>
      <c r="BM496" s="394">
        <f>+Debt!CV102</f>
        <v>-5.2018749999999994</v>
      </c>
      <c r="BN496" s="342">
        <f>+Debt!CW102</f>
        <v>-1.75</v>
      </c>
      <c r="BO496" s="342">
        <f>+Debt!CX102</f>
        <v>-6.114583333333333</v>
      </c>
      <c r="BP496" s="395">
        <f>+Debt!CY102</f>
        <v>-7.84375</v>
      </c>
      <c r="BQ496" s="77">
        <f>+SUM(BM496:BP496)</f>
        <v>-20.910208333333333</v>
      </c>
    </row>
    <row r="497" spans="1:70" s="2" customFormat="1">
      <c r="A497" s="1523"/>
      <c r="C497" s="294" t="s">
        <v>314</v>
      </c>
      <c r="E497" s="384"/>
      <c r="F497" s="338"/>
      <c r="G497" s="338"/>
      <c r="H497" s="385"/>
      <c r="I497" s="296"/>
      <c r="J497" s="418"/>
      <c r="K497" s="353"/>
      <c r="L497" s="353"/>
      <c r="M497" s="419"/>
      <c r="N497" s="296"/>
      <c r="O497" s="418"/>
      <c r="P497" s="353"/>
      <c r="Q497" s="353"/>
      <c r="R497" s="419"/>
      <c r="S497" s="297"/>
      <c r="T497" s="394"/>
      <c r="U497" s="342"/>
      <c r="V497" s="342"/>
      <c r="W497" s="395"/>
      <c r="X497" s="77"/>
      <c r="Y497" s="394"/>
      <c r="Z497" s="342"/>
      <c r="AA497" s="342"/>
      <c r="AB497" s="395"/>
      <c r="AC497" s="77"/>
      <c r="AD497" s="394"/>
      <c r="AE497" s="342"/>
      <c r="AF497" s="342"/>
      <c r="AG497" s="395"/>
      <c r="AH497" s="77"/>
      <c r="AI497" s="394"/>
      <c r="AJ497" s="342"/>
      <c r="AK497" s="342"/>
      <c r="AL497" s="395"/>
      <c r="AM497" s="77"/>
      <c r="AN497" s="394"/>
      <c r="AO497" s="342"/>
      <c r="AP497" s="342"/>
      <c r="AQ497" s="395"/>
      <c r="AR497" s="77"/>
      <c r="AS497" s="394"/>
      <c r="AT497" s="342"/>
      <c r="AU497" s="342"/>
      <c r="AV497" s="395"/>
      <c r="AW497" s="77"/>
      <c r="AX497" s="394">
        <f>+SUM(AX494:AX496)</f>
        <v>1.37</v>
      </c>
      <c r="AY497" s="342">
        <f>+SUM(AY494:AY496)</f>
        <v>0.91734537681873807</v>
      </c>
      <c r="AZ497" s="342">
        <f>+SUM(AZ494:AZ496)</f>
        <v>3.9939157502973934</v>
      </c>
      <c r="BA497" s="395">
        <f>+SUM(BA494:BA496)</f>
        <v>1.5930824169640603</v>
      </c>
      <c r="BB497" s="77">
        <f>+SUM(AX497:BA497)</f>
        <v>7.8743435440801921</v>
      </c>
      <c r="BC497" s="394">
        <f>+SUM(BC494:BC496)</f>
        <v>3.0328831676502022</v>
      </c>
      <c r="BD497" s="342">
        <f>+SUM(BD494:BD496)</f>
        <v>2.6694721222206965</v>
      </c>
      <c r="BE497" s="342">
        <f>+SUM(BE494:BE496)</f>
        <v>0.45920212436629271</v>
      </c>
      <c r="BF497" s="395">
        <f>+SUM(BF494:BF496)</f>
        <v>-1.0426667068403239</v>
      </c>
      <c r="BG497" s="77">
        <f>+SUM(BC497:BF497)</f>
        <v>5.1188907073968677</v>
      </c>
      <c r="BH497" s="394">
        <f>+SUM(BH494:BH496)</f>
        <v>0.61915866651891438</v>
      </c>
      <c r="BI497" s="342">
        <f>+SUM(BI494:BI496)</f>
        <v>-5.0755847972851429</v>
      </c>
      <c r="BJ497" s="342">
        <f>+SUM(BJ494:BJ496)</f>
        <v>1.0871327135110409</v>
      </c>
      <c r="BK497" s="395">
        <f>+SUM(BK494:BK496)</f>
        <v>-1.7991574466827225</v>
      </c>
      <c r="BL497" s="77">
        <f>+SUM(BH497:BK497)</f>
        <v>-5.1684508639379096</v>
      </c>
      <c r="BM497" s="394">
        <f>+SUM(BM494:BM496)</f>
        <v>-0.91192732894655926</v>
      </c>
      <c r="BN497" s="342">
        <f>+SUM(BN494:BN496)</f>
        <v>0.46107978642431791</v>
      </c>
      <c r="BO497" s="342">
        <f>+SUM(BO494:BO496)</f>
        <v>5.6634422933932091</v>
      </c>
      <c r="BP497" s="395">
        <f>+SUM(BP494:BP496)</f>
        <v>1.2212885629731254</v>
      </c>
      <c r="BQ497" s="77">
        <f>+SUM(BM497:BP497)</f>
        <v>6.4338833138440936</v>
      </c>
    </row>
    <row r="498" spans="1:70" s="2" customFormat="1">
      <c r="A498" s="1523"/>
      <c r="C498" s="37"/>
      <c r="E498" s="384"/>
      <c r="F498" s="316"/>
      <c r="G498" s="316"/>
      <c r="H498" s="387"/>
      <c r="I498" s="296"/>
      <c r="J498" s="394"/>
      <c r="K498" s="342"/>
      <c r="L498" s="342"/>
      <c r="M498" s="395"/>
      <c r="N498" s="296"/>
      <c r="O498" s="394"/>
      <c r="P498" s="342"/>
      <c r="Q498" s="342"/>
      <c r="R498" s="395"/>
      <c r="S498" s="296"/>
      <c r="T498" s="394"/>
      <c r="U498" s="342"/>
      <c r="V498" s="342"/>
      <c r="W498" s="395"/>
      <c r="X498" s="296"/>
      <c r="Y498" s="394"/>
      <c r="Z498" s="342"/>
      <c r="AA498" s="342"/>
      <c r="AB498" s="395"/>
      <c r="AC498" s="296"/>
      <c r="AD498" s="394"/>
      <c r="AE498" s="342"/>
      <c r="AF498" s="342"/>
      <c r="AG498" s="395"/>
      <c r="AH498" s="296"/>
      <c r="AI498" s="394"/>
      <c r="AJ498" s="342"/>
      <c r="AK498" s="342"/>
      <c r="AL498" s="395"/>
      <c r="AM498" s="296"/>
      <c r="AN498" s="394"/>
      <c r="AO498" s="342"/>
      <c r="AP498" s="342"/>
      <c r="AQ498" s="395"/>
      <c r="AR498" s="296"/>
      <c r="AS498" s="394"/>
      <c r="AT498" s="342"/>
      <c r="AU498" s="342"/>
      <c r="AV498" s="395"/>
      <c r="AW498" s="296"/>
      <c r="AX498" s="394"/>
      <c r="AY498" s="342"/>
      <c r="AZ498" s="342"/>
      <c r="BA498" s="395"/>
      <c r="BB498" s="296"/>
      <c r="BC498" s="394"/>
      <c r="BD498" s="342"/>
      <c r="BE498" s="342"/>
      <c r="BF498" s="395"/>
      <c r="BG498" s="296"/>
      <c r="BH498" s="394"/>
      <c r="BI498" s="342"/>
      <c r="BJ498" s="342"/>
      <c r="BK498" s="395"/>
      <c r="BL498" s="296"/>
      <c r="BM498" s="394"/>
      <c r="BN498" s="342"/>
      <c r="BO498" s="342"/>
      <c r="BP498" s="395"/>
      <c r="BQ498" s="296"/>
    </row>
    <row r="499" spans="1:70" s="2" customFormat="1" ht="13.5" customHeight="1">
      <c r="A499" s="1523"/>
      <c r="C499" s="306" t="s">
        <v>319</v>
      </c>
      <c r="D499" s="302"/>
      <c r="E499" s="415"/>
      <c r="F499" s="352"/>
      <c r="G499" s="352"/>
      <c r="H499" s="416"/>
      <c r="I499" s="302"/>
      <c r="J499" s="415"/>
      <c r="K499" s="352"/>
      <c r="L499" s="352"/>
      <c r="M499" s="416"/>
      <c r="N499" s="302"/>
      <c r="O499" s="415"/>
      <c r="P499" s="352"/>
      <c r="Q499" s="352"/>
      <c r="R499" s="416"/>
      <c r="S499" s="302"/>
      <c r="T499" s="422"/>
      <c r="U499" s="431"/>
      <c r="V499" s="431"/>
      <c r="W499" s="432"/>
      <c r="X499" s="291"/>
      <c r="Y499" s="422"/>
      <c r="Z499" s="431"/>
      <c r="AA499" s="431"/>
      <c r="AB499" s="432"/>
      <c r="AC499" s="291"/>
      <c r="AD499" s="422"/>
      <c r="AE499" s="431"/>
      <c r="AF499" s="431"/>
      <c r="AG499" s="432"/>
      <c r="AH499" s="291"/>
      <c r="AI499" s="422"/>
      <c r="AJ499" s="431"/>
      <c r="AK499" s="431"/>
      <c r="AL499" s="432"/>
      <c r="AM499" s="291"/>
      <c r="AN499" s="422"/>
      <c r="AO499" s="431"/>
      <c r="AP499" s="431"/>
      <c r="AQ499" s="432"/>
      <c r="AR499" s="291"/>
      <c r="AS499" s="422"/>
      <c r="AT499" s="431"/>
      <c r="AU499" s="431"/>
      <c r="AV499" s="432"/>
      <c r="AW499" s="291"/>
      <c r="AX499" s="422">
        <f>+PEG!AX91</f>
        <v>0.02</v>
      </c>
      <c r="AY499" s="431">
        <f>+PEG!AY91</f>
        <v>0.02</v>
      </c>
      <c r="AZ499" s="431">
        <f>+PEG!AZ91</f>
        <v>0.02</v>
      </c>
      <c r="BA499" s="432">
        <f>+PEG!BA91</f>
        <v>0.02</v>
      </c>
      <c r="BB499" s="291">
        <f>+PEG!BB91</f>
        <v>0.02</v>
      </c>
      <c r="BC499" s="422">
        <f>+PEG!BC91</f>
        <v>0.02</v>
      </c>
      <c r="BD499" s="431">
        <f>+PEG!BD91</f>
        <v>0.02</v>
      </c>
      <c r="BE499" s="431">
        <f>+PEG!BE91</f>
        <v>0.02</v>
      </c>
      <c r="BF499" s="432">
        <f>+PEG!BF91</f>
        <v>0.02</v>
      </c>
      <c r="BG499" s="291">
        <f>+PEG!BG91</f>
        <v>0.02</v>
      </c>
      <c r="BH499" s="422">
        <f>+PEG!BH91</f>
        <v>0.02</v>
      </c>
      <c r="BI499" s="431">
        <f>+PEG!BI91</f>
        <v>0.02</v>
      </c>
      <c r="BJ499" s="431">
        <f>+PEG!BJ91</f>
        <v>0.02</v>
      </c>
      <c r="BK499" s="432">
        <f>+PEG!BK91</f>
        <v>0.02</v>
      </c>
      <c r="BL499" s="291">
        <f>+PEG!BL91</f>
        <v>0.02</v>
      </c>
      <c r="BM499" s="422">
        <f>+PEG!BM91</f>
        <v>0.02</v>
      </c>
      <c r="BN499" s="431">
        <f>+PEG!BN91</f>
        <v>0.02</v>
      </c>
      <c r="BO499" s="431">
        <f>+PEG!BO91</f>
        <v>0.02</v>
      </c>
      <c r="BP499" s="432">
        <f>+PEG!BP91</f>
        <v>0.02</v>
      </c>
      <c r="BQ499" s="291">
        <f>+PEG!BQ91</f>
        <v>0.02</v>
      </c>
    </row>
    <row r="500" spans="1:70" s="2" customFormat="1">
      <c r="A500" s="1523"/>
      <c r="C500" s="49"/>
      <c r="E500" s="360"/>
      <c r="F500" s="20"/>
      <c r="G500" s="20"/>
      <c r="H500" s="361"/>
      <c r="I500" s="33"/>
      <c r="J500" s="360"/>
      <c r="K500" s="20"/>
      <c r="L500" s="20"/>
      <c r="M500" s="361"/>
      <c r="N500" s="33"/>
      <c r="O500" s="360"/>
      <c r="P500" s="20"/>
      <c r="Q500" s="20"/>
      <c r="R500" s="361"/>
      <c r="S500" s="33"/>
      <c r="T500" s="360"/>
      <c r="U500" s="20"/>
      <c r="V500" s="20"/>
      <c r="W500" s="361"/>
      <c r="X500" s="33"/>
      <c r="Y500" s="360"/>
      <c r="Z500" s="20"/>
      <c r="AA500" s="20"/>
      <c r="AB500" s="361"/>
      <c r="AC500" s="33"/>
      <c r="AD500" s="360"/>
      <c r="AE500" s="20"/>
      <c r="AF500" s="20"/>
      <c r="AG500" s="361"/>
      <c r="AH500" s="33"/>
      <c r="AI500" s="360"/>
      <c r="AJ500" s="20"/>
      <c r="AK500" s="20"/>
      <c r="AL500" s="361"/>
      <c r="AM500" s="33"/>
      <c r="AN500" s="360"/>
      <c r="AO500" s="20"/>
      <c r="AP500" s="20"/>
      <c r="AQ500" s="361"/>
      <c r="AR500" s="33"/>
      <c r="AS500" s="360"/>
      <c r="AT500" s="20"/>
      <c r="AU500" s="20"/>
      <c r="AV500" s="361"/>
      <c r="AW500" s="33"/>
      <c r="AX500" s="360"/>
      <c r="AY500" s="20"/>
      <c r="AZ500" s="20"/>
      <c r="BA500" s="361"/>
      <c r="BB500" s="33"/>
      <c r="BC500" s="360"/>
      <c r="BD500" s="20"/>
      <c r="BE500" s="20"/>
      <c r="BF500" s="361"/>
      <c r="BG500" s="33"/>
      <c r="BH500" s="360"/>
      <c r="BI500" s="20"/>
      <c r="BJ500" s="20"/>
      <c r="BK500" s="361"/>
      <c r="BL500" s="33"/>
      <c r="BM500" s="360"/>
      <c r="BN500" s="20"/>
      <c r="BO500" s="20"/>
      <c r="BP500" s="361"/>
      <c r="BQ500" s="33"/>
    </row>
    <row r="501" spans="1:70" s="2" customFormat="1">
      <c r="A501" s="1523"/>
      <c r="B501" s="533" t="s">
        <v>344</v>
      </c>
      <c r="C501" s="277"/>
      <c r="D501" s="277"/>
      <c r="E501" s="356"/>
      <c r="F501" s="326"/>
      <c r="G501" s="326"/>
      <c r="H501" s="357"/>
      <c r="J501" s="356"/>
      <c r="K501" s="326"/>
      <c r="L501" s="326"/>
      <c r="M501" s="357"/>
      <c r="O501" s="356"/>
      <c r="P501" s="326"/>
      <c r="Q501" s="326"/>
      <c r="R501" s="357"/>
      <c r="T501" s="356"/>
      <c r="U501" s="326"/>
      <c r="V501" s="326"/>
      <c r="W501" s="357"/>
      <c r="Y501" s="356"/>
      <c r="Z501" s="326"/>
      <c r="AA501" s="326"/>
      <c r="AB501" s="357"/>
      <c r="AD501" s="356"/>
      <c r="AE501" s="326"/>
      <c r="AF501" s="326"/>
      <c r="AG501" s="357"/>
      <c r="AI501" s="356"/>
      <c r="AJ501" s="326"/>
      <c r="AK501" s="326"/>
      <c r="AL501" s="357"/>
      <c r="AN501" s="356"/>
      <c r="AO501" s="326"/>
      <c r="AP501" s="326"/>
      <c r="AQ501" s="357"/>
      <c r="AS501" s="356"/>
      <c r="AT501" s="326"/>
      <c r="AU501" s="326"/>
      <c r="AV501" s="357"/>
      <c r="AX501" s="356"/>
      <c r="AY501" s="326"/>
      <c r="AZ501" s="326"/>
      <c r="BA501" s="357"/>
      <c r="BC501" s="356"/>
      <c r="BD501" s="326"/>
      <c r="BE501" s="326"/>
      <c r="BF501" s="357"/>
      <c r="BH501" s="356"/>
      <c r="BI501" s="326"/>
      <c r="BJ501" s="326"/>
      <c r="BK501" s="357"/>
      <c r="BM501" s="356"/>
      <c r="BN501" s="326"/>
      <c r="BO501" s="326"/>
      <c r="BP501" s="357"/>
    </row>
    <row r="502" spans="1:70" s="2" customFormat="1">
      <c r="A502" s="1523"/>
      <c r="E502" s="360"/>
      <c r="F502" s="20"/>
      <c r="G502" s="20"/>
      <c r="H502" s="361"/>
      <c r="J502" s="360"/>
      <c r="K502" s="20"/>
      <c r="L502" s="20"/>
      <c r="M502" s="361"/>
      <c r="O502" s="360"/>
      <c r="P502" s="20"/>
      <c r="Q502" s="20"/>
      <c r="R502" s="361"/>
      <c r="T502" s="360"/>
      <c r="U502" s="20"/>
      <c r="V502" s="20"/>
      <c r="W502" s="361"/>
      <c r="Y502" s="360"/>
      <c r="Z502" s="20"/>
      <c r="AA502" s="20"/>
      <c r="AB502" s="361"/>
      <c r="AD502" s="360"/>
      <c r="AE502" s="20"/>
      <c r="AF502" s="20"/>
      <c r="AG502" s="361"/>
      <c r="AI502" s="360"/>
      <c r="AJ502" s="20"/>
      <c r="AK502" s="20"/>
      <c r="AL502" s="361"/>
      <c r="AN502" s="360"/>
      <c r="AO502" s="20"/>
      <c r="AP502" s="20"/>
      <c r="AQ502" s="361"/>
      <c r="AS502" s="360"/>
      <c r="AT502" s="20"/>
      <c r="AU502" s="20"/>
      <c r="AV502" s="361"/>
      <c r="AX502" s="360"/>
      <c r="AY502" s="20"/>
      <c r="AZ502" s="20"/>
      <c r="BA502" s="361"/>
      <c r="BC502" s="360"/>
      <c r="BD502" s="20"/>
      <c r="BE502" s="20"/>
      <c r="BF502" s="361"/>
      <c r="BH502" s="360"/>
      <c r="BI502" s="20"/>
      <c r="BJ502" s="20"/>
      <c r="BK502" s="361"/>
      <c r="BM502" s="360"/>
      <c r="BN502" s="20"/>
      <c r="BO502" s="20"/>
      <c r="BP502" s="361"/>
    </row>
    <row r="503" spans="1:70" s="2" customFormat="1">
      <c r="A503" s="1523"/>
      <c r="C503" s="2" t="s">
        <v>387</v>
      </c>
      <c r="E503" s="459">
        <v>314</v>
      </c>
      <c r="F503" s="460">
        <f>561-E503</f>
        <v>247</v>
      </c>
      <c r="G503" s="460">
        <f>943-E503-F503</f>
        <v>382</v>
      </c>
      <c r="H503" s="461">
        <f>1189-E503-F503-G503</f>
        <v>246</v>
      </c>
      <c r="I503" s="451">
        <f>SUM(E503:H503)</f>
        <v>1189</v>
      </c>
      <c r="J503" s="459">
        <v>364</v>
      </c>
      <c r="K503" s="460">
        <f>568-J503</f>
        <v>204</v>
      </c>
      <c r="L503" s="460">
        <f>952-J503-K503</f>
        <v>384</v>
      </c>
      <c r="M503" s="461">
        <f>1143-(J503+K503+L503)</f>
        <v>191</v>
      </c>
      <c r="N503" s="451">
        <f>SUM(J503:M503)</f>
        <v>1143</v>
      </c>
      <c r="O503" s="459">
        <v>362</v>
      </c>
      <c r="P503" s="460">
        <f>569-O503</f>
        <v>207</v>
      </c>
      <c r="Q503" s="460">
        <f>871-O503-P503</f>
        <v>302</v>
      </c>
      <c r="R503" s="461">
        <f>1098-(O503+P503+Q503)</f>
        <v>227</v>
      </c>
      <c r="S503" s="451">
        <f>SUM(O503:R503)</f>
        <v>1098</v>
      </c>
      <c r="T503" s="459">
        <v>253</v>
      </c>
      <c r="U503" s="460">
        <f>357-T503</f>
        <v>104</v>
      </c>
      <c r="V503" s="460">
        <f>538-T503-U503</f>
        <v>181</v>
      </c>
      <c r="W503" s="461">
        <f>647-(T503+U503+V503)</f>
        <v>109</v>
      </c>
      <c r="X503" s="451">
        <f>SUM(T503:W503)</f>
        <v>647</v>
      </c>
      <c r="Y503" s="459">
        <v>137</v>
      </c>
      <c r="Z503" s="460">
        <f>341-Y503</f>
        <v>204</v>
      </c>
      <c r="AA503" s="460">
        <f>562-Y503-Z503</f>
        <v>221</v>
      </c>
      <c r="AB503" s="461">
        <f>644-(Y503+Z503+AA503)</f>
        <v>82</v>
      </c>
      <c r="AC503" s="77">
        <f>SUM(Y503:AB503)</f>
        <v>644</v>
      </c>
      <c r="AD503" s="459">
        <v>164</v>
      </c>
      <c r="AE503" s="460">
        <f>218-AD503</f>
        <v>54</v>
      </c>
      <c r="AF503" s="460">
        <f>440-AD503-AE503</f>
        <v>222</v>
      </c>
      <c r="AG503" s="461">
        <f>760-(AD503+AE503+AF503)</f>
        <v>320</v>
      </c>
      <c r="AH503" s="77">
        <f>SUM(AD503:AG503)</f>
        <v>760</v>
      </c>
      <c r="AI503" s="459">
        <v>335</v>
      </c>
      <c r="AJ503" s="460">
        <f>501-AI503</f>
        <v>166</v>
      </c>
      <c r="AK503" s="460">
        <f>707-AI503-AJ503</f>
        <v>206</v>
      </c>
      <c r="AL503" s="461">
        <f>856-(AI503+AJ503+AK503)</f>
        <v>149</v>
      </c>
      <c r="AM503" s="77">
        <f>SUM(AI503:AL503)</f>
        <v>856</v>
      </c>
      <c r="AN503" s="459">
        <v>192</v>
      </c>
      <c r="AO503" s="460">
        <f>181-AN503</f>
        <v>-11</v>
      </c>
      <c r="AP503" s="460">
        <f>320-AO503-AN503</f>
        <v>139</v>
      </c>
      <c r="AQ503" s="461">
        <f>18-(AN503+AO503+AP503)</f>
        <v>-302</v>
      </c>
      <c r="AR503" s="77">
        <f>SUM(AN503:AQ503)</f>
        <v>18</v>
      </c>
      <c r="AS503" s="459">
        <v>-170</v>
      </c>
      <c r="AT503" s="460">
        <f>-267-AS503</f>
        <v>-97</v>
      </c>
      <c r="AU503" s="460">
        <f>-131-AT503-AS503</f>
        <v>136</v>
      </c>
      <c r="AV503" s="461">
        <f>479-(AS503+AT503+AU503)</f>
        <v>610</v>
      </c>
      <c r="AW503" s="77">
        <f>SUM(AS503:AV503)</f>
        <v>479</v>
      </c>
      <c r="AX503" s="392">
        <f>AX33</f>
        <v>178.8850771304634</v>
      </c>
      <c r="AY503" s="341">
        <f>AY33</f>
        <v>104.30882843337103</v>
      </c>
      <c r="AZ503" s="341">
        <f>AZ33</f>
        <v>182.48873684904927</v>
      </c>
      <c r="BA503" s="393">
        <f>BA33</f>
        <v>62.385873593991079</v>
      </c>
      <c r="BB503" s="296">
        <f>SUM(AX503:BA503)</f>
        <v>528.0685160068748</v>
      </c>
      <c r="BC503" s="392">
        <f>BC33</f>
        <v>202.04881196495603</v>
      </c>
      <c r="BD503" s="341">
        <f>BD33</f>
        <v>146.41285476205326</v>
      </c>
      <c r="BE503" s="341">
        <f>BE33</f>
        <v>124.06328255558221</v>
      </c>
      <c r="BF503" s="393">
        <f>BF33</f>
        <v>-5.7032546763346517</v>
      </c>
      <c r="BG503" s="296">
        <f>SUM(BC503:BF503)</f>
        <v>466.82169460625681</v>
      </c>
      <c r="BH503" s="392">
        <f>BH33</f>
        <v>205.51139358277439</v>
      </c>
      <c r="BI503" s="341">
        <f>BI33</f>
        <v>108.18997987789663</v>
      </c>
      <c r="BJ503" s="341">
        <f>BJ33</f>
        <v>134.06616829805586</v>
      </c>
      <c r="BK503" s="393">
        <f>BK33</f>
        <v>27.32507675854005</v>
      </c>
      <c r="BL503" s="296">
        <f>SUM(BH503:BK503)</f>
        <v>475.09261851726689</v>
      </c>
      <c r="BM503" s="392">
        <f>BM33</f>
        <v>214.04846628976682</v>
      </c>
      <c r="BN503" s="341">
        <f>BN33</f>
        <v>154.75933439097705</v>
      </c>
      <c r="BO503" s="341">
        <f>BO33</f>
        <v>151.87562134402319</v>
      </c>
      <c r="BP503" s="393">
        <f>BP33</f>
        <v>74.743311679760282</v>
      </c>
      <c r="BQ503" s="296">
        <f>SUM(BM503:BP503)</f>
        <v>595.42673370452735</v>
      </c>
    </row>
    <row r="504" spans="1:70" s="2" customFormat="1">
      <c r="A504" s="1523"/>
      <c r="C504" s="2" t="s">
        <v>76</v>
      </c>
      <c r="E504" s="459">
        <v>51</v>
      </c>
      <c r="F504" s="460">
        <f>104-E504</f>
        <v>53</v>
      </c>
      <c r="G504" s="460">
        <f>152-E504-F504</f>
        <v>48</v>
      </c>
      <c r="H504" s="461">
        <f>203-E504-F504-G504</f>
        <v>51</v>
      </c>
      <c r="I504" s="451">
        <f>SUM(E504:H504)</f>
        <v>203</v>
      </c>
      <c r="J504" s="459">
        <v>48</v>
      </c>
      <c r="K504" s="460">
        <f>96-J504</f>
        <v>48</v>
      </c>
      <c r="L504" s="460">
        <f>144-J504-K504</f>
        <v>48</v>
      </c>
      <c r="M504" s="461">
        <f>194-(J504+K504+L504)</f>
        <v>50</v>
      </c>
      <c r="N504" s="451">
        <f>SUM(J504:M504)</f>
        <v>194</v>
      </c>
      <c r="O504" s="459">
        <v>58</v>
      </c>
      <c r="P504" s="460">
        <f>116-O504</f>
        <v>58</v>
      </c>
      <c r="Q504" s="460">
        <f>173-P504-O504</f>
        <v>57</v>
      </c>
      <c r="R504" s="461">
        <f>231-(O504+P504+Q504)</f>
        <v>58</v>
      </c>
      <c r="S504" s="451">
        <f>SUM(O504:R504)</f>
        <v>231</v>
      </c>
      <c r="T504" s="459">
        <v>57</v>
      </c>
      <c r="U504" s="460">
        <f>115-T504</f>
        <v>58</v>
      </c>
      <c r="V504" s="460">
        <f>175-T504-U504</f>
        <v>60</v>
      </c>
      <c r="W504" s="461">
        <f>237-(T504+U504+V504)</f>
        <v>62</v>
      </c>
      <c r="X504" s="451">
        <f>SUM(T504:W504)</f>
        <v>237</v>
      </c>
      <c r="Y504" s="459">
        <v>64</v>
      </c>
      <c r="Z504" s="460">
        <f>129-Y504</f>
        <v>65</v>
      </c>
      <c r="AA504" s="460">
        <f>195-Y504-Z504</f>
        <v>66</v>
      </c>
      <c r="AB504" s="461">
        <f>273-(Y504+Z504+AA504)</f>
        <v>78</v>
      </c>
      <c r="AC504" s="77">
        <f>SUM(Y504:AB504)</f>
        <v>273</v>
      </c>
      <c r="AD504" s="459">
        <v>72</v>
      </c>
      <c r="AE504" s="460">
        <f>144-AD504</f>
        <v>72</v>
      </c>
      <c r="AF504" s="460">
        <f>215-AD504-AE504</f>
        <v>71</v>
      </c>
      <c r="AG504" s="461">
        <f>292-(AD504+AE504+AF504)</f>
        <v>77</v>
      </c>
      <c r="AH504" s="77">
        <f>SUM(AD504:AG504)</f>
        <v>292</v>
      </c>
      <c r="AI504" s="459">
        <v>76</v>
      </c>
      <c r="AJ504" s="460">
        <f>151-AI504</f>
        <v>75</v>
      </c>
      <c r="AK504" s="460">
        <f>226-AI504-AJ504</f>
        <v>75</v>
      </c>
      <c r="AL504" s="461">
        <f>291-(AI504+AJ504+AK504)</f>
        <v>65</v>
      </c>
      <c r="AM504" s="77">
        <f>SUM(AI504:AL504)</f>
        <v>291</v>
      </c>
      <c r="AN504" s="459">
        <v>79</v>
      </c>
      <c r="AO504" s="460">
        <f>159-AN504</f>
        <v>80</v>
      </c>
      <c r="AP504" s="460">
        <f>245-AO504-AN504</f>
        <v>86</v>
      </c>
      <c r="AQ504" s="461">
        <f>881-(AN504+AO504+AP504)</f>
        <v>636</v>
      </c>
      <c r="AR504" s="77">
        <f>SUM(AN504:AQ504)</f>
        <v>881</v>
      </c>
      <c r="AS504" s="459">
        <v>650</v>
      </c>
      <c r="AT504" s="460">
        <f>1115-AS504</f>
        <v>465</v>
      </c>
      <c r="AU504" s="460">
        <f>1191-AT504-AS504</f>
        <v>76</v>
      </c>
      <c r="AV504" s="461">
        <f>1268-(AS504+AT504+AU504)</f>
        <v>77</v>
      </c>
      <c r="AW504" s="77">
        <f>SUM(AS504:AV504)</f>
        <v>1268</v>
      </c>
      <c r="AX504" s="392">
        <f>+AX13</f>
        <v>82.395847505789007</v>
      </c>
      <c r="AY504" s="341">
        <f>+AY13</f>
        <v>83.127096870897887</v>
      </c>
      <c r="AZ504" s="341">
        <f>+AZ13</f>
        <v>83.851567571699562</v>
      </c>
      <c r="BA504" s="436">
        <f>+BA13</f>
        <v>83.851567571699562</v>
      </c>
      <c r="BB504" s="296">
        <f>SUM(AX504:BA504)</f>
        <v>333.22607952008599</v>
      </c>
      <c r="BC504" s="392">
        <f>+BC13</f>
        <v>84.569322425214068</v>
      </c>
      <c r="BD504" s="341">
        <f>+BD13</f>
        <v>84.391144808827477</v>
      </c>
      <c r="BE504" s="341">
        <f>+BE13</f>
        <v>84.214591518098473</v>
      </c>
      <c r="BF504" s="436">
        <f>+BF13</f>
        <v>84.039647727990413</v>
      </c>
      <c r="BG504" s="296">
        <f>SUM(BC504:BF504)</f>
        <v>337.21470648013042</v>
      </c>
      <c r="BH504" s="392">
        <f>+BH13</f>
        <v>83.866298748917913</v>
      </c>
      <c r="BI504" s="341">
        <f>+BI13</f>
        <v>83.544392036547279</v>
      </c>
      <c r="BJ504" s="341">
        <f>+BJ13</f>
        <v>83.22543832149637</v>
      </c>
      <c r="BK504" s="436">
        <f>+BK13</f>
        <v>82.909410496775735</v>
      </c>
      <c r="BL504" s="296">
        <f>SUM(BH504:BK504)</f>
        <v>333.54553960373732</v>
      </c>
      <c r="BM504" s="392">
        <f>+BM13</f>
        <v>82.596281704373382</v>
      </c>
      <c r="BN504" s="341">
        <f>+BN13</f>
        <v>82.30912348511464</v>
      </c>
      <c r="BO504" s="341">
        <f>+BO13</f>
        <v>82.024597910098322</v>
      </c>
      <c r="BP504" s="436">
        <f>+BP13</f>
        <v>81.742680826349726</v>
      </c>
      <c r="BQ504" s="296">
        <f>SUM(BM504:BP504)</f>
        <v>328.6726839259361</v>
      </c>
    </row>
    <row r="505" spans="1:70" s="2" customFormat="1">
      <c r="A505" s="1523"/>
      <c r="C505" s="37" t="s">
        <v>483</v>
      </c>
      <c r="E505" s="459">
        <v>14</v>
      </c>
      <c r="F505" s="460">
        <f>79-E505</f>
        <v>65</v>
      </c>
      <c r="G505" s="460">
        <f>105-E505-F505</f>
        <v>26</v>
      </c>
      <c r="H505" s="461">
        <f>133-E505-F505-G505</f>
        <v>28</v>
      </c>
      <c r="I505" s="451">
        <f>SUM(E505:H505)</f>
        <v>133</v>
      </c>
      <c r="J505" s="459">
        <v>38</v>
      </c>
      <c r="K505" s="460">
        <f>83-J505</f>
        <v>45</v>
      </c>
      <c r="L505" s="460">
        <f>145-J505-K505</f>
        <v>62</v>
      </c>
      <c r="M505" s="461">
        <f>650-(J505+K505+L505)</f>
        <v>505</v>
      </c>
      <c r="N505" s="451">
        <f>SUM(J505:M505)</f>
        <v>650</v>
      </c>
      <c r="O505" s="459">
        <v>-139</v>
      </c>
      <c r="P505" s="460">
        <f>-92-O505</f>
        <v>47</v>
      </c>
      <c r="Q505" s="460">
        <f>74-P505-O505</f>
        <v>166</v>
      </c>
      <c r="R505" s="461">
        <f>231-(O505+P505+Q505)</f>
        <v>157</v>
      </c>
      <c r="S505" s="451">
        <f>SUM(O505:R505)</f>
        <v>231</v>
      </c>
      <c r="T505" s="459">
        <v>101</v>
      </c>
      <c r="U505" s="460">
        <f>184-T505</f>
        <v>83</v>
      </c>
      <c r="V505" s="460">
        <f>189-T505-U505</f>
        <v>5</v>
      </c>
      <c r="W505" s="461">
        <f>342-(T505+U505+V505)</f>
        <v>153</v>
      </c>
      <c r="X505" s="451">
        <f>SUM(T505:W505)</f>
        <v>342</v>
      </c>
      <c r="Y505" s="459">
        <v>-33</v>
      </c>
      <c r="Z505" s="460">
        <f>74-Y505</f>
        <v>107</v>
      </c>
      <c r="AA505" s="460">
        <f>96-Y505-Z505</f>
        <v>22</v>
      </c>
      <c r="AB505" s="461">
        <f>122-(Y505+Z505+AA505)</f>
        <v>26</v>
      </c>
      <c r="AC505" s="77">
        <f>SUM(Y505:AB505)</f>
        <v>122</v>
      </c>
      <c r="AD505" s="459">
        <v>-71</v>
      </c>
      <c r="AE505" s="460">
        <f>-22-AD505</f>
        <v>49</v>
      </c>
      <c r="AF505" s="460">
        <f>5-AD505-AE505</f>
        <v>27</v>
      </c>
      <c r="AG505" s="461">
        <f>221-(AD505+AE505+AF505)</f>
        <v>216</v>
      </c>
      <c r="AH505" s="77">
        <f>SUM(AD505:AG505)</f>
        <v>221</v>
      </c>
      <c r="AI505" s="459">
        <v>37</v>
      </c>
      <c r="AJ505" s="460">
        <f>64-AI505</f>
        <v>27</v>
      </c>
      <c r="AK505" s="460">
        <f>109-AI505-AJ505</f>
        <v>45</v>
      </c>
      <c r="AL505" s="461">
        <f>261-(AI505+AJ505+AK505)</f>
        <v>152</v>
      </c>
      <c r="AM505" s="77">
        <f>SUM(AI505:AL505)</f>
        <v>261</v>
      </c>
      <c r="AN505" s="459">
        <v>34</v>
      </c>
      <c r="AO505" s="460">
        <f>37-AN505</f>
        <v>3</v>
      </c>
      <c r="AP505" s="460">
        <f>-34-AO505-AN505</f>
        <v>-71</v>
      </c>
      <c r="AQ505" s="461">
        <f>-208-(AN505+AO505+AP505)</f>
        <v>-174</v>
      </c>
      <c r="AR505" s="77">
        <f>SUM(AN505:AQ505)</f>
        <v>-208</v>
      </c>
      <c r="AS505" s="459">
        <v>-226</v>
      </c>
      <c r="AT505" s="460">
        <f>-226-AS505</f>
        <v>0</v>
      </c>
      <c r="AU505" s="460">
        <f>-259-AT505-AS505</f>
        <v>-33</v>
      </c>
      <c r="AV505" s="461">
        <f>-807-(AS505+AT505+AU505)</f>
        <v>-548</v>
      </c>
      <c r="AW505" s="77">
        <f>SUM(AS505:AV505)</f>
        <v>-807</v>
      </c>
      <c r="AX505" s="406">
        <f>BB505/4</f>
        <v>55</v>
      </c>
      <c r="AY505" s="348">
        <f>AX505</f>
        <v>55</v>
      </c>
      <c r="AZ505" s="348">
        <f>AY505</f>
        <v>55</v>
      </c>
      <c r="BA505" s="405">
        <f>AY505</f>
        <v>55</v>
      </c>
      <c r="BB505" s="589">
        <f>500*0.24+100</f>
        <v>220</v>
      </c>
      <c r="BC505" s="406">
        <f>BG505/4</f>
        <v>26.25</v>
      </c>
      <c r="BD505" s="348">
        <f t="shared" ref="BD505:BF506" si="429">BC505</f>
        <v>26.25</v>
      </c>
      <c r="BE505" s="348">
        <f t="shared" si="429"/>
        <v>26.25</v>
      </c>
      <c r="BF505" s="405">
        <f t="shared" si="429"/>
        <v>26.25</v>
      </c>
      <c r="BG505" s="589">
        <f>500*0.21</f>
        <v>105</v>
      </c>
      <c r="BH505" s="406">
        <f>BL505/4</f>
        <v>0</v>
      </c>
      <c r="BI505" s="348">
        <f t="shared" ref="BI505:BK506" si="430">BH505</f>
        <v>0</v>
      </c>
      <c r="BJ505" s="348">
        <f t="shared" si="430"/>
        <v>0</v>
      </c>
      <c r="BK505" s="405">
        <f t="shared" si="430"/>
        <v>0</v>
      </c>
      <c r="BL505" s="589">
        <v>0</v>
      </c>
      <c r="BM505" s="406">
        <f>BQ505/4</f>
        <v>0</v>
      </c>
      <c r="BN505" s="348">
        <f t="shared" ref="BN505:BP506" si="431">BM505</f>
        <v>0</v>
      </c>
      <c r="BO505" s="348">
        <f t="shared" si="431"/>
        <v>0</v>
      </c>
      <c r="BP505" s="405">
        <f t="shared" si="431"/>
        <v>0</v>
      </c>
      <c r="BQ505" s="589">
        <v>0</v>
      </c>
    </row>
    <row r="506" spans="1:70" s="2" customFormat="1">
      <c r="A506" s="1523"/>
      <c r="C506" s="2" t="s">
        <v>487</v>
      </c>
      <c r="E506" s="459">
        <f>29-48+19+39-78+10</f>
        <v>-29</v>
      </c>
      <c r="F506" s="460">
        <f>57-71+39-3-111-13-E506</f>
        <v>-73</v>
      </c>
      <c r="G506" s="460">
        <f>88-125+58-25-112-10-E506-F506</f>
        <v>-24</v>
      </c>
      <c r="H506" s="461">
        <f>121+27+25+76-50-114-60-E506-F506-G506</f>
        <v>151</v>
      </c>
      <c r="I506" s="451">
        <f>SUM(E506:H506)</f>
        <v>25</v>
      </c>
      <c r="J506" s="459">
        <f>0+34-112+17-24-78+5</f>
        <v>-158</v>
      </c>
      <c r="K506" s="460">
        <f>68+2+36-48-130+23-J506</f>
        <v>109</v>
      </c>
      <c r="L506" s="460">
        <f>102-42+53-73-131+32-J506-K506</f>
        <v>-10</v>
      </c>
      <c r="M506" s="461">
        <f>(136+18+50+71-106-132+38)-(J506+K506+L506)</f>
        <v>134</v>
      </c>
      <c r="N506" s="451">
        <f>SUM(J506:M506)</f>
        <v>75</v>
      </c>
      <c r="O506" s="459">
        <f>-81+39+8+13-60-124-13</f>
        <v>-218</v>
      </c>
      <c r="P506" s="460">
        <f>-82+75+35+24-93-125-6-O506</f>
        <v>46</v>
      </c>
      <c r="Q506" s="460">
        <f>-122+114-14+33-110-127-35-O506-P506</f>
        <v>-89</v>
      </c>
      <c r="R506" s="461">
        <f>0-(O506+P506+Q506)</f>
        <v>261</v>
      </c>
      <c r="S506" s="451">
        <f>SUM(O506:R506)</f>
        <v>0</v>
      </c>
      <c r="T506" s="459">
        <f>43+18-15</f>
        <v>46</v>
      </c>
      <c r="U506" s="460">
        <f>84-86+34-26-T506</f>
        <v>-40</v>
      </c>
      <c r="V506" s="460">
        <f>129+116+53-107-T506-U506</f>
        <v>185</v>
      </c>
      <c r="W506" s="461">
        <f>173+21+63+70-118-(T506+U506+V506)</f>
        <v>18</v>
      </c>
      <c r="X506" s="451">
        <f>SUM(T506:W506)</f>
        <v>209</v>
      </c>
      <c r="Y506" s="459">
        <f>50+165+17-24</f>
        <v>208</v>
      </c>
      <c r="Z506" s="460">
        <f>95+20+33-47-Y506</f>
        <v>-107</v>
      </c>
      <c r="AA506" s="460">
        <f>145+3+50-76-Y506-Z506</f>
        <v>21</v>
      </c>
      <c r="AB506" s="461">
        <f>192+23+79+66-104-46+53-(Y506+Z506+AA506)</f>
        <v>141</v>
      </c>
      <c r="AC506" s="77">
        <f>SUM(Y506:AB506)</f>
        <v>263</v>
      </c>
      <c r="AD506" s="459">
        <f>54+224+3-23</f>
        <v>258</v>
      </c>
      <c r="AE506" s="460">
        <f>98+297+7-59-AD506</f>
        <v>85</v>
      </c>
      <c r="AF506" s="460">
        <f>151+237+10-99-AD506-AE506</f>
        <v>-44</v>
      </c>
      <c r="AG506" s="461">
        <f>200+30-93+13-166-(AD506+AE506+AF506)</f>
        <v>-315</v>
      </c>
      <c r="AH506" s="77">
        <f>SUM(AD506:AG506)</f>
        <v>-16</v>
      </c>
      <c r="AI506" s="459">
        <f>55+37+13-12</f>
        <v>93</v>
      </c>
      <c r="AJ506" s="460">
        <f>106-9+24-21-7+89-AI506</f>
        <v>89</v>
      </c>
      <c r="AK506" s="460">
        <f>-87+36-2-9+117+162-AI506-AJ506</f>
        <v>35</v>
      </c>
      <c r="AL506" s="461">
        <f>213+26-143+48-38-11+122-(AI506+AJ506+AK506)</f>
        <v>0</v>
      </c>
      <c r="AM506" s="77">
        <f>SUM(AI506:AL506)</f>
        <v>217</v>
      </c>
      <c r="AN506" s="459">
        <f>58-21+10+3</f>
        <v>50</v>
      </c>
      <c r="AO506" s="460">
        <f>105+153+19-2-10+67-AN506</f>
        <v>282</v>
      </c>
      <c r="AP506" s="460">
        <f>154+96+102+28-12-10+187-AO506-AN506</f>
        <v>213</v>
      </c>
      <c r="AQ506" s="461">
        <f>203+26+183+109+102+39-26-13+63-(AN506+AO506+AP506)</f>
        <v>141</v>
      </c>
      <c r="AR506" s="77">
        <f>SUM(AN506:AQ506)</f>
        <v>686</v>
      </c>
      <c r="AS506" s="459">
        <f>54+8-5+26+7-23-2</f>
        <v>65</v>
      </c>
      <c r="AT506" s="460">
        <f>101+15-42+51+14-58-AS506</f>
        <v>16</v>
      </c>
      <c r="AU506" s="460">
        <f>152+23+8+79+21-86-5+21-AT506-AS506</f>
        <v>132</v>
      </c>
      <c r="AV506" s="461">
        <f>199+30+188+103+28-156-7+47-(AS506+AT506+AU506)</f>
        <v>219</v>
      </c>
      <c r="AW506" s="77">
        <f>SUM(AS506:AV506)</f>
        <v>432</v>
      </c>
      <c r="AX506" s="406">
        <f>BB506/4</f>
        <v>0</v>
      </c>
      <c r="AY506" s="348">
        <f>AX506</f>
        <v>0</v>
      </c>
      <c r="AZ506" s="348">
        <f>AY506</f>
        <v>0</v>
      </c>
      <c r="BA506" s="405">
        <f>AY506</f>
        <v>0</v>
      </c>
      <c r="BB506" s="589">
        <v>0</v>
      </c>
      <c r="BC506" s="406">
        <f>BG506/4</f>
        <v>0</v>
      </c>
      <c r="BD506" s="348">
        <f t="shared" si="429"/>
        <v>0</v>
      </c>
      <c r="BE506" s="348">
        <f t="shared" si="429"/>
        <v>0</v>
      </c>
      <c r="BF506" s="405">
        <f t="shared" si="429"/>
        <v>0</v>
      </c>
      <c r="BG506" s="589">
        <v>0</v>
      </c>
      <c r="BH506" s="406">
        <f>BL506/4</f>
        <v>0</v>
      </c>
      <c r="BI506" s="348">
        <f t="shared" si="430"/>
        <v>0</v>
      </c>
      <c r="BJ506" s="348">
        <f t="shared" si="430"/>
        <v>0</v>
      </c>
      <c r="BK506" s="405">
        <f t="shared" si="430"/>
        <v>0</v>
      </c>
      <c r="BL506" s="589">
        <v>0</v>
      </c>
      <c r="BM506" s="406">
        <f>BQ506/4</f>
        <v>0</v>
      </c>
      <c r="BN506" s="348">
        <f t="shared" si="431"/>
        <v>0</v>
      </c>
      <c r="BO506" s="348">
        <f t="shared" si="431"/>
        <v>0</v>
      </c>
      <c r="BP506" s="405">
        <f t="shared" si="431"/>
        <v>0</v>
      </c>
      <c r="BQ506" s="589">
        <v>0</v>
      </c>
    </row>
    <row r="507" spans="1:70" s="49" customFormat="1">
      <c r="A507" s="1523"/>
      <c r="B507" s="2"/>
      <c r="C507" s="2" t="s">
        <v>490</v>
      </c>
      <c r="D507" s="2"/>
      <c r="E507" s="459">
        <f>413+7+151+212-214+323+49-51</f>
        <v>890</v>
      </c>
      <c r="F507" s="460">
        <f>190-60+114+288-190+250-49-E507</f>
        <v>-347</v>
      </c>
      <c r="G507" s="460">
        <f>-39+63+312-236+260+45-50-E507-F507</f>
        <v>-188</v>
      </c>
      <c r="H507" s="461">
        <f>97-31+109-115+75-27-E507-F507-G507</f>
        <v>-247</v>
      </c>
      <c r="I507" s="451">
        <f>SUM(E507:H507)</f>
        <v>108</v>
      </c>
      <c r="J507" s="459">
        <f>315+54-21+5+295+37-29</f>
        <v>656</v>
      </c>
      <c r="K507" s="460">
        <f>138-76-18-50+118-56-J507</f>
        <v>-600</v>
      </c>
      <c r="L507" s="460">
        <f>-2-26+16-99+186+41-42-J507-K507</f>
        <v>18</v>
      </c>
      <c r="M507" s="461">
        <f>(135-91-105+17-386-66)-(J507+K507+L507)</f>
        <v>-570</v>
      </c>
      <c r="N507" s="451">
        <f>SUM(J507:M507)</f>
        <v>-496</v>
      </c>
      <c r="O507" s="459">
        <f>286-23+145-126+500+43+15</f>
        <v>840</v>
      </c>
      <c r="P507" s="460">
        <f>99-54+162-141+649+10-O507</f>
        <v>-115</v>
      </c>
      <c r="Q507" s="460">
        <f>-82-63+157-103+650+23+48-O507-P507</f>
        <v>-95</v>
      </c>
      <c r="R507" s="461">
        <f>(-122+153+18-165+17+41-117-26+49+197-154+459+30-129+1)-(O507+P507+Q507)</f>
        <v>-378</v>
      </c>
      <c r="S507" s="451">
        <f>SUM(O507:R507)</f>
        <v>252</v>
      </c>
      <c r="T507" s="459">
        <f>188-34+47-11+145-22-38-1</f>
        <v>274</v>
      </c>
      <c r="U507" s="460">
        <f>94+36+40-14+73-6-39+6-T507</f>
        <v>-84</v>
      </c>
      <c r="V507" s="460">
        <f>-10-107+50-31+193+17+2-40+5-T507-U507</f>
        <v>-111</v>
      </c>
      <c r="W507" s="461">
        <f>(47-116+24+92-40-6-16-72+31)-(T507+U507+V507)</f>
        <v>-135</v>
      </c>
      <c r="X507" s="451">
        <f>SUM(T507:W507)</f>
        <v>-56</v>
      </c>
      <c r="Y507" s="459">
        <f>259-117+3-67+121+15+22-45+5</f>
        <v>196</v>
      </c>
      <c r="Z507" s="460">
        <f>97-8+25-77+197-8-44+27-Y507</f>
        <v>13</v>
      </c>
      <c r="AA507" s="460">
        <f>-38+17+69-63+306+11+20-45+32-Y507-Z507</f>
        <v>100</v>
      </c>
      <c r="AB507" s="461">
        <f>-8-43-4+28+2+70-SUM(Y507:AA507)</f>
        <v>-264</v>
      </c>
      <c r="AC507" s="77">
        <f>SUM(Y507:AB507)</f>
        <v>45</v>
      </c>
      <c r="AD507" s="459">
        <f>289-261-19-70+279+15-4-2+24</f>
        <v>251</v>
      </c>
      <c r="AE507" s="460">
        <f>132-234+16-72+229+13-3+50-AD507</f>
        <v>-120</v>
      </c>
      <c r="AF507" s="460">
        <f>17-173+49-135+299+28-5+71-AD507-AE507</f>
        <v>20</v>
      </c>
      <c r="AG507" s="461">
        <f>19-22-15-59+220-6-7+38-SUM(AD507:AF507)</f>
        <v>17</v>
      </c>
      <c r="AH507" s="77">
        <f>SUM(AD507:AG507)</f>
        <v>168</v>
      </c>
      <c r="AI507" s="459">
        <f>284+14-16-55+86+16-56-6+42</f>
        <v>309</v>
      </c>
      <c r="AJ507" s="460">
        <f>209+69+76-62+123-21-AI507</f>
        <v>85</v>
      </c>
      <c r="AK507" s="460">
        <f>113+142+54-99+115-26-AI507-AJ507</f>
        <v>-95</v>
      </c>
      <c r="AL507" s="461">
        <f>62+122+63-46-84-36-SUM(AI507:AK507)</f>
        <v>-218</v>
      </c>
      <c r="AM507" s="77">
        <f>SUM(AI507:AL507)</f>
        <v>81</v>
      </c>
      <c r="AN507" s="459">
        <f>143-4-41-34+184+14+1-8+53</f>
        <v>308</v>
      </c>
      <c r="AO507" s="460">
        <f>86-46-12-10+179+11-AN507</f>
        <v>-100</v>
      </c>
      <c r="AP507" s="460">
        <f>-27-4-11-29+235+20-AO507-AN507</f>
        <v>-24</v>
      </c>
      <c r="AQ507" s="461">
        <f>31-76-71-22+6+10-SUM(AN507:AP507)</f>
        <v>-306</v>
      </c>
      <c r="AR507" s="77">
        <f>SUM(AN507:AQ507)</f>
        <v>-122</v>
      </c>
      <c r="AS507" s="459">
        <f>155-4+24-18+71+33</f>
        <v>261</v>
      </c>
      <c r="AT507" s="460">
        <f>58+59+36-14+75+7-4+12-AS507</f>
        <v>-32</v>
      </c>
      <c r="AU507" s="460">
        <f>-32+64+19-32+205+11-AT507-AS507</f>
        <v>6</v>
      </c>
      <c r="AV507" s="461">
        <f>42-90-45+39-2+10-SUM(AS507:AU507)</f>
        <v>-281</v>
      </c>
      <c r="AW507" s="77">
        <f>SUM(AS507:AV507)</f>
        <v>-46</v>
      </c>
      <c r="AX507" s="398">
        <v>0</v>
      </c>
      <c r="AY507" s="344">
        <v>0</v>
      </c>
      <c r="AZ507" s="344">
        <v>0</v>
      </c>
      <c r="BA507" s="399">
        <v>0</v>
      </c>
      <c r="BB507" s="296">
        <f>SUM(AX507:BA507)</f>
        <v>0</v>
      </c>
      <c r="BC507" s="398">
        <v>0</v>
      </c>
      <c r="BD507" s="344">
        <v>0</v>
      </c>
      <c r="BE507" s="344">
        <v>0</v>
      </c>
      <c r="BF507" s="399">
        <v>0</v>
      </c>
      <c r="BG507" s="296">
        <f>SUM(BC507:BF507)</f>
        <v>0</v>
      </c>
      <c r="BH507" s="398">
        <v>0</v>
      </c>
      <c r="BI507" s="344">
        <v>0</v>
      </c>
      <c r="BJ507" s="344">
        <v>0</v>
      </c>
      <c r="BK507" s="399">
        <v>0</v>
      </c>
      <c r="BL507" s="296">
        <f>SUM(BH507:BK507)</f>
        <v>0</v>
      </c>
      <c r="BM507" s="398">
        <v>0</v>
      </c>
      <c r="BN507" s="344">
        <v>0</v>
      </c>
      <c r="BO507" s="344">
        <v>0</v>
      </c>
      <c r="BP507" s="399">
        <v>0</v>
      </c>
      <c r="BQ507" s="296">
        <f>SUM(BM507:BP507)</f>
        <v>0</v>
      </c>
      <c r="BR507" s="2"/>
    </row>
    <row r="508" spans="1:70" s="2" customFormat="1">
      <c r="A508" s="49"/>
      <c r="B508" s="49"/>
      <c r="C508" s="49" t="s">
        <v>85</v>
      </c>
      <c r="D508" s="49"/>
      <c r="E508" s="390">
        <f>+SUM(E503:E507)</f>
        <v>1240</v>
      </c>
      <c r="F508" s="340">
        <f>+SUM(F503:F507)</f>
        <v>-55</v>
      </c>
      <c r="G508" s="340">
        <f>+SUM(G503:G507)</f>
        <v>244</v>
      </c>
      <c r="H508" s="391">
        <f>+SUM(H503:H507)</f>
        <v>229</v>
      </c>
      <c r="I508" s="464">
        <f>SUM(I503:I507)</f>
        <v>1658</v>
      </c>
      <c r="J508" s="390">
        <f>+SUM(J503:J507)</f>
        <v>948</v>
      </c>
      <c r="K508" s="340">
        <f>+SUM(K503:K507)</f>
        <v>-194</v>
      </c>
      <c r="L508" s="340">
        <f>+SUM(L503:L507)</f>
        <v>502</v>
      </c>
      <c r="M508" s="391">
        <f>+SUM(M503:M507)</f>
        <v>310</v>
      </c>
      <c r="N508" s="464">
        <f>SUM(N503:N507)</f>
        <v>1566</v>
      </c>
      <c r="O508" s="390">
        <f>+SUM(O503:O507)</f>
        <v>903</v>
      </c>
      <c r="P508" s="340">
        <f>+SUM(P503:P507)</f>
        <v>243</v>
      </c>
      <c r="Q508" s="340">
        <f>+SUM(Q503:Q507)</f>
        <v>341</v>
      </c>
      <c r="R508" s="391">
        <f>+SUM(R503:R507)</f>
        <v>325</v>
      </c>
      <c r="S508" s="464">
        <f>SUM(S503:S507)</f>
        <v>1812</v>
      </c>
      <c r="T508" s="390">
        <f>+SUM(T503:T507)</f>
        <v>731</v>
      </c>
      <c r="U508" s="340">
        <f>+SUM(U503:U507)</f>
        <v>121</v>
      </c>
      <c r="V508" s="340">
        <f>+SUM(V503:V507)</f>
        <v>320</v>
      </c>
      <c r="W508" s="391">
        <f>+SUM(W503:W507)</f>
        <v>207</v>
      </c>
      <c r="X508" s="464">
        <f>SUM(X503:X507)</f>
        <v>1379</v>
      </c>
      <c r="Y508" s="390">
        <f>+SUM(Y503:Y507)</f>
        <v>572</v>
      </c>
      <c r="Z508" s="340">
        <f>+SUM(Z503:Z507)</f>
        <v>282</v>
      </c>
      <c r="AA508" s="343">
        <f>+SUM(AA503:AA507)</f>
        <v>430</v>
      </c>
      <c r="AB508" s="397">
        <f>+SUM(AB503:AB507)</f>
        <v>63</v>
      </c>
      <c r="AC508" s="297">
        <f>SUM(AC503:AC507)</f>
        <v>1347</v>
      </c>
      <c r="AD508" s="390">
        <f>+SUM(AD503:AD507)</f>
        <v>674</v>
      </c>
      <c r="AE508" s="340">
        <f>+SUM(AE503:AE507)</f>
        <v>140</v>
      </c>
      <c r="AF508" s="343">
        <f>+SUM(AF503:AF507)</f>
        <v>296</v>
      </c>
      <c r="AG508" s="397">
        <f>+SUM(AG503:AG507)</f>
        <v>315</v>
      </c>
      <c r="AH508" s="297">
        <f>SUM(AH503:AH507)</f>
        <v>1425</v>
      </c>
      <c r="AI508" s="390">
        <f>+SUM(AI503:AI507)</f>
        <v>850</v>
      </c>
      <c r="AJ508" s="340">
        <f>+SUM(AJ503:AJ507)</f>
        <v>442</v>
      </c>
      <c r="AK508" s="343">
        <f>+SUM(AK503:AK507)</f>
        <v>266</v>
      </c>
      <c r="AL508" s="397">
        <f>+SUM(AL503:AL507)</f>
        <v>148</v>
      </c>
      <c r="AM508" s="297">
        <f>SUM(AM503:AM507)</f>
        <v>1706</v>
      </c>
      <c r="AN508" s="390">
        <f>+SUM(AN503:AN507)</f>
        <v>663</v>
      </c>
      <c r="AO508" s="340">
        <f>+SUM(AO503:AO507)</f>
        <v>254</v>
      </c>
      <c r="AP508" s="340">
        <f>+SUM(AP503:AP507)</f>
        <v>343</v>
      </c>
      <c r="AQ508" s="397">
        <f>+SUM(AQ503:AQ507)</f>
        <v>-5</v>
      </c>
      <c r="AR508" s="297">
        <f>SUM(AR503:AR507)</f>
        <v>1255</v>
      </c>
      <c r="AS508" s="390">
        <f>+SUM(AS503:AS507)</f>
        <v>580</v>
      </c>
      <c r="AT508" s="340">
        <f>+SUM(AT503:AT507)</f>
        <v>352</v>
      </c>
      <c r="AU508" s="340">
        <f>+SUM(AU503:AU507)</f>
        <v>317</v>
      </c>
      <c r="AV508" s="397">
        <f>+SUM(AV503:AV507)</f>
        <v>77</v>
      </c>
      <c r="AW508" s="297">
        <f>SUM(AW503:AW507)</f>
        <v>1326</v>
      </c>
      <c r="AX508" s="396">
        <f>+SUM(AX503:AX507)</f>
        <v>316.28092463625239</v>
      </c>
      <c r="AY508" s="343">
        <f>+SUM(AY503:AY507)</f>
        <v>242.43592530426892</v>
      </c>
      <c r="AZ508" s="343">
        <f>+SUM(AZ503:AZ507)</f>
        <v>321.34030442074885</v>
      </c>
      <c r="BA508" s="397">
        <f>+SUM(BA503:BA507)</f>
        <v>201.23744116569065</v>
      </c>
      <c r="BB508" s="297">
        <f>SUM(BB503:BB507)</f>
        <v>1081.2945955269608</v>
      </c>
      <c r="BC508" s="396">
        <f>+SUM(BC503:BC507)</f>
        <v>312.8681343901701</v>
      </c>
      <c r="BD508" s="343">
        <f>+SUM(BD503:BD507)</f>
        <v>257.05399957088071</v>
      </c>
      <c r="BE508" s="343">
        <f>+SUM(BE503:BE507)</f>
        <v>234.52787407368066</v>
      </c>
      <c r="BF508" s="397">
        <f>+SUM(BF503:BF507)</f>
        <v>104.58639305165576</v>
      </c>
      <c r="BG508" s="297">
        <f>SUM(BG503:BG507)</f>
        <v>909.03640108638729</v>
      </c>
      <c r="BH508" s="396">
        <f>+SUM(BH503:BH507)</f>
        <v>289.37769233169229</v>
      </c>
      <c r="BI508" s="343">
        <f>+SUM(BI503:BI507)</f>
        <v>191.7343719144439</v>
      </c>
      <c r="BJ508" s="343">
        <f>+SUM(BJ503:BJ507)</f>
        <v>217.29160661955223</v>
      </c>
      <c r="BK508" s="397">
        <f>+SUM(BK503:BK507)</f>
        <v>110.23448725531578</v>
      </c>
      <c r="BL508" s="297">
        <f>SUM(BL503:BL507)</f>
        <v>808.63815812100415</v>
      </c>
      <c r="BM508" s="396">
        <f>+SUM(BM503:BM507)</f>
        <v>296.64474799414018</v>
      </c>
      <c r="BN508" s="343">
        <f>+SUM(BN503:BN507)</f>
        <v>237.06845787609168</v>
      </c>
      <c r="BO508" s="343">
        <f>+SUM(BO503:BO507)</f>
        <v>233.90021925412151</v>
      </c>
      <c r="BP508" s="397">
        <f>+SUM(BP503:BP507)</f>
        <v>156.48599250610999</v>
      </c>
      <c r="BQ508" s="297">
        <f>SUM(BQ503:BQ507)</f>
        <v>924.09941763046345</v>
      </c>
      <c r="BR508" s="49"/>
    </row>
    <row r="509" spans="1:70" s="2" customFormat="1">
      <c r="A509" s="1523"/>
      <c r="E509" s="509"/>
      <c r="F509" s="480"/>
      <c r="G509" s="480"/>
      <c r="H509" s="481"/>
      <c r="I509" s="463"/>
      <c r="J509" s="509"/>
      <c r="K509" s="480"/>
      <c r="L509" s="480"/>
      <c r="M509" s="481"/>
      <c r="N509" s="463"/>
      <c r="O509" s="509"/>
      <c r="P509" s="480"/>
      <c r="Q509" s="480"/>
      <c r="R509" s="481"/>
      <c r="S509" s="463"/>
      <c r="T509" s="509"/>
      <c r="U509" s="480"/>
      <c r="V509" s="348"/>
      <c r="W509" s="436"/>
      <c r="X509" s="437"/>
      <c r="Y509" s="434"/>
      <c r="Z509" s="435"/>
      <c r="AA509" s="348"/>
      <c r="AB509" s="436"/>
      <c r="AC509" s="437"/>
      <c r="AD509" s="434"/>
      <c r="AE509" s="435"/>
      <c r="AF509" s="348"/>
      <c r="AG509" s="436"/>
      <c r="AH509" s="437"/>
      <c r="AI509" s="434"/>
      <c r="AJ509" s="435"/>
      <c r="AK509" s="348"/>
      <c r="AL509" s="436"/>
      <c r="AM509" s="437"/>
      <c r="AN509" s="434"/>
      <c r="AO509" s="435"/>
      <c r="AP509" s="435"/>
      <c r="AQ509" s="436"/>
      <c r="AR509" s="437"/>
      <c r="AS509" s="434"/>
      <c r="AT509" s="435"/>
      <c r="AU509" s="435"/>
      <c r="AV509" s="436"/>
      <c r="AW509" s="437"/>
      <c r="AX509" s="392"/>
      <c r="AY509" s="341"/>
      <c r="AZ509" s="341"/>
      <c r="BA509" s="393"/>
      <c r="BB509" s="296"/>
      <c r="BC509" s="392"/>
      <c r="BD509" s="341"/>
      <c r="BE509" s="341"/>
      <c r="BF509" s="393"/>
      <c r="BG509" s="296"/>
      <c r="BH509" s="392"/>
      <c r="BI509" s="341"/>
      <c r="BJ509" s="341"/>
      <c r="BK509" s="393"/>
      <c r="BL509" s="296"/>
      <c r="BM509" s="392"/>
      <c r="BN509" s="341"/>
      <c r="BO509" s="341"/>
      <c r="BP509" s="393"/>
      <c r="BQ509" s="296"/>
    </row>
    <row r="510" spans="1:70" s="2" customFormat="1">
      <c r="A510" s="1523"/>
      <c r="C510" s="2" t="s">
        <v>484</v>
      </c>
      <c r="E510" s="459">
        <v>-208</v>
      </c>
      <c r="F510" s="460">
        <f>-429-E510</f>
        <v>-221</v>
      </c>
      <c r="G510" s="460">
        <f>-636-E510-F510</f>
        <v>-207</v>
      </c>
      <c r="H510" s="461">
        <f>-869-E510-F510-G510</f>
        <v>-233</v>
      </c>
      <c r="I510" s="463">
        <f>SUM(E510:H510)</f>
        <v>-869</v>
      </c>
      <c r="J510" s="459">
        <v>-174</v>
      </c>
      <c r="K510" s="460">
        <f>-328-J510</f>
        <v>-154</v>
      </c>
      <c r="L510" s="460">
        <f>-579-J510-K510</f>
        <v>-251</v>
      </c>
      <c r="M510" s="461">
        <f>-825-(J510+K510+L510)</f>
        <v>-246</v>
      </c>
      <c r="N510" s="463">
        <f>SUM(J510:M510)</f>
        <v>-825</v>
      </c>
      <c r="O510" s="459">
        <v>-155</v>
      </c>
      <c r="P510" s="460">
        <f>-323-O510</f>
        <v>-168</v>
      </c>
      <c r="Q510" s="460">
        <f>-530-O510-P510</f>
        <v>-207</v>
      </c>
      <c r="R510" s="461">
        <f>-757-(O510+P510+Q510)</f>
        <v>-227</v>
      </c>
      <c r="S510" s="463">
        <f>SUM(O510:R510)</f>
        <v>-757</v>
      </c>
      <c r="T510" s="459">
        <v>-237</v>
      </c>
      <c r="U510" s="460">
        <f>-344-T510</f>
        <v>-107</v>
      </c>
      <c r="V510" s="460">
        <f>-493-T510-U510</f>
        <v>-149</v>
      </c>
      <c r="W510" s="461">
        <f>-646-(T510+U510+V510)</f>
        <v>-153</v>
      </c>
      <c r="X510" s="463">
        <f>SUM(T510:W510)</f>
        <v>-646</v>
      </c>
      <c r="Y510" s="459">
        <v>-143</v>
      </c>
      <c r="Z510" s="460">
        <f>-222-Y510</f>
        <v>-79</v>
      </c>
      <c r="AA510" s="460">
        <f>-419-Y510-Z510</f>
        <v>-197</v>
      </c>
      <c r="AB510" s="461">
        <f>-609-(Y510+Z510+AA510)</f>
        <v>-190</v>
      </c>
      <c r="AC510" s="77">
        <f>SUM(Y510:AB510)</f>
        <v>-609</v>
      </c>
      <c r="AD510" s="459">
        <v>-126</v>
      </c>
      <c r="AE510" s="460">
        <f>-226-AD510</f>
        <v>-100</v>
      </c>
      <c r="AF510" s="460">
        <f>-414-AD510-AE510</f>
        <v>-188</v>
      </c>
      <c r="AG510" s="461">
        <f>-626-(AD510+AE510+AF510)</f>
        <v>-212</v>
      </c>
      <c r="AH510" s="77">
        <f>SUM(AD510:AG510)</f>
        <v>-626</v>
      </c>
      <c r="AI510" s="459">
        <v>-139</v>
      </c>
      <c r="AJ510" s="460">
        <f>-487-AI510</f>
        <v>-348</v>
      </c>
      <c r="AK510" s="460">
        <f>-797-AI510-AJ510</f>
        <v>-310</v>
      </c>
      <c r="AL510" s="461">
        <f>-1117-(AI510+AJ510+AK510)</f>
        <v>-320</v>
      </c>
      <c r="AM510" s="77">
        <f>SUM(AI510:AL510)</f>
        <v>-1117</v>
      </c>
      <c r="AN510" s="459">
        <v>-333</v>
      </c>
      <c r="AO510" s="460">
        <f>-598-AN510</f>
        <v>-265</v>
      </c>
      <c r="AP510" s="460">
        <f>-923-AO510-AN510</f>
        <v>-325</v>
      </c>
      <c r="AQ510" s="461">
        <f>-1343-(AN510+AO510+AP510)</f>
        <v>-420</v>
      </c>
      <c r="AR510" s="77">
        <f>SUM(AN510:AQ510)</f>
        <v>-1343</v>
      </c>
      <c r="AS510" s="459">
        <v>-307</v>
      </c>
      <c r="AT510" s="460">
        <f>-576-AS510</f>
        <v>-269</v>
      </c>
      <c r="AU510" s="460">
        <f>-903-AT510-AS510</f>
        <v>-327</v>
      </c>
      <c r="AV510" s="461">
        <f>-1231-(AS510+AT510+AU510)</f>
        <v>-328</v>
      </c>
      <c r="AW510" s="77">
        <f>SUM(AS510:AV510)</f>
        <v>-1231</v>
      </c>
      <c r="AX510" s="392">
        <f>-AX480</f>
        <v>-161.25</v>
      </c>
      <c r="AY510" s="341">
        <f>-AY480</f>
        <v>-161.25</v>
      </c>
      <c r="AZ510" s="341">
        <f>-AZ480</f>
        <v>-161.25</v>
      </c>
      <c r="BA510" s="393">
        <f>-BA480</f>
        <v>-161.25</v>
      </c>
      <c r="BB510" s="296">
        <f>SUM(AX510:BA510)</f>
        <v>-645</v>
      </c>
      <c r="BC510" s="392">
        <f>-BC480</f>
        <v>-65</v>
      </c>
      <c r="BD510" s="341">
        <f>-BD480</f>
        <v>-65</v>
      </c>
      <c r="BE510" s="341">
        <f>-BE480</f>
        <v>-65</v>
      </c>
      <c r="BF510" s="393">
        <f>-BF480</f>
        <v>-65</v>
      </c>
      <c r="BG510" s="296">
        <f>SUM(BC510:BF510)</f>
        <v>-260</v>
      </c>
      <c r="BH510" s="392">
        <f>-BH480</f>
        <v>-48.75</v>
      </c>
      <c r="BI510" s="341">
        <f>-BI480</f>
        <v>-48.75</v>
      </c>
      <c r="BJ510" s="341">
        <f>-BJ480</f>
        <v>-48.75</v>
      </c>
      <c r="BK510" s="393">
        <f>-BK480</f>
        <v>-48.75</v>
      </c>
      <c r="BL510" s="296">
        <f>SUM(BH510:BK510)</f>
        <v>-195</v>
      </c>
      <c r="BM510" s="392">
        <f>-BM480</f>
        <v>-51.25</v>
      </c>
      <c r="BN510" s="341">
        <f>-BN480</f>
        <v>-51.25</v>
      </c>
      <c r="BO510" s="341">
        <f>-BO480</f>
        <v>-51.25</v>
      </c>
      <c r="BP510" s="393">
        <f>-BP480</f>
        <v>-51.25</v>
      </c>
      <c r="BQ510" s="296">
        <f>SUM(BM510:BP510)</f>
        <v>-205</v>
      </c>
    </row>
    <row r="511" spans="1:70" s="2" customFormat="1">
      <c r="A511" s="1523"/>
      <c r="C511" s="2" t="s">
        <v>489</v>
      </c>
      <c r="E511" s="459">
        <f>559-568</f>
        <v>-9</v>
      </c>
      <c r="F511" s="460">
        <f>1475-1491-E511</f>
        <v>-7</v>
      </c>
      <c r="G511" s="460">
        <f>1633-1653-E511-F511</f>
        <v>-4</v>
      </c>
      <c r="H511" s="461">
        <f>1769-1798-E511-F511-G511</f>
        <v>-9</v>
      </c>
      <c r="I511" s="463">
        <f>SUM(E511:H511)</f>
        <v>-29</v>
      </c>
      <c r="J511" s="459">
        <f>181-189</f>
        <v>-8</v>
      </c>
      <c r="K511" s="460">
        <f>426-439-J511</f>
        <v>-5</v>
      </c>
      <c r="L511" s="460">
        <f>759-778-J511-K511</f>
        <v>-6</v>
      </c>
      <c r="M511" s="461">
        <f>(989-1013)-(J511+K511+L511)</f>
        <v>-5</v>
      </c>
      <c r="N511" s="463">
        <f>SUM(J511:M511)</f>
        <v>-24</v>
      </c>
      <c r="O511" s="459">
        <f>351+315-331</f>
        <v>335</v>
      </c>
      <c r="P511" s="460">
        <f>352+657-672-O511</f>
        <v>2</v>
      </c>
      <c r="Q511" s="460">
        <f>687+1088-1106-O511-P511</f>
        <v>332</v>
      </c>
      <c r="R511" s="461">
        <f>687+1355-1380-(O511+P511+Q511)</f>
        <v>-7</v>
      </c>
      <c r="S511" s="463">
        <f>SUM(O511:R511)</f>
        <v>662</v>
      </c>
      <c r="T511" s="459">
        <f>375-385</f>
        <v>-10</v>
      </c>
      <c r="U511" s="460">
        <f>677-692-T511</f>
        <v>-5</v>
      </c>
      <c r="V511" s="460">
        <f>1295-1315-T511-U511</f>
        <v>-5</v>
      </c>
      <c r="W511" s="461">
        <f>1478-1506-(T511+U511+V511)</f>
        <v>-8</v>
      </c>
      <c r="X511" s="463">
        <f>SUM(T511:W511)</f>
        <v>-28</v>
      </c>
      <c r="Y511" s="459">
        <f>244-256</f>
        <v>-12</v>
      </c>
      <c r="Z511" s="460">
        <f>625-637-Y511</f>
        <v>0</v>
      </c>
      <c r="AA511" s="460">
        <f>849-864-Y511-Z511</f>
        <v>-3</v>
      </c>
      <c r="AB511" s="461">
        <f>1084-1102-(Y511+Z511+AA511)</f>
        <v>-3</v>
      </c>
      <c r="AC511" s="77">
        <f>SUM(Y511:AB511)</f>
        <v>-18</v>
      </c>
      <c r="AD511" s="459">
        <f>-259+247</f>
        <v>-12</v>
      </c>
      <c r="AE511" s="460">
        <f>-577+563-AD511</f>
        <v>-2</v>
      </c>
      <c r="AF511" s="460">
        <f>882-898-AD511-AE511</f>
        <v>-2</v>
      </c>
      <c r="AG511" s="461">
        <f>1557-1573-(AD511+AE511+AF511)</f>
        <v>0</v>
      </c>
      <c r="AH511" s="77">
        <f>SUM(AD511:AG511)</f>
        <v>-16</v>
      </c>
      <c r="AI511" s="459">
        <f>594-608</f>
        <v>-14</v>
      </c>
      <c r="AJ511" s="460">
        <f>837-854-AI511</f>
        <v>-3</v>
      </c>
      <c r="AK511" s="460">
        <f>1057-1083-AI511-AJ511</f>
        <v>-9</v>
      </c>
      <c r="AL511" s="461">
        <f>1422-1455-(AI511+AJ511+AK511)</f>
        <v>-7</v>
      </c>
      <c r="AM511" s="77">
        <f>SUM(AI511:AL511)</f>
        <v>-33</v>
      </c>
      <c r="AN511" s="459">
        <f>183-188</f>
        <v>-5</v>
      </c>
      <c r="AO511" s="460">
        <f>346-359-AN511</f>
        <v>-8</v>
      </c>
      <c r="AP511" s="460">
        <f>490-512-AO511-AN511</f>
        <v>-9</v>
      </c>
      <c r="AQ511" s="461">
        <f>739-766-(AN511+AO511+AP511)</f>
        <v>-5</v>
      </c>
      <c r="AR511" s="77">
        <f>SUM(AN511:AQ511)</f>
        <v>-27</v>
      </c>
      <c r="AS511" s="459">
        <f>259-268</f>
        <v>-9</v>
      </c>
      <c r="AT511" s="460">
        <f>602-616-AS511</f>
        <v>-5</v>
      </c>
      <c r="AU511" s="460">
        <f>886-900-AT511-AS511</f>
        <v>0</v>
      </c>
      <c r="AV511" s="461">
        <f>2182-2199-(AS511+AT511+AU511)</f>
        <v>-3</v>
      </c>
      <c r="AW511" s="77">
        <f>SUM(AS511:AV511)</f>
        <v>-17</v>
      </c>
      <c r="AX511" s="398">
        <v>0</v>
      </c>
      <c r="AY511" s="344">
        <v>0</v>
      </c>
      <c r="AZ511" s="344">
        <v>0</v>
      </c>
      <c r="BA511" s="399">
        <v>0</v>
      </c>
      <c r="BB511" s="296">
        <f>SUM(AX511:BA511)</f>
        <v>0</v>
      </c>
      <c r="BC511" s="398">
        <v>0</v>
      </c>
      <c r="BD511" s="344">
        <v>0</v>
      </c>
      <c r="BE511" s="344">
        <v>0</v>
      </c>
      <c r="BF511" s="399">
        <v>0</v>
      </c>
      <c r="BG511" s="296">
        <f>SUM(BC511:BF511)</f>
        <v>0</v>
      </c>
      <c r="BH511" s="398">
        <v>0</v>
      </c>
      <c r="BI511" s="344">
        <v>0</v>
      </c>
      <c r="BJ511" s="344">
        <v>0</v>
      </c>
      <c r="BK511" s="399">
        <v>0</v>
      </c>
      <c r="BL511" s="296">
        <f>SUM(BH511:BK511)</f>
        <v>0</v>
      </c>
      <c r="BM511" s="398">
        <v>0</v>
      </c>
      <c r="BN511" s="344">
        <v>0</v>
      </c>
      <c r="BO511" s="344">
        <v>0</v>
      </c>
      <c r="BP511" s="399">
        <v>0</v>
      </c>
      <c r="BQ511" s="296">
        <f>SUM(BM511:BP511)</f>
        <v>0</v>
      </c>
    </row>
    <row r="512" spans="1:70" s="49" customFormat="1">
      <c r="A512" s="1523"/>
      <c r="B512" s="2"/>
      <c r="C512" s="2" t="s">
        <v>485</v>
      </c>
      <c r="D512" s="2"/>
      <c r="E512" s="459">
        <f>-896+105+9</f>
        <v>-782</v>
      </c>
      <c r="F512" s="460">
        <f>-87+107+16-E512</f>
        <v>818</v>
      </c>
      <c r="G512" s="460">
        <f>55+111+20-E512-F512</f>
        <v>150</v>
      </c>
      <c r="H512" s="461">
        <f>47+55+115+29-E512-F512-G512</f>
        <v>60</v>
      </c>
      <c r="I512" s="463">
        <f>SUM(E512:H512)</f>
        <v>246</v>
      </c>
      <c r="J512" s="459">
        <f>-509+17</f>
        <v>-492</v>
      </c>
      <c r="K512" s="460">
        <f>-276+22-J512</f>
        <v>238</v>
      </c>
      <c r="L512" s="460">
        <f>-309+28-J512-K512</f>
        <v>-27</v>
      </c>
      <c r="M512" s="461">
        <f>(16-398+2+24)-(J512+K512+L512)</f>
        <v>-75</v>
      </c>
      <c r="N512" s="463">
        <f>SUM(J512:M512)</f>
        <v>-356</v>
      </c>
      <c r="O512" s="459">
        <f>-926+17</f>
        <v>-909</v>
      </c>
      <c r="P512" s="460">
        <f>-211+16-O512</f>
        <v>714</v>
      </c>
      <c r="Q512" s="460">
        <f>-1176+19-O512-P512</f>
        <v>-962</v>
      </c>
      <c r="R512" s="461">
        <f>(-509+26)-(O512+P512+Q512)</f>
        <v>674</v>
      </c>
      <c r="S512" s="463">
        <f>SUM(O512:R512)</f>
        <v>-483</v>
      </c>
      <c r="T512" s="459">
        <f>-128+10</f>
        <v>-118</v>
      </c>
      <c r="U512" s="460">
        <f>170-T512</f>
        <v>288</v>
      </c>
      <c r="V512" s="460">
        <f>17-10-T512-U512</f>
        <v>-163</v>
      </c>
      <c r="W512" s="461">
        <f>(333-7)-(T512+U512+V512)</f>
        <v>319</v>
      </c>
      <c r="X512" s="463">
        <f>SUM(T512:W512)</f>
        <v>326</v>
      </c>
      <c r="Y512" s="459">
        <f>-174+8</f>
        <v>-166</v>
      </c>
      <c r="Z512" s="460">
        <f>179-Y512</f>
        <v>345</v>
      </c>
      <c r="AA512" s="460">
        <f>157-13-Y512-Z512</f>
        <v>-35</v>
      </c>
      <c r="AB512" s="461">
        <f>(-216-18)-(Y512+Z512+AA512)</f>
        <v>-378</v>
      </c>
      <c r="AC512" s="77">
        <f>SUM(Y512:AB512)</f>
        <v>-234</v>
      </c>
      <c r="AD512" s="459">
        <f>-152-5</f>
        <v>-157</v>
      </c>
      <c r="AE512" s="460">
        <f>-46+50-AD512</f>
        <v>161</v>
      </c>
      <c r="AF512" s="460">
        <f>167-63-AD512-AE512</f>
        <v>100</v>
      </c>
      <c r="AG512" s="461">
        <f>(206-88)-(AD512+AE512+AF512)</f>
        <v>14</v>
      </c>
      <c r="AH512" s="77">
        <f>SUM(AD512:AG512)</f>
        <v>118</v>
      </c>
      <c r="AI512" s="459">
        <f>-471-11</f>
        <v>-482</v>
      </c>
      <c r="AJ512" s="460">
        <f>-366-17-AI512</f>
        <v>99</v>
      </c>
      <c r="AK512" s="460">
        <f>-281-46-AI512-AJ512</f>
        <v>56</v>
      </c>
      <c r="AL512" s="461">
        <f>221-72-(AI512+AJ512+AK512)</f>
        <v>476</v>
      </c>
      <c r="AM512" s="77">
        <f>SUM(AI512:AL512)</f>
        <v>149</v>
      </c>
      <c r="AN512" s="459">
        <f>-309-12</f>
        <v>-321</v>
      </c>
      <c r="AO512" s="460">
        <f>-972-24-AN512</f>
        <v>-675</v>
      </c>
      <c r="AP512" s="460">
        <f>-151-55-AO512-AN512</f>
        <v>790</v>
      </c>
      <c r="AQ512" s="461">
        <f>276+46-99-(AN512+AO512+AP512)</f>
        <v>429</v>
      </c>
      <c r="AR512" s="77">
        <f>SUM(AN512:AQ512)</f>
        <v>223</v>
      </c>
      <c r="AS512" s="459">
        <f>-15-70+7</f>
        <v>-78</v>
      </c>
      <c r="AT512" s="460">
        <f>-29-146+30-AS512</f>
        <v>-67</v>
      </c>
      <c r="AU512" s="460">
        <f>-90+86+37-AT512-AS512</f>
        <v>178</v>
      </c>
      <c r="AV512" s="461">
        <f>87+46-117-(AS512+AT512+AU512)</f>
        <v>-17</v>
      </c>
      <c r="AW512" s="77">
        <f>SUM(AS512:AV512)</f>
        <v>16</v>
      </c>
      <c r="AX512" s="398">
        <v>0</v>
      </c>
      <c r="AY512" s="344">
        <v>0</v>
      </c>
      <c r="AZ512" s="344">
        <v>0</v>
      </c>
      <c r="BA512" s="399">
        <v>0</v>
      </c>
      <c r="BB512" s="296">
        <f>SUM(AX512:BA512)</f>
        <v>0</v>
      </c>
      <c r="BC512" s="398">
        <v>0</v>
      </c>
      <c r="BD512" s="344">
        <v>0</v>
      </c>
      <c r="BE512" s="344">
        <v>0</v>
      </c>
      <c r="BF512" s="399">
        <v>0</v>
      </c>
      <c r="BG512" s="296">
        <f>SUM(BC512:BF512)</f>
        <v>0</v>
      </c>
      <c r="BH512" s="398">
        <v>0</v>
      </c>
      <c r="BI512" s="344">
        <v>0</v>
      </c>
      <c r="BJ512" s="344">
        <v>0</v>
      </c>
      <c r="BK512" s="399">
        <v>0</v>
      </c>
      <c r="BL512" s="296">
        <f>SUM(BH512:BK512)</f>
        <v>0</v>
      </c>
      <c r="BM512" s="398">
        <v>0</v>
      </c>
      <c r="BN512" s="344">
        <v>0</v>
      </c>
      <c r="BO512" s="344">
        <v>0</v>
      </c>
      <c r="BP512" s="399">
        <v>0</v>
      </c>
      <c r="BQ512" s="296">
        <f>SUM(BM512:BP512)</f>
        <v>0</v>
      </c>
      <c r="BR512" s="2"/>
    </row>
    <row r="513" spans="1:74" s="2" customFormat="1">
      <c r="A513" s="49"/>
      <c r="B513" s="49"/>
      <c r="C513" s="49" t="s">
        <v>87</v>
      </c>
      <c r="D513" s="49"/>
      <c r="E513" s="390">
        <f>+SUM(E510:E512)</f>
        <v>-999</v>
      </c>
      <c r="F513" s="340">
        <f>+SUM(F510:F512)</f>
        <v>590</v>
      </c>
      <c r="G513" s="340">
        <f>+SUM(G510:G512)</f>
        <v>-61</v>
      </c>
      <c r="H513" s="391">
        <f>+SUM(H510:H512)</f>
        <v>-182</v>
      </c>
      <c r="I513" s="464">
        <f>SUM(E513:H513)</f>
        <v>-652</v>
      </c>
      <c r="J513" s="390">
        <f>+SUM(J510:J512)</f>
        <v>-674</v>
      </c>
      <c r="K513" s="340">
        <f>+SUM(K510:K512)</f>
        <v>79</v>
      </c>
      <c r="L513" s="340">
        <f>+SUM(L510:L512)</f>
        <v>-284</v>
      </c>
      <c r="M513" s="391">
        <f>+SUM(M510:M512)</f>
        <v>-326</v>
      </c>
      <c r="N513" s="464">
        <f>SUM(J513:M513)</f>
        <v>-1205</v>
      </c>
      <c r="O513" s="390">
        <f t="shared" ref="O513:AI513" si="432">+SUM(O510:O512)</f>
        <v>-729</v>
      </c>
      <c r="P513" s="340">
        <f t="shared" si="432"/>
        <v>548</v>
      </c>
      <c r="Q513" s="340">
        <f t="shared" si="432"/>
        <v>-837</v>
      </c>
      <c r="R513" s="391">
        <f t="shared" si="432"/>
        <v>440</v>
      </c>
      <c r="S513" s="464">
        <f t="shared" si="432"/>
        <v>-578</v>
      </c>
      <c r="T513" s="390">
        <f t="shared" si="432"/>
        <v>-365</v>
      </c>
      <c r="U513" s="340">
        <f t="shared" si="432"/>
        <v>176</v>
      </c>
      <c r="V513" s="340">
        <f t="shared" si="432"/>
        <v>-317</v>
      </c>
      <c r="W513" s="391">
        <f t="shared" si="432"/>
        <v>158</v>
      </c>
      <c r="X513" s="464">
        <f t="shared" si="432"/>
        <v>-348</v>
      </c>
      <c r="Y513" s="390">
        <f t="shared" si="432"/>
        <v>-321</v>
      </c>
      <c r="Z513" s="340">
        <f t="shared" si="432"/>
        <v>266</v>
      </c>
      <c r="AA513" s="343">
        <f t="shared" si="432"/>
        <v>-235</v>
      </c>
      <c r="AB513" s="397">
        <f t="shared" si="432"/>
        <v>-571</v>
      </c>
      <c r="AC513" s="297">
        <f t="shared" si="432"/>
        <v>-861</v>
      </c>
      <c r="AD513" s="390">
        <f t="shared" si="432"/>
        <v>-295</v>
      </c>
      <c r="AE513" s="340">
        <f t="shared" si="432"/>
        <v>59</v>
      </c>
      <c r="AF513" s="343">
        <f t="shared" si="432"/>
        <v>-90</v>
      </c>
      <c r="AG513" s="397">
        <f t="shared" si="432"/>
        <v>-198</v>
      </c>
      <c r="AH513" s="297">
        <f t="shared" si="432"/>
        <v>-524</v>
      </c>
      <c r="AI513" s="390">
        <f t="shared" si="432"/>
        <v>-635</v>
      </c>
      <c r="AJ513" s="340">
        <f t="shared" ref="AJ513:AP513" si="433">+SUM(AJ510:AJ512)</f>
        <v>-252</v>
      </c>
      <c r="AK513" s="343">
        <f t="shared" si="433"/>
        <v>-263</v>
      </c>
      <c r="AL513" s="397">
        <f t="shared" si="433"/>
        <v>149</v>
      </c>
      <c r="AM513" s="297">
        <f t="shared" si="433"/>
        <v>-1001</v>
      </c>
      <c r="AN513" s="390">
        <f t="shared" si="433"/>
        <v>-659</v>
      </c>
      <c r="AO513" s="340">
        <f>+SUM(AO510:AO512)</f>
        <v>-948</v>
      </c>
      <c r="AP513" s="340">
        <f t="shared" si="433"/>
        <v>456</v>
      </c>
      <c r="AQ513" s="397">
        <f t="shared" ref="AQ513:AW513" si="434">+SUM(AQ510:AQ512)</f>
        <v>4</v>
      </c>
      <c r="AR513" s="297">
        <f t="shared" si="434"/>
        <v>-1147</v>
      </c>
      <c r="AS513" s="390">
        <f t="shared" si="434"/>
        <v>-394</v>
      </c>
      <c r="AT513" s="340">
        <f t="shared" si="434"/>
        <v>-341</v>
      </c>
      <c r="AU513" s="340">
        <f t="shared" si="434"/>
        <v>-149</v>
      </c>
      <c r="AV513" s="397">
        <f t="shared" si="434"/>
        <v>-348</v>
      </c>
      <c r="AW513" s="297">
        <f t="shared" si="434"/>
        <v>-1232</v>
      </c>
      <c r="AX513" s="396">
        <f>+SUM(AX510:AX512)</f>
        <v>-161.25</v>
      </c>
      <c r="AY513" s="343">
        <f>+SUM(AY510:AY512)</f>
        <v>-161.25</v>
      </c>
      <c r="AZ513" s="343">
        <f>+SUM(AZ510:AZ512)</f>
        <v>-161.25</v>
      </c>
      <c r="BA513" s="397">
        <f>+SUM(BA510:BA512)</f>
        <v>-161.25</v>
      </c>
      <c r="BB513" s="297">
        <f>+SUM(BB510:BB512)</f>
        <v>-645</v>
      </c>
      <c r="BC513" s="396">
        <f t="shared" ref="BC513:BL513" si="435">+SUM(BC510:BC512)</f>
        <v>-65</v>
      </c>
      <c r="BD513" s="343">
        <f t="shared" si="435"/>
        <v>-65</v>
      </c>
      <c r="BE513" s="343">
        <f t="shared" si="435"/>
        <v>-65</v>
      </c>
      <c r="BF513" s="397">
        <f t="shared" si="435"/>
        <v>-65</v>
      </c>
      <c r="BG513" s="297">
        <f t="shared" si="435"/>
        <v>-260</v>
      </c>
      <c r="BH513" s="396">
        <f t="shared" si="435"/>
        <v>-48.75</v>
      </c>
      <c r="BI513" s="343">
        <f t="shared" si="435"/>
        <v>-48.75</v>
      </c>
      <c r="BJ513" s="343">
        <f t="shared" si="435"/>
        <v>-48.75</v>
      </c>
      <c r="BK513" s="397">
        <f t="shared" si="435"/>
        <v>-48.75</v>
      </c>
      <c r="BL513" s="297">
        <f t="shared" si="435"/>
        <v>-195</v>
      </c>
      <c r="BM513" s="396">
        <f>+SUM(BM510:BM512)</f>
        <v>-51.25</v>
      </c>
      <c r="BN513" s="343">
        <f>+SUM(BN510:BN512)</f>
        <v>-51.25</v>
      </c>
      <c r="BO513" s="343">
        <f>+SUM(BO510:BO512)</f>
        <v>-51.25</v>
      </c>
      <c r="BP513" s="397">
        <f>+SUM(BP510:BP512)</f>
        <v>-51.25</v>
      </c>
      <c r="BQ513" s="297">
        <f>+SUM(BQ510:BQ512)</f>
        <v>-205</v>
      </c>
      <c r="BR513" s="49"/>
    </row>
    <row r="514" spans="1:74" s="2" customFormat="1">
      <c r="A514" s="1523"/>
      <c r="E514" s="509"/>
      <c r="F514" s="480"/>
      <c r="G514" s="480"/>
      <c r="H514" s="481"/>
      <c r="I514" s="463"/>
      <c r="J514" s="509"/>
      <c r="K514" s="480"/>
      <c r="L514" s="480"/>
      <c r="M514" s="481"/>
      <c r="N514" s="463"/>
      <c r="O514" s="509"/>
      <c r="P514" s="480"/>
      <c r="Q514" s="480"/>
      <c r="R514" s="481"/>
      <c r="S514" s="463"/>
      <c r="T514" s="509"/>
      <c r="U514" s="480"/>
      <c r="V514" s="348"/>
      <c r="W514" s="436"/>
      <c r="X514" s="437"/>
      <c r="Y514" s="434"/>
      <c r="Z514" s="435"/>
      <c r="AA514" s="348"/>
      <c r="AB514" s="436"/>
      <c r="AC514" s="437"/>
      <c r="AD514" s="434"/>
      <c r="AE514" s="435"/>
      <c r="AF514" s="348"/>
      <c r="AG514" s="436"/>
      <c r="AH514" s="437"/>
      <c r="AI514" s="434"/>
      <c r="AJ514" s="435"/>
      <c r="AK514" s="348"/>
      <c r="AL514" s="436"/>
      <c r="AM514" s="437"/>
      <c r="AN514" s="434"/>
      <c r="AO514" s="435"/>
      <c r="AP514" s="435"/>
      <c r="AQ514" s="436"/>
      <c r="AR514" s="437"/>
      <c r="AS514" s="434"/>
      <c r="AT514" s="435"/>
      <c r="AU514" s="435"/>
      <c r="AV514" s="436"/>
      <c r="AW514" s="437"/>
      <c r="AX514" s="392"/>
      <c r="AY514" s="341"/>
      <c r="AZ514" s="341"/>
      <c r="BA514" s="393"/>
      <c r="BB514" s="296"/>
      <c r="BC514" s="392"/>
      <c r="BD514" s="341"/>
      <c r="BE514" s="341"/>
      <c r="BF514" s="393"/>
      <c r="BG514" s="296"/>
      <c r="BH514" s="392"/>
      <c r="BI514" s="341"/>
      <c r="BJ514" s="341"/>
      <c r="BK514" s="393"/>
      <c r="BL514" s="296"/>
      <c r="BM514" s="392"/>
      <c r="BN514" s="341"/>
      <c r="BO514" s="341"/>
      <c r="BP514" s="393"/>
      <c r="BQ514" s="296"/>
    </row>
    <row r="515" spans="1:74" s="2" customFormat="1">
      <c r="A515" s="1523"/>
      <c r="C515" s="37" t="s">
        <v>320</v>
      </c>
      <c r="E515" s="459">
        <v>209</v>
      </c>
      <c r="F515" s="460">
        <f>209-E515</f>
        <v>0</v>
      </c>
      <c r="G515" s="460">
        <f>209-E515-F515</f>
        <v>0</v>
      </c>
      <c r="H515" s="461">
        <f>209-E515-F515-G515</f>
        <v>0</v>
      </c>
      <c r="I515" s="463">
        <f t="shared" ref="I515:I520" si="436">SUM(E515:H515)</f>
        <v>209</v>
      </c>
      <c r="J515" s="459">
        <v>44</v>
      </c>
      <c r="K515" s="460">
        <f>594-J515</f>
        <v>550</v>
      </c>
      <c r="L515" s="460">
        <f>594-J515-K515</f>
        <v>0</v>
      </c>
      <c r="M515" s="461">
        <f>594-(J515+K515+L515)</f>
        <v>0</v>
      </c>
      <c r="N515" s="463">
        <f t="shared" ref="N515:N520" si="437">SUM(J515:M515)</f>
        <v>594</v>
      </c>
      <c r="O515" s="459">
        <v>0</v>
      </c>
      <c r="P515" s="460">
        <v>0</v>
      </c>
      <c r="Q515" s="460">
        <f>500-O515-P515</f>
        <v>500</v>
      </c>
      <c r="R515" s="461">
        <f>544-(O515+P515+Q515)</f>
        <v>44</v>
      </c>
      <c r="S515" s="463">
        <f t="shared" ref="S515:S520" si="438">SUM(O515:R515)</f>
        <v>544</v>
      </c>
      <c r="T515" s="459">
        <v>0</v>
      </c>
      <c r="U515" s="460">
        <f>0-T515</f>
        <v>0</v>
      </c>
      <c r="V515" s="460">
        <f>0-T515-U515</f>
        <v>0</v>
      </c>
      <c r="W515" s="461">
        <f>0-(T515+U515+V515)</f>
        <v>0</v>
      </c>
      <c r="X515" s="463">
        <f t="shared" ref="X515:X520" si="439">SUM(T515:W515)</f>
        <v>0</v>
      </c>
      <c r="Y515" s="459">
        <v>0</v>
      </c>
      <c r="Z515" s="460">
        <f>0-Y515</f>
        <v>0</v>
      </c>
      <c r="AA515" s="460">
        <f>0-Y515-Z515</f>
        <v>0</v>
      </c>
      <c r="AB515" s="461">
        <f>500-(Y515+Z515+AA515)</f>
        <v>500</v>
      </c>
      <c r="AC515" s="77">
        <f t="shared" ref="AC515:AC520" si="440">SUM(Y515:AB515)</f>
        <v>500</v>
      </c>
      <c r="AD515" s="459">
        <v>0</v>
      </c>
      <c r="AE515" s="460">
        <v>0</v>
      </c>
      <c r="AF515" s="460">
        <f>0-AD515-AE515</f>
        <v>0</v>
      </c>
      <c r="AG515" s="461">
        <f>0-(AD515+AE515+AF515)</f>
        <v>0</v>
      </c>
      <c r="AH515" s="77">
        <f t="shared" ref="AH515:AH520" si="441">SUM(AD515:AG515)</f>
        <v>0</v>
      </c>
      <c r="AI515" s="459">
        <v>0</v>
      </c>
      <c r="AJ515" s="460">
        <v>0</v>
      </c>
      <c r="AK515" s="460">
        <f>0-AI515-AJ515</f>
        <v>0</v>
      </c>
      <c r="AL515" s="461">
        <f>0-(AI515+AJ515+AK515)</f>
        <v>0</v>
      </c>
      <c r="AM515" s="77">
        <f t="shared" ref="AM515:AM520" si="442">SUM(AI515:AL515)</f>
        <v>0</v>
      </c>
      <c r="AN515" s="459">
        <v>0</v>
      </c>
      <c r="AO515" s="460">
        <f>700-AN515</f>
        <v>700</v>
      </c>
      <c r="AP515" s="460">
        <f>700-AO515-AN515</f>
        <v>0</v>
      </c>
      <c r="AQ515" s="461">
        <f>700-(AN515+AO515+AP515)</f>
        <v>0</v>
      </c>
      <c r="AR515" s="77">
        <f t="shared" ref="AR515:AR520" si="443">SUM(AN515:AQ515)</f>
        <v>700</v>
      </c>
      <c r="AS515" s="459">
        <v>0</v>
      </c>
      <c r="AT515" s="460">
        <f>0-AS515</f>
        <v>0</v>
      </c>
      <c r="AU515" s="460">
        <f>0-AT515-AS515</f>
        <v>0</v>
      </c>
      <c r="AV515" s="461">
        <f>0-(AS515+AT515+AU515)</f>
        <v>0</v>
      </c>
      <c r="AW515" s="77">
        <f t="shared" ref="AW515:AW520" si="444">SUM(AS515:AV515)</f>
        <v>0</v>
      </c>
      <c r="AX515" s="392">
        <f t="shared" ref="AX515:BA516" si="445">+AX490</f>
        <v>0</v>
      </c>
      <c r="AY515" s="341">
        <f t="shared" si="445"/>
        <v>0</v>
      </c>
      <c r="AZ515" s="341">
        <f>+AZ490</f>
        <v>250</v>
      </c>
      <c r="BA515" s="393">
        <f t="shared" si="445"/>
        <v>0</v>
      </c>
      <c r="BB515" s="296">
        <f>SUM(AX515:BA515)</f>
        <v>250</v>
      </c>
      <c r="BC515" s="392">
        <f t="shared" ref="BC515:BF516" si="446">+BC490</f>
        <v>0</v>
      </c>
      <c r="BD515" s="341">
        <f t="shared" si="446"/>
        <v>0</v>
      </c>
      <c r="BE515" s="341">
        <f t="shared" si="446"/>
        <v>100</v>
      </c>
      <c r="BF515" s="393">
        <f t="shared" si="446"/>
        <v>0</v>
      </c>
      <c r="BG515" s="296">
        <f>SUM(BC515:BF515)</f>
        <v>100</v>
      </c>
      <c r="BH515" s="392">
        <f t="shared" ref="BH515:BK516" si="447">+BH490</f>
        <v>0</v>
      </c>
      <c r="BI515" s="341">
        <f t="shared" si="447"/>
        <v>0</v>
      </c>
      <c r="BJ515" s="341">
        <f t="shared" si="447"/>
        <v>400</v>
      </c>
      <c r="BK515" s="393">
        <f t="shared" si="447"/>
        <v>0</v>
      </c>
      <c r="BL515" s="296">
        <f>SUM(BH515:BK515)</f>
        <v>400</v>
      </c>
      <c r="BM515" s="392">
        <f t="shared" ref="BM515:BP516" si="448">+BM490</f>
        <v>0</v>
      </c>
      <c r="BN515" s="341">
        <f t="shared" si="448"/>
        <v>0</v>
      </c>
      <c r="BO515" s="341">
        <f t="shared" si="448"/>
        <v>750</v>
      </c>
      <c r="BP515" s="393">
        <f t="shared" si="448"/>
        <v>0</v>
      </c>
      <c r="BQ515" s="296">
        <f>SUM(BM515:BP515)</f>
        <v>750</v>
      </c>
    </row>
    <row r="516" spans="1:74" s="2" customFormat="1">
      <c r="A516" s="1523"/>
      <c r="C516" s="37" t="s">
        <v>584</v>
      </c>
      <c r="E516" s="459">
        <v>-280</v>
      </c>
      <c r="F516" s="460">
        <f>-280-250-E516</f>
        <v>-250</v>
      </c>
      <c r="G516" s="460">
        <f>-530-E516-F516</f>
        <v>0</v>
      </c>
      <c r="H516" s="461">
        <f>-294-280-E516-F516-G516</f>
        <v>-44</v>
      </c>
      <c r="I516" s="463">
        <f t="shared" si="436"/>
        <v>-574</v>
      </c>
      <c r="J516" s="459">
        <v>0</v>
      </c>
      <c r="K516" s="460">
        <f>-248-J516</f>
        <v>-248</v>
      </c>
      <c r="L516" s="460">
        <f>-248-J516-K516</f>
        <v>0</v>
      </c>
      <c r="M516" s="461">
        <f>-248-(J516+K516+L516)</f>
        <v>0</v>
      </c>
      <c r="N516" s="463">
        <f t="shared" si="437"/>
        <v>-248</v>
      </c>
      <c r="O516" s="459">
        <v>0</v>
      </c>
      <c r="P516" s="460">
        <f>-606-O516</f>
        <v>-606</v>
      </c>
      <c r="Q516" s="460">
        <f>-606-O516-P516</f>
        <v>0</v>
      </c>
      <c r="R516" s="461">
        <f>-1250-(O516+P516+Q516)</f>
        <v>-644</v>
      </c>
      <c r="S516" s="463">
        <f t="shared" si="438"/>
        <v>-1250</v>
      </c>
      <c r="T516" s="459">
        <v>-66</v>
      </c>
      <c r="U516" s="460">
        <f>-66-T516</f>
        <v>0</v>
      </c>
      <c r="V516" s="460">
        <f>-66-T516-U516</f>
        <v>0</v>
      </c>
      <c r="W516" s="461">
        <f>-414-(T516+U516+V516)</f>
        <v>-348</v>
      </c>
      <c r="X516" s="463">
        <f t="shared" si="439"/>
        <v>-414</v>
      </c>
      <c r="Y516" s="459">
        <v>0</v>
      </c>
      <c r="Z516" s="460">
        <f>-300-Y516</f>
        <v>-300</v>
      </c>
      <c r="AA516" s="460">
        <f>-300-Y516-Z516</f>
        <v>0</v>
      </c>
      <c r="AB516" s="461">
        <f>-300-(Y516+Z516+AA516)</f>
        <v>0</v>
      </c>
      <c r="AC516" s="77">
        <f t="shared" si="440"/>
        <v>-300</v>
      </c>
      <c r="AD516" s="459">
        <v>0</v>
      </c>
      <c r="AE516" s="460">
        <v>0</v>
      </c>
      <c r="AF516" s="460">
        <f>0-AD516-AE516</f>
        <v>0</v>
      </c>
      <c r="AG516" s="461">
        <f>0-(AD516+AE516+AF516)</f>
        <v>0</v>
      </c>
      <c r="AH516" s="77">
        <f t="shared" si="441"/>
        <v>0</v>
      </c>
      <c r="AI516" s="459">
        <v>0</v>
      </c>
      <c r="AJ516" s="460">
        <v>0</v>
      </c>
      <c r="AK516" s="460">
        <f>0-AI516-AJ516</f>
        <v>0</v>
      </c>
      <c r="AL516" s="461">
        <f>-300-(AI516+AJ516+AK516)</f>
        <v>-300</v>
      </c>
      <c r="AM516" s="77">
        <f t="shared" si="442"/>
        <v>-300</v>
      </c>
      <c r="AN516" s="459">
        <v>0</v>
      </c>
      <c r="AO516" s="460">
        <f>0-AN516</f>
        <v>0</v>
      </c>
      <c r="AP516" s="460">
        <f>-553-AO516-AN516</f>
        <v>-553</v>
      </c>
      <c r="AQ516" s="461">
        <f>-553-(AN516+AO516+AP516)</f>
        <v>0</v>
      </c>
      <c r="AR516" s="77">
        <f t="shared" si="443"/>
        <v>-553</v>
      </c>
      <c r="AS516" s="459">
        <v>0</v>
      </c>
      <c r="AT516" s="460">
        <f>0-AS516</f>
        <v>0</v>
      </c>
      <c r="AU516" s="460">
        <f>0-AT516-AS516</f>
        <v>0</v>
      </c>
      <c r="AV516" s="461">
        <f>0-(AS516+AT516+AU516)</f>
        <v>0</v>
      </c>
      <c r="AW516" s="77">
        <f t="shared" si="444"/>
        <v>0</v>
      </c>
      <c r="AX516" s="392">
        <f t="shared" si="445"/>
        <v>0</v>
      </c>
      <c r="AY516" s="341">
        <f t="shared" si="445"/>
        <v>0</v>
      </c>
      <c r="AZ516" s="341">
        <f>+AZ491</f>
        <v>0</v>
      </c>
      <c r="BA516" s="393">
        <f t="shared" si="445"/>
        <v>-250</v>
      </c>
      <c r="BB516" s="296">
        <f>SUM(AX516:BA516)</f>
        <v>-250</v>
      </c>
      <c r="BC516" s="392">
        <f t="shared" si="446"/>
        <v>-44</v>
      </c>
      <c r="BD516" s="341">
        <f t="shared" si="446"/>
        <v>0</v>
      </c>
      <c r="BE516" s="341">
        <f t="shared" si="446"/>
        <v>0</v>
      </c>
      <c r="BF516" s="393">
        <f t="shared" si="446"/>
        <v>0</v>
      </c>
      <c r="BG516" s="296">
        <f>SUM(BC516:BF516)</f>
        <v>-44</v>
      </c>
      <c r="BH516" s="392">
        <f t="shared" si="447"/>
        <v>0</v>
      </c>
      <c r="BI516" s="341">
        <f t="shared" si="447"/>
        <v>-406</v>
      </c>
      <c r="BJ516" s="341">
        <f t="shared" si="447"/>
        <v>0</v>
      </c>
      <c r="BK516" s="393">
        <f t="shared" si="447"/>
        <v>0</v>
      </c>
      <c r="BL516" s="296">
        <f>SUM(BH516:BK516)</f>
        <v>-406</v>
      </c>
      <c r="BM516" s="392">
        <f t="shared" si="448"/>
        <v>0</v>
      </c>
      <c r="BN516" s="341">
        <f t="shared" si="448"/>
        <v>-700</v>
      </c>
      <c r="BO516" s="341">
        <f t="shared" si="448"/>
        <v>-250</v>
      </c>
      <c r="BP516" s="393">
        <f t="shared" si="448"/>
        <v>0</v>
      </c>
      <c r="BQ516" s="296">
        <f>SUM(BM516:BP516)</f>
        <v>-950</v>
      </c>
    </row>
    <row r="517" spans="1:74" s="2" customFormat="1">
      <c r="A517" s="1523"/>
      <c r="C517" s="2" t="s">
        <v>330</v>
      </c>
      <c r="E517" s="459">
        <v>0</v>
      </c>
      <c r="F517" s="460">
        <v>0</v>
      </c>
      <c r="G517" s="460">
        <f>65-E517-F517</f>
        <v>65</v>
      </c>
      <c r="H517" s="461">
        <f>194-E517-F517-G517</f>
        <v>129</v>
      </c>
      <c r="I517" s="463">
        <f t="shared" si="436"/>
        <v>194</v>
      </c>
      <c r="J517" s="459">
        <v>-194</v>
      </c>
      <c r="K517" s="460">
        <f>-194-J517</f>
        <v>0</v>
      </c>
      <c r="L517" s="460">
        <f>-194-J517-K517</f>
        <v>0</v>
      </c>
      <c r="M517" s="461">
        <f>-194-(J517+K517+L517)</f>
        <v>0</v>
      </c>
      <c r="N517" s="463">
        <f t="shared" si="437"/>
        <v>-194</v>
      </c>
      <c r="O517" s="459">
        <v>0</v>
      </c>
      <c r="P517" s="460">
        <v>0</v>
      </c>
      <c r="Q517" s="460">
        <f>0-P517-O517</f>
        <v>0</v>
      </c>
      <c r="R517" s="461">
        <v>0</v>
      </c>
      <c r="S517" s="463">
        <f t="shared" si="438"/>
        <v>0</v>
      </c>
      <c r="T517" s="459">
        <v>0</v>
      </c>
      <c r="U517" s="460">
        <f>0-T517</f>
        <v>0</v>
      </c>
      <c r="V517" s="460">
        <f>0-T517-U517</f>
        <v>0</v>
      </c>
      <c r="W517" s="461">
        <f>0-(T517+U517+V517)</f>
        <v>0</v>
      </c>
      <c r="X517" s="463">
        <f t="shared" si="439"/>
        <v>0</v>
      </c>
      <c r="Y517" s="459">
        <v>0</v>
      </c>
      <c r="Z517" s="460">
        <f>0-Y517</f>
        <v>0</v>
      </c>
      <c r="AA517" s="460">
        <f>0-Y517-Z517</f>
        <v>0</v>
      </c>
      <c r="AB517" s="461">
        <f>0-(Y517+Z517+AA517)</f>
        <v>0</v>
      </c>
      <c r="AC517" s="77">
        <f t="shared" si="440"/>
        <v>0</v>
      </c>
      <c r="AD517" s="459">
        <v>0</v>
      </c>
      <c r="AE517" s="460">
        <v>0</v>
      </c>
      <c r="AF517" s="460">
        <f>0-AD517-AE517</f>
        <v>0</v>
      </c>
      <c r="AG517" s="461">
        <f>0-(AD517+AE517+AF517)</f>
        <v>0</v>
      </c>
      <c r="AH517" s="77">
        <f t="shared" si="441"/>
        <v>0</v>
      </c>
      <c r="AI517" s="459">
        <v>0</v>
      </c>
      <c r="AJ517" s="460">
        <v>0</v>
      </c>
      <c r="AK517" s="460">
        <f>0-AI517-AJ517</f>
        <v>0</v>
      </c>
      <c r="AL517" s="461">
        <f>0-(AI517+AJ517+AK517)</f>
        <v>0</v>
      </c>
      <c r="AM517" s="77">
        <f t="shared" si="442"/>
        <v>0</v>
      </c>
      <c r="AN517" s="459">
        <v>0</v>
      </c>
      <c r="AO517" s="460">
        <f>0-AN517</f>
        <v>0</v>
      </c>
      <c r="AP517" s="460">
        <f>0-AO517-AN517</f>
        <v>0</v>
      </c>
      <c r="AQ517" s="461">
        <f>0-(AN517+AO517+AP517)</f>
        <v>0</v>
      </c>
      <c r="AR517" s="77">
        <f t="shared" si="443"/>
        <v>0</v>
      </c>
      <c r="AS517" s="459">
        <v>0</v>
      </c>
      <c r="AT517" s="460">
        <f>0-AS517</f>
        <v>0</v>
      </c>
      <c r="AU517" s="460">
        <f>0-AT517-AS517</f>
        <v>0</v>
      </c>
      <c r="AV517" s="461">
        <f>281-(AS517+AT517+AU517)</f>
        <v>281</v>
      </c>
      <c r="AW517" s="77">
        <f t="shared" si="444"/>
        <v>281</v>
      </c>
      <c r="AX517" s="398">
        <v>0</v>
      </c>
      <c r="AY517" s="344">
        <v>0</v>
      </c>
      <c r="AZ517" s="344">
        <v>0</v>
      </c>
      <c r="BA517" s="399">
        <v>0</v>
      </c>
      <c r="BB517" s="296">
        <f>SUM(AX517:BA517)</f>
        <v>0</v>
      </c>
      <c r="BC517" s="398">
        <v>0</v>
      </c>
      <c r="BD517" s="344">
        <v>0</v>
      </c>
      <c r="BE517" s="344">
        <v>0</v>
      </c>
      <c r="BF517" s="399">
        <v>0</v>
      </c>
      <c r="BG517" s="296">
        <f>SUM(BC517:BF517)</f>
        <v>0</v>
      </c>
      <c r="BH517" s="398">
        <v>0</v>
      </c>
      <c r="BI517" s="344">
        <v>0</v>
      </c>
      <c r="BJ517" s="344">
        <v>0</v>
      </c>
      <c r="BK517" s="399">
        <v>0</v>
      </c>
      <c r="BL517" s="296">
        <f>SUM(BH517:BK517)</f>
        <v>0</v>
      </c>
      <c r="BM517" s="398">
        <v>0</v>
      </c>
      <c r="BN517" s="344">
        <v>0</v>
      </c>
      <c r="BO517" s="344">
        <v>0</v>
      </c>
      <c r="BP517" s="399">
        <v>0</v>
      </c>
      <c r="BQ517" s="296">
        <f>SUM(BM517:BP517)</f>
        <v>0</v>
      </c>
    </row>
    <row r="518" spans="1:74" s="2" customFormat="1">
      <c r="A518" s="1523"/>
      <c r="C518" s="2" t="s">
        <v>198</v>
      </c>
      <c r="E518" s="459">
        <v>0</v>
      </c>
      <c r="F518" s="460">
        <v>0</v>
      </c>
      <c r="G518" s="460">
        <v>0</v>
      </c>
      <c r="H518" s="461">
        <v>0</v>
      </c>
      <c r="I518" s="463">
        <f t="shared" si="436"/>
        <v>0</v>
      </c>
      <c r="J518" s="459">
        <v>0</v>
      </c>
      <c r="K518" s="460">
        <v>0</v>
      </c>
      <c r="L518" s="460">
        <v>0</v>
      </c>
      <c r="M518" s="461">
        <f>0-(J518+K518+L518)</f>
        <v>0</v>
      </c>
      <c r="N518" s="463">
        <f t="shared" si="437"/>
        <v>0</v>
      </c>
      <c r="O518" s="459">
        <v>0</v>
      </c>
      <c r="P518" s="460">
        <v>0</v>
      </c>
      <c r="Q518" s="460">
        <f>0-P518-O518</f>
        <v>0</v>
      </c>
      <c r="R518" s="461">
        <f>0-(O518+P518+Q518)</f>
        <v>0</v>
      </c>
      <c r="S518" s="463">
        <f t="shared" si="438"/>
        <v>0</v>
      </c>
      <c r="T518" s="459">
        <v>0</v>
      </c>
      <c r="U518" s="460">
        <f>0-T518</f>
        <v>0</v>
      </c>
      <c r="V518" s="460">
        <f>0-T518-U518</f>
        <v>0</v>
      </c>
      <c r="W518" s="461">
        <f>0-(T518+U518+V518)</f>
        <v>0</v>
      </c>
      <c r="X518" s="463">
        <f t="shared" si="439"/>
        <v>0</v>
      </c>
      <c r="Y518" s="459">
        <v>0</v>
      </c>
      <c r="Z518" s="460">
        <f>0-Y518</f>
        <v>0</v>
      </c>
      <c r="AA518" s="460">
        <f>0-Y518-Z518</f>
        <v>0</v>
      </c>
      <c r="AB518" s="461">
        <f>0-(Y518+Z518+AA518)</f>
        <v>0</v>
      </c>
      <c r="AC518" s="77">
        <f t="shared" si="440"/>
        <v>0</v>
      </c>
      <c r="AD518" s="459">
        <v>0</v>
      </c>
      <c r="AE518" s="460">
        <v>0</v>
      </c>
      <c r="AF518" s="460">
        <f>0-AD518-AE518</f>
        <v>0</v>
      </c>
      <c r="AG518" s="461">
        <f>0-(AD518+AE518+AF518)</f>
        <v>0</v>
      </c>
      <c r="AH518" s="77">
        <f t="shared" si="441"/>
        <v>0</v>
      </c>
      <c r="AI518" s="459">
        <v>0</v>
      </c>
      <c r="AJ518" s="460">
        <v>0</v>
      </c>
      <c r="AK518" s="460">
        <f>0-AI518-AJ518</f>
        <v>0</v>
      </c>
      <c r="AL518" s="461">
        <f>0-(AI518+AJ518+AK518)</f>
        <v>0</v>
      </c>
      <c r="AM518" s="77">
        <f t="shared" si="442"/>
        <v>0</v>
      </c>
      <c r="AN518" s="459">
        <v>0</v>
      </c>
      <c r="AO518" s="460">
        <f>0-AN518</f>
        <v>0</v>
      </c>
      <c r="AP518" s="460">
        <f>0-AO518-AN518</f>
        <v>0</v>
      </c>
      <c r="AQ518" s="461">
        <f>0-(AN518+AO518+AP518)</f>
        <v>0</v>
      </c>
      <c r="AR518" s="77">
        <f t="shared" si="443"/>
        <v>0</v>
      </c>
      <c r="AS518" s="459">
        <v>0</v>
      </c>
      <c r="AT518" s="460">
        <f>0-AS518</f>
        <v>0</v>
      </c>
      <c r="AU518" s="460">
        <f>0-AT518-AS518</f>
        <v>0</v>
      </c>
      <c r="AV518" s="461">
        <f>0-(AS518+AT518+AU518)</f>
        <v>0</v>
      </c>
      <c r="AW518" s="77">
        <f t="shared" si="444"/>
        <v>0</v>
      </c>
      <c r="AX518" s="398">
        <v>0</v>
      </c>
      <c r="AY518" s="344">
        <v>0</v>
      </c>
      <c r="AZ518" s="344">
        <v>0</v>
      </c>
      <c r="BA518" s="399">
        <v>0</v>
      </c>
      <c r="BB518" s="296">
        <f>SUM(AX518:BA518)</f>
        <v>0</v>
      </c>
      <c r="BC518" s="398">
        <v>0</v>
      </c>
      <c r="BD518" s="344">
        <v>0</v>
      </c>
      <c r="BE518" s="344">
        <v>0</v>
      </c>
      <c r="BF518" s="399">
        <v>0</v>
      </c>
      <c r="BG518" s="296">
        <f>SUM(BC518:BF518)</f>
        <v>0</v>
      </c>
      <c r="BH518" s="398">
        <v>0</v>
      </c>
      <c r="BI518" s="344">
        <v>0</v>
      </c>
      <c r="BJ518" s="344">
        <v>0</v>
      </c>
      <c r="BK518" s="399">
        <v>0</v>
      </c>
      <c r="BL518" s="296">
        <f>SUM(BH518:BK518)</f>
        <v>0</v>
      </c>
      <c r="BM518" s="398">
        <v>0</v>
      </c>
      <c r="BN518" s="344">
        <v>0</v>
      </c>
      <c r="BO518" s="344">
        <v>0</v>
      </c>
      <c r="BP518" s="399">
        <v>0</v>
      </c>
      <c r="BQ518" s="296">
        <f>SUM(BM518:BP518)</f>
        <v>0</v>
      </c>
    </row>
    <row r="519" spans="1:74" s="2" customFormat="1">
      <c r="A519" s="1523"/>
      <c r="C519" s="2" t="s">
        <v>451</v>
      </c>
      <c r="E519" s="459">
        <f>223-325</f>
        <v>-102</v>
      </c>
      <c r="F519" s="460">
        <f>223-680-E519</f>
        <v>-355</v>
      </c>
      <c r="G519" s="460">
        <f>229-815-E519-F519</f>
        <v>-129</v>
      </c>
      <c r="H519" s="461">
        <f>230-940-E519-F519-G519</f>
        <v>-124</v>
      </c>
      <c r="I519" s="463">
        <f t="shared" si="436"/>
        <v>-710</v>
      </c>
      <c r="J519" s="459">
        <v>-175</v>
      </c>
      <c r="K519" s="460">
        <f>-350-J519</f>
        <v>-175</v>
      </c>
      <c r="L519" s="460">
        <f>-550-J519-K519</f>
        <v>-200</v>
      </c>
      <c r="M519" s="461">
        <f>-549-(J519+K519+L519)</f>
        <v>1</v>
      </c>
      <c r="N519" s="463">
        <f t="shared" si="437"/>
        <v>-549</v>
      </c>
      <c r="O519" s="459">
        <v>-175</v>
      </c>
      <c r="P519" s="460">
        <f>-350-O519</f>
        <v>-175</v>
      </c>
      <c r="Q519" s="460">
        <f>-350-P519-O519</f>
        <v>0</v>
      </c>
      <c r="R519" s="461">
        <f>-500-(O519+P519+Q519)</f>
        <v>-150</v>
      </c>
      <c r="S519" s="463">
        <f t="shared" si="438"/>
        <v>-500</v>
      </c>
      <c r="T519" s="459">
        <v>-300</v>
      </c>
      <c r="U519" s="460">
        <f>-600-T519</f>
        <v>-300</v>
      </c>
      <c r="V519" s="460">
        <f>-600-T519-U519</f>
        <v>0</v>
      </c>
      <c r="W519" s="461">
        <f>-600-(T519+U519+V519)</f>
        <v>0</v>
      </c>
      <c r="X519" s="463">
        <f t="shared" si="439"/>
        <v>-600</v>
      </c>
      <c r="Y519" s="459">
        <v>-250</v>
      </c>
      <c r="Z519" s="460">
        <f>-500-Y519</f>
        <v>-250</v>
      </c>
      <c r="AA519" s="460">
        <f>-690-Y519-Z519</f>
        <v>-190</v>
      </c>
      <c r="AB519" s="461">
        <f>-705+24-(Y519+Z519+AA519)</f>
        <v>9</v>
      </c>
      <c r="AC519" s="77">
        <f t="shared" si="440"/>
        <v>-681</v>
      </c>
      <c r="AD519" s="459">
        <v>-375</v>
      </c>
      <c r="AE519" s="460">
        <f>-575-AD519</f>
        <v>-200</v>
      </c>
      <c r="AF519" s="460">
        <f>-775-AD519-AE519</f>
        <v>-200</v>
      </c>
      <c r="AG519" s="461">
        <f>-895-(AD519+AE519+AF519)</f>
        <v>-120</v>
      </c>
      <c r="AH519" s="77">
        <f t="shared" si="441"/>
        <v>-895</v>
      </c>
      <c r="AI519" s="459">
        <v>-200</v>
      </c>
      <c r="AJ519" s="460">
        <f>-400-AI519</f>
        <v>-200</v>
      </c>
      <c r="AK519" s="460">
        <f>-400-AI519-AJ519</f>
        <v>0</v>
      </c>
      <c r="AL519" s="461">
        <f>-400-(AI519+AJ519+AK519)</f>
        <v>0</v>
      </c>
      <c r="AM519" s="77">
        <f t="shared" si="442"/>
        <v>-400</v>
      </c>
      <c r="AN519" s="459">
        <v>0</v>
      </c>
      <c r="AO519" s="460">
        <f>0-AN519</f>
        <v>0</v>
      </c>
      <c r="AP519" s="460">
        <f>-250-AO519-AN519</f>
        <v>-250</v>
      </c>
      <c r="AQ519" s="461">
        <f>-250-(AN519+AO519+AP519)</f>
        <v>0</v>
      </c>
      <c r="AR519" s="77">
        <f t="shared" si="443"/>
        <v>-250</v>
      </c>
      <c r="AS519" s="459">
        <v>-175</v>
      </c>
      <c r="AT519" s="460">
        <f>-175-AS519</f>
        <v>0</v>
      </c>
      <c r="AU519" s="460">
        <f>-350-AT519-AS519</f>
        <v>-175</v>
      </c>
      <c r="AV519" s="461">
        <f>-350-(AS519+AT519+AU519)</f>
        <v>0</v>
      </c>
      <c r="AW519" s="77">
        <f t="shared" si="444"/>
        <v>-350</v>
      </c>
      <c r="AX519" s="394">
        <f>+BB519/4</f>
        <v>-75</v>
      </c>
      <c r="AY519" s="342">
        <f>+(BB519-SUM(AX519))/3</f>
        <v>-75</v>
      </c>
      <c r="AZ519" s="342">
        <f>+(BC519-SUM(AY519))/3</f>
        <v>-16.666666666666668</v>
      </c>
      <c r="BA519" s="395">
        <f>(BB519-SUM(AX519:AY519))/1</f>
        <v>-150</v>
      </c>
      <c r="BB519" s="775">
        <v>-300</v>
      </c>
      <c r="BC519" s="394">
        <f>+BG519/4</f>
        <v>-125</v>
      </c>
      <c r="BD519" s="342">
        <f>+(BG519-SUM(BC519))/3</f>
        <v>-125</v>
      </c>
      <c r="BE519" s="342">
        <f>(BG519-SUM(BC519:BD519))/2</f>
        <v>-125</v>
      </c>
      <c r="BF519" s="395">
        <f>(BG519-SUM(BC519:BE519))/1</f>
        <v>-125</v>
      </c>
      <c r="BG519" s="775">
        <v>-500</v>
      </c>
      <c r="BH519" s="394">
        <f>+BL519/4</f>
        <v>-75</v>
      </c>
      <c r="BI519" s="342">
        <f>+(BL519-SUM(BH519))/3</f>
        <v>-75</v>
      </c>
      <c r="BJ519" s="342">
        <f>(BL519-SUM(BH519:BI519))/2</f>
        <v>-75</v>
      </c>
      <c r="BK519" s="395">
        <f>(BL519-SUM(BH519:BJ519))/1</f>
        <v>-75</v>
      </c>
      <c r="BL519" s="775">
        <v>-300</v>
      </c>
      <c r="BM519" s="394">
        <f>+BQ519/4</f>
        <v>-100</v>
      </c>
      <c r="BN519" s="342">
        <f>+(BQ519-SUM(BM519))/3</f>
        <v>-100</v>
      </c>
      <c r="BO519" s="342">
        <f>(BQ519-SUM(BM519:BN519))/2</f>
        <v>-100</v>
      </c>
      <c r="BP519" s="395">
        <f>(BQ519-SUM(BM519:BO519))/1</f>
        <v>-100</v>
      </c>
      <c r="BQ519" s="775">
        <v>-400</v>
      </c>
    </row>
    <row r="520" spans="1:74" s="49" customFormat="1">
      <c r="A520" s="1523"/>
      <c r="B520" s="2"/>
      <c r="C520" s="2" t="s">
        <v>199</v>
      </c>
      <c r="D520" s="2"/>
      <c r="E520" s="459">
        <v>0</v>
      </c>
      <c r="F520" s="460">
        <v>0</v>
      </c>
      <c r="G520" s="460">
        <f>-101-E520-F520</f>
        <v>-101</v>
      </c>
      <c r="H520" s="461">
        <f>-101-E520-F520-G520</f>
        <v>0</v>
      </c>
      <c r="I520" s="463">
        <f t="shared" si="436"/>
        <v>-101</v>
      </c>
      <c r="J520" s="459">
        <v>0</v>
      </c>
      <c r="K520" s="460">
        <f>-4-13-J520</f>
        <v>-17</v>
      </c>
      <c r="L520" s="460">
        <f>-17-J520-K520</f>
        <v>0</v>
      </c>
      <c r="M520" s="461">
        <f>(-13-4)-(J520+K520+L520)</f>
        <v>0</v>
      </c>
      <c r="N520" s="463">
        <f t="shared" si="437"/>
        <v>-17</v>
      </c>
      <c r="O520" s="459">
        <v>0</v>
      </c>
      <c r="P520" s="460">
        <f>-6-O520</f>
        <v>-6</v>
      </c>
      <c r="Q520" s="460">
        <f>-10-P520-O520</f>
        <v>-4</v>
      </c>
      <c r="R520" s="461">
        <f>(-17-10)-(O520+P520+Q520)</f>
        <v>-17</v>
      </c>
      <c r="S520" s="463">
        <f t="shared" si="438"/>
        <v>-27</v>
      </c>
      <c r="T520" s="459">
        <v>-7</v>
      </c>
      <c r="U520" s="460">
        <f>-7-T520</f>
        <v>0</v>
      </c>
      <c r="V520" s="460">
        <f>-7-T520-U520</f>
        <v>0</v>
      </c>
      <c r="W520" s="461">
        <f>(-15-7)-(T520+U520+V520)</f>
        <v>-15</v>
      </c>
      <c r="X520" s="463">
        <f t="shared" si="439"/>
        <v>-22</v>
      </c>
      <c r="Y520" s="459">
        <v>-2</v>
      </c>
      <c r="Z520" s="460">
        <f>-2-Y520</f>
        <v>0</v>
      </c>
      <c r="AA520" s="460">
        <f>-2-Y520-Z520</f>
        <v>0</v>
      </c>
      <c r="AB520" s="461">
        <f>(-6)-(Y520+Z520+AA520)</f>
        <v>-4</v>
      </c>
      <c r="AC520" s="77">
        <f t="shared" si="440"/>
        <v>-6</v>
      </c>
      <c r="AD520" s="459">
        <v>0</v>
      </c>
      <c r="AE520" s="460">
        <f>-3-AD520</f>
        <v>-3</v>
      </c>
      <c r="AF520" s="460">
        <f>-3-AD520-AE520</f>
        <v>0</v>
      </c>
      <c r="AG520" s="461">
        <f>-3-(AD520+AE520+AF520)</f>
        <v>0</v>
      </c>
      <c r="AH520" s="77">
        <f t="shared" si="441"/>
        <v>-3</v>
      </c>
      <c r="AI520" s="459">
        <v>0</v>
      </c>
      <c r="AJ520" s="460">
        <f>-2-AI520</f>
        <v>-2</v>
      </c>
      <c r="AK520" s="460">
        <f>-2-AI520-AJ520</f>
        <v>0</v>
      </c>
      <c r="AL520" s="461">
        <f>-2-(AI520+AJ520+AK520)</f>
        <v>0</v>
      </c>
      <c r="AM520" s="77">
        <f t="shared" si="442"/>
        <v>-2</v>
      </c>
      <c r="AN520" s="459">
        <v>0</v>
      </c>
      <c r="AO520" s="460">
        <f>-6-AN520</f>
        <v>-6</v>
      </c>
      <c r="AP520" s="460">
        <f>-6-AO520-AN520</f>
        <v>0</v>
      </c>
      <c r="AQ520" s="461">
        <f>-6-(AN520+AO520+AP520)</f>
        <v>0</v>
      </c>
      <c r="AR520" s="77">
        <f t="shared" si="443"/>
        <v>-6</v>
      </c>
      <c r="AS520" s="459">
        <v>-4</v>
      </c>
      <c r="AT520" s="460">
        <f>-4-AS520</f>
        <v>0</v>
      </c>
      <c r="AU520" s="460">
        <f>-4-AT520-AS520</f>
        <v>0</v>
      </c>
      <c r="AV520" s="461">
        <f>-4-(AS520+AT520+AU520)</f>
        <v>0</v>
      </c>
      <c r="AW520" s="77">
        <f t="shared" si="444"/>
        <v>-4</v>
      </c>
      <c r="AX520" s="398">
        <v>0</v>
      </c>
      <c r="AY520" s="344">
        <v>0</v>
      </c>
      <c r="AZ520" s="344">
        <v>0</v>
      </c>
      <c r="BA520" s="399">
        <v>0</v>
      </c>
      <c r="BB520" s="296">
        <f>SUM(AX520:BA520)</f>
        <v>0</v>
      </c>
      <c r="BC520" s="398">
        <v>0</v>
      </c>
      <c r="BD520" s="344">
        <v>0</v>
      </c>
      <c r="BE520" s="344">
        <v>0</v>
      </c>
      <c r="BF520" s="399">
        <v>0</v>
      </c>
      <c r="BG520" s="296">
        <f>SUM(BC520:BF520)</f>
        <v>0</v>
      </c>
      <c r="BH520" s="398">
        <v>0</v>
      </c>
      <c r="BI520" s="344">
        <v>0</v>
      </c>
      <c r="BJ520" s="344">
        <v>0</v>
      </c>
      <c r="BK520" s="399">
        <v>0</v>
      </c>
      <c r="BL520" s="296">
        <f>SUM(BH520:BK520)</f>
        <v>0</v>
      </c>
      <c r="BM520" s="398">
        <v>0</v>
      </c>
      <c r="BN520" s="344">
        <v>0</v>
      </c>
      <c r="BO520" s="344">
        <v>0</v>
      </c>
      <c r="BP520" s="399">
        <v>0</v>
      </c>
      <c r="BQ520" s="296">
        <f>SUM(BM520:BP520)</f>
        <v>0</v>
      </c>
      <c r="BR520" s="2"/>
    </row>
    <row r="521" spans="1:74" s="2" customFormat="1">
      <c r="A521" s="49"/>
      <c r="B521" s="49"/>
      <c r="C521" s="49" t="s">
        <v>200</v>
      </c>
      <c r="D521" s="49"/>
      <c r="E521" s="390">
        <f>+SUM(E515:E520)</f>
        <v>-173</v>
      </c>
      <c r="F521" s="340">
        <f>+SUM(F515:F520)</f>
        <v>-605</v>
      </c>
      <c r="G521" s="340">
        <f>+SUM(G515:G520)</f>
        <v>-165</v>
      </c>
      <c r="H521" s="391">
        <f>+SUM(H515:H520)</f>
        <v>-39</v>
      </c>
      <c r="I521" s="464">
        <f>SUM(I515:I520)</f>
        <v>-982</v>
      </c>
      <c r="J521" s="390">
        <f t="shared" ref="J521:AT521" si="449">SUM(J515:J520)</f>
        <v>-325</v>
      </c>
      <c r="K521" s="340">
        <f t="shared" si="449"/>
        <v>110</v>
      </c>
      <c r="L521" s="340">
        <f t="shared" si="449"/>
        <v>-200</v>
      </c>
      <c r="M521" s="391">
        <f t="shared" si="449"/>
        <v>1</v>
      </c>
      <c r="N521" s="464">
        <f t="shared" si="449"/>
        <v>-414</v>
      </c>
      <c r="O521" s="390">
        <f t="shared" si="449"/>
        <v>-175</v>
      </c>
      <c r="P521" s="340">
        <f t="shared" si="449"/>
        <v>-787</v>
      </c>
      <c r="Q521" s="340">
        <f t="shared" si="449"/>
        <v>496</v>
      </c>
      <c r="R521" s="391">
        <f t="shared" si="449"/>
        <v>-767</v>
      </c>
      <c r="S521" s="464">
        <f t="shared" si="449"/>
        <v>-1233</v>
      </c>
      <c r="T521" s="390">
        <f t="shared" si="449"/>
        <v>-373</v>
      </c>
      <c r="U521" s="340">
        <f t="shared" si="449"/>
        <v>-300</v>
      </c>
      <c r="V521" s="340">
        <f>SUM(V515:V520)</f>
        <v>0</v>
      </c>
      <c r="W521" s="391">
        <f>SUM(W515:W520)</f>
        <v>-363</v>
      </c>
      <c r="X521" s="464">
        <f>SUM(X515:X520)</f>
        <v>-1036</v>
      </c>
      <c r="Y521" s="390">
        <f t="shared" si="449"/>
        <v>-252</v>
      </c>
      <c r="Z521" s="340">
        <f t="shared" si="449"/>
        <v>-550</v>
      </c>
      <c r="AA521" s="343">
        <f t="shared" ref="AA521:AI521" si="450">SUM(AA515:AA520)</f>
        <v>-190</v>
      </c>
      <c r="AB521" s="397">
        <f t="shared" si="450"/>
        <v>505</v>
      </c>
      <c r="AC521" s="297">
        <f t="shared" si="450"/>
        <v>-487</v>
      </c>
      <c r="AD521" s="390">
        <f t="shared" si="450"/>
        <v>-375</v>
      </c>
      <c r="AE521" s="340">
        <f t="shared" si="450"/>
        <v>-203</v>
      </c>
      <c r="AF521" s="343">
        <f t="shared" si="450"/>
        <v>-200</v>
      </c>
      <c r="AG521" s="397">
        <f t="shared" si="450"/>
        <v>-120</v>
      </c>
      <c r="AH521" s="297">
        <f t="shared" si="450"/>
        <v>-898</v>
      </c>
      <c r="AI521" s="390">
        <f t="shared" si="450"/>
        <v>-200</v>
      </c>
      <c r="AJ521" s="340">
        <f t="shared" ref="AJ521:AO521" si="451">SUM(AJ515:AJ520)</f>
        <v>-202</v>
      </c>
      <c r="AK521" s="343">
        <f t="shared" si="451"/>
        <v>0</v>
      </c>
      <c r="AL521" s="397">
        <f t="shared" si="451"/>
        <v>-300</v>
      </c>
      <c r="AM521" s="297">
        <f t="shared" si="451"/>
        <v>-702</v>
      </c>
      <c r="AN521" s="390">
        <f t="shared" si="451"/>
        <v>0</v>
      </c>
      <c r="AO521" s="340">
        <f t="shared" si="451"/>
        <v>694</v>
      </c>
      <c r="AP521" s="340">
        <f t="shared" si="449"/>
        <v>-803</v>
      </c>
      <c r="AQ521" s="397">
        <f t="shared" si="449"/>
        <v>0</v>
      </c>
      <c r="AR521" s="297">
        <f t="shared" si="449"/>
        <v>-109</v>
      </c>
      <c r="AS521" s="390">
        <f t="shared" si="449"/>
        <v>-179</v>
      </c>
      <c r="AT521" s="340">
        <f t="shared" si="449"/>
        <v>0</v>
      </c>
      <c r="AU521" s="340">
        <f t="shared" ref="AU521:BB521" si="452">SUM(AU515:AU520)</f>
        <v>-175</v>
      </c>
      <c r="AV521" s="397">
        <f t="shared" si="452"/>
        <v>281</v>
      </c>
      <c r="AW521" s="297">
        <f t="shared" si="452"/>
        <v>-73</v>
      </c>
      <c r="AX521" s="396">
        <f t="shared" si="452"/>
        <v>-75</v>
      </c>
      <c r="AY521" s="343">
        <f t="shared" si="452"/>
        <v>-75</v>
      </c>
      <c r="AZ521" s="343">
        <f t="shared" si="452"/>
        <v>233.33333333333334</v>
      </c>
      <c r="BA521" s="397">
        <f t="shared" si="452"/>
        <v>-400</v>
      </c>
      <c r="BB521" s="297">
        <f t="shared" si="452"/>
        <v>-300</v>
      </c>
      <c r="BC521" s="396">
        <f t="shared" ref="BC521:BL521" si="453">SUM(BC515:BC520)</f>
        <v>-169</v>
      </c>
      <c r="BD521" s="343">
        <f t="shared" si="453"/>
        <v>-125</v>
      </c>
      <c r="BE521" s="343">
        <f t="shared" si="453"/>
        <v>-25</v>
      </c>
      <c r="BF521" s="397">
        <f t="shared" si="453"/>
        <v>-125</v>
      </c>
      <c r="BG521" s="297">
        <f t="shared" si="453"/>
        <v>-444</v>
      </c>
      <c r="BH521" s="396">
        <f t="shared" si="453"/>
        <v>-75</v>
      </c>
      <c r="BI521" s="343">
        <f t="shared" si="453"/>
        <v>-481</v>
      </c>
      <c r="BJ521" s="343">
        <f t="shared" si="453"/>
        <v>325</v>
      </c>
      <c r="BK521" s="397">
        <f t="shared" si="453"/>
        <v>-75</v>
      </c>
      <c r="BL521" s="297">
        <f t="shared" si="453"/>
        <v>-306</v>
      </c>
      <c r="BM521" s="396">
        <f>SUM(BM515:BM520)</f>
        <v>-100</v>
      </c>
      <c r="BN521" s="343">
        <f>SUM(BN515:BN520)</f>
        <v>-800</v>
      </c>
      <c r="BO521" s="343">
        <f>SUM(BO515:BO520)</f>
        <v>400</v>
      </c>
      <c r="BP521" s="397">
        <f>SUM(BP515:BP520)</f>
        <v>-100</v>
      </c>
      <c r="BQ521" s="297">
        <f>SUM(BQ515:BQ520)</f>
        <v>-600</v>
      </c>
      <c r="BR521" s="49"/>
    </row>
    <row r="522" spans="1:74" s="2" customFormat="1">
      <c r="A522" s="1523"/>
      <c r="E522" s="509"/>
      <c r="F522" s="480"/>
      <c r="G522" s="480"/>
      <c r="H522" s="481"/>
      <c r="I522" s="463"/>
      <c r="J522" s="509"/>
      <c r="K522" s="480"/>
      <c r="L522" s="480"/>
      <c r="M522" s="481"/>
      <c r="N522" s="463"/>
      <c r="O522" s="509"/>
      <c r="P522" s="480"/>
      <c r="Q522" s="480"/>
      <c r="R522" s="481"/>
      <c r="S522" s="463"/>
      <c r="T522" s="509"/>
      <c r="U522" s="341"/>
      <c r="V522" s="341"/>
      <c r="W522" s="481"/>
      <c r="X522" s="463"/>
      <c r="Y522" s="509"/>
      <c r="Z522" s="341"/>
      <c r="AA522" s="341"/>
      <c r="AB522" s="395"/>
      <c r="AC522" s="77"/>
      <c r="AD522" s="509"/>
      <c r="AE522" s="341"/>
      <c r="AF522" s="341"/>
      <c r="AG522" s="395"/>
      <c r="AH522" s="77"/>
      <c r="AI522" s="509"/>
      <c r="AJ522" s="341"/>
      <c r="AK522" s="341"/>
      <c r="AL522" s="395"/>
      <c r="AM522" s="77"/>
      <c r="AN522" s="509"/>
      <c r="AO522" s="341"/>
      <c r="AP522" s="341"/>
      <c r="AQ522" s="395"/>
      <c r="AR522" s="77"/>
      <c r="AS522" s="509"/>
      <c r="AT522" s="341"/>
      <c r="AU522" s="341"/>
      <c r="AV522" s="395"/>
      <c r="AW522" s="77"/>
      <c r="AX522" s="392"/>
      <c r="AY522" s="341"/>
      <c r="AZ522" s="341"/>
      <c r="BA522" s="393"/>
      <c r="BB522" s="296"/>
      <c r="BC522" s="392"/>
      <c r="BD522" s="341"/>
      <c r="BE522" s="341"/>
      <c r="BF522" s="393"/>
      <c r="BG522" s="296"/>
      <c r="BH522" s="392"/>
      <c r="BI522" s="341"/>
      <c r="BJ522" s="341"/>
      <c r="BK522" s="393"/>
      <c r="BL522" s="296"/>
      <c r="BM522" s="392"/>
      <c r="BN522" s="341"/>
      <c r="BO522" s="341"/>
      <c r="BP522" s="393"/>
      <c r="BQ522" s="296"/>
      <c r="BS522" s="296"/>
      <c r="BT522" s="296"/>
      <c r="BU522" s="296"/>
      <c r="BV522" s="296"/>
    </row>
    <row r="523" spans="1:74" s="2" customFormat="1">
      <c r="A523" s="1523"/>
      <c r="C523" s="49" t="s">
        <v>201</v>
      </c>
      <c r="E523" s="390">
        <f t="shared" ref="E523:U523" si="454">E508+E513+E521</f>
        <v>68</v>
      </c>
      <c r="F523" s="340">
        <f>F508+F513+F521</f>
        <v>-70</v>
      </c>
      <c r="G523" s="340">
        <f t="shared" si="454"/>
        <v>18</v>
      </c>
      <c r="H523" s="391">
        <f t="shared" si="454"/>
        <v>8</v>
      </c>
      <c r="I523" s="464">
        <f t="shared" si="454"/>
        <v>24</v>
      </c>
      <c r="J523" s="390">
        <f t="shared" si="454"/>
        <v>-51</v>
      </c>
      <c r="K523" s="340">
        <f t="shared" si="454"/>
        <v>-5</v>
      </c>
      <c r="L523" s="340">
        <f t="shared" si="454"/>
        <v>18</v>
      </c>
      <c r="M523" s="391">
        <f t="shared" si="454"/>
        <v>-15</v>
      </c>
      <c r="N523" s="464">
        <f t="shared" si="454"/>
        <v>-53</v>
      </c>
      <c r="O523" s="390">
        <f t="shared" si="454"/>
        <v>-1</v>
      </c>
      <c r="P523" s="340">
        <f t="shared" si="454"/>
        <v>4</v>
      </c>
      <c r="Q523" s="340">
        <f t="shared" si="454"/>
        <v>0</v>
      </c>
      <c r="R523" s="391">
        <f t="shared" si="454"/>
        <v>-2</v>
      </c>
      <c r="S523" s="464">
        <f t="shared" si="454"/>
        <v>1</v>
      </c>
      <c r="T523" s="390">
        <f t="shared" si="454"/>
        <v>-7</v>
      </c>
      <c r="U523" s="343">
        <f t="shared" si="454"/>
        <v>-3</v>
      </c>
      <c r="V523" s="343">
        <f t="shared" ref="V523:AC523" si="455">V508+V513+V521</f>
        <v>3</v>
      </c>
      <c r="W523" s="391">
        <f t="shared" si="455"/>
        <v>2</v>
      </c>
      <c r="X523" s="464">
        <f t="shared" si="455"/>
        <v>-5</v>
      </c>
      <c r="Y523" s="390">
        <f t="shared" si="455"/>
        <v>-1</v>
      </c>
      <c r="Z523" s="343">
        <f t="shared" si="455"/>
        <v>-2</v>
      </c>
      <c r="AA523" s="343">
        <f t="shared" si="455"/>
        <v>5</v>
      </c>
      <c r="AB523" s="397">
        <f t="shared" si="455"/>
        <v>-3</v>
      </c>
      <c r="AC523" s="297">
        <f t="shared" si="455"/>
        <v>-1</v>
      </c>
      <c r="AD523" s="390">
        <f t="shared" ref="AD523:AI523" si="456">AD508+AD513+AD521</f>
        <v>4</v>
      </c>
      <c r="AE523" s="343">
        <f t="shared" si="456"/>
        <v>-4</v>
      </c>
      <c r="AF523" s="343">
        <f t="shared" si="456"/>
        <v>6</v>
      </c>
      <c r="AG523" s="397">
        <f t="shared" si="456"/>
        <v>-3</v>
      </c>
      <c r="AH523" s="297">
        <f t="shared" si="456"/>
        <v>3</v>
      </c>
      <c r="AI523" s="390">
        <f t="shared" si="456"/>
        <v>15</v>
      </c>
      <c r="AJ523" s="343">
        <f t="shared" ref="AJ523:AP523" si="457">AJ508+AJ513+AJ521</f>
        <v>-12</v>
      </c>
      <c r="AK523" s="343">
        <f t="shared" si="457"/>
        <v>3</v>
      </c>
      <c r="AL523" s="397">
        <f t="shared" si="457"/>
        <v>-3</v>
      </c>
      <c r="AM523" s="297">
        <f t="shared" si="457"/>
        <v>3</v>
      </c>
      <c r="AN523" s="390">
        <f t="shared" si="457"/>
        <v>4</v>
      </c>
      <c r="AO523" s="343">
        <f>AO508+AO513+AO521</f>
        <v>0</v>
      </c>
      <c r="AP523" s="343">
        <f t="shared" si="457"/>
        <v>-4</v>
      </c>
      <c r="AQ523" s="397">
        <f t="shared" ref="AQ523:AW523" si="458">AQ508+AQ513+AQ521</f>
        <v>-1</v>
      </c>
      <c r="AR523" s="297">
        <f t="shared" si="458"/>
        <v>-1</v>
      </c>
      <c r="AS523" s="390">
        <f t="shared" si="458"/>
        <v>7</v>
      </c>
      <c r="AT523" s="343">
        <f t="shared" si="458"/>
        <v>11</v>
      </c>
      <c r="AU523" s="343">
        <f t="shared" si="458"/>
        <v>-7</v>
      </c>
      <c r="AV523" s="397">
        <f t="shared" si="458"/>
        <v>10</v>
      </c>
      <c r="AW523" s="297">
        <f t="shared" si="458"/>
        <v>21</v>
      </c>
      <c r="AX523" s="396">
        <f>AX508+AX513+AX521</f>
        <v>80.030924636252394</v>
      </c>
      <c r="AY523" s="343">
        <f>AY508+AY513+AY521</f>
        <v>6.1859253042689204</v>
      </c>
      <c r="AZ523" s="343">
        <f>AZ508+AZ513+AZ521</f>
        <v>393.42363775408216</v>
      </c>
      <c r="BA523" s="397">
        <f>BA508+BA513+BA521</f>
        <v>-360.01255883430935</v>
      </c>
      <c r="BB523" s="297">
        <f>BB508+BB513+BB521</f>
        <v>136.29459552696085</v>
      </c>
      <c r="BC523" s="396">
        <f t="shared" ref="BC523:BL523" si="459">BC508+BC513+BC521</f>
        <v>78.868134390170098</v>
      </c>
      <c r="BD523" s="343">
        <f t="shared" si="459"/>
        <v>67.053999570880706</v>
      </c>
      <c r="BE523" s="343">
        <f t="shared" si="459"/>
        <v>144.52787407368066</v>
      </c>
      <c r="BF523" s="397">
        <f t="shared" si="459"/>
        <v>-85.413606948344238</v>
      </c>
      <c r="BG523" s="297">
        <f t="shared" si="459"/>
        <v>205.03640108638729</v>
      </c>
      <c r="BH523" s="396">
        <f t="shared" si="459"/>
        <v>165.62769233169229</v>
      </c>
      <c r="BI523" s="343">
        <f t="shared" si="459"/>
        <v>-338.0156280855561</v>
      </c>
      <c r="BJ523" s="343">
        <f t="shared" si="459"/>
        <v>493.54160661955223</v>
      </c>
      <c r="BK523" s="397">
        <f t="shared" si="459"/>
        <v>-13.515512744684216</v>
      </c>
      <c r="BL523" s="297">
        <f t="shared" si="459"/>
        <v>307.63815812100415</v>
      </c>
      <c r="BM523" s="396">
        <f>BM508+BM513+BM521</f>
        <v>145.39474799414018</v>
      </c>
      <c r="BN523" s="343">
        <f>BN508+BN513+BN521</f>
        <v>-614.18154212390834</v>
      </c>
      <c r="BO523" s="343">
        <f>BO508+BO513+BO521</f>
        <v>582.65021925412157</v>
      </c>
      <c r="BP523" s="397">
        <f>BP508+BP513+BP521</f>
        <v>5.2359925061099943</v>
      </c>
      <c r="BQ523" s="297">
        <f>BQ508+BQ513+BQ521</f>
        <v>119.09941763046345</v>
      </c>
      <c r="BR523" s="296"/>
      <c r="BS523" s="310"/>
      <c r="BT523" s="310"/>
      <c r="BU523" s="309"/>
      <c r="BV523" s="309"/>
    </row>
    <row r="524" spans="1:74" s="2" customFormat="1">
      <c r="A524" s="1523"/>
      <c r="C524" s="2" t="s">
        <v>332</v>
      </c>
      <c r="E524" s="459">
        <v>40</v>
      </c>
      <c r="F524" s="480">
        <f>+E526</f>
        <v>108</v>
      </c>
      <c r="G524" s="480">
        <f>+F526</f>
        <v>38</v>
      </c>
      <c r="H524" s="481">
        <f>+G526</f>
        <v>56</v>
      </c>
      <c r="I524" s="463">
        <f>+E524</f>
        <v>40</v>
      </c>
      <c r="J524" s="509">
        <f>I526</f>
        <v>64</v>
      </c>
      <c r="K524" s="480">
        <f>+J526</f>
        <v>13</v>
      </c>
      <c r="L524" s="480">
        <f>+K526</f>
        <v>8</v>
      </c>
      <c r="M524" s="481">
        <f>+L526</f>
        <v>26</v>
      </c>
      <c r="N524" s="463">
        <f>I526</f>
        <v>64</v>
      </c>
      <c r="O524" s="406">
        <f>N526</f>
        <v>11</v>
      </c>
      <c r="P524" s="480">
        <f>+O526</f>
        <v>10</v>
      </c>
      <c r="Q524" s="480">
        <f>+P526</f>
        <v>14</v>
      </c>
      <c r="R524" s="481">
        <f>+Q526</f>
        <v>14</v>
      </c>
      <c r="S524" s="463">
        <f>N526</f>
        <v>11</v>
      </c>
      <c r="T524" s="406">
        <f>+S526</f>
        <v>12</v>
      </c>
      <c r="U524" s="341">
        <f>+T526</f>
        <v>5</v>
      </c>
      <c r="V524" s="341">
        <f>+U526</f>
        <v>2</v>
      </c>
      <c r="W524" s="481">
        <f>+V526</f>
        <v>5</v>
      </c>
      <c r="X524" s="463">
        <f>S526</f>
        <v>12</v>
      </c>
      <c r="Y524" s="406">
        <f>+X526</f>
        <v>7</v>
      </c>
      <c r="Z524" s="341">
        <f>+Y526</f>
        <v>6</v>
      </c>
      <c r="AA524" s="341">
        <f>+Z526</f>
        <v>4</v>
      </c>
      <c r="AB524" s="395">
        <f>+AA526</f>
        <v>9</v>
      </c>
      <c r="AC524" s="77">
        <f>X526</f>
        <v>7</v>
      </c>
      <c r="AD524" s="406">
        <f>+AC526</f>
        <v>6</v>
      </c>
      <c r="AE524" s="341">
        <f>+AD526</f>
        <v>10</v>
      </c>
      <c r="AF524" s="341">
        <f>+AE526</f>
        <v>6</v>
      </c>
      <c r="AG524" s="395">
        <f>+AF526</f>
        <v>12</v>
      </c>
      <c r="AH524" s="77">
        <f>AC526</f>
        <v>6</v>
      </c>
      <c r="AI524" s="406">
        <f>+AH526</f>
        <v>9</v>
      </c>
      <c r="AJ524" s="341">
        <f>+AI526</f>
        <v>24</v>
      </c>
      <c r="AK524" s="341">
        <f>+AJ526</f>
        <v>12</v>
      </c>
      <c r="AL524" s="395">
        <f>+AK526</f>
        <v>15</v>
      </c>
      <c r="AM524" s="77">
        <f>AH526</f>
        <v>9</v>
      </c>
      <c r="AN524" s="406">
        <f>+AM526</f>
        <v>12</v>
      </c>
      <c r="AO524" s="341">
        <f>+AN526</f>
        <v>16</v>
      </c>
      <c r="AP524" s="341">
        <f>+AO526</f>
        <v>16</v>
      </c>
      <c r="AQ524" s="395">
        <f>+AP526</f>
        <v>12</v>
      </c>
      <c r="AR524" s="77">
        <f>AM526</f>
        <v>12</v>
      </c>
      <c r="AS524" s="406">
        <f>+AR526</f>
        <v>11</v>
      </c>
      <c r="AT524" s="341">
        <f>+AS526</f>
        <v>18</v>
      </c>
      <c r="AU524" s="341">
        <f>+AT526</f>
        <v>29</v>
      </c>
      <c r="AV524" s="395">
        <f>+AU526</f>
        <v>22</v>
      </c>
      <c r="AW524" s="77">
        <f>AR526</f>
        <v>11</v>
      </c>
      <c r="AX524" s="392">
        <f>+AW526</f>
        <v>32</v>
      </c>
      <c r="AY524" s="341">
        <f>+AX526</f>
        <v>0</v>
      </c>
      <c r="AZ524" s="341">
        <f>+AY526</f>
        <v>0</v>
      </c>
      <c r="BA524" s="393">
        <f>+AY526</f>
        <v>0</v>
      </c>
      <c r="BB524" s="296">
        <f>+AX524</f>
        <v>32</v>
      </c>
      <c r="BC524" s="392">
        <f>+BB526</f>
        <v>0</v>
      </c>
      <c r="BD524" s="341">
        <f>+BC526</f>
        <v>0</v>
      </c>
      <c r="BE524" s="341">
        <f>+BD526</f>
        <v>0</v>
      </c>
      <c r="BF524" s="393">
        <f>+BE526</f>
        <v>0</v>
      </c>
      <c r="BG524" s="296">
        <f>+BC524</f>
        <v>0</v>
      </c>
      <c r="BH524" s="392">
        <f>+BG526</f>
        <v>0</v>
      </c>
      <c r="BI524" s="341">
        <f>+BH526</f>
        <v>0</v>
      </c>
      <c r="BJ524" s="341">
        <f>+BI526</f>
        <v>0</v>
      </c>
      <c r="BK524" s="393">
        <f>+BJ526</f>
        <v>3.3943630582875812</v>
      </c>
      <c r="BL524" s="296">
        <f>+BH524</f>
        <v>0</v>
      </c>
      <c r="BM524" s="392">
        <f>+BL526</f>
        <v>0</v>
      </c>
      <c r="BN524" s="341">
        <f>+BM526</f>
        <v>135.27359830774355</v>
      </c>
      <c r="BO524" s="341">
        <f>+BN526</f>
        <v>0</v>
      </c>
      <c r="BP524" s="393">
        <f>+BO526</f>
        <v>103.74227543795678</v>
      </c>
      <c r="BQ524" s="296">
        <f>+BM524</f>
        <v>0</v>
      </c>
      <c r="BR524" s="310"/>
    </row>
    <row r="525" spans="1:74" s="2" customFormat="1">
      <c r="A525" s="1523"/>
      <c r="C525" s="2" t="s">
        <v>330</v>
      </c>
      <c r="E525" s="509">
        <v>0</v>
      </c>
      <c r="F525" s="480">
        <v>0</v>
      </c>
      <c r="G525" s="480">
        <v>0</v>
      </c>
      <c r="H525" s="481">
        <v>0</v>
      </c>
      <c r="I525" s="463">
        <f>+SUM(E525:H525)</f>
        <v>0</v>
      </c>
      <c r="J525" s="509">
        <v>0</v>
      </c>
      <c r="K525" s="480">
        <v>0</v>
      </c>
      <c r="L525" s="480">
        <v>0</v>
      </c>
      <c r="M525" s="481">
        <v>0</v>
      </c>
      <c r="N525" s="463">
        <f>+SUM(J525:M525)</f>
        <v>0</v>
      </c>
      <c r="O525" s="459">
        <v>0</v>
      </c>
      <c r="P525" s="460">
        <v>0</v>
      </c>
      <c r="Q525" s="460">
        <v>0</v>
      </c>
      <c r="R525" s="461">
        <v>0</v>
      </c>
      <c r="S525" s="463">
        <f>+SUM(O525:R525)</f>
        <v>0</v>
      </c>
      <c r="T525" s="459">
        <v>0</v>
      </c>
      <c r="U525" s="460">
        <v>0</v>
      </c>
      <c r="V525" s="460">
        <v>0</v>
      </c>
      <c r="W525" s="461">
        <v>0</v>
      </c>
      <c r="X525" s="463">
        <f>+SUM(T525:W525)</f>
        <v>0</v>
      </c>
      <c r="Y525" s="459">
        <v>0</v>
      </c>
      <c r="Z525" s="460">
        <v>0</v>
      </c>
      <c r="AA525" s="460">
        <v>0</v>
      </c>
      <c r="AB525" s="461">
        <v>0</v>
      </c>
      <c r="AC525" s="77">
        <f>+SUM(Y525:AB525)</f>
        <v>0</v>
      </c>
      <c r="AD525" s="459">
        <v>0</v>
      </c>
      <c r="AE525" s="460">
        <v>0</v>
      </c>
      <c r="AF525" s="460">
        <v>0</v>
      </c>
      <c r="AG525" s="461">
        <v>0</v>
      </c>
      <c r="AH525" s="77">
        <f>+SUM(AD525:AG525)</f>
        <v>0</v>
      </c>
      <c r="AI525" s="459">
        <v>0</v>
      </c>
      <c r="AJ525" s="460">
        <v>0</v>
      </c>
      <c r="AK525" s="460">
        <v>0</v>
      </c>
      <c r="AL525" s="461">
        <v>0</v>
      </c>
      <c r="AM525" s="77">
        <f>+SUM(AI525:AL525)</f>
        <v>0</v>
      </c>
      <c r="AN525" s="459">
        <v>0</v>
      </c>
      <c r="AO525" s="460">
        <v>0</v>
      </c>
      <c r="AP525" s="460">
        <f>IF((AP523+AP524)&gt;=AO532,-AO532,-(AP523+AP524))</f>
        <v>0</v>
      </c>
      <c r="AQ525" s="461">
        <v>0</v>
      </c>
      <c r="AR525" s="77">
        <f>+SUM(AN525:AQ525)</f>
        <v>0</v>
      </c>
      <c r="AS525" s="459">
        <v>0</v>
      </c>
      <c r="AT525" s="460">
        <v>0</v>
      </c>
      <c r="AU525" s="460">
        <f>IF((AU523+AU524)&gt;=AT532,-AT532,-(AU523+AU524))</f>
        <v>0</v>
      </c>
      <c r="AV525" s="461">
        <v>0</v>
      </c>
      <c r="AW525" s="77">
        <f>+SUM(AS525:AV525)</f>
        <v>0</v>
      </c>
      <c r="AX525" s="394">
        <f>IF((AX523+AX524)&gt;=AW532,-AW532,-(AX523+AX524))</f>
        <v>-112.03092463625239</v>
      </c>
      <c r="AY525" s="341">
        <f>IF((AY523+AY524)&gt;=AX532,-AX532,-(AY523+AY524))</f>
        <v>-6.1859253042689204</v>
      </c>
      <c r="AZ525" s="341">
        <f>IF((AZ523+AZ524)&gt;=AY532,-AY532,-(AZ523+AZ524))</f>
        <v>-162.78315005947869</v>
      </c>
      <c r="BA525" s="436">
        <f>IF((BA523+BA524)&gt;=AY532,-AY532,-(BA523+BA524))</f>
        <v>360.01255883430935</v>
      </c>
      <c r="BB525" s="437">
        <f>+SUM(AX525:BA525)</f>
        <v>79.012558834309345</v>
      </c>
      <c r="BC525" s="394">
        <f>IF((BC523+BC524)&gt;=BB532,-BB532,-(BC523+BC524))</f>
        <v>-78.868134390170098</v>
      </c>
      <c r="BD525" s="341">
        <f>IF((BD523+BD524)&gt;=BC532,-BC532,-(BD523+BD524))</f>
        <v>-67.053999570880706</v>
      </c>
      <c r="BE525" s="341">
        <f>IF((BE523+BE524)&gt;=BD532,-BD532,-(BE523+BE524))</f>
        <v>-144.52787407368066</v>
      </c>
      <c r="BF525" s="436">
        <f>IF((BF523+BF524)&gt;=BE532,-BE532,-(BF523+BF524))</f>
        <v>85.413606948344238</v>
      </c>
      <c r="BG525" s="437">
        <f>+SUM(BC525:BF525)</f>
        <v>-205.03640108638723</v>
      </c>
      <c r="BH525" s="394">
        <f>IF((BH523+BH524)&gt;=BG532,-BG532,-(BH523+BH524))</f>
        <v>-165.62769233169229</v>
      </c>
      <c r="BI525" s="341">
        <f>IF((BI523+BI524)&gt;=BH532,-BH532,-(BI523+BI524))</f>
        <v>338.0156280855561</v>
      </c>
      <c r="BJ525" s="341">
        <f>IF((BJ523+BJ524)&gt;=BI532,-BI532,-(BJ523+BJ524))</f>
        <v>-490.14724356126464</v>
      </c>
      <c r="BK525" s="436">
        <f>IF((BK523+BK524)&gt;=BJ532,-BJ532,-(BK523+BK524))</f>
        <v>10.121149686396635</v>
      </c>
      <c r="BL525" s="437">
        <f>+SUM(BH525:BK525)</f>
        <v>-307.63815812100421</v>
      </c>
      <c r="BM525" s="394">
        <f>IF((BM523+BM524)&gt;=BL532,-BL532,-(BM523+BM524))</f>
        <v>-10.121149686396635</v>
      </c>
      <c r="BN525" s="341">
        <f>IF((BN523+BN524)&gt;=BM532,-BM532,-(BN523+BN524))</f>
        <v>478.90794381616479</v>
      </c>
      <c r="BO525" s="341">
        <f>IF((BO523+BO524)&gt;=BN532,-BN532,-(BO523+BO524))</f>
        <v>-478.90794381616479</v>
      </c>
      <c r="BP525" s="436">
        <f>IF((BP523+BP524)&gt;=BO532,-BO532,-(BP523+BP524))</f>
        <v>0</v>
      </c>
      <c r="BQ525" s="437">
        <f>+SUM(BM525:BP525)</f>
        <v>-10.12114968639662</v>
      </c>
    </row>
    <row r="526" spans="1:74" s="2" customFormat="1" ht="13.5" customHeight="1">
      <c r="A526" s="1523"/>
      <c r="C526" s="49" t="s">
        <v>304</v>
      </c>
      <c r="E526" s="396">
        <f t="shared" ref="E526:S526" si="460">E524+E523+E525</f>
        <v>108</v>
      </c>
      <c r="F526" s="343">
        <f t="shared" si="460"/>
        <v>38</v>
      </c>
      <c r="G526" s="343">
        <f t="shared" si="460"/>
        <v>56</v>
      </c>
      <c r="H526" s="397">
        <f t="shared" si="460"/>
        <v>64</v>
      </c>
      <c r="I526" s="297">
        <f t="shared" si="460"/>
        <v>64</v>
      </c>
      <c r="J526" s="396">
        <f t="shared" si="460"/>
        <v>13</v>
      </c>
      <c r="K526" s="343">
        <f t="shared" si="460"/>
        <v>8</v>
      </c>
      <c r="L526" s="343">
        <f t="shared" si="460"/>
        <v>26</v>
      </c>
      <c r="M526" s="397">
        <f t="shared" si="460"/>
        <v>11</v>
      </c>
      <c r="N526" s="297">
        <f t="shared" si="460"/>
        <v>11</v>
      </c>
      <c r="O526" s="396">
        <f t="shared" si="460"/>
        <v>10</v>
      </c>
      <c r="P526" s="343">
        <f t="shared" si="460"/>
        <v>14</v>
      </c>
      <c r="Q526" s="343">
        <f t="shared" si="460"/>
        <v>14</v>
      </c>
      <c r="R526" s="397">
        <f t="shared" si="460"/>
        <v>12</v>
      </c>
      <c r="S526" s="297">
        <f t="shared" si="460"/>
        <v>12</v>
      </c>
      <c r="T526" s="396">
        <f>+T525+T524+T523</f>
        <v>5</v>
      </c>
      <c r="U526" s="343">
        <f>+U525+U524+U523</f>
        <v>2</v>
      </c>
      <c r="V526" s="343">
        <f>+V525+V524+V523</f>
        <v>5</v>
      </c>
      <c r="W526" s="397">
        <f>W524+W523+W525</f>
        <v>7</v>
      </c>
      <c r="X526" s="297">
        <f>X524+X523+X525</f>
        <v>7</v>
      </c>
      <c r="Y526" s="396">
        <f>+Y525+Y524+Y523</f>
        <v>6</v>
      </c>
      <c r="Z526" s="343">
        <f>+Z525+Z524+Z523</f>
        <v>4</v>
      </c>
      <c r="AA526" s="343">
        <f>+AA525+AA524+AA523</f>
        <v>9</v>
      </c>
      <c r="AB526" s="397">
        <f>AB524+AB523+AB525</f>
        <v>6</v>
      </c>
      <c r="AC526" s="297">
        <f>AC524+AC523+AC525</f>
        <v>6</v>
      </c>
      <c r="AD526" s="396">
        <f>+AD525+AD524+AD523</f>
        <v>10</v>
      </c>
      <c r="AE526" s="343">
        <f>+AE525+AE524+AE523</f>
        <v>6</v>
      </c>
      <c r="AF526" s="343">
        <f>+AF525+AF524+AF523</f>
        <v>12</v>
      </c>
      <c r="AG526" s="397">
        <f>AG524+AG523+AG525</f>
        <v>9</v>
      </c>
      <c r="AH526" s="297">
        <f>AH524+AH523+AH525</f>
        <v>9</v>
      </c>
      <c r="AI526" s="396">
        <f>+AI525+AI524+AI523</f>
        <v>24</v>
      </c>
      <c r="AJ526" s="343">
        <f>+AJ525+AJ524+AJ523</f>
        <v>12</v>
      </c>
      <c r="AK526" s="343">
        <f>+AK525+AK524+AK523</f>
        <v>15</v>
      </c>
      <c r="AL526" s="397">
        <f>AL524+AL523+AL525</f>
        <v>12</v>
      </c>
      <c r="AM526" s="297">
        <f>AM524+AM523+AM525</f>
        <v>12</v>
      </c>
      <c r="AN526" s="396">
        <f>+AN525+AN524+AN523</f>
        <v>16</v>
      </c>
      <c r="AO526" s="343">
        <f>+AO525+AO524+AO523</f>
        <v>16</v>
      </c>
      <c r="AP526" s="343">
        <f>+AP525+AP524+AP523</f>
        <v>12</v>
      </c>
      <c r="AQ526" s="397">
        <f>AQ524+AQ523+AQ525</f>
        <v>11</v>
      </c>
      <c r="AR526" s="297">
        <f>AR524+AR523+AR525</f>
        <v>11</v>
      </c>
      <c r="AS526" s="396">
        <f>+AS525+AS524+AS523</f>
        <v>18</v>
      </c>
      <c r="AT526" s="343">
        <f>+AT525+AT524+AT523</f>
        <v>29</v>
      </c>
      <c r="AU526" s="343">
        <f>+AU525+AU524+AU523</f>
        <v>22</v>
      </c>
      <c r="AV526" s="397">
        <f>AV524+AV523+AV525</f>
        <v>32</v>
      </c>
      <c r="AW526" s="297">
        <f>AW524+AW523+AW525</f>
        <v>32</v>
      </c>
      <c r="AX526" s="396">
        <f>+AX525+AX524+AX523</f>
        <v>0</v>
      </c>
      <c r="AY526" s="343">
        <f>+AY525+AY524+AY523</f>
        <v>0</v>
      </c>
      <c r="AZ526" s="343">
        <f>+AZ525+AZ524+AZ523</f>
        <v>230.64048769460348</v>
      </c>
      <c r="BA526" s="397">
        <f>+BA525+BA524+BA523</f>
        <v>0</v>
      </c>
      <c r="BB526" s="297">
        <f>+BA526</f>
        <v>0</v>
      </c>
      <c r="BC526" s="396">
        <f>+BC525+BC524+BC523</f>
        <v>0</v>
      </c>
      <c r="BD526" s="343">
        <f>+BD525+BD524+BD523</f>
        <v>0</v>
      </c>
      <c r="BE526" s="343">
        <f>+BE525+BE524+BE523</f>
        <v>0</v>
      </c>
      <c r="BF526" s="397">
        <f>+BF525+BF524+BF523</f>
        <v>0</v>
      </c>
      <c r="BG526" s="297">
        <f>+BF526</f>
        <v>0</v>
      </c>
      <c r="BH526" s="396">
        <f>+BH525+BH524+BH523</f>
        <v>0</v>
      </c>
      <c r="BI526" s="343">
        <f>+BI525+BI524+BI523</f>
        <v>0</v>
      </c>
      <c r="BJ526" s="343">
        <f>+BJ525+BJ524+BJ523</f>
        <v>3.3943630582875812</v>
      </c>
      <c r="BK526" s="397">
        <f>+BK525+BK524+BK523</f>
        <v>0</v>
      </c>
      <c r="BL526" s="297">
        <f>+BK526</f>
        <v>0</v>
      </c>
      <c r="BM526" s="396">
        <f>+BM525+BM524+BM523</f>
        <v>135.27359830774355</v>
      </c>
      <c r="BN526" s="343">
        <f>+BN525+BN524+BN523</f>
        <v>0</v>
      </c>
      <c r="BO526" s="343">
        <f>+BO525+BO524+BO523</f>
        <v>103.74227543795678</v>
      </c>
      <c r="BP526" s="397">
        <f>+BP525+BP524+BP523</f>
        <v>108.97826794406677</v>
      </c>
      <c r="BQ526" s="297">
        <f>+BP526</f>
        <v>108.97826794406677</v>
      </c>
    </row>
    <row r="527" spans="1:74" s="2" customFormat="1" ht="13.5" customHeight="1">
      <c r="A527" s="1523"/>
      <c r="C527" s="49"/>
      <c r="E527" s="360"/>
      <c r="F527" s="20"/>
      <c r="G527" s="20"/>
      <c r="H527" s="361"/>
      <c r="I527" s="33"/>
      <c r="J527" s="360"/>
      <c r="K527" s="20"/>
      <c r="L527" s="20"/>
      <c r="M527" s="361"/>
      <c r="N527" s="33"/>
      <c r="O527" s="360"/>
      <c r="P527" s="20"/>
      <c r="Q527" s="20"/>
      <c r="R527" s="361"/>
      <c r="S527" s="33"/>
      <c r="T527" s="360"/>
      <c r="U527" s="20"/>
      <c r="V527" s="20"/>
      <c r="W527" s="361"/>
      <c r="X527" s="33"/>
      <c r="Y527" s="360"/>
      <c r="Z527" s="20"/>
      <c r="AA527" s="20"/>
      <c r="AB527" s="361"/>
      <c r="AC527" s="33"/>
      <c r="AD527" s="360"/>
      <c r="AE527" s="20"/>
      <c r="AF527" s="20"/>
      <c r="AG527" s="361"/>
      <c r="AH527" s="33"/>
      <c r="AI527" s="360"/>
      <c r="AJ527" s="20"/>
      <c r="AK527" s="20"/>
      <c r="AL527" s="361"/>
      <c r="AM527" s="33"/>
      <c r="AN527" s="360"/>
      <c r="AO527" s="20"/>
      <c r="AP527" s="20"/>
      <c r="AQ527" s="361"/>
      <c r="AR527" s="33"/>
      <c r="AS527" s="360"/>
      <c r="AT527" s="20"/>
      <c r="AU527" s="20"/>
      <c r="AV527" s="361"/>
      <c r="AW527" s="33"/>
      <c r="AX527" s="360"/>
      <c r="AY527" s="20"/>
      <c r="AZ527" s="20"/>
      <c r="BA527" s="361"/>
      <c r="BB527" s="33"/>
      <c r="BC527" s="360"/>
      <c r="BD527" s="20"/>
      <c r="BE527" s="20"/>
      <c r="BF527" s="361"/>
      <c r="BG527" s="33"/>
      <c r="BH527" s="360"/>
      <c r="BI527" s="20"/>
      <c r="BJ527" s="20"/>
      <c r="BK527" s="361"/>
      <c r="BL527" s="33"/>
      <c r="BM527" s="360"/>
      <c r="BN527" s="20"/>
      <c r="BO527" s="20"/>
      <c r="BP527" s="361"/>
      <c r="BQ527" s="33"/>
    </row>
    <row r="528" spans="1:74" s="2" customFormat="1">
      <c r="A528" s="1523"/>
      <c r="C528" s="49"/>
      <c r="E528" s="360"/>
      <c r="F528" s="20"/>
      <c r="G528" s="20"/>
      <c r="H528" s="361"/>
      <c r="I528" s="33"/>
      <c r="J528" s="360"/>
      <c r="K528" s="20"/>
      <c r="L528" s="20"/>
      <c r="M528" s="361"/>
      <c r="N528" s="33"/>
      <c r="O528" s="360"/>
      <c r="P528" s="20"/>
      <c r="Q528" s="20"/>
      <c r="R528" s="361"/>
      <c r="S528" s="33"/>
      <c r="T528" s="360"/>
      <c r="U528" s="20"/>
      <c r="V528" s="20"/>
      <c r="W528" s="361"/>
      <c r="X528" s="33"/>
      <c r="Y528" s="360"/>
      <c r="Z528" s="20"/>
      <c r="AA528" s="20"/>
      <c r="AB528" s="361"/>
      <c r="AC528" s="33"/>
      <c r="AD528" s="360"/>
      <c r="AE528" s="20"/>
      <c r="AF528" s="20"/>
      <c r="AG528" s="361"/>
      <c r="AH528" s="33"/>
      <c r="AI528" s="360"/>
      <c r="AJ528" s="20"/>
      <c r="AK528" s="20"/>
      <c r="AL528" s="361"/>
      <c r="AM528" s="33"/>
      <c r="AN528" s="360"/>
      <c r="AO528" s="20"/>
      <c r="AP528" s="20"/>
      <c r="AQ528" s="361"/>
      <c r="AR528" s="33"/>
      <c r="AS528" s="360"/>
      <c r="AT528" s="20"/>
      <c r="AU528" s="20"/>
      <c r="AV528" s="361"/>
      <c r="AW528" s="33"/>
      <c r="AX528" s="360"/>
      <c r="AY528" s="20"/>
      <c r="AZ528" s="20"/>
      <c r="BA528" s="361"/>
      <c r="BB528" s="33"/>
      <c r="BC528" s="360"/>
      <c r="BD528" s="20"/>
      <c r="BE528" s="20"/>
      <c r="BF528" s="361"/>
      <c r="BG528" s="33"/>
      <c r="BH528" s="360"/>
      <c r="BI528" s="20"/>
      <c r="BJ528" s="20"/>
      <c r="BK528" s="361"/>
      <c r="BL528" s="33"/>
      <c r="BM528" s="360"/>
      <c r="BN528" s="20"/>
      <c r="BO528" s="20"/>
      <c r="BP528" s="361"/>
      <c r="BQ528" s="33"/>
    </row>
    <row r="529" spans="1:69" s="2" customFormat="1">
      <c r="A529" s="1523"/>
      <c r="B529" s="276" t="s">
        <v>381</v>
      </c>
      <c r="C529" s="277"/>
      <c r="D529" s="277"/>
      <c r="E529" s="511"/>
      <c r="F529" s="512"/>
      <c r="G529" s="512"/>
      <c r="H529" s="513"/>
      <c r="I529" s="437"/>
      <c r="J529" s="511"/>
      <c r="K529" s="512"/>
      <c r="L529" s="512"/>
      <c r="M529" s="513"/>
      <c r="N529" s="437"/>
      <c r="O529" s="511"/>
      <c r="P529" s="512"/>
      <c r="Q529" s="512"/>
      <c r="R529" s="513"/>
      <c r="S529" s="437"/>
      <c r="T529" s="511"/>
      <c r="U529" s="512"/>
      <c r="V529" s="512"/>
      <c r="W529" s="513"/>
      <c r="X529" s="437"/>
      <c r="Y529" s="511"/>
      <c r="Z529" s="512"/>
      <c r="AA529" s="1344"/>
      <c r="AB529" s="1345"/>
      <c r="AC529" s="437"/>
      <c r="AD529" s="511"/>
      <c r="AE529" s="512"/>
      <c r="AF529" s="512"/>
      <c r="AG529" s="513"/>
      <c r="AH529" s="437"/>
      <c r="AI529" s="511"/>
      <c r="AJ529" s="512"/>
      <c r="AK529" s="512"/>
      <c r="AL529" s="513"/>
      <c r="AM529" s="437"/>
      <c r="AN529" s="511"/>
      <c r="AO529" s="512"/>
      <c r="AP529" s="512"/>
      <c r="AQ529" s="513"/>
      <c r="AR529" s="437"/>
      <c r="AS529" s="511"/>
      <c r="AT529" s="512"/>
      <c r="AU529" s="512"/>
      <c r="AV529" s="513"/>
      <c r="AW529" s="437"/>
      <c r="AX529" s="511"/>
      <c r="AY529" s="512"/>
      <c r="AZ529" s="512"/>
      <c r="BA529" s="513"/>
      <c r="BB529" s="437"/>
      <c r="BC529" s="511"/>
      <c r="BD529" s="512"/>
      <c r="BE529" s="512"/>
      <c r="BF529" s="513"/>
      <c r="BG529" s="437"/>
      <c r="BH529" s="511"/>
      <c r="BI529" s="512"/>
      <c r="BJ529" s="512"/>
      <c r="BK529" s="513"/>
      <c r="BL529" s="437"/>
      <c r="BM529" s="511"/>
      <c r="BN529" s="512"/>
      <c r="BO529" s="512"/>
      <c r="BP529" s="513"/>
      <c r="BQ529" s="437"/>
    </row>
    <row r="530" spans="1:69" s="2" customFormat="1">
      <c r="A530" s="1523"/>
      <c r="C530" s="547" t="s">
        <v>382</v>
      </c>
      <c r="E530" s="506">
        <v>15</v>
      </c>
      <c r="F530" s="507">
        <v>20</v>
      </c>
      <c r="G530" s="507">
        <v>17</v>
      </c>
      <c r="H530" s="508">
        <v>64</v>
      </c>
      <c r="I530" s="510">
        <f>H530</f>
        <v>64</v>
      </c>
      <c r="J530" s="506">
        <v>13</v>
      </c>
      <c r="K530" s="507">
        <v>8</v>
      </c>
      <c r="L530" s="507">
        <v>26</v>
      </c>
      <c r="M530" s="508">
        <v>11</v>
      </c>
      <c r="N530" s="510">
        <f>M530</f>
        <v>11</v>
      </c>
      <c r="O530" s="506">
        <v>10</v>
      </c>
      <c r="P530" s="507">
        <v>14</v>
      </c>
      <c r="Q530" s="507">
        <v>14</v>
      </c>
      <c r="R530" s="508">
        <v>12</v>
      </c>
      <c r="S530" s="510">
        <f>R530</f>
        <v>12</v>
      </c>
      <c r="T530" s="506">
        <v>5</v>
      </c>
      <c r="U530" s="507">
        <v>2</v>
      </c>
      <c r="V530" s="507">
        <v>5</v>
      </c>
      <c r="W530" s="508">
        <v>7</v>
      </c>
      <c r="X530" s="510">
        <f>W530</f>
        <v>7</v>
      </c>
      <c r="Y530" s="506">
        <v>6</v>
      </c>
      <c r="Z530" s="507">
        <v>4</v>
      </c>
      <c r="AA530" s="507">
        <v>9</v>
      </c>
      <c r="AB530" s="508">
        <v>6</v>
      </c>
      <c r="AC530" s="476">
        <f>AB530</f>
        <v>6</v>
      </c>
      <c r="AD530" s="506">
        <v>10</v>
      </c>
      <c r="AE530" s="507">
        <v>6</v>
      </c>
      <c r="AF530" s="507">
        <v>12</v>
      </c>
      <c r="AG530" s="508">
        <v>9</v>
      </c>
      <c r="AH530" s="476">
        <f>AG530</f>
        <v>9</v>
      </c>
      <c r="AI530" s="506">
        <v>24</v>
      </c>
      <c r="AJ530" s="507">
        <v>12</v>
      </c>
      <c r="AK530" s="507">
        <v>15</v>
      </c>
      <c r="AL530" s="508">
        <v>12</v>
      </c>
      <c r="AM530" s="476">
        <f>AL530</f>
        <v>12</v>
      </c>
      <c r="AN530" s="506">
        <v>16</v>
      </c>
      <c r="AO530" s="507">
        <v>16</v>
      </c>
      <c r="AP530" s="507">
        <v>12</v>
      </c>
      <c r="AQ530" s="508">
        <v>11</v>
      </c>
      <c r="AR530" s="476">
        <f>AQ530</f>
        <v>11</v>
      </c>
      <c r="AS530" s="506">
        <v>18</v>
      </c>
      <c r="AT530" s="507">
        <v>29</v>
      </c>
      <c r="AU530" s="507">
        <v>22</v>
      </c>
      <c r="AV530" s="508">
        <v>32</v>
      </c>
      <c r="AW530" s="476">
        <f>AV530</f>
        <v>32</v>
      </c>
      <c r="AX530" s="434">
        <f>AW530+AX523+AX525</f>
        <v>0</v>
      </c>
      <c r="AY530" s="435">
        <f>AX530+AY523+AY525</f>
        <v>0</v>
      </c>
      <c r="AZ530" s="435">
        <f>AY530+AZ523+AZ525</f>
        <v>230.64048769460348</v>
      </c>
      <c r="BA530" s="436">
        <f>AY530+BA523+BA525</f>
        <v>0</v>
      </c>
      <c r="BB530" s="437">
        <f>BA530</f>
        <v>0</v>
      </c>
      <c r="BC530" s="434">
        <f>BB530+BC523+BC525</f>
        <v>0</v>
      </c>
      <c r="BD530" s="435">
        <f>BC530+BD523+BD525</f>
        <v>0</v>
      </c>
      <c r="BE530" s="435">
        <f>BD530+BE523+BE525</f>
        <v>0</v>
      </c>
      <c r="BF530" s="436">
        <f>BE530+BF523+BF525</f>
        <v>0</v>
      </c>
      <c r="BG530" s="437">
        <f>BF530</f>
        <v>0</v>
      </c>
      <c r="BH530" s="434">
        <f>BG530+BH523+BH525</f>
        <v>0</v>
      </c>
      <c r="BI530" s="435">
        <f>BH530+BI523+BI525</f>
        <v>0</v>
      </c>
      <c r="BJ530" s="435">
        <f>BI530+BJ523+BJ525</f>
        <v>3.3943630582875812</v>
      </c>
      <c r="BK530" s="436">
        <f>BJ530+BK523+BK525</f>
        <v>0</v>
      </c>
      <c r="BL530" s="437">
        <f>BK530</f>
        <v>0</v>
      </c>
      <c r="BM530" s="434">
        <f>BL530+BM523+BM525</f>
        <v>135.27359830774355</v>
      </c>
      <c r="BN530" s="435">
        <f>BM530+BN523+BN525</f>
        <v>0</v>
      </c>
      <c r="BO530" s="435">
        <f>BN530+BO523+BO525</f>
        <v>103.74227543795678</v>
      </c>
      <c r="BP530" s="436">
        <f>BO530+BP523+BP525</f>
        <v>108.97826794406677</v>
      </c>
      <c r="BQ530" s="437">
        <f>BP530</f>
        <v>108.97826794406677</v>
      </c>
    </row>
    <row r="531" spans="1:69" s="2" customFormat="1">
      <c r="A531" s="1523"/>
      <c r="C531" s="547"/>
      <c r="E531" s="506"/>
      <c r="F531" s="507"/>
      <c r="G531" s="507"/>
      <c r="H531" s="508"/>
      <c r="I531" s="510"/>
      <c r="J531" s="506"/>
      <c r="K531" s="507"/>
      <c r="L531" s="507"/>
      <c r="M531" s="508"/>
      <c r="N531" s="510"/>
      <c r="O531" s="506"/>
      <c r="P531" s="507"/>
      <c r="Q531" s="507"/>
      <c r="R531" s="508"/>
      <c r="S531" s="510"/>
      <c r="T531" s="506"/>
      <c r="U531" s="507"/>
      <c r="V531" s="507"/>
      <c r="W531" s="508"/>
      <c r="X531" s="510"/>
      <c r="Y531" s="506"/>
      <c r="Z531" s="507"/>
      <c r="AA531" s="507"/>
      <c r="AB531" s="508"/>
      <c r="AC531" s="476"/>
      <c r="AD531" s="506"/>
      <c r="AE531" s="507"/>
      <c r="AF531" s="507"/>
      <c r="AG531" s="508"/>
      <c r="AH531" s="476"/>
      <c r="AI531" s="506"/>
      <c r="AJ531" s="507"/>
      <c r="AK531" s="507"/>
      <c r="AL531" s="508"/>
      <c r="AM531" s="476"/>
      <c r="AN531" s="506"/>
      <c r="AO531" s="507"/>
      <c r="AP531" s="507"/>
      <c r="AQ531" s="508"/>
      <c r="AR531" s="476"/>
      <c r="AS531" s="506"/>
      <c r="AT531" s="507"/>
      <c r="AU531" s="507"/>
      <c r="AV531" s="508"/>
      <c r="AW531" s="476"/>
      <c r="AX531" s="434"/>
      <c r="AY531" s="435"/>
      <c r="AZ531" s="435"/>
      <c r="BA531" s="436"/>
      <c r="BB531" s="437"/>
      <c r="BC531" s="434"/>
      <c r="BD531" s="435"/>
      <c r="BE531" s="435"/>
      <c r="BF531" s="436"/>
      <c r="BG531" s="437"/>
      <c r="BH531" s="434"/>
      <c r="BI531" s="435"/>
      <c r="BJ531" s="435"/>
      <c r="BK531" s="436"/>
      <c r="BL531" s="437"/>
      <c r="BM531" s="434"/>
      <c r="BN531" s="435"/>
      <c r="BO531" s="435"/>
      <c r="BP531" s="436"/>
      <c r="BQ531" s="437"/>
    </row>
    <row r="532" spans="1:69" s="2" customFormat="1">
      <c r="A532" s="1523"/>
      <c r="C532" s="547" t="s">
        <v>383</v>
      </c>
      <c r="E532" s="506">
        <v>0</v>
      </c>
      <c r="F532" s="507">
        <v>0</v>
      </c>
      <c r="G532" s="507">
        <v>0</v>
      </c>
      <c r="H532" s="508">
        <v>0</v>
      </c>
      <c r="I532" s="510">
        <f>H532</f>
        <v>0</v>
      </c>
      <c r="J532" s="506">
        <v>0</v>
      </c>
      <c r="K532" s="507">
        <v>0</v>
      </c>
      <c r="L532" s="507">
        <v>0</v>
      </c>
      <c r="M532" s="508">
        <v>0</v>
      </c>
      <c r="N532" s="510">
        <f>M532</f>
        <v>0</v>
      </c>
      <c r="O532" s="506">
        <v>0</v>
      </c>
      <c r="P532" s="507">
        <v>0</v>
      </c>
      <c r="Q532" s="507">
        <v>0</v>
      </c>
      <c r="R532" s="508">
        <v>0</v>
      </c>
      <c r="S532" s="510">
        <f>R532</f>
        <v>0</v>
      </c>
      <c r="T532" s="506">
        <v>0</v>
      </c>
      <c r="U532" s="507">
        <v>0</v>
      </c>
      <c r="V532" s="507">
        <v>0</v>
      </c>
      <c r="W532" s="508">
        <v>0</v>
      </c>
      <c r="X532" s="510">
        <f>W532</f>
        <v>0</v>
      </c>
      <c r="Y532" s="506">
        <v>0</v>
      </c>
      <c r="Z532" s="507">
        <v>0</v>
      </c>
      <c r="AA532" s="507">
        <v>0</v>
      </c>
      <c r="AB532" s="508">
        <v>0</v>
      </c>
      <c r="AC532" s="476">
        <f>AB532</f>
        <v>0</v>
      </c>
      <c r="AD532" s="506"/>
      <c r="AE532" s="507"/>
      <c r="AF532" s="507">
        <v>0</v>
      </c>
      <c r="AG532" s="508">
        <v>0</v>
      </c>
      <c r="AH532" s="476">
        <f>AG532</f>
        <v>0</v>
      </c>
      <c r="AI532" s="506">
        <v>0</v>
      </c>
      <c r="AJ532" s="507">
        <v>0</v>
      </c>
      <c r="AK532" s="507">
        <v>0</v>
      </c>
      <c r="AL532" s="508">
        <v>0</v>
      </c>
      <c r="AM532" s="476">
        <f>AL532</f>
        <v>0</v>
      </c>
      <c r="AN532" s="506">
        <v>0</v>
      </c>
      <c r="AO532" s="507">
        <v>0</v>
      </c>
      <c r="AP532" s="507">
        <f>+AO532+AP525</f>
        <v>0</v>
      </c>
      <c r="AQ532" s="508">
        <v>0</v>
      </c>
      <c r="AR532" s="476">
        <f>AQ532</f>
        <v>0</v>
      </c>
      <c r="AS532" s="506">
        <v>0</v>
      </c>
      <c r="AT532" s="507">
        <v>0</v>
      </c>
      <c r="AU532" s="507">
        <f>+AT532+AU525</f>
        <v>0</v>
      </c>
      <c r="AV532" s="508">
        <v>281</v>
      </c>
      <c r="AW532" s="476">
        <f>AV532</f>
        <v>281</v>
      </c>
      <c r="AX532" s="503">
        <f>+AW532+AX525</f>
        <v>168.96907536374761</v>
      </c>
      <c r="AY532" s="504">
        <f>+AX532+AY525</f>
        <v>162.78315005947869</v>
      </c>
      <c r="AZ532" s="504">
        <f>+AY532+AZ525</f>
        <v>0</v>
      </c>
      <c r="BA532" s="505">
        <f>+AY532+BA525</f>
        <v>522.79570889378806</v>
      </c>
      <c r="BB532" s="437">
        <f>BA532</f>
        <v>522.79570889378806</v>
      </c>
      <c r="BC532" s="503">
        <f>+BB532+BC525</f>
        <v>443.92757450361796</v>
      </c>
      <c r="BD532" s="504">
        <f>+BC532+BD525</f>
        <v>376.87357493273726</v>
      </c>
      <c r="BE532" s="504">
        <f>+BD532+BE525</f>
        <v>232.34570085905659</v>
      </c>
      <c r="BF532" s="505">
        <f>+BE532+BF525</f>
        <v>317.75930780740083</v>
      </c>
      <c r="BG532" s="437">
        <f>BF532</f>
        <v>317.75930780740083</v>
      </c>
      <c r="BH532" s="503">
        <f>+BG532+BH525</f>
        <v>152.13161547570854</v>
      </c>
      <c r="BI532" s="504">
        <f>+BH532+BI525</f>
        <v>490.14724356126464</v>
      </c>
      <c r="BJ532" s="504">
        <f>+BI532+BJ525</f>
        <v>0</v>
      </c>
      <c r="BK532" s="505">
        <f>+BJ532+BK525</f>
        <v>10.121149686396635</v>
      </c>
      <c r="BL532" s="437">
        <f>BK532</f>
        <v>10.121149686396635</v>
      </c>
      <c r="BM532" s="503">
        <f>+BL532+BM525</f>
        <v>0</v>
      </c>
      <c r="BN532" s="504">
        <f>+BM532+BN525</f>
        <v>478.90794381616479</v>
      </c>
      <c r="BO532" s="504">
        <f>+BN532+BO525</f>
        <v>0</v>
      </c>
      <c r="BP532" s="505">
        <f>+BO532+BP525</f>
        <v>0</v>
      </c>
      <c r="BQ532" s="437">
        <f>BP532</f>
        <v>0</v>
      </c>
    </row>
    <row r="533" spans="1:69" s="2" customFormat="1">
      <c r="A533" s="1523"/>
      <c r="C533" s="547" t="s">
        <v>246</v>
      </c>
      <c r="E533" s="506">
        <v>3112</v>
      </c>
      <c r="F533" s="507">
        <v>2862</v>
      </c>
      <c r="G533" s="507">
        <v>3231</v>
      </c>
      <c r="H533" s="508">
        <v>3323</v>
      </c>
      <c r="I533" s="510">
        <f>H533</f>
        <v>3323</v>
      </c>
      <c r="J533" s="506">
        <v>3166</v>
      </c>
      <c r="K533" s="507">
        <v>3454</v>
      </c>
      <c r="L533" s="507">
        <v>3455</v>
      </c>
      <c r="M533" s="508">
        <v>3462</v>
      </c>
      <c r="N533" s="510">
        <f>M533</f>
        <v>3462</v>
      </c>
      <c r="O533" s="506">
        <v>3456</v>
      </c>
      <c r="P533" s="507">
        <v>2851</v>
      </c>
      <c r="Q533" s="507">
        <v>3350</v>
      </c>
      <c r="R533" s="508">
        <v>2751</v>
      </c>
      <c r="S533" s="510">
        <f>R533</f>
        <v>2751</v>
      </c>
      <c r="T533" s="506">
        <v>2685</v>
      </c>
      <c r="U533" s="507">
        <f>2386+300</f>
        <v>2686</v>
      </c>
      <c r="V533" s="507">
        <f>2386+300</f>
        <v>2686</v>
      </c>
      <c r="W533" s="508">
        <f>2040+300</f>
        <v>2340</v>
      </c>
      <c r="X533" s="510">
        <f>W533</f>
        <v>2340</v>
      </c>
      <c r="Y533" s="506">
        <f>2040+300</f>
        <v>2340</v>
      </c>
      <c r="Z533" s="507">
        <v>2041</v>
      </c>
      <c r="AA533" s="507">
        <f>2041</f>
        <v>2041</v>
      </c>
      <c r="AB533" s="508">
        <f>2497+44</f>
        <v>2541</v>
      </c>
      <c r="AC533" s="476">
        <f>AB533</f>
        <v>2541</v>
      </c>
      <c r="AD533" s="506">
        <f>44+2497</f>
        <v>2541</v>
      </c>
      <c r="AE533" s="507">
        <f>44+2498</f>
        <v>2542</v>
      </c>
      <c r="AF533" s="507">
        <f>2543</f>
        <v>2543</v>
      </c>
      <c r="AG533" s="508">
        <f>2243+300</f>
        <v>2543</v>
      </c>
      <c r="AH533" s="476">
        <f>AG533</f>
        <v>2543</v>
      </c>
      <c r="AI533" s="506">
        <f>2244+300</f>
        <v>2544</v>
      </c>
      <c r="AJ533" s="507">
        <f>2244+300</f>
        <v>2544</v>
      </c>
      <c r="AK533" s="507">
        <f>1691+853</f>
        <v>2544</v>
      </c>
      <c r="AL533" s="508">
        <f>553+1684</f>
        <v>2237</v>
      </c>
      <c r="AM533" s="476">
        <f>AL533</f>
        <v>2237</v>
      </c>
      <c r="AN533" s="506">
        <f>553+1685</f>
        <v>2238</v>
      </c>
      <c r="AO533" s="507">
        <f>553+2380</f>
        <v>2933</v>
      </c>
      <c r="AP533" s="507">
        <f>2381</f>
        <v>2381</v>
      </c>
      <c r="AQ533" s="508">
        <v>2382</v>
      </c>
      <c r="AR533" s="476">
        <f>AQ533</f>
        <v>2382</v>
      </c>
      <c r="AS533" s="506">
        <v>2383</v>
      </c>
      <c r="AT533" s="507">
        <v>2384</v>
      </c>
      <c r="AU533" s="507">
        <v>2385</v>
      </c>
      <c r="AV533" s="508">
        <f>2136+250</f>
        <v>2386</v>
      </c>
      <c r="AW533" s="476">
        <f>AV533</f>
        <v>2386</v>
      </c>
      <c r="AX533" s="434">
        <f>+AW533+AX515+AX516</f>
        <v>2386</v>
      </c>
      <c r="AY533" s="435">
        <f>+AX533+AY515+AY516</f>
        <v>2386</v>
      </c>
      <c r="AZ533" s="435">
        <f>+AY533+AZ515+AZ516</f>
        <v>2636</v>
      </c>
      <c r="BA533" s="436">
        <f>+AY533+BA515+BA516</f>
        <v>2136</v>
      </c>
      <c r="BB533" s="510">
        <f>BA533</f>
        <v>2136</v>
      </c>
      <c r="BC533" s="434">
        <f>+BB533+BC515+BC516</f>
        <v>2092</v>
      </c>
      <c r="BD533" s="435">
        <f>+BC533+BD515+BD516</f>
        <v>2092</v>
      </c>
      <c r="BE533" s="435">
        <f>+BD533+BE515+BE516</f>
        <v>2192</v>
      </c>
      <c r="BF533" s="436">
        <f>+BE533+BF515+BF516</f>
        <v>2192</v>
      </c>
      <c r="BG533" s="510">
        <f>BF533</f>
        <v>2192</v>
      </c>
      <c r="BH533" s="434">
        <f>+BG533+BH515+BH516</f>
        <v>2192</v>
      </c>
      <c r="BI533" s="435">
        <f>+BH533+BI515+BI516</f>
        <v>1786</v>
      </c>
      <c r="BJ533" s="435">
        <f>+BI533+BJ515+BJ516</f>
        <v>2186</v>
      </c>
      <c r="BK533" s="436">
        <f>+BJ533+BK515+BK516</f>
        <v>2186</v>
      </c>
      <c r="BL533" s="510">
        <f>BK533</f>
        <v>2186</v>
      </c>
      <c r="BM533" s="434">
        <f>+BL533+BM515+BM516</f>
        <v>2186</v>
      </c>
      <c r="BN533" s="435">
        <f>+BM533+BN515+BN516</f>
        <v>1486</v>
      </c>
      <c r="BO533" s="435">
        <f>+BN533+BO515+BO516</f>
        <v>1986</v>
      </c>
      <c r="BP533" s="436">
        <f>+BO533+BP515+BP516</f>
        <v>1986</v>
      </c>
      <c r="BQ533" s="510">
        <f>BP533</f>
        <v>1986</v>
      </c>
    </row>
    <row r="534" spans="1:69" s="2" customFormat="1">
      <c r="A534" s="1523"/>
      <c r="C534" s="545" t="s">
        <v>432</v>
      </c>
      <c r="E534" s="477">
        <f>SUM(E532:E533)</f>
        <v>3112</v>
      </c>
      <c r="F534" s="478">
        <f>SUM(F532:F533)</f>
        <v>2862</v>
      </c>
      <c r="G534" s="478">
        <f>SUM(G532:G533)</f>
        <v>3231</v>
      </c>
      <c r="H534" s="479">
        <f>SUM(H532:H533)</f>
        <v>3323</v>
      </c>
      <c r="I534" s="475">
        <f>SUM(I532:I533)</f>
        <v>3323</v>
      </c>
      <c r="J534" s="477">
        <f t="shared" ref="J534:AC534" si="461">SUM(J532:J533)</f>
        <v>3166</v>
      </c>
      <c r="K534" s="478">
        <f t="shared" si="461"/>
        <v>3454</v>
      </c>
      <c r="L534" s="478">
        <f t="shared" si="461"/>
        <v>3455</v>
      </c>
      <c r="M534" s="479">
        <f t="shared" si="461"/>
        <v>3462</v>
      </c>
      <c r="N534" s="475">
        <f t="shared" si="461"/>
        <v>3462</v>
      </c>
      <c r="O534" s="477">
        <f t="shared" si="461"/>
        <v>3456</v>
      </c>
      <c r="P534" s="478">
        <f t="shared" si="461"/>
        <v>2851</v>
      </c>
      <c r="Q534" s="478">
        <f t="shared" si="461"/>
        <v>3350</v>
      </c>
      <c r="R534" s="479">
        <f t="shared" si="461"/>
        <v>2751</v>
      </c>
      <c r="S534" s="475">
        <f t="shared" si="461"/>
        <v>2751</v>
      </c>
      <c r="T534" s="477">
        <f t="shared" si="461"/>
        <v>2685</v>
      </c>
      <c r="U534" s="478">
        <f t="shared" si="461"/>
        <v>2686</v>
      </c>
      <c r="V534" s="478">
        <f t="shared" si="461"/>
        <v>2686</v>
      </c>
      <c r="W534" s="479">
        <f t="shared" si="461"/>
        <v>2340</v>
      </c>
      <c r="X534" s="475">
        <f t="shared" si="461"/>
        <v>2340</v>
      </c>
      <c r="Y534" s="477">
        <f t="shared" si="461"/>
        <v>2340</v>
      </c>
      <c r="Z534" s="478">
        <f t="shared" si="461"/>
        <v>2041</v>
      </c>
      <c r="AA534" s="478">
        <f>SUM(AA532:AA533)</f>
        <v>2041</v>
      </c>
      <c r="AB534" s="479">
        <f>SUM(AB532:AB533)</f>
        <v>2541</v>
      </c>
      <c r="AC534" s="475">
        <f t="shared" si="461"/>
        <v>2541</v>
      </c>
      <c r="AD534" s="477">
        <f t="shared" ref="AD534:AI534" si="462">SUM(AD532:AD533)</f>
        <v>2541</v>
      </c>
      <c r="AE534" s="478">
        <f t="shared" si="462"/>
        <v>2542</v>
      </c>
      <c r="AF534" s="478">
        <f t="shared" si="462"/>
        <v>2543</v>
      </c>
      <c r="AG534" s="479">
        <f t="shared" si="462"/>
        <v>2543</v>
      </c>
      <c r="AH534" s="475">
        <f t="shared" si="462"/>
        <v>2543</v>
      </c>
      <c r="AI534" s="477">
        <f t="shared" si="462"/>
        <v>2544</v>
      </c>
      <c r="AJ534" s="478">
        <f t="shared" ref="AJ534:AO534" si="463">SUM(AJ532:AJ533)</f>
        <v>2544</v>
      </c>
      <c r="AK534" s="478">
        <f t="shared" si="463"/>
        <v>2544</v>
      </c>
      <c r="AL534" s="479">
        <f t="shared" si="463"/>
        <v>2237</v>
      </c>
      <c r="AM534" s="475">
        <f t="shared" si="463"/>
        <v>2237</v>
      </c>
      <c r="AN534" s="477">
        <f t="shared" si="463"/>
        <v>2238</v>
      </c>
      <c r="AO534" s="478">
        <f t="shared" si="463"/>
        <v>2933</v>
      </c>
      <c r="AP534" s="478">
        <f t="shared" ref="AP534:AU534" si="464">SUM(AP532:AP533)</f>
        <v>2381</v>
      </c>
      <c r="AQ534" s="479">
        <f t="shared" si="464"/>
        <v>2382</v>
      </c>
      <c r="AR534" s="475">
        <f t="shared" si="464"/>
        <v>2382</v>
      </c>
      <c r="AS534" s="477">
        <f t="shared" si="464"/>
        <v>2383</v>
      </c>
      <c r="AT534" s="478">
        <f t="shared" si="464"/>
        <v>2384</v>
      </c>
      <c r="AU534" s="478">
        <f t="shared" si="464"/>
        <v>2385</v>
      </c>
      <c r="AV534" s="479">
        <f t="shared" ref="AV534:BB534" si="465">SUM(AV532:AV533)</f>
        <v>2667</v>
      </c>
      <c r="AW534" s="475">
        <f t="shared" si="465"/>
        <v>2667</v>
      </c>
      <c r="AX534" s="477">
        <f t="shared" si="465"/>
        <v>2554.9690753637478</v>
      </c>
      <c r="AY534" s="478">
        <f t="shared" si="465"/>
        <v>2548.7831500594789</v>
      </c>
      <c r="AZ534" s="478">
        <f t="shared" si="465"/>
        <v>2636</v>
      </c>
      <c r="BA534" s="479">
        <f t="shared" si="465"/>
        <v>2658.7957088937883</v>
      </c>
      <c r="BB534" s="475">
        <f t="shared" si="465"/>
        <v>2658.7957088937883</v>
      </c>
      <c r="BC534" s="477">
        <f t="shared" ref="BC534:BL534" si="466">SUM(BC532:BC533)</f>
        <v>2535.927574503618</v>
      </c>
      <c r="BD534" s="478">
        <f t="shared" si="466"/>
        <v>2468.873574932737</v>
      </c>
      <c r="BE534" s="478">
        <f t="shared" si="466"/>
        <v>2424.3457008590567</v>
      </c>
      <c r="BF534" s="479">
        <f t="shared" si="466"/>
        <v>2509.759307807401</v>
      </c>
      <c r="BG534" s="475">
        <f t="shared" si="466"/>
        <v>2509.759307807401</v>
      </c>
      <c r="BH534" s="477">
        <f t="shared" si="466"/>
        <v>2344.1316154757087</v>
      </c>
      <c r="BI534" s="478">
        <f t="shared" si="466"/>
        <v>2276.1472435612645</v>
      </c>
      <c r="BJ534" s="478">
        <f t="shared" si="466"/>
        <v>2186</v>
      </c>
      <c r="BK534" s="479">
        <f t="shared" si="466"/>
        <v>2196.1211496863966</v>
      </c>
      <c r="BL534" s="475">
        <f t="shared" si="466"/>
        <v>2196.1211496863966</v>
      </c>
      <c r="BM534" s="477">
        <f>SUM(BM532:BM533)</f>
        <v>2186</v>
      </c>
      <c r="BN534" s="478">
        <f>SUM(BN532:BN533)</f>
        <v>1964.9079438161648</v>
      </c>
      <c r="BO534" s="478">
        <f>SUM(BO532:BO533)</f>
        <v>1986</v>
      </c>
      <c r="BP534" s="479">
        <f>SUM(BP532:BP533)</f>
        <v>1986</v>
      </c>
      <c r="BQ534" s="475">
        <f>SUM(BQ532:BQ533)</f>
        <v>1986</v>
      </c>
    </row>
    <row r="535" spans="1:69" s="2" customFormat="1">
      <c r="A535" s="1523"/>
      <c r="C535" s="546" t="s">
        <v>656</v>
      </c>
      <c r="E535" s="766">
        <f>+E534/E$543</f>
        <v>0.43701727285493608</v>
      </c>
      <c r="F535" s="767">
        <f>+F534/F$543</f>
        <v>0.41466241669081427</v>
      </c>
      <c r="G535" s="767">
        <f>+G534/G$543</f>
        <v>0.43305186972255733</v>
      </c>
      <c r="H535" s="768">
        <f t="shared" ref="H535:Z535" si="467">+H534/H$543</f>
        <v>0.42657252888318359</v>
      </c>
      <c r="I535" s="769">
        <f t="shared" si="467"/>
        <v>0.42657252888318359</v>
      </c>
      <c r="J535" s="766">
        <f t="shared" si="467"/>
        <v>0.40010109945659045</v>
      </c>
      <c r="K535" s="767">
        <f t="shared" si="467"/>
        <v>0.42563154651879237</v>
      </c>
      <c r="L535" s="767">
        <f t="shared" si="467"/>
        <v>0.41436795394579035</v>
      </c>
      <c r="M535" s="768">
        <f t="shared" si="467"/>
        <v>0.40782188714807399</v>
      </c>
      <c r="N535" s="769">
        <f t="shared" si="467"/>
        <v>0.40782188714807399</v>
      </c>
      <c r="O535" s="766">
        <f t="shared" si="467"/>
        <v>0.40013893713094822</v>
      </c>
      <c r="P535" s="767">
        <f t="shared" si="467"/>
        <v>0.35350278983261002</v>
      </c>
      <c r="Q535" s="767">
        <f t="shared" si="467"/>
        <v>0.38124502105382951</v>
      </c>
      <c r="R535" s="768">
        <f t="shared" si="467"/>
        <v>0.33569249542403906</v>
      </c>
      <c r="S535" s="769">
        <f t="shared" si="467"/>
        <v>0.33569249542403906</v>
      </c>
      <c r="T535" s="766">
        <f t="shared" si="467"/>
        <v>0.33038021410114432</v>
      </c>
      <c r="U535" s="767">
        <f t="shared" si="467"/>
        <v>0.33944142550233791</v>
      </c>
      <c r="V535" s="767">
        <f>+V534/V$543</f>
        <v>0.33246688946651815</v>
      </c>
      <c r="W535" s="768">
        <f t="shared" si="467"/>
        <v>0.30080987273428461</v>
      </c>
      <c r="X535" s="769">
        <f t="shared" si="467"/>
        <v>0.30080987273428461</v>
      </c>
      <c r="Y535" s="766">
        <f t="shared" si="467"/>
        <v>0.303975058456742</v>
      </c>
      <c r="Z535" s="767">
        <f t="shared" si="467"/>
        <v>0.27783827933569288</v>
      </c>
      <c r="AA535" s="767">
        <f t="shared" ref="AA535:AI535" si="468">+AA534/AA$543</f>
        <v>0.27581081081081082</v>
      </c>
      <c r="AB535" s="768">
        <f t="shared" si="468"/>
        <v>0.30253601619240383</v>
      </c>
      <c r="AC535" s="769">
        <f t="shared" si="468"/>
        <v>0.30253601619240383</v>
      </c>
      <c r="AD535" s="766">
        <f t="shared" si="468"/>
        <v>0.31010495484500855</v>
      </c>
      <c r="AE535" s="767">
        <f t="shared" si="468"/>
        <v>0.31530637558918384</v>
      </c>
      <c r="AF535" s="767">
        <f t="shared" si="468"/>
        <v>0.31558699429138742</v>
      </c>
      <c r="AG535" s="768">
        <f t="shared" si="468"/>
        <v>0.31391186273299593</v>
      </c>
      <c r="AH535" s="769">
        <f t="shared" si="468"/>
        <v>0.31391186273299593</v>
      </c>
      <c r="AI535" s="766">
        <f t="shared" si="468"/>
        <v>0.30840101830524913</v>
      </c>
      <c r="AJ535" s="767">
        <f t="shared" ref="AJ535:AO535" si="469">+AJ534/AJ$543</f>
        <v>0.30994152046783624</v>
      </c>
      <c r="AK535" s="767">
        <f t="shared" si="469"/>
        <v>0.30310973430239485</v>
      </c>
      <c r="AL535" s="768">
        <f t="shared" si="469"/>
        <v>0.2715135331957762</v>
      </c>
      <c r="AM535" s="769">
        <f t="shared" si="469"/>
        <v>0.2715135331957762</v>
      </c>
      <c r="AN535" s="766">
        <f t="shared" si="469"/>
        <v>0.26469544648137194</v>
      </c>
      <c r="AO535" s="767">
        <f t="shared" si="469"/>
        <v>0.32037138175860186</v>
      </c>
      <c r="AP535" s="767">
        <f t="shared" ref="AP535:AU535" si="470">+AP534/AP$543</f>
        <v>0.27942729726557913</v>
      </c>
      <c r="AQ535" s="768">
        <f t="shared" si="470"/>
        <v>0.29116244957829118</v>
      </c>
      <c r="AR535" s="769">
        <f t="shared" si="470"/>
        <v>0.29116244957829118</v>
      </c>
      <c r="AS535" s="766">
        <f t="shared" si="470"/>
        <v>0.30314209388118563</v>
      </c>
      <c r="AT535" s="767">
        <f t="shared" si="470"/>
        <v>0.30642673521850899</v>
      </c>
      <c r="AU535" s="767">
        <f t="shared" si="470"/>
        <v>0.30726616851326977</v>
      </c>
      <c r="AV535" s="768">
        <f t="shared" ref="AV535:BB535" si="471">+AV534/AV$543</f>
        <v>0.3088950660180681</v>
      </c>
      <c r="AW535" s="769">
        <f t="shared" si="471"/>
        <v>0.3088950660180681</v>
      </c>
      <c r="AX535" s="766">
        <f t="shared" si="471"/>
        <v>0.29619896536564611</v>
      </c>
      <c r="AY535" s="767">
        <f t="shared" si="471"/>
        <v>0.29469186166962191</v>
      </c>
      <c r="AZ535" s="767">
        <f t="shared" si="471"/>
        <v>0.29611270157027952</v>
      </c>
      <c r="BA535" s="768">
        <f t="shared" si="471"/>
        <v>0.30661752712212414</v>
      </c>
      <c r="BB535" s="769">
        <f t="shared" si="471"/>
        <v>0.30661752712212414</v>
      </c>
      <c r="BC535" s="766">
        <f t="shared" ref="BC535:BL535" si="472">+BC534/BC$543</f>
        <v>0.29400163024959625</v>
      </c>
      <c r="BD535" s="767">
        <f t="shared" si="472"/>
        <v>0.2877503528814066</v>
      </c>
      <c r="BE535" s="767">
        <f t="shared" si="472"/>
        <v>0.28406582485218707</v>
      </c>
      <c r="BF535" s="768">
        <f t="shared" si="472"/>
        <v>0.29564280526476294</v>
      </c>
      <c r="BG535" s="769">
        <f t="shared" si="472"/>
        <v>0.29564280526476294</v>
      </c>
      <c r="BH535" s="766">
        <f t="shared" si="472"/>
        <v>0.27727930935762829</v>
      </c>
      <c r="BI535" s="767">
        <f t="shared" si="472"/>
        <v>0.27035035413097752</v>
      </c>
      <c r="BJ535" s="767">
        <f t="shared" si="472"/>
        <v>0.26060514469304041</v>
      </c>
      <c r="BK535" s="768">
        <f t="shared" si="472"/>
        <v>0.26298914344051383</v>
      </c>
      <c r="BL535" s="769">
        <f t="shared" si="472"/>
        <v>0.26298914344051383</v>
      </c>
      <c r="BM535" s="766">
        <f>+BM534/BM$543</f>
        <v>0.25855922835042788</v>
      </c>
      <c r="BN535" s="767">
        <f>+BN534/BN$543</f>
        <v>0.23707265893499044</v>
      </c>
      <c r="BO535" s="767">
        <f>+BO534/BO$543</f>
        <v>0.23752635278965437</v>
      </c>
      <c r="BP535" s="768">
        <f>+BP534/BP$543</f>
        <v>0.23824602481935392</v>
      </c>
      <c r="BQ535" s="769">
        <f>+BQ534/BQ$543</f>
        <v>0.23824602481935392</v>
      </c>
    </row>
    <row r="536" spans="1:69" s="2" customFormat="1">
      <c r="A536" s="1523"/>
      <c r="C536" s="776"/>
      <c r="E536" s="506"/>
      <c r="F536" s="507"/>
      <c r="G536" s="507"/>
      <c r="H536" s="508"/>
      <c r="I536" s="510"/>
      <c r="J536" s="506"/>
      <c r="K536" s="507"/>
      <c r="L536" s="507"/>
      <c r="M536" s="508"/>
      <c r="N536" s="510"/>
      <c r="O536" s="506"/>
      <c r="P536" s="507"/>
      <c r="Q536" s="507"/>
      <c r="R536" s="508"/>
      <c r="S536" s="510"/>
      <c r="T536" s="506"/>
      <c r="U536" s="507"/>
      <c r="V536" s="507"/>
      <c r="W536" s="508"/>
      <c r="X536" s="510"/>
      <c r="Y536" s="506"/>
      <c r="Z536" s="507"/>
      <c r="AA536" s="507"/>
      <c r="AB536" s="508"/>
      <c r="AC536" s="476"/>
      <c r="AD536" s="506"/>
      <c r="AE536" s="507"/>
      <c r="AF536" s="507"/>
      <c r="AG536" s="508"/>
      <c r="AH536" s="476"/>
      <c r="AI536" s="506"/>
      <c r="AJ536" s="507"/>
      <c r="AK536" s="507"/>
      <c r="AL536" s="508"/>
      <c r="AM536" s="476"/>
      <c r="AN536" s="506"/>
      <c r="AO536" s="507"/>
      <c r="AP536" s="507"/>
      <c r="AQ536" s="508"/>
      <c r="AR536" s="476"/>
      <c r="AS536" s="506"/>
      <c r="AT536" s="507"/>
      <c r="AU536" s="507"/>
      <c r="AV536" s="508"/>
      <c r="AW536" s="476"/>
      <c r="AX536" s="434"/>
      <c r="AY536" s="435"/>
      <c r="AZ536" s="435"/>
      <c r="BA536" s="436"/>
      <c r="BB536" s="437"/>
      <c r="BC536" s="434"/>
      <c r="BD536" s="435"/>
      <c r="BE536" s="435"/>
      <c r="BF536" s="436"/>
      <c r="BG536" s="437"/>
      <c r="BH536" s="434"/>
      <c r="BI536" s="435"/>
      <c r="BJ536" s="435"/>
      <c r="BK536" s="436"/>
      <c r="BL536" s="437"/>
      <c r="BM536" s="434"/>
      <c r="BN536" s="435"/>
      <c r="BO536" s="435"/>
      <c r="BP536" s="436"/>
      <c r="BQ536" s="437"/>
    </row>
    <row r="537" spans="1:69" s="2" customFormat="1">
      <c r="A537" s="1523"/>
      <c r="C537" s="545" t="s">
        <v>655</v>
      </c>
      <c r="E537" s="506">
        <v>0</v>
      </c>
      <c r="F537" s="507">
        <v>0</v>
      </c>
      <c r="G537" s="507">
        <v>0</v>
      </c>
      <c r="H537" s="508">
        <v>0</v>
      </c>
      <c r="I537" s="510">
        <f>H537</f>
        <v>0</v>
      </c>
      <c r="J537" s="506">
        <v>0</v>
      </c>
      <c r="K537" s="507">
        <v>0</v>
      </c>
      <c r="L537" s="507">
        <v>0</v>
      </c>
      <c r="M537" s="508">
        <v>0</v>
      </c>
      <c r="N537" s="510">
        <f>M537</f>
        <v>0</v>
      </c>
      <c r="O537" s="506">
        <v>0</v>
      </c>
      <c r="P537" s="507">
        <v>0</v>
      </c>
      <c r="Q537" s="507">
        <v>0</v>
      </c>
      <c r="R537" s="508">
        <v>0</v>
      </c>
      <c r="S537" s="510">
        <f>R537</f>
        <v>0</v>
      </c>
      <c r="T537" s="506">
        <v>0</v>
      </c>
      <c r="U537" s="507">
        <v>0</v>
      </c>
      <c r="V537" s="507">
        <v>0</v>
      </c>
      <c r="W537" s="508">
        <v>0</v>
      </c>
      <c r="X537" s="510">
        <f>W537</f>
        <v>0</v>
      </c>
      <c r="Y537" s="506">
        <v>0</v>
      </c>
      <c r="Z537" s="507">
        <v>0</v>
      </c>
      <c r="AA537" s="507">
        <v>0</v>
      </c>
      <c r="AB537" s="508">
        <v>0</v>
      </c>
      <c r="AC537" s="476">
        <v>0</v>
      </c>
      <c r="AD537" s="506">
        <v>0</v>
      </c>
      <c r="AE537" s="507">
        <v>0</v>
      </c>
      <c r="AF537" s="507">
        <v>0</v>
      </c>
      <c r="AG537" s="508">
        <v>0</v>
      </c>
      <c r="AH537" s="476">
        <v>0</v>
      </c>
      <c r="AI537" s="506">
        <v>0</v>
      </c>
      <c r="AJ537" s="507">
        <v>0</v>
      </c>
      <c r="AK537" s="507">
        <v>0</v>
      </c>
      <c r="AL537" s="508">
        <v>0</v>
      </c>
      <c r="AM537" s="476">
        <v>0</v>
      </c>
      <c r="AN537" s="506">
        <v>0</v>
      </c>
      <c r="AO537" s="507">
        <v>0</v>
      </c>
      <c r="AP537" s="507">
        <f>AO537+AP518</f>
        <v>0</v>
      </c>
      <c r="AQ537" s="508">
        <v>0</v>
      </c>
      <c r="AR537" s="476">
        <v>0</v>
      </c>
      <c r="AS537" s="506">
        <v>0</v>
      </c>
      <c r="AT537" s="507">
        <v>0</v>
      </c>
      <c r="AU537" s="507">
        <f>AT537+AU518</f>
        <v>0</v>
      </c>
      <c r="AV537" s="508">
        <v>0</v>
      </c>
      <c r="AW537" s="476">
        <v>0</v>
      </c>
      <c r="AX537" s="434">
        <f>AV537+AX518</f>
        <v>0</v>
      </c>
      <c r="AY537" s="435">
        <f>AX537+AY518</f>
        <v>0</v>
      </c>
      <c r="AZ537" s="435">
        <f>AY537+AZ518</f>
        <v>0</v>
      </c>
      <c r="BA537" s="436">
        <f>AY537+BA518</f>
        <v>0</v>
      </c>
      <c r="BB537" s="437">
        <f>BA537</f>
        <v>0</v>
      </c>
      <c r="BC537" s="434">
        <f>BA537+BC518</f>
        <v>0</v>
      </c>
      <c r="BD537" s="435">
        <f>BC537+BD518</f>
        <v>0</v>
      </c>
      <c r="BE537" s="435">
        <f>BD537+BE518</f>
        <v>0</v>
      </c>
      <c r="BF537" s="436">
        <f>BE537+BF518</f>
        <v>0</v>
      </c>
      <c r="BG537" s="437">
        <f>BF537</f>
        <v>0</v>
      </c>
      <c r="BH537" s="434">
        <f>BF537+BH518</f>
        <v>0</v>
      </c>
      <c r="BI537" s="435">
        <f>BH537+BI518</f>
        <v>0</v>
      </c>
      <c r="BJ537" s="435">
        <f>BI537+BJ518</f>
        <v>0</v>
      </c>
      <c r="BK537" s="436">
        <f>BJ537+BK518</f>
        <v>0</v>
      </c>
      <c r="BL537" s="437">
        <f>BK537</f>
        <v>0</v>
      </c>
      <c r="BM537" s="434">
        <f>BK537+BM518</f>
        <v>0</v>
      </c>
      <c r="BN537" s="435">
        <f>BM537+BN518</f>
        <v>0</v>
      </c>
      <c r="BO537" s="435">
        <f>BN537+BO518</f>
        <v>0</v>
      </c>
      <c r="BP537" s="436">
        <f>BO537+BP518</f>
        <v>0</v>
      </c>
      <c r="BQ537" s="437">
        <f>BP537</f>
        <v>0</v>
      </c>
    </row>
    <row r="538" spans="1:69" s="2" customFormat="1">
      <c r="A538" s="1523"/>
      <c r="C538" s="546" t="s">
        <v>656</v>
      </c>
      <c r="E538" s="766">
        <f t="shared" ref="E538:AT538" si="473">+E537/E$543</f>
        <v>0</v>
      </c>
      <c r="F538" s="767">
        <f t="shared" si="473"/>
        <v>0</v>
      </c>
      <c r="G538" s="767">
        <f t="shared" si="473"/>
        <v>0</v>
      </c>
      <c r="H538" s="768">
        <f t="shared" si="473"/>
        <v>0</v>
      </c>
      <c r="I538" s="769">
        <f t="shared" si="473"/>
        <v>0</v>
      </c>
      <c r="J538" s="766">
        <f t="shared" si="473"/>
        <v>0</v>
      </c>
      <c r="K538" s="767">
        <f t="shared" si="473"/>
        <v>0</v>
      </c>
      <c r="L538" s="767">
        <f t="shared" si="473"/>
        <v>0</v>
      </c>
      <c r="M538" s="768">
        <f t="shared" si="473"/>
        <v>0</v>
      </c>
      <c r="N538" s="769">
        <f t="shared" si="473"/>
        <v>0</v>
      </c>
      <c r="O538" s="766">
        <f t="shared" si="473"/>
        <v>0</v>
      </c>
      <c r="P538" s="767">
        <f t="shared" si="473"/>
        <v>0</v>
      </c>
      <c r="Q538" s="767">
        <f t="shared" si="473"/>
        <v>0</v>
      </c>
      <c r="R538" s="768">
        <f t="shared" si="473"/>
        <v>0</v>
      </c>
      <c r="S538" s="769">
        <f t="shared" si="473"/>
        <v>0</v>
      </c>
      <c r="T538" s="766">
        <f t="shared" si="473"/>
        <v>0</v>
      </c>
      <c r="U538" s="767">
        <f>+U537/U$543</f>
        <v>0</v>
      </c>
      <c r="V538" s="767">
        <f>+V537/V$543</f>
        <v>0</v>
      </c>
      <c r="W538" s="768">
        <f t="shared" si="473"/>
        <v>0</v>
      </c>
      <c r="X538" s="769">
        <f t="shared" si="473"/>
        <v>0</v>
      </c>
      <c r="Y538" s="766">
        <f t="shared" si="473"/>
        <v>0</v>
      </c>
      <c r="Z538" s="767">
        <f t="shared" si="473"/>
        <v>0</v>
      </c>
      <c r="AA538" s="767">
        <f t="shared" ref="AA538:AI538" si="474">+AA537/AA$543</f>
        <v>0</v>
      </c>
      <c r="AB538" s="768">
        <f t="shared" si="474"/>
        <v>0</v>
      </c>
      <c r="AC538" s="769">
        <f t="shared" si="474"/>
        <v>0</v>
      </c>
      <c r="AD538" s="766">
        <f t="shared" si="474"/>
        <v>0</v>
      </c>
      <c r="AE538" s="767">
        <f t="shared" si="474"/>
        <v>0</v>
      </c>
      <c r="AF538" s="767">
        <f t="shared" si="474"/>
        <v>0</v>
      </c>
      <c r="AG538" s="768">
        <f t="shared" si="474"/>
        <v>0</v>
      </c>
      <c r="AH538" s="769">
        <f t="shared" si="474"/>
        <v>0</v>
      </c>
      <c r="AI538" s="766">
        <f t="shared" si="474"/>
        <v>0</v>
      </c>
      <c r="AJ538" s="767">
        <f t="shared" ref="AJ538:AO538" si="475">+AJ537/AJ$543</f>
        <v>0</v>
      </c>
      <c r="AK538" s="767">
        <f t="shared" si="475"/>
        <v>0</v>
      </c>
      <c r="AL538" s="768">
        <f t="shared" si="475"/>
        <v>0</v>
      </c>
      <c r="AM538" s="769">
        <f t="shared" si="475"/>
        <v>0</v>
      </c>
      <c r="AN538" s="766">
        <f t="shared" si="475"/>
        <v>0</v>
      </c>
      <c r="AO538" s="767">
        <f t="shared" si="475"/>
        <v>0</v>
      </c>
      <c r="AP538" s="767">
        <f t="shared" si="473"/>
        <v>0</v>
      </c>
      <c r="AQ538" s="768">
        <f t="shared" si="473"/>
        <v>0</v>
      </c>
      <c r="AR538" s="769">
        <f t="shared" si="473"/>
        <v>0</v>
      </c>
      <c r="AS538" s="766">
        <f t="shared" si="473"/>
        <v>0</v>
      </c>
      <c r="AT538" s="767">
        <f t="shared" si="473"/>
        <v>0</v>
      </c>
      <c r="AU538" s="767">
        <f t="shared" ref="AU538:BB538" si="476">+AU537/AU$543</f>
        <v>0</v>
      </c>
      <c r="AV538" s="768">
        <f t="shared" si="476"/>
        <v>0</v>
      </c>
      <c r="AW538" s="769">
        <f t="shared" si="476"/>
        <v>0</v>
      </c>
      <c r="AX538" s="766">
        <f t="shared" si="476"/>
        <v>0</v>
      </c>
      <c r="AY538" s="767">
        <f t="shared" si="476"/>
        <v>0</v>
      </c>
      <c r="AZ538" s="767">
        <f t="shared" si="476"/>
        <v>0</v>
      </c>
      <c r="BA538" s="768">
        <f t="shared" si="476"/>
        <v>0</v>
      </c>
      <c r="BB538" s="769">
        <f t="shared" si="476"/>
        <v>0</v>
      </c>
      <c r="BC538" s="766">
        <f t="shared" ref="BC538:BL538" si="477">+BC537/BC$543</f>
        <v>0</v>
      </c>
      <c r="BD538" s="767">
        <f t="shared" si="477"/>
        <v>0</v>
      </c>
      <c r="BE538" s="767">
        <f t="shared" si="477"/>
        <v>0</v>
      </c>
      <c r="BF538" s="768">
        <f t="shared" si="477"/>
        <v>0</v>
      </c>
      <c r="BG538" s="769">
        <f t="shared" si="477"/>
        <v>0</v>
      </c>
      <c r="BH538" s="766">
        <f t="shared" si="477"/>
        <v>0</v>
      </c>
      <c r="BI538" s="767">
        <f t="shared" si="477"/>
        <v>0</v>
      </c>
      <c r="BJ538" s="767">
        <f t="shared" si="477"/>
        <v>0</v>
      </c>
      <c r="BK538" s="768">
        <f t="shared" si="477"/>
        <v>0</v>
      </c>
      <c r="BL538" s="769">
        <f t="shared" si="477"/>
        <v>0</v>
      </c>
      <c r="BM538" s="766">
        <f>+BM537/BM$543</f>
        <v>0</v>
      </c>
      <c r="BN538" s="767">
        <f>+BN537/BN$543</f>
        <v>0</v>
      </c>
      <c r="BO538" s="767">
        <f>+BO537/BO$543</f>
        <v>0</v>
      </c>
      <c r="BP538" s="768">
        <f>+BP537/BP$543</f>
        <v>0</v>
      </c>
      <c r="BQ538" s="769">
        <f>+BQ537/BQ$543</f>
        <v>0</v>
      </c>
    </row>
    <row r="539" spans="1:69" s="2" customFormat="1">
      <c r="A539" s="1523"/>
      <c r="C539" s="547"/>
      <c r="E539" s="506"/>
      <c r="F539" s="507"/>
      <c r="G539" s="507"/>
      <c r="H539" s="508"/>
      <c r="I539" s="510"/>
      <c r="J539" s="506"/>
      <c r="K539" s="507"/>
      <c r="L539" s="507"/>
      <c r="M539" s="508"/>
      <c r="N539" s="510"/>
      <c r="O539" s="506"/>
      <c r="P539" s="507"/>
      <c r="Q539" s="507"/>
      <c r="R539" s="508"/>
      <c r="S539" s="510"/>
      <c r="T539" s="506"/>
      <c r="U539" s="507"/>
      <c r="V539" s="507"/>
      <c r="W539" s="508"/>
      <c r="X539" s="510"/>
      <c r="Y539" s="506"/>
      <c r="Z539" s="507"/>
      <c r="AA539" s="507"/>
      <c r="AB539" s="508"/>
      <c r="AC539" s="476"/>
      <c r="AD539" s="506"/>
      <c r="AE539" s="507"/>
      <c r="AF539" s="507"/>
      <c r="AG539" s="508"/>
      <c r="AH539" s="476"/>
      <c r="AI539" s="506"/>
      <c r="AJ539" s="507"/>
      <c r="AK539" s="507"/>
      <c r="AL539" s="508"/>
      <c r="AM539" s="476"/>
      <c r="AN539" s="506"/>
      <c r="AO539" s="507"/>
      <c r="AP539" s="507"/>
      <c r="AQ539" s="508"/>
      <c r="AR539" s="476"/>
      <c r="AS539" s="506"/>
      <c r="AT539" s="507"/>
      <c r="AU539" s="507"/>
      <c r="AV539" s="508"/>
      <c r="AW539" s="476"/>
      <c r="AX539" s="434"/>
      <c r="AY539" s="435"/>
      <c r="AZ539" s="435"/>
      <c r="BA539" s="436"/>
      <c r="BB539" s="437"/>
      <c r="BC539" s="434"/>
      <c r="BD539" s="435"/>
      <c r="BE539" s="435"/>
      <c r="BF539" s="436"/>
      <c r="BG539" s="437"/>
      <c r="BH539" s="434"/>
      <c r="BI539" s="435"/>
      <c r="BJ539" s="435"/>
      <c r="BK539" s="436"/>
      <c r="BL539" s="437"/>
      <c r="BM539" s="434"/>
      <c r="BN539" s="435"/>
      <c r="BO539" s="435"/>
      <c r="BP539" s="436"/>
      <c r="BQ539" s="437"/>
    </row>
    <row r="540" spans="1:69" s="2" customFormat="1">
      <c r="A540" s="1523"/>
      <c r="C540" s="545" t="s">
        <v>264</v>
      </c>
      <c r="E540" s="506">
        <v>4009</v>
      </c>
      <c r="F540" s="507">
        <v>4040</v>
      </c>
      <c r="G540" s="507">
        <v>4230</v>
      </c>
      <c r="H540" s="508">
        <v>4467</v>
      </c>
      <c r="I540" s="510">
        <f>H540</f>
        <v>4467</v>
      </c>
      <c r="J540" s="506">
        <v>4747</v>
      </c>
      <c r="K540" s="507">
        <v>4661</v>
      </c>
      <c r="L540" s="507">
        <v>4883</v>
      </c>
      <c r="M540" s="508">
        <v>5027</v>
      </c>
      <c r="N540" s="510">
        <f>M540</f>
        <v>5027</v>
      </c>
      <c r="O540" s="506">
        <v>5181</v>
      </c>
      <c r="P540" s="507">
        <v>5214</v>
      </c>
      <c r="Q540" s="507">
        <v>5437</v>
      </c>
      <c r="R540" s="508">
        <v>5444</v>
      </c>
      <c r="S540" s="510">
        <f>R540</f>
        <v>5444</v>
      </c>
      <c r="T540" s="506">
        <v>5442</v>
      </c>
      <c r="U540" s="507">
        <v>5227</v>
      </c>
      <c r="V540" s="507">
        <v>5393</v>
      </c>
      <c r="W540" s="508">
        <v>5439</v>
      </c>
      <c r="X540" s="510">
        <f>W540</f>
        <v>5439</v>
      </c>
      <c r="Y540" s="506">
        <v>5358</v>
      </c>
      <c r="Z540" s="507">
        <v>5305</v>
      </c>
      <c r="AA540" s="507">
        <v>5359</v>
      </c>
      <c r="AB540" s="508">
        <v>5858</v>
      </c>
      <c r="AC540" s="476">
        <f>AB540</f>
        <v>5858</v>
      </c>
      <c r="AD540" s="506">
        <v>5653</v>
      </c>
      <c r="AE540" s="507">
        <v>5520</v>
      </c>
      <c r="AF540" s="507">
        <v>5515</v>
      </c>
      <c r="AG540" s="508">
        <v>5558</v>
      </c>
      <c r="AH540" s="476">
        <f>AG540</f>
        <v>5558</v>
      </c>
      <c r="AI540" s="506">
        <v>5705</v>
      </c>
      <c r="AJ540" s="507">
        <v>5664</v>
      </c>
      <c r="AK540" s="507">
        <v>5849</v>
      </c>
      <c r="AL540" s="508">
        <v>6002</v>
      </c>
      <c r="AM540" s="476">
        <f>AL540</f>
        <v>6002</v>
      </c>
      <c r="AN540" s="506">
        <v>6217</v>
      </c>
      <c r="AO540" s="507">
        <v>6222</v>
      </c>
      <c r="AP540" s="507">
        <v>6140</v>
      </c>
      <c r="AQ540" s="508">
        <v>5799</v>
      </c>
      <c r="AR540" s="476">
        <f>AQ540</f>
        <v>5799</v>
      </c>
      <c r="AS540" s="506">
        <v>5478</v>
      </c>
      <c r="AT540" s="507">
        <v>5396</v>
      </c>
      <c r="AU540" s="507">
        <v>5377</v>
      </c>
      <c r="AV540" s="508">
        <v>5967</v>
      </c>
      <c r="AW540" s="476">
        <f>AV540</f>
        <v>5967</v>
      </c>
      <c r="AX540" s="434">
        <f>AV540+AX519+AX33</f>
        <v>6070.8850771304633</v>
      </c>
      <c r="AY540" s="435">
        <f>AX540+AY519+AY33</f>
        <v>6100.1939055638341</v>
      </c>
      <c r="AZ540" s="435">
        <f>AY540+AZ519+AZ33</f>
        <v>6266.0159757462161</v>
      </c>
      <c r="BA540" s="436">
        <f>AY540+BA519+BA33</f>
        <v>6012.5797791578252</v>
      </c>
      <c r="BB540" s="437">
        <f>BA540</f>
        <v>6012.5797791578252</v>
      </c>
      <c r="BC540" s="434">
        <f>BA540+BC519+BC33</f>
        <v>6089.6285911227815</v>
      </c>
      <c r="BD540" s="435">
        <f>BC540+BD519+BD33</f>
        <v>6111.0414458848345</v>
      </c>
      <c r="BE540" s="435">
        <f>BD540+BE519+BE33</f>
        <v>6110.1047284404167</v>
      </c>
      <c r="BF540" s="436">
        <f>BE540+BF519+BF33</f>
        <v>5979.4014737640819</v>
      </c>
      <c r="BG540" s="437">
        <f>BF540</f>
        <v>5979.4014737640819</v>
      </c>
      <c r="BH540" s="434">
        <f>BF540+BH519+BH33</f>
        <v>6109.9128673468558</v>
      </c>
      <c r="BI540" s="435">
        <f>BH540+BI519+BI33</f>
        <v>6143.1028472247526</v>
      </c>
      <c r="BJ540" s="435">
        <f>BI540+BJ519+BJ33</f>
        <v>6202.1690155228089</v>
      </c>
      <c r="BK540" s="436">
        <f>BJ540+BK519+BK33</f>
        <v>6154.4940922813494</v>
      </c>
      <c r="BL540" s="437">
        <f>BK540</f>
        <v>6154.4940922813494</v>
      </c>
      <c r="BM540" s="434">
        <f>BK540+BM519+BM33</f>
        <v>6268.5425585711164</v>
      </c>
      <c r="BN540" s="435">
        <f>BM540+BN519+BN33</f>
        <v>6323.301892962093</v>
      </c>
      <c r="BO540" s="435">
        <f>BN540+BO519+BO33</f>
        <v>6375.1775143061159</v>
      </c>
      <c r="BP540" s="436">
        <f>BO540+BP519+BP33</f>
        <v>6349.920825985876</v>
      </c>
      <c r="BQ540" s="437">
        <f>BP540</f>
        <v>6349.920825985876</v>
      </c>
    </row>
    <row r="541" spans="1:69" s="2" customFormat="1">
      <c r="A541" s="1523"/>
      <c r="C541" s="546" t="s">
        <v>656</v>
      </c>
      <c r="E541" s="766">
        <f t="shared" ref="E541:AC541" si="478">+E540/E$543</f>
        <v>0.56298272714506392</v>
      </c>
      <c r="F541" s="767">
        <f t="shared" si="478"/>
        <v>0.58533758330918573</v>
      </c>
      <c r="G541" s="767">
        <f t="shared" si="478"/>
        <v>0.56694813027744273</v>
      </c>
      <c r="H541" s="768">
        <f t="shared" si="478"/>
        <v>0.57342747111681647</v>
      </c>
      <c r="I541" s="769">
        <f t="shared" si="478"/>
        <v>0.57342747111681647</v>
      </c>
      <c r="J541" s="766">
        <f t="shared" si="478"/>
        <v>0.59989890054340955</v>
      </c>
      <c r="K541" s="767">
        <f t="shared" si="478"/>
        <v>0.57436845348120769</v>
      </c>
      <c r="L541" s="767">
        <f t="shared" si="478"/>
        <v>0.5856320460542096</v>
      </c>
      <c r="M541" s="768">
        <f t="shared" si="478"/>
        <v>0.59217811285192601</v>
      </c>
      <c r="N541" s="769">
        <f t="shared" si="478"/>
        <v>0.59217811285192601</v>
      </c>
      <c r="O541" s="766">
        <f t="shared" si="478"/>
        <v>0.59986106286905172</v>
      </c>
      <c r="P541" s="767">
        <f t="shared" si="478"/>
        <v>0.64649721016738992</v>
      </c>
      <c r="Q541" s="767">
        <f t="shared" si="478"/>
        <v>0.61875497894617049</v>
      </c>
      <c r="R541" s="768">
        <f t="shared" si="478"/>
        <v>0.66430750457596099</v>
      </c>
      <c r="S541" s="769">
        <f t="shared" si="478"/>
        <v>0.66430750457596099</v>
      </c>
      <c r="T541" s="766">
        <f t="shared" si="478"/>
        <v>0.66961978589885562</v>
      </c>
      <c r="U541" s="767">
        <f>+U540/U$543</f>
        <v>0.66055857449766209</v>
      </c>
      <c r="V541" s="767">
        <f>+V540/V$543</f>
        <v>0.66753311053348185</v>
      </c>
      <c r="W541" s="768">
        <f t="shared" si="478"/>
        <v>0.69919012726571539</v>
      </c>
      <c r="X541" s="769">
        <f t="shared" si="478"/>
        <v>0.69919012726571539</v>
      </c>
      <c r="Y541" s="766">
        <f t="shared" si="478"/>
        <v>0.696024941543258</v>
      </c>
      <c r="Z541" s="767">
        <f t="shared" si="478"/>
        <v>0.72216172066430706</v>
      </c>
      <c r="AA541" s="767">
        <f>+AA540/AA$543</f>
        <v>0.72418918918918918</v>
      </c>
      <c r="AB541" s="768">
        <f>+AB540/AB$543</f>
        <v>0.69746398380759611</v>
      </c>
      <c r="AC541" s="769">
        <f t="shared" si="478"/>
        <v>0.69746398380759611</v>
      </c>
      <c r="AD541" s="766">
        <f t="shared" ref="AD541:AI541" si="479">+AD540/AD$543</f>
        <v>0.68989504515499145</v>
      </c>
      <c r="AE541" s="767">
        <f t="shared" si="479"/>
        <v>0.68469362441081616</v>
      </c>
      <c r="AF541" s="767">
        <f t="shared" si="479"/>
        <v>0.68441300570861252</v>
      </c>
      <c r="AG541" s="768">
        <f t="shared" si="479"/>
        <v>0.68608813726700413</v>
      </c>
      <c r="AH541" s="769">
        <f t="shared" si="479"/>
        <v>0.68608813726700413</v>
      </c>
      <c r="AI541" s="766">
        <f t="shared" si="479"/>
        <v>0.69159898169475087</v>
      </c>
      <c r="AJ541" s="767">
        <f t="shared" ref="AJ541:AO541" si="480">+AJ540/AJ$543</f>
        <v>0.6900584795321637</v>
      </c>
      <c r="AK541" s="767">
        <f t="shared" si="480"/>
        <v>0.69689026569760515</v>
      </c>
      <c r="AL541" s="768">
        <f t="shared" si="480"/>
        <v>0.7284864668042238</v>
      </c>
      <c r="AM541" s="769">
        <f t="shared" si="480"/>
        <v>0.7284864668042238</v>
      </c>
      <c r="AN541" s="766">
        <f t="shared" si="480"/>
        <v>0.735304553518628</v>
      </c>
      <c r="AO541" s="767">
        <f t="shared" si="480"/>
        <v>0.6796286182413982</v>
      </c>
      <c r="AP541" s="767">
        <f t="shared" ref="AP541:AU541" si="481">+AP540/AP$543</f>
        <v>0.72057270273442087</v>
      </c>
      <c r="AQ541" s="768">
        <f t="shared" si="481"/>
        <v>0.70883755042170882</v>
      </c>
      <c r="AR541" s="769">
        <f t="shared" si="481"/>
        <v>0.70883755042170882</v>
      </c>
      <c r="AS541" s="766">
        <f t="shared" si="481"/>
        <v>0.69685790611881437</v>
      </c>
      <c r="AT541" s="767">
        <f t="shared" si="481"/>
        <v>0.69357326478149095</v>
      </c>
      <c r="AU541" s="767">
        <f t="shared" si="481"/>
        <v>0.69273383148673018</v>
      </c>
      <c r="AV541" s="768">
        <f t="shared" ref="AV541:BB541" si="482">+AV540/AV$543</f>
        <v>0.69110493398193185</v>
      </c>
      <c r="AW541" s="769">
        <f t="shared" si="482"/>
        <v>0.69110493398193185</v>
      </c>
      <c r="AX541" s="766">
        <f t="shared" si="482"/>
        <v>0.70380103463435373</v>
      </c>
      <c r="AY541" s="767">
        <f t="shared" si="482"/>
        <v>0.7053081383303782</v>
      </c>
      <c r="AZ541" s="767">
        <f t="shared" si="482"/>
        <v>0.70388729842972042</v>
      </c>
      <c r="BA541" s="768">
        <f t="shared" si="482"/>
        <v>0.6933824728778758</v>
      </c>
      <c r="BB541" s="769">
        <f t="shared" si="482"/>
        <v>0.6933824728778758</v>
      </c>
      <c r="BC541" s="766">
        <f t="shared" ref="BC541:BL541" si="483">+BC540/BC$543</f>
        <v>0.70599836975040375</v>
      </c>
      <c r="BD541" s="767">
        <f t="shared" si="483"/>
        <v>0.71224964711859351</v>
      </c>
      <c r="BE541" s="767">
        <f t="shared" si="483"/>
        <v>0.71593417514781299</v>
      </c>
      <c r="BF541" s="768">
        <f t="shared" si="483"/>
        <v>0.70435719473523695</v>
      </c>
      <c r="BG541" s="769">
        <f t="shared" si="483"/>
        <v>0.70435719473523695</v>
      </c>
      <c r="BH541" s="766">
        <f t="shared" si="483"/>
        <v>0.72272069064237165</v>
      </c>
      <c r="BI541" s="767">
        <f t="shared" si="483"/>
        <v>0.72964964586902237</v>
      </c>
      <c r="BJ541" s="767">
        <f t="shared" si="483"/>
        <v>0.73939485530695948</v>
      </c>
      <c r="BK541" s="768">
        <f t="shared" si="483"/>
        <v>0.73701085655948617</v>
      </c>
      <c r="BL541" s="769">
        <f t="shared" si="483"/>
        <v>0.73701085655948617</v>
      </c>
      <c r="BM541" s="766">
        <f>+BM540/BM$543</f>
        <v>0.74144077164957212</v>
      </c>
      <c r="BN541" s="767">
        <f>+BN540/BN$543</f>
        <v>0.76292734106500948</v>
      </c>
      <c r="BO541" s="767">
        <f>+BO540/BO$543</f>
        <v>0.7624736472103455</v>
      </c>
      <c r="BP541" s="768">
        <f>+BP540/BP$543</f>
        <v>0.76175397518064625</v>
      </c>
      <c r="BQ541" s="769">
        <f>+BQ540/BQ$543</f>
        <v>0.76175397518064625</v>
      </c>
    </row>
    <row r="542" spans="1:69" s="2" customFormat="1">
      <c r="A542" s="1523"/>
      <c r="C542" s="564"/>
      <c r="E542" s="506"/>
      <c r="F542" s="507"/>
      <c r="G542" s="507"/>
      <c r="H542" s="508"/>
      <c r="I542" s="510"/>
      <c r="J542" s="506"/>
      <c r="K542" s="507"/>
      <c r="L542" s="507"/>
      <c r="M542" s="508"/>
      <c r="N542" s="510"/>
      <c r="O542" s="506"/>
      <c r="P542" s="507"/>
      <c r="Q542" s="507"/>
      <c r="R542" s="508"/>
      <c r="S542" s="510"/>
      <c r="T542" s="506"/>
      <c r="U542" s="507"/>
      <c r="V542" s="507"/>
      <c r="W542" s="508"/>
      <c r="X542" s="510"/>
      <c r="Y542" s="506"/>
      <c r="Z542" s="507"/>
      <c r="AA542" s="507"/>
      <c r="AB542" s="508"/>
      <c r="AC542" s="437"/>
      <c r="AD542" s="506"/>
      <c r="AE542" s="507"/>
      <c r="AF542" s="507"/>
      <c r="AG542" s="508"/>
      <c r="AH542" s="437"/>
      <c r="AI542" s="506"/>
      <c r="AJ542" s="507"/>
      <c r="AK542" s="507"/>
      <c r="AL542" s="508"/>
      <c r="AM542" s="437"/>
      <c r="AN542" s="506"/>
      <c r="AO542" s="507"/>
      <c r="AP542" s="507"/>
      <c r="AQ542" s="508"/>
      <c r="AR542" s="437"/>
      <c r="AS542" s="506"/>
      <c r="AT542" s="507"/>
      <c r="AU542" s="507"/>
      <c r="AV542" s="508"/>
      <c r="AW542" s="437"/>
      <c r="AX542" s="434"/>
      <c r="AY542" s="435"/>
      <c r="AZ542" s="435"/>
      <c r="BA542" s="436"/>
      <c r="BB542" s="437"/>
      <c r="BC542" s="434"/>
      <c r="BD542" s="435"/>
      <c r="BE542" s="435"/>
      <c r="BF542" s="436"/>
      <c r="BG542" s="437"/>
      <c r="BH542" s="434"/>
      <c r="BI542" s="435"/>
      <c r="BJ542" s="435"/>
      <c r="BK542" s="436"/>
      <c r="BL542" s="437"/>
      <c r="BM542" s="434"/>
      <c r="BN542" s="435"/>
      <c r="BO542" s="435"/>
      <c r="BP542" s="436"/>
      <c r="BQ542" s="437"/>
    </row>
    <row r="543" spans="1:69" s="2" customFormat="1">
      <c r="A543" s="1523"/>
      <c r="C543" s="545" t="s">
        <v>564</v>
      </c>
      <c r="E543" s="477">
        <f>+E540+E537+E534</f>
        <v>7121</v>
      </c>
      <c r="F543" s="478">
        <f t="shared" ref="F543:AC543" si="484">+F540+F537+F534</f>
        <v>6902</v>
      </c>
      <c r="G543" s="478">
        <f t="shared" si="484"/>
        <v>7461</v>
      </c>
      <c r="H543" s="479">
        <f t="shared" si="484"/>
        <v>7790</v>
      </c>
      <c r="I543" s="475">
        <f t="shared" si="484"/>
        <v>7790</v>
      </c>
      <c r="J543" s="477">
        <f t="shared" si="484"/>
        <v>7913</v>
      </c>
      <c r="K543" s="478">
        <f t="shared" si="484"/>
        <v>8115</v>
      </c>
      <c r="L543" s="478">
        <f t="shared" si="484"/>
        <v>8338</v>
      </c>
      <c r="M543" s="479">
        <f t="shared" si="484"/>
        <v>8489</v>
      </c>
      <c r="N543" s="475">
        <f t="shared" si="484"/>
        <v>8489</v>
      </c>
      <c r="O543" s="477">
        <f t="shared" si="484"/>
        <v>8637</v>
      </c>
      <c r="P543" s="478">
        <f t="shared" si="484"/>
        <v>8065</v>
      </c>
      <c r="Q543" s="478">
        <f t="shared" si="484"/>
        <v>8787</v>
      </c>
      <c r="R543" s="479">
        <f t="shared" si="484"/>
        <v>8195</v>
      </c>
      <c r="S543" s="475">
        <f t="shared" si="484"/>
        <v>8195</v>
      </c>
      <c r="T543" s="477">
        <f t="shared" si="484"/>
        <v>8127</v>
      </c>
      <c r="U543" s="478">
        <f t="shared" si="484"/>
        <v>7913</v>
      </c>
      <c r="V543" s="478">
        <f>+V540+V537+V534</f>
        <v>8079</v>
      </c>
      <c r="W543" s="479">
        <f t="shared" si="484"/>
        <v>7779</v>
      </c>
      <c r="X543" s="475">
        <f>+X540+X537+X534</f>
        <v>7779</v>
      </c>
      <c r="Y543" s="477">
        <f t="shared" si="484"/>
        <v>7698</v>
      </c>
      <c r="Z543" s="478">
        <f t="shared" si="484"/>
        <v>7346</v>
      </c>
      <c r="AA543" s="478">
        <f>+AA540+AA537+AA534</f>
        <v>7400</v>
      </c>
      <c r="AB543" s="479">
        <f>+AB540+AB537+AB534</f>
        <v>8399</v>
      </c>
      <c r="AC543" s="475">
        <f t="shared" si="484"/>
        <v>8399</v>
      </c>
      <c r="AD543" s="477">
        <f t="shared" ref="AD543:AI543" si="485">+AD540+AD537+AD534</f>
        <v>8194</v>
      </c>
      <c r="AE543" s="478">
        <f t="shared" si="485"/>
        <v>8062</v>
      </c>
      <c r="AF543" s="478">
        <f t="shared" si="485"/>
        <v>8058</v>
      </c>
      <c r="AG543" s="479">
        <f t="shared" si="485"/>
        <v>8101</v>
      </c>
      <c r="AH543" s="475">
        <f t="shared" si="485"/>
        <v>8101</v>
      </c>
      <c r="AI543" s="477">
        <f t="shared" si="485"/>
        <v>8249</v>
      </c>
      <c r="AJ543" s="478">
        <f t="shared" ref="AJ543:AO543" si="486">+AJ540+AJ537+AJ534</f>
        <v>8208</v>
      </c>
      <c r="AK543" s="478">
        <f t="shared" si="486"/>
        <v>8393</v>
      </c>
      <c r="AL543" s="479">
        <f t="shared" si="486"/>
        <v>8239</v>
      </c>
      <c r="AM543" s="475">
        <f t="shared" si="486"/>
        <v>8239</v>
      </c>
      <c r="AN543" s="477">
        <f t="shared" si="486"/>
        <v>8455</v>
      </c>
      <c r="AO543" s="478">
        <f t="shared" si="486"/>
        <v>9155</v>
      </c>
      <c r="AP543" s="478">
        <f t="shared" ref="AP543:AU543" si="487">+AP540+AP537+AP534</f>
        <v>8521</v>
      </c>
      <c r="AQ543" s="479">
        <f t="shared" si="487"/>
        <v>8181</v>
      </c>
      <c r="AR543" s="475">
        <f t="shared" si="487"/>
        <v>8181</v>
      </c>
      <c r="AS543" s="477">
        <f t="shared" si="487"/>
        <v>7861</v>
      </c>
      <c r="AT543" s="478">
        <f t="shared" si="487"/>
        <v>7780</v>
      </c>
      <c r="AU543" s="478">
        <f t="shared" si="487"/>
        <v>7762</v>
      </c>
      <c r="AV543" s="479">
        <f t="shared" ref="AV543:BB543" si="488">+AV540+AV537+AV534</f>
        <v>8634</v>
      </c>
      <c r="AW543" s="475">
        <f t="shared" si="488"/>
        <v>8634</v>
      </c>
      <c r="AX543" s="477">
        <f t="shared" si="488"/>
        <v>8625.854152494212</v>
      </c>
      <c r="AY543" s="478">
        <f t="shared" si="488"/>
        <v>8648.9770556233125</v>
      </c>
      <c r="AZ543" s="478">
        <f t="shared" si="488"/>
        <v>8902.015975746217</v>
      </c>
      <c r="BA543" s="479">
        <f t="shared" si="488"/>
        <v>8671.3754880516135</v>
      </c>
      <c r="BB543" s="475">
        <f t="shared" si="488"/>
        <v>8671.3754880516135</v>
      </c>
      <c r="BC543" s="477">
        <f t="shared" ref="BC543:BL543" si="489">+BC540+BC537+BC534</f>
        <v>8625.5561656263999</v>
      </c>
      <c r="BD543" s="478">
        <f t="shared" si="489"/>
        <v>8579.9150208175706</v>
      </c>
      <c r="BE543" s="478">
        <f t="shared" si="489"/>
        <v>8534.4504292994734</v>
      </c>
      <c r="BF543" s="479">
        <f t="shared" si="489"/>
        <v>8489.1607815714833</v>
      </c>
      <c r="BG543" s="475">
        <f t="shared" si="489"/>
        <v>8489.1607815714833</v>
      </c>
      <c r="BH543" s="477">
        <f t="shared" si="489"/>
        <v>8454.0444828225645</v>
      </c>
      <c r="BI543" s="478">
        <f t="shared" si="489"/>
        <v>8419.2500907860176</v>
      </c>
      <c r="BJ543" s="478">
        <f t="shared" si="489"/>
        <v>8388.1690155228098</v>
      </c>
      <c r="BK543" s="479">
        <f t="shared" si="489"/>
        <v>8350.6152419677455</v>
      </c>
      <c r="BL543" s="475">
        <f t="shared" si="489"/>
        <v>8350.6152419677455</v>
      </c>
      <c r="BM543" s="477">
        <f>+BM540+BM537+BM534</f>
        <v>8454.5425585711164</v>
      </c>
      <c r="BN543" s="478">
        <f>+BN540+BN537+BN534</f>
        <v>8288.2098367782582</v>
      </c>
      <c r="BO543" s="478">
        <f>+BO540+BO537+BO534</f>
        <v>8361.1775143061168</v>
      </c>
      <c r="BP543" s="479">
        <f>+BP540+BP537+BP534</f>
        <v>8335.9208259858751</v>
      </c>
      <c r="BQ543" s="475">
        <f>+BQ540+BQ537+BQ534</f>
        <v>8335.9208259858751</v>
      </c>
    </row>
    <row r="544" spans="1:69" s="2" customFormat="1">
      <c r="A544" s="1523"/>
      <c r="C544" s="546" t="s">
        <v>656</v>
      </c>
      <c r="E544" s="766">
        <f t="shared" ref="E544:AC544" si="490">+E543/E$543</f>
        <v>1</v>
      </c>
      <c r="F544" s="767">
        <f t="shared" si="490"/>
        <v>1</v>
      </c>
      <c r="G544" s="767">
        <f t="shared" si="490"/>
        <v>1</v>
      </c>
      <c r="H544" s="768">
        <f t="shared" si="490"/>
        <v>1</v>
      </c>
      <c r="I544" s="769">
        <f t="shared" si="490"/>
        <v>1</v>
      </c>
      <c r="J544" s="766">
        <f t="shared" si="490"/>
        <v>1</v>
      </c>
      <c r="K544" s="767">
        <f t="shared" si="490"/>
        <v>1</v>
      </c>
      <c r="L544" s="767">
        <f t="shared" si="490"/>
        <v>1</v>
      </c>
      <c r="M544" s="768">
        <f t="shared" si="490"/>
        <v>1</v>
      </c>
      <c r="N544" s="769">
        <f t="shared" si="490"/>
        <v>1</v>
      </c>
      <c r="O544" s="766">
        <f t="shared" si="490"/>
        <v>1</v>
      </c>
      <c r="P544" s="767">
        <f t="shared" si="490"/>
        <v>1</v>
      </c>
      <c r="Q544" s="767">
        <f t="shared" si="490"/>
        <v>1</v>
      </c>
      <c r="R544" s="768">
        <f t="shared" si="490"/>
        <v>1</v>
      </c>
      <c r="S544" s="769">
        <f t="shared" si="490"/>
        <v>1</v>
      </c>
      <c r="T544" s="766">
        <f t="shared" si="490"/>
        <v>1</v>
      </c>
      <c r="U544" s="767">
        <f>+U543/U$543</f>
        <v>1</v>
      </c>
      <c r="V544" s="767">
        <f>+V543/V$543</f>
        <v>1</v>
      </c>
      <c r="W544" s="768">
        <f t="shared" si="490"/>
        <v>1</v>
      </c>
      <c r="X544" s="769">
        <f t="shared" si="490"/>
        <v>1</v>
      </c>
      <c r="Y544" s="766">
        <f t="shared" si="490"/>
        <v>1</v>
      </c>
      <c r="Z544" s="767">
        <f t="shared" si="490"/>
        <v>1</v>
      </c>
      <c r="AA544" s="767">
        <f>+AA543/AA$543</f>
        <v>1</v>
      </c>
      <c r="AB544" s="768">
        <f>+AB543/AB$543</f>
        <v>1</v>
      </c>
      <c r="AC544" s="769">
        <f t="shared" si="490"/>
        <v>1</v>
      </c>
      <c r="AD544" s="766">
        <f t="shared" ref="AD544:AI544" si="491">+AD543/AD$543</f>
        <v>1</v>
      </c>
      <c r="AE544" s="767">
        <f t="shared" si="491"/>
        <v>1</v>
      </c>
      <c r="AF544" s="767">
        <f t="shared" si="491"/>
        <v>1</v>
      </c>
      <c r="AG544" s="768">
        <f t="shared" si="491"/>
        <v>1</v>
      </c>
      <c r="AH544" s="769">
        <f t="shared" si="491"/>
        <v>1</v>
      </c>
      <c r="AI544" s="766">
        <f t="shared" si="491"/>
        <v>1</v>
      </c>
      <c r="AJ544" s="767">
        <f t="shared" ref="AJ544:AO544" si="492">+AJ543/AJ$543</f>
        <v>1</v>
      </c>
      <c r="AK544" s="767">
        <f t="shared" si="492"/>
        <v>1</v>
      </c>
      <c r="AL544" s="768">
        <f t="shared" si="492"/>
        <v>1</v>
      </c>
      <c r="AM544" s="769">
        <f t="shared" si="492"/>
        <v>1</v>
      </c>
      <c r="AN544" s="766">
        <f t="shared" si="492"/>
        <v>1</v>
      </c>
      <c r="AO544" s="767">
        <f t="shared" si="492"/>
        <v>1</v>
      </c>
      <c r="AP544" s="767">
        <f t="shared" ref="AP544:AU544" si="493">+AP543/AP$543</f>
        <v>1</v>
      </c>
      <c r="AQ544" s="768">
        <f t="shared" si="493"/>
        <v>1</v>
      </c>
      <c r="AR544" s="769">
        <f t="shared" si="493"/>
        <v>1</v>
      </c>
      <c r="AS544" s="766">
        <f t="shared" si="493"/>
        <v>1</v>
      </c>
      <c r="AT544" s="767">
        <f t="shared" si="493"/>
        <v>1</v>
      </c>
      <c r="AU544" s="767">
        <f t="shared" si="493"/>
        <v>1</v>
      </c>
      <c r="AV544" s="768">
        <f t="shared" ref="AV544:BB544" si="494">+AV543/AV$543</f>
        <v>1</v>
      </c>
      <c r="AW544" s="769">
        <f t="shared" si="494"/>
        <v>1</v>
      </c>
      <c r="AX544" s="766">
        <f t="shared" si="494"/>
        <v>1</v>
      </c>
      <c r="AY544" s="767">
        <f t="shared" si="494"/>
        <v>1</v>
      </c>
      <c r="AZ544" s="767">
        <f t="shared" si="494"/>
        <v>1</v>
      </c>
      <c r="BA544" s="768">
        <f t="shared" si="494"/>
        <v>1</v>
      </c>
      <c r="BB544" s="769">
        <f t="shared" si="494"/>
        <v>1</v>
      </c>
      <c r="BC544" s="766">
        <f t="shared" ref="BC544:BL544" si="495">+BC543/BC$543</f>
        <v>1</v>
      </c>
      <c r="BD544" s="767">
        <f t="shared" si="495"/>
        <v>1</v>
      </c>
      <c r="BE544" s="767">
        <f t="shared" si="495"/>
        <v>1</v>
      </c>
      <c r="BF544" s="768">
        <f t="shared" si="495"/>
        <v>1</v>
      </c>
      <c r="BG544" s="769">
        <f t="shared" si="495"/>
        <v>1</v>
      </c>
      <c r="BH544" s="766">
        <f t="shared" si="495"/>
        <v>1</v>
      </c>
      <c r="BI544" s="767">
        <f t="shared" si="495"/>
        <v>1</v>
      </c>
      <c r="BJ544" s="767">
        <f t="shared" si="495"/>
        <v>1</v>
      </c>
      <c r="BK544" s="768">
        <f t="shared" si="495"/>
        <v>1</v>
      </c>
      <c r="BL544" s="769">
        <f t="shared" si="495"/>
        <v>1</v>
      </c>
      <c r="BM544" s="766">
        <f>+BM543/BM$543</f>
        <v>1</v>
      </c>
      <c r="BN544" s="767">
        <f>+BN543/BN$543</f>
        <v>1</v>
      </c>
      <c r="BO544" s="767">
        <f>+BO543/BO$543</f>
        <v>1</v>
      </c>
      <c r="BP544" s="768">
        <f>+BP543/BP$543</f>
        <v>1</v>
      </c>
      <c r="BQ544" s="769">
        <f>+BQ543/BQ$543</f>
        <v>1</v>
      </c>
    </row>
    <row r="545" spans="1:69" s="2" customFormat="1">
      <c r="A545" s="1523"/>
      <c r="C545" s="37"/>
      <c r="E545" s="472"/>
      <c r="F545" s="473"/>
      <c r="G545" s="473"/>
      <c r="H545" s="474"/>
      <c r="I545" s="437"/>
      <c r="J545" s="472"/>
      <c r="K545" s="473"/>
      <c r="L545" s="473"/>
      <c r="M545" s="474"/>
      <c r="N545" s="437"/>
      <c r="O545" s="472"/>
      <c r="P545" s="473"/>
      <c r="Q545" s="473"/>
      <c r="R545" s="474"/>
      <c r="S545" s="437"/>
      <c r="T545" s="472"/>
      <c r="U545" s="473"/>
      <c r="V545" s="473"/>
      <c r="W545" s="474"/>
      <c r="X545" s="437"/>
      <c r="Y545" s="472"/>
      <c r="Z545" s="473"/>
      <c r="AA545" s="473"/>
      <c r="AB545" s="474"/>
      <c r="AC545" s="437"/>
      <c r="AD545" s="472"/>
      <c r="AE545" s="473"/>
      <c r="AF545" s="473"/>
      <c r="AG545" s="474"/>
      <c r="AH545" s="437"/>
      <c r="AI545" s="472"/>
      <c r="AJ545" s="473"/>
      <c r="AK545" s="473"/>
      <c r="AL545" s="474"/>
      <c r="AM545" s="437"/>
      <c r="AN545" s="472"/>
      <c r="AO545" s="473"/>
      <c r="AP545" s="473"/>
      <c r="AQ545" s="474"/>
      <c r="AR545" s="437"/>
      <c r="AS545" s="472"/>
      <c r="AT545" s="473"/>
      <c r="AU545" s="473"/>
      <c r="AV545" s="474"/>
      <c r="AW545" s="437"/>
      <c r="AX545" s="472"/>
      <c r="AY545" s="473"/>
      <c r="AZ545" s="473"/>
      <c r="BA545" s="474"/>
      <c r="BB545" s="437"/>
      <c r="BC545" s="472"/>
      <c r="BD545" s="473"/>
      <c r="BE545" s="473"/>
      <c r="BF545" s="474"/>
      <c r="BG545" s="437"/>
      <c r="BH545" s="472"/>
      <c r="BI545" s="473"/>
      <c r="BJ545" s="473"/>
      <c r="BK545" s="474"/>
      <c r="BL545" s="437"/>
      <c r="BM545" s="472"/>
      <c r="BN545" s="473"/>
      <c r="BO545" s="473"/>
      <c r="BP545" s="474"/>
      <c r="BQ545" s="437"/>
    </row>
    <row r="546" spans="1:69" s="2" customFormat="1">
      <c r="A546" s="1523"/>
      <c r="C546" s="37"/>
      <c r="E546" s="472"/>
      <c r="F546" s="473"/>
      <c r="G546" s="473"/>
      <c r="H546" s="474"/>
      <c r="I546" s="437"/>
      <c r="J546" s="472"/>
      <c r="K546" s="473"/>
      <c r="L546" s="473"/>
      <c r="M546" s="474"/>
      <c r="N546" s="437"/>
      <c r="O546" s="472"/>
      <c r="P546" s="473"/>
      <c r="Q546" s="473"/>
      <c r="R546" s="474"/>
      <c r="S546" s="437"/>
      <c r="T546" s="472"/>
      <c r="U546" s="473"/>
      <c r="V546" s="473"/>
      <c r="W546" s="474"/>
      <c r="X546" s="437"/>
      <c r="Y546" s="472"/>
      <c r="Z546" s="473"/>
      <c r="AA546" s="473"/>
      <c r="AB546" s="474"/>
      <c r="AC546" s="437"/>
      <c r="AD546" s="472"/>
      <c r="AE546" s="473"/>
      <c r="AF546" s="473"/>
      <c r="AG546" s="474"/>
      <c r="AH546" s="437"/>
      <c r="AI546" s="472"/>
      <c r="AJ546" s="473"/>
      <c r="AK546" s="473"/>
      <c r="AL546" s="474"/>
      <c r="AM546" s="437"/>
      <c r="AN546" s="472"/>
      <c r="AO546" s="473"/>
      <c r="AP546" s="473"/>
      <c r="AQ546" s="474"/>
      <c r="AR546" s="437"/>
      <c r="AS546" s="472"/>
      <c r="AT546" s="473"/>
      <c r="AU546" s="473"/>
      <c r="AV546" s="474"/>
      <c r="AW546" s="437"/>
      <c r="AX546" s="472"/>
      <c r="AY546" s="473"/>
      <c r="AZ546" s="473"/>
      <c r="BA546" s="474"/>
      <c r="BB546" s="437"/>
      <c r="BC546" s="472"/>
      <c r="BD546" s="473"/>
      <c r="BE546" s="473"/>
      <c r="BF546" s="474"/>
      <c r="BG546" s="437"/>
      <c r="BH546" s="472"/>
      <c r="BI546" s="473"/>
      <c r="BJ546" s="473"/>
      <c r="BK546" s="474"/>
      <c r="BL546" s="437"/>
      <c r="BM546" s="472"/>
      <c r="BN546" s="473"/>
      <c r="BO546" s="473"/>
      <c r="BP546" s="474"/>
      <c r="BQ546" s="437"/>
    </row>
    <row r="547" spans="1:69" s="2" customFormat="1">
      <c r="A547" s="1523"/>
      <c r="B547" s="105" t="s">
        <v>657</v>
      </c>
      <c r="C547" s="277"/>
      <c r="D547" s="277"/>
      <c r="E547" s="511"/>
      <c r="F547" s="512"/>
      <c r="G547" s="512"/>
      <c r="H547" s="513"/>
      <c r="I547" s="437"/>
      <c r="J547" s="511"/>
      <c r="K547" s="512"/>
      <c r="L547" s="512"/>
      <c r="M547" s="513"/>
      <c r="N547" s="437"/>
      <c r="O547" s="511"/>
      <c r="P547" s="512"/>
      <c r="Q547" s="512"/>
      <c r="R547" s="513"/>
      <c r="S547" s="437"/>
      <c r="T547" s="511"/>
      <c r="U547" s="512"/>
      <c r="V547" s="512"/>
      <c r="W547" s="513"/>
      <c r="X547" s="437"/>
      <c r="Y547" s="511"/>
      <c r="Z547" s="512"/>
      <c r="AA547" s="512"/>
      <c r="AB547" s="513"/>
      <c r="AC547" s="437"/>
      <c r="AD547" s="511"/>
      <c r="AE547" s="512"/>
      <c r="AF547" s="512"/>
      <c r="AG547" s="513"/>
      <c r="AH547" s="437"/>
      <c r="AI547" s="511"/>
      <c r="AJ547" s="512"/>
      <c r="AK547" s="512"/>
      <c r="AL547" s="513"/>
      <c r="AM547" s="437"/>
      <c r="AN547" s="511"/>
      <c r="AO547" s="512"/>
      <c r="AP547" s="512"/>
      <c r="AQ547" s="513"/>
      <c r="AR547" s="437"/>
      <c r="AS547" s="511"/>
      <c r="AT547" s="512"/>
      <c r="AU547" s="512"/>
      <c r="AV547" s="513"/>
      <c r="AW547" s="437"/>
      <c r="AX547" s="511"/>
      <c r="AY547" s="512"/>
      <c r="AZ547" s="512"/>
      <c r="BA547" s="513"/>
      <c r="BB547" s="437"/>
      <c r="BC547" s="511"/>
      <c r="BD547" s="512"/>
      <c r="BE547" s="512"/>
      <c r="BF547" s="513"/>
      <c r="BG547" s="437"/>
      <c r="BH547" s="511"/>
      <c r="BI547" s="512"/>
      <c r="BJ547" s="512"/>
      <c r="BK547" s="513"/>
      <c r="BL547" s="437"/>
      <c r="BM547" s="511"/>
      <c r="BN547" s="512"/>
      <c r="BO547" s="512"/>
      <c r="BP547" s="513"/>
      <c r="BQ547" s="437"/>
    </row>
    <row r="548" spans="1:69" s="2" customFormat="1">
      <c r="A548" s="1523"/>
      <c r="C548" s="37" t="s">
        <v>432</v>
      </c>
      <c r="E548" s="394">
        <f t="shared" ref="E548:AP548" si="496">E$533+E$532</f>
        <v>3112</v>
      </c>
      <c r="F548" s="342">
        <f t="shared" si="496"/>
        <v>2862</v>
      </c>
      <c r="G548" s="342">
        <f t="shared" si="496"/>
        <v>3231</v>
      </c>
      <c r="H548" s="395">
        <f>H$533+H$532</f>
        <v>3323</v>
      </c>
      <c r="I548" s="296">
        <f>I$533+I$532</f>
        <v>3323</v>
      </c>
      <c r="J548" s="394">
        <f t="shared" si="496"/>
        <v>3166</v>
      </c>
      <c r="K548" s="342">
        <f t="shared" si="496"/>
        <v>3454</v>
      </c>
      <c r="L548" s="342">
        <f t="shared" si="496"/>
        <v>3455</v>
      </c>
      <c r="M548" s="395">
        <f>M$533+M$532</f>
        <v>3462</v>
      </c>
      <c r="N548" s="296">
        <f>N$533+N$532</f>
        <v>3462</v>
      </c>
      <c r="O548" s="394">
        <f t="shared" si="496"/>
        <v>3456</v>
      </c>
      <c r="P548" s="342">
        <f t="shared" si="496"/>
        <v>2851</v>
      </c>
      <c r="Q548" s="342">
        <f t="shared" si="496"/>
        <v>3350</v>
      </c>
      <c r="R548" s="395">
        <f>R$533+R$532</f>
        <v>2751</v>
      </c>
      <c r="S548" s="296">
        <f>S$533+S$532</f>
        <v>2751</v>
      </c>
      <c r="T548" s="394">
        <f t="shared" si="496"/>
        <v>2685</v>
      </c>
      <c r="U548" s="342">
        <f t="shared" si="496"/>
        <v>2686</v>
      </c>
      <c r="V548" s="342">
        <f t="shared" si="496"/>
        <v>2686</v>
      </c>
      <c r="W548" s="395">
        <f>W$533+W$532</f>
        <v>2340</v>
      </c>
      <c r="X548" s="296">
        <f>X$533+X$532</f>
        <v>2340</v>
      </c>
      <c r="Y548" s="394">
        <f t="shared" si="496"/>
        <v>2340</v>
      </c>
      <c r="Z548" s="342">
        <f t="shared" si="496"/>
        <v>2041</v>
      </c>
      <c r="AA548" s="342">
        <f t="shared" si="496"/>
        <v>2041</v>
      </c>
      <c r="AB548" s="395">
        <f>AB$533+AB$532</f>
        <v>2541</v>
      </c>
      <c r="AC548" s="296">
        <f>AC$533+AC$532</f>
        <v>2541</v>
      </c>
      <c r="AD548" s="394">
        <f t="shared" si="496"/>
        <v>2541</v>
      </c>
      <c r="AE548" s="342">
        <f t="shared" si="496"/>
        <v>2542</v>
      </c>
      <c r="AF548" s="342">
        <f t="shared" si="496"/>
        <v>2543</v>
      </c>
      <c r="AG548" s="395">
        <f>AG$533+AG$532</f>
        <v>2543</v>
      </c>
      <c r="AH548" s="296">
        <f>AH$533+AH$532</f>
        <v>2543</v>
      </c>
      <c r="AI548" s="394">
        <f t="shared" si="496"/>
        <v>2544</v>
      </c>
      <c r="AJ548" s="342">
        <f t="shared" si="496"/>
        <v>2544</v>
      </c>
      <c r="AK548" s="342">
        <f t="shared" si="496"/>
        <v>2544</v>
      </c>
      <c r="AL548" s="395">
        <f>AL$533+AL$532</f>
        <v>2237</v>
      </c>
      <c r="AM548" s="296">
        <f>AM$533+AM$532</f>
        <v>2237</v>
      </c>
      <c r="AN548" s="394">
        <f t="shared" si="496"/>
        <v>2238</v>
      </c>
      <c r="AO548" s="342">
        <f t="shared" si="496"/>
        <v>2933</v>
      </c>
      <c r="AP548" s="342">
        <f t="shared" si="496"/>
        <v>2381</v>
      </c>
      <c r="AQ548" s="395">
        <f t="shared" ref="AQ548:BQ548" si="497">AQ$533+AQ$532</f>
        <v>2382</v>
      </c>
      <c r="AR548" s="296">
        <f t="shared" si="497"/>
        <v>2382</v>
      </c>
      <c r="AS548" s="394">
        <f t="shared" si="497"/>
        <v>2383</v>
      </c>
      <c r="AT548" s="342">
        <f t="shared" si="497"/>
        <v>2384</v>
      </c>
      <c r="AU548" s="342">
        <f t="shared" si="497"/>
        <v>2385</v>
      </c>
      <c r="AV548" s="395">
        <f t="shared" si="497"/>
        <v>2667</v>
      </c>
      <c r="AW548" s="296">
        <f t="shared" si="497"/>
        <v>2667</v>
      </c>
      <c r="AX548" s="394">
        <f t="shared" si="497"/>
        <v>2554.9690753637478</v>
      </c>
      <c r="AY548" s="342">
        <f t="shared" si="497"/>
        <v>2548.7831500594789</v>
      </c>
      <c r="AZ548" s="342">
        <f t="shared" si="497"/>
        <v>2636</v>
      </c>
      <c r="BA548" s="395">
        <f t="shared" si="497"/>
        <v>2658.7957088937883</v>
      </c>
      <c r="BB548" s="296">
        <f t="shared" si="497"/>
        <v>2658.7957088937883</v>
      </c>
      <c r="BC548" s="394">
        <f t="shared" si="497"/>
        <v>2535.927574503618</v>
      </c>
      <c r="BD548" s="342">
        <f t="shared" si="497"/>
        <v>2468.873574932737</v>
      </c>
      <c r="BE548" s="342">
        <f t="shared" si="497"/>
        <v>2424.3457008590567</v>
      </c>
      <c r="BF548" s="395">
        <f t="shared" si="497"/>
        <v>2509.759307807401</v>
      </c>
      <c r="BG548" s="296">
        <f t="shared" si="497"/>
        <v>2509.759307807401</v>
      </c>
      <c r="BH548" s="394">
        <f t="shared" si="497"/>
        <v>2344.1316154757087</v>
      </c>
      <c r="BI548" s="342">
        <f t="shared" si="497"/>
        <v>2276.1472435612645</v>
      </c>
      <c r="BJ548" s="342">
        <f t="shared" si="497"/>
        <v>2186</v>
      </c>
      <c r="BK548" s="395">
        <f t="shared" si="497"/>
        <v>2196.1211496863966</v>
      </c>
      <c r="BL548" s="296">
        <f t="shared" si="497"/>
        <v>2196.1211496863966</v>
      </c>
      <c r="BM548" s="394">
        <f t="shared" si="497"/>
        <v>2186</v>
      </c>
      <c r="BN548" s="342">
        <f t="shared" si="497"/>
        <v>1964.9079438161648</v>
      </c>
      <c r="BO548" s="342">
        <f t="shared" si="497"/>
        <v>1986</v>
      </c>
      <c r="BP548" s="395">
        <f t="shared" si="497"/>
        <v>1986</v>
      </c>
      <c r="BQ548" s="296">
        <f t="shared" si="497"/>
        <v>1986</v>
      </c>
    </row>
    <row r="549" spans="1:69" s="2" customFormat="1">
      <c r="A549" s="1523"/>
      <c r="C549" s="37" t="s">
        <v>433</v>
      </c>
      <c r="E549" s="394">
        <f>E$548-E$530</f>
        <v>3097</v>
      </c>
      <c r="F549" s="342">
        <f>F$548-F$530</f>
        <v>2842</v>
      </c>
      <c r="G549" s="342">
        <f>G$548-G$530</f>
        <v>3214</v>
      </c>
      <c r="H549" s="395">
        <f>H$548-H$530</f>
        <v>3259</v>
      </c>
      <c r="I549" s="296">
        <f>I533-I530</f>
        <v>3259</v>
      </c>
      <c r="J549" s="394">
        <f>J$548-J$530</f>
        <v>3153</v>
      </c>
      <c r="K549" s="342">
        <f>K$548-K$530</f>
        <v>3446</v>
      </c>
      <c r="L549" s="342">
        <f>L$548-L$530</f>
        <v>3429</v>
      </c>
      <c r="M549" s="395">
        <f>M$548-M$530</f>
        <v>3451</v>
      </c>
      <c r="N549" s="296">
        <f>N533-N530</f>
        <v>3451</v>
      </c>
      <c r="O549" s="394">
        <f>O$548-O$530</f>
        <v>3446</v>
      </c>
      <c r="P549" s="342">
        <f>P$548-P$530</f>
        <v>2837</v>
      </c>
      <c r="Q549" s="342">
        <f>Q$548-Q$530</f>
        <v>3336</v>
      </c>
      <c r="R549" s="395">
        <f>R$548-R$530</f>
        <v>2739</v>
      </c>
      <c r="S549" s="296">
        <f>S533-S530</f>
        <v>2739</v>
      </c>
      <c r="T549" s="394">
        <f>T$548-T$530</f>
        <v>2680</v>
      </c>
      <c r="U549" s="342">
        <f>U$548-U$530</f>
        <v>2684</v>
      </c>
      <c r="V549" s="342">
        <f>V$548-V$530</f>
        <v>2681</v>
      </c>
      <c r="W549" s="395">
        <f>W$548-W$530</f>
        <v>2333</v>
      </c>
      <c r="X549" s="296">
        <f>X533-X530</f>
        <v>2333</v>
      </c>
      <c r="Y549" s="394">
        <f>Y$548-Y$530</f>
        <v>2334</v>
      </c>
      <c r="Z549" s="342">
        <f>Z$548-Z$530</f>
        <v>2037</v>
      </c>
      <c r="AA549" s="342">
        <f>AA$548-AA$530</f>
        <v>2032</v>
      </c>
      <c r="AB549" s="395">
        <f>AB$548-AB$530</f>
        <v>2535</v>
      </c>
      <c r="AC549" s="296">
        <f>AC533-AC530</f>
        <v>2535</v>
      </c>
      <c r="AD549" s="394">
        <f>AD$548-AD$530</f>
        <v>2531</v>
      </c>
      <c r="AE549" s="342">
        <f>AE$548-AE$530</f>
        <v>2536</v>
      </c>
      <c r="AF549" s="342">
        <f>AF$548-AF$530</f>
        <v>2531</v>
      </c>
      <c r="AG549" s="395">
        <f>AG$548-AG$530</f>
        <v>2534</v>
      </c>
      <c r="AH549" s="296">
        <f>AH533-AH530</f>
        <v>2534</v>
      </c>
      <c r="AI549" s="394">
        <f>AI$548-AI$530</f>
        <v>2520</v>
      </c>
      <c r="AJ549" s="342">
        <f>AJ$548-AJ$530</f>
        <v>2532</v>
      </c>
      <c r="AK549" s="342">
        <f>AK$548-AK$530</f>
        <v>2529</v>
      </c>
      <c r="AL549" s="395">
        <f>AL$548-AL$530</f>
        <v>2225</v>
      </c>
      <c r="AM549" s="296">
        <f>AM533-AM530</f>
        <v>2225</v>
      </c>
      <c r="AN549" s="394">
        <f>AN$548-AN$530</f>
        <v>2222</v>
      </c>
      <c r="AO549" s="342">
        <f>AO$548-AO$530</f>
        <v>2917</v>
      </c>
      <c r="AP549" s="342">
        <f>AP$548-AP$530</f>
        <v>2369</v>
      </c>
      <c r="AQ549" s="395">
        <f>AQ$548-AQ$530</f>
        <v>2371</v>
      </c>
      <c r="AR549" s="296">
        <f>AR533-AR530</f>
        <v>2371</v>
      </c>
      <c r="AS549" s="394">
        <f>AS$548-AS$530</f>
        <v>2365</v>
      </c>
      <c r="AT549" s="342">
        <f>AT$548-AT$530</f>
        <v>2355</v>
      </c>
      <c r="AU549" s="342">
        <f>AU$548-AU$530</f>
        <v>2363</v>
      </c>
      <c r="AV549" s="395">
        <f>AV$548-AV$530</f>
        <v>2635</v>
      </c>
      <c r="AW549" s="296">
        <f>AW533-AW530</f>
        <v>2354</v>
      </c>
      <c r="AX549" s="394">
        <f>AX$548-AX$530</f>
        <v>2554.9690753637478</v>
      </c>
      <c r="AY549" s="342">
        <f>AY$548-AY$530</f>
        <v>2548.7831500594789</v>
      </c>
      <c r="AZ549" s="342">
        <f>AZ$548-AZ$530</f>
        <v>2405.3595123053965</v>
      </c>
      <c r="BA549" s="395">
        <f>BA$548-BA$530</f>
        <v>2658.7957088937883</v>
      </c>
      <c r="BB549" s="296">
        <f>BB533-BB530</f>
        <v>2136</v>
      </c>
      <c r="BC549" s="394">
        <f>BC$548-BC$530</f>
        <v>2535.927574503618</v>
      </c>
      <c r="BD549" s="342">
        <f>BD$548-BD$530</f>
        <v>2468.873574932737</v>
      </c>
      <c r="BE549" s="342">
        <f>BE$548-BE$530</f>
        <v>2424.3457008590567</v>
      </c>
      <c r="BF549" s="395">
        <f>BF$548-BF$530</f>
        <v>2509.759307807401</v>
      </c>
      <c r="BG549" s="296">
        <f>BG533-BG530</f>
        <v>2192</v>
      </c>
      <c r="BH549" s="394">
        <f>BH$548-BH$530</f>
        <v>2344.1316154757087</v>
      </c>
      <c r="BI549" s="342">
        <f>BI$548-BI$530</f>
        <v>2276.1472435612645</v>
      </c>
      <c r="BJ549" s="342">
        <f>BJ$548-BJ$530</f>
        <v>2182.6056369417124</v>
      </c>
      <c r="BK549" s="395">
        <f>BK$548-BK$530</f>
        <v>2196.1211496863966</v>
      </c>
      <c r="BL549" s="296">
        <f>BL533-BL530</f>
        <v>2186</v>
      </c>
      <c r="BM549" s="394">
        <f>BM$548-BM$530</f>
        <v>2050.7264016922563</v>
      </c>
      <c r="BN549" s="342">
        <f>BN$548-BN$530</f>
        <v>1964.9079438161648</v>
      </c>
      <c r="BO549" s="342">
        <f>BO$548-BO$530</f>
        <v>1882.2577245620432</v>
      </c>
      <c r="BP549" s="395">
        <f>BP$548-BP$530</f>
        <v>1877.0217320559332</v>
      </c>
      <c r="BQ549" s="296">
        <f>BQ533-BQ530</f>
        <v>1877.0217320559332</v>
      </c>
    </row>
    <row r="550" spans="1:69" s="2" customFormat="1">
      <c r="A550" s="1523"/>
      <c r="C550" s="37" t="s">
        <v>835</v>
      </c>
      <c r="E550" s="394"/>
      <c r="F550" s="342"/>
      <c r="G550" s="342"/>
      <c r="H550" s="395"/>
      <c r="I550" s="296">
        <f>I$35+I$504+I$297</f>
        <v>1500</v>
      </c>
      <c r="J550" s="394"/>
      <c r="K550" s="342"/>
      <c r="L550" s="342"/>
      <c r="M550" s="395"/>
      <c r="N550" s="296">
        <f>N$35+N$504+N$297</f>
        <v>1292</v>
      </c>
      <c r="O550" s="394"/>
      <c r="P550" s="342"/>
      <c r="Q550" s="342"/>
      <c r="R550" s="395"/>
      <c r="S550" s="296">
        <f>S$35+S$504+S$297</f>
        <v>1097</v>
      </c>
      <c r="T550" s="394"/>
      <c r="U550" s="342"/>
      <c r="V550" s="342"/>
      <c r="W550" s="395"/>
      <c r="X550" s="296">
        <f>X$35+X$504+X$297</f>
        <v>881</v>
      </c>
      <c r="Y550" s="394"/>
      <c r="Z550" s="342"/>
      <c r="AA550" s="342"/>
      <c r="AB550" s="395"/>
      <c r="AC550" s="296">
        <f>AC$35+AC$504+AC$297</f>
        <v>1221.6034784000001</v>
      </c>
      <c r="AD550" s="394"/>
      <c r="AE550" s="342"/>
      <c r="AF550" s="342"/>
      <c r="AG550" s="395"/>
      <c r="AH550" s="296">
        <f>AH$35+AH$504+AH$297</f>
        <v>1135.1292627400001</v>
      </c>
      <c r="AI550" s="394"/>
      <c r="AJ550" s="342"/>
      <c r="AK550" s="342"/>
      <c r="AL550" s="395"/>
      <c r="AM550" s="296">
        <f>AM$35+AM$504+AM$297</f>
        <v>1158.834531086</v>
      </c>
      <c r="AN550" s="394"/>
      <c r="AO550" s="342"/>
      <c r="AP550" s="342"/>
      <c r="AQ550" s="395"/>
      <c r="AR550" s="296">
        <f>AR$35+AR$504+AR$297</f>
        <v>1620.346674109644</v>
      </c>
      <c r="AS550" s="394"/>
      <c r="AT550" s="342"/>
      <c r="AU550" s="342"/>
      <c r="AV550" s="395"/>
      <c r="AW550" s="296">
        <f>AW$35+AW$504+AW$297</f>
        <v>1996.227822375</v>
      </c>
      <c r="AX550" s="394"/>
      <c r="AY550" s="342"/>
      <c r="AZ550" s="342"/>
      <c r="BA550" s="395"/>
      <c r="BB550" s="296">
        <f>BB$35+BB$504+BB$297</f>
        <v>1086.7546961257112</v>
      </c>
      <c r="BC550" s="394"/>
      <c r="BD550" s="342"/>
      <c r="BE550" s="342"/>
      <c r="BF550" s="395"/>
      <c r="BG550" s="296">
        <f>BG$35+BG$504+BG$297</f>
        <v>1024.4464469911118</v>
      </c>
      <c r="BH550" s="394"/>
      <c r="BI550" s="342"/>
      <c r="BJ550" s="342"/>
      <c r="BK550" s="395"/>
      <c r="BL550" s="296">
        <f>BL$35+BL$504+BL$297</f>
        <v>1031.2523044847767</v>
      </c>
      <c r="BM550" s="394"/>
      <c r="BN550" s="342"/>
      <c r="BO550" s="342"/>
      <c r="BP550" s="395"/>
      <c r="BQ550" s="296">
        <f>BQ$35+BQ$504+BQ$297</f>
        <v>1148.939705457874</v>
      </c>
    </row>
    <row r="551" spans="1:69" s="2" customFormat="1">
      <c r="A551" s="1523"/>
      <c r="C551" s="37" t="s">
        <v>434</v>
      </c>
      <c r="E551" s="472"/>
      <c r="F551" s="473"/>
      <c r="G551" s="473"/>
      <c r="H551" s="474"/>
      <c r="I551" s="296">
        <f>I25</f>
        <v>1958</v>
      </c>
      <c r="J551" s="472"/>
      <c r="K551" s="473"/>
      <c r="L551" s="473"/>
      <c r="M551" s="474"/>
      <c r="N551" s="296">
        <f>N25</f>
        <v>1914</v>
      </c>
      <c r="O551" s="472"/>
      <c r="P551" s="473"/>
      <c r="Q551" s="473"/>
      <c r="R551" s="474"/>
      <c r="S551" s="296">
        <f>S25</f>
        <v>1687</v>
      </c>
      <c r="T551" s="472"/>
      <c r="U551" s="473"/>
      <c r="V551" s="473"/>
      <c r="W551" s="474"/>
      <c r="X551" s="296">
        <f>X25</f>
        <v>1080</v>
      </c>
      <c r="Y551" s="472"/>
      <c r="Z551" s="473"/>
      <c r="AA551" s="473"/>
      <c r="AB551" s="474"/>
      <c r="AC551" s="296">
        <f>AC25</f>
        <v>1063</v>
      </c>
      <c r="AD551" s="472"/>
      <c r="AE551" s="473"/>
      <c r="AF551" s="473"/>
      <c r="AG551" s="474"/>
      <c r="AH551" s="296">
        <f>AH25</f>
        <v>1251</v>
      </c>
      <c r="AI551" s="472"/>
      <c r="AJ551" s="473"/>
      <c r="AK551" s="473"/>
      <c r="AL551" s="474"/>
      <c r="AM551" s="296">
        <f>AM25</f>
        <v>1367</v>
      </c>
      <c r="AN551" s="472"/>
      <c r="AO551" s="473"/>
      <c r="AP551" s="473"/>
      <c r="AQ551" s="474"/>
      <c r="AR551" s="296">
        <f>AR25</f>
        <v>-43</v>
      </c>
      <c r="AS551" s="472"/>
      <c r="AT551" s="473"/>
      <c r="AU551" s="473"/>
      <c r="AV551" s="474"/>
      <c r="AW551" s="296">
        <f>AW25</f>
        <v>-250</v>
      </c>
      <c r="AX551" s="472"/>
      <c r="AY551" s="473"/>
      <c r="AZ551" s="473"/>
      <c r="BA551" s="474"/>
      <c r="BB551" s="296">
        <f>BB25</f>
        <v>713.60610271199357</v>
      </c>
      <c r="BC551" s="472"/>
      <c r="BD551" s="473"/>
      <c r="BE551" s="473"/>
      <c r="BF551" s="474"/>
      <c r="BG551" s="296">
        <f>BG25</f>
        <v>630.84012784629249</v>
      </c>
      <c r="BH551" s="472"/>
      <c r="BI551" s="473"/>
      <c r="BJ551" s="473"/>
      <c r="BK551" s="474"/>
      <c r="BL551" s="296">
        <f>BL25</f>
        <v>642.0170520503608</v>
      </c>
      <c r="BM551" s="472"/>
      <c r="BN551" s="473"/>
      <c r="BO551" s="473"/>
      <c r="BP551" s="474"/>
      <c r="BQ551" s="296">
        <f>BQ25</f>
        <v>804.63072122233473</v>
      </c>
    </row>
    <row r="552" spans="1:69" s="2" customFormat="1">
      <c r="A552" s="1523"/>
      <c r="C552" s="37" t="s">
        <v>435</v>
      </c>
      <c r="E552" s="472"/>
      <c r="F552" s="473"/>
      <c r="G552" s="473"/>
      <c r="H552" s="474"/>
      <c r="I552" s="296">
        <f>I$23</f>
        <v>161</v>
      </c>
      <c r="J552" s="472"/>
      <c r="K552" s="473"/>
      <c r="L552" s="473"/>
      <c r="M552" s="474"/>
      <c r="N552" s="296">
        <f>N$23</f>
        <v>157</v>
      </c>
      <c r="O552" s="472"/>
      <c r="P552" s="473"/>
      <c r="Q552" s="473"/>
      <c r="R552" s="474"/>
      <c r="S552" s="296">
        <f>S$23</f>
        <v>175</v>
      </c>
      <c r="T552" s="472"/>
      <c r="U552" s="473"/>
      <c r="V552" s="473"/>
      <c r="W552" s="474"/>
      <c r="X552" s="296">
        <f>X$23</f>
        <v>134</v>
      </c>
      <c r="Y552" s="472"/>
      <c r="Z552" s="473"/>
      <c r="AA552" s="473"/>
      <c r="AB552" s="474"/>
      <c r="AC552" s="296">
        <f>AC$23</f>
        <v>116</v>
      </c>
      <c r="AD552" s="472"/>
      <c r="AE552" s="473"/>
      <c r="AF552" s="473"/>
      <c r="AG552" s="474"/>
      <c r="AH552" s="296">
        <f>AH$23</f>
        <v>122</v>
      </c>
      <c r="AI552" s="472"/>
      <c r="AJ552" s="473"/>
      <c r="AK552" s="473"/>
      <c r="AL552" s="474"/>
      <c r="AM552" s="296">
        <f>AM$23</f>
        <v>121</v>
      </c>
      <c r="AN552" s="472"/>
      <c r="AO552" s="473"/>
      <c r="AP552" s="473"/>
      <c r="AQ552" s="474"/>
      <c r="AR552" s="296">
        <f>AR$23</f>
        <v>84</v>
      </c>
      <c r="AS552" s="472"/>
      <c r="AT552" s="473"/>
      <c r="AU552" s="473"/>
      <c r="AV552" s="474"/>
      <c r="AW552" s="296">
        <f>AW$23</f>
        <v>50</v>
      </c>
      <c r="AX552" s="472"/>
      <c r="AY552" s="473"/>
      <c r="AZ552" s="473"/>
      <c r="BA552" s="474"/>
      <c r="BB552" s="296">
        <f>BB$23</f>
        <v>82.874343544080176</v>
      </c>
      <c r="BC552" s="472"/>
      <c r="BD552" s="473"/>
      <c r="BE552" s="473"/>
      <c r="BF552" s="474"/>
      <c r="BG552" s="296">
        <f>BG$23</f>
        <v>120</v>
      </c>
      <c r="BH552" s="472"/>
      <c r="BI552" s="473"/>
      <c r="BJ552" s="473"/>
      <c r="BK552" s="474"/>
      <c r="BL552" s="296">
        <f>BL$23</f>
        <v>114.83154913606208</v>
      </c>
      <c r="BM552" s="472"/>
      <c r="BN552" s="473"/>
      <c r="BO552" s="473"/>
      <c r="BP552" s="474"/>
      <c r="BQ552" s="296">
        <f>BQ$23</f>
        <v>121.26543244990619</v>
      </c>
    </row>
    <row r="553" spans="1:69" s="2" customFormat="1">
      <c r="A553" s="1523"/>
      <c r="C553" s="37"/>
      <c r="E553" s="358"/>
      <c r="F553" s="312"/>
      <c r="G553" s="312"/>
      <c r="H553" s="359"/>
      <c r="I553" s="3"/>
      <c r="J553" s="358"/>
      <c r="K553" s="312"/>
      <c r="L553" s="312"/>
      <c r="M553" s="359"/>
      <c r="N553" s="3"/>
      <c r="O553" s="358"/>
      <c r="P553" s="312"/>
      <c r="Q553" s="312"/>
      <c r="R553" s="359"/>
      <c r="S553" s="3"/>
      <c r="T553" s="358"/>
      <c r="U553" s="312"/>
      <c r="V553" s="312"/>
      <c r="W553" s="359"/>
      <c r="X553" s="3"/>
      <c r="Y553" s="358"/>
      <c r="Z553" s="312"/>
      <c r="AA553" s="312"/>
      <c r="AB553" s="359"/>
      <c r="AC553" s="3"/>
      <c r="AD553" s="358"/>
      <c r="AE553" s="312"/>
      <c r="AF553" s="312"/>
      <c r="AG553" s="359"/>
      <c r="AH553" s="3"/>
      <c r="AI553" s="358"/>
      <c r="AJ553" s="312"/>
      <c r="AK553" s="312"/>
      <c r="AL553" s="359"/>
      <c r="AM553" s="3"/>
      <c r="AN553" s="358"/>
      <c r="AO553" s="312"/>
      <c r="AP553" s="312"/>
      <c r="AQ553" s="359"/>
      <c r="AR553" s="3"/>
      <c r="AS553" s="358"/>
      <c r="AT553" s="312"/>
      <c r="AU553" s="312"/>
      <c r="AV553" s="359"/>
      <c r="AW553" s="3"/>
      <c r="AX553" s="358"/>
      <c r="AY553" s="312"/>
      <c r="AZ553" s="312"/>
      <c r="BA553" s="359"/>
      <c r="BB553" s="3"/>
      <c r="BC553" s="358"/>
      <c r="BD553" s="312"/>
      <c r="BE553" s="312"/>
      <c r="BF553" s="359"/>
      <c r="BG553" s="3"/>
      <c r="BH553" s="358"/>
      <c r="BI553" s="312"/>
      <c r="BJ553" s="312"/>
      <c r="BK553" s="359"/>
      <c r="BL553" s="3"/>
      <c r="BM553" s="358"/>
      <c r="BN553" s="312"/>
      <c r="BO553" s="312"/>
      <c r="BP553" s="359"/>
      <c r="BQ553" s="3"/>
    </row>
    <row r="554" spans="1:69" s="2" customFormat="1">
      <c r="A554" s="1523"/>
      <c r="C554" s="49" t="s">
        <v>436</v>
      </c>
      <c r="E554" s="358"/>
      <c r="F554" s="312"/>
      <c r="G554" s="312"/>
      <c r="H554" s="359"/>
      <c r="I554" s="3"/>
      <c r="J554" s="358"/>
      <c r="K554" s="312"/>
      <c r="L554" s="312"/>
      <c r="M554" s="359"/>
      <c r="N554" s="3"/>
      <c r="O554" s="358"/>
      <c r="P554" s="312"/>
      <c r="Q554" s="312"/>
      <c r="R554" s="359"/>
      <c r="S554" s="3"/>
      <c r="T554" s="358"/>
      <c r="U554" s="312"/>
      <c r="V554" s="312"/>
      <c r="W554" s="359"/>
      <c r="X554" s="3"/>
      <c r="Y554" s="358"/>
      <c r="Z554" s="312"/>
      <c r="AA554" s="312"/>
      <c r="AB554" s="359"/>
      <c r="AC554" s="3"/>
      <c r="AD554" s="358"/>
      <c r="AE554" s="312"/>
      <c r="AF554" s="312"/>
      <c r="AG554" s="359"/>
      <c r="AH554" s="3"/>
      <c r="AI554" s="358"/>
      <c r="AJ554" s="312"/>
      <c r="AK554" s="312"/>
      <c r="AL554" s="359"/>
      <c r="AM554" s="3"/>
      <c r="AN554" s="358"/>
      <c r="AO554" s="312"/>
      <c r="AP554" s="312"/>
      <c r="AQ554" s="359"/>
      <c r="AR554" s="3"/>
      <c r="AS554" s="358"/>
      <c r="AT554" s="312"/>
      <c r="AU554" s="312"/>
      <c r="AV554" s="359"/>
      <c r="AW554" s="3"/>
      <c r="AX554" s="358"/>
      <c r="AY554" s="312"/>
      <c r="AZ554" s="312"/>
      <c r="BA554" s="359"/>
      <c r="BB554" s="3"/>
      <c r="BC554" s="358"/>
      <c r="BD554" s="312"/>
      <c r="BE554" s="312"/>
      <c r="BF554" s="359"/>
      <c r="BG554" s="3"/>
      <c r="BH554" s="358"/>
      <c r="BI554" s="312"/>
      <c r="BJ554" s="312"/>
      <c r="BK554" s="359"/>
      <c r="BL554" s="3"/>
      <c r="BM554" s="358"/>
      <c r="BN554" s="312"/>
      <c r="BO554" s="312"/>
      <c r="BP554" s="359"/>
      <c r="BQ554" s="3"/>
    </row>
    <row r="555" spans="1:69" s="2" customFormat="1">
      <c r="A555" s="1523"/>
      <c r="C555" s="37" t="s">
        <v>523</v>
      </c>
      <c r="E555" s="409">
        <f t="shared" ref="E555:BP555" si="498">E$533/(E$543)</f>
        <v>0.43701727285493608</v>
      </c>
      <c r="F555" s="314">
        <f t="shared" si="498"/>
        <v>0.41466241669081427</v>
      </c>
      <c r="G555" s="314">
        <f t="shared" si="498"/>
        <v>0.43305186972255733</v>
      </c>
      <c r="H555" s="410">
        <f t="shared" si="498"/>
        <v>0.42657252888318359</v>
      </c>
      <c r="I555" s="293">
        <f t="shared" si="498"/>
        <v>0.42657252888318359</v>
      </c>
      <c r="J555" s="409">
        <f t="shared" si="498"/>
        <v>0.40010109945659045</v>
      </c>
      <c r="K555" s="314">
        <f t="shared" si="498"/>
        <v>0.42563154651879237</v>
      </c>
      <c r="L555" s="314">
        <f t="shared" si="498"/>
        <v>0.41436795394579035</v>
      </c>
      <c r="M555" s="410">
        <f t="shared" si="498"/>
        <v>0.40782188714807399</v>
      </c>
      <c r="N555" s="293">
        <f t="shared" si="498"/>
        <v>0.40782188714807399</v>
      </c>
      <c r="O555" s="409">
        <f t="shared" si="498"/>
        <v>0.40013893713094822</v>
      </c>
      <c r="P555" s="314">
        <f t="shared" si="498"/>
        <v>0.35350278983261002</v>
      </c>
      <c r="Q555" s="314">
        <f t="shared" si="498"/>
        <v>0.38124502105382951</v>
      </c>
      <c r="R555" s="410">
        <f t="shared" si="498"/>
        <v>0.33569249542403906</v>
      </c>
      <c r="S555" s="293">
        <f t="shared" si="498"/>
        <v>0.33569249542403906</v>
      </c>
      <c r="T555" s="409">
        <f t="shared" si="498"/>
        <v>0.33038021410114432</v>
      </c>
      <c r="U555" s="314">
        <f t="shared" si="498"/>
        <v>0.33944142550233791</v>
      </c>
      <c r="V555" s="314">
        <f t="shared" si="498"/>
        <v>0.33246688946651815</v>
      </c>
      <c r="W555" s="410">
        <f t="shared" si="498"/>
        <v>0.30080987273428461</v>
      </c>
      <c r="X555" s="293">
        <f t="shared" si="498"/>
        <v>0.30080987273428461</v>
      </c>
      <c r="Y555" s="409">
        <f t="shared" si="498"/>
        <v>0.303975058456742</v>
      </c>
      <c r="Z555" s="314">
        <f t="shared" si="498"/>
        <v>0.27783827933569288</v>
      </c>
      <c r="AA555" s="314">
        <f t="shared" si="498"/>
        <v>0.27581081081081082</v>
      </c>
      <c r="AB555" s="410">
        <f t="shared" si="498"/>
        <v>0.30253601619240383</v>
      </c>
      <c r="AC555" s="293">
        <f t="shared" si="498"/>
        <v>0.30253601619240383</v>
      </c>
      <c r="AD555" s="409">
        <f t="shared" si="498"/>
        <v>0.31010495484500855</v>
      </c>
      <c r="AE555" s="314">
        <f t="shared" si="498"/>
        <v>0.31530637558918384</v>
      </c>
      <c r="AF555" s="314">
        <f t="shared" si="498"/>
        <v>0.31558699429138742</v>
      </c>
      <c r="AG555" s="410">
        <f t="shared" si="498"/>
        <v>0.31391186273299593</v>
      </c>
      <c r="AH555" s="293">
        <f t="shared" si="498"/>
        <v>0.31391186273299593</v>
      </c>
      <c r="AI555" s="409">
        <f t="shared" si="498"/>
        <v>0.30840101830524913</v>
      </c>
      <c r="AJ555" s="314">
        <f t="shared" si="498"/>
        <v>0.30994152046783624</v>
      </c>
      <c r="AK555" s="314">
        <f t="shared" si="498"/>
        <v>0.30310973430239485</v>
      </c>
      <c r="AL555" s="410">
        <f t="shared" si="498"/>
        <v>0.2715135331957762</v>
      </c>
      <c r="AM555" s="293">
        <f t="shared" si="498"/>
        <v>0.2715135331957762</v>
      </c>
      <c r="AN555" s="409">
        <f t="shared" si="498"/>
        <v>0.26469544648137194</v>
      </c>
      <c r="AO555" s="314">
        <f t="shared" si="498"/>
        <v>0.32037138175860186</v>
      </c>
      <c r="AP555" s="314">
        <f t="shared" si="498"/>
        <v>0.27942729726557913</v>
      </c>
      <c r="AQ555" s="410">
        <f t="shared" si="498"/>
        <v>0.29116244957829118</v>
      </c>
      <c r="AR555" s="293">
        <f t="shared" si="498"/>
        <v>0.29116244957829118</v>
      </c>
      <c r="AS555" s="409">
        <f t="shared" si="498"/>
        <v>0.30314209388118563</v>
      </c>
      <c r="AT555" s="314">
        <f t="shared" si="498"/>
        <v>0.30642673521850899</v>
      </c>
      <c r="AU555" s="314">
        <f t="shared" si="498"/>
        <v>0.30726616851326977</v>
      </c>
      <c r="AV555" s="410">
        <f t="shared" si="498"/>
        <v>0.27634931665508455</v>
      </c>
      <c r="AW555" s="293">
        <f t="shared" si="498"/>
        <v>0.27634931665508455</v>
      </c>
      <c r="AX555" s="409">
        <f t="shared" si="498"/>
        <v>0.27661028784147423</v>
      </c>
      <c r="AY555" s="314">
        <f t="shared" si="498"/>
        <v>0.27587077461937448</v>
      </c>
      <c r="AZ555" s="314">
        <f t="shared" si="498"/>
        <v>0.29611270157027952</v>
      </c>
      <c r="BA555" s="410">
        <f t="shared" si="498"/>
        <v>0.24632770232856582</v>
      </c>
      <c r="BB555" s="293">
        <f t="shared" si="498"/>
        <v>0.24632770232856582</v>
      </c>
      <c r="BC555" s="409">
        <f t="shared" si="498"/>
        <v>0.2425350852547693</v>
      </c>
      <c r="BD555" s="314">
        <f t="shared" si="498"/>
        <v>0.24382525874955061</v>
      </c>
      <c r="BE555" s="314">
        <f t="shared" si="498"/>
        <v>0.25684137697662207</v>
      </c>
      <c r="BF555" s="410">
        <f t="shared" si="498"/>
        <v>0.25821162496515054</v>
      </c>
      <c r="BG555" s="293">
        <f t="shared" si="498"/>
        <v>0.25821162496515054</v>
      </c>
      <c r="BH555" s="409">
        <f t="shared" si="498"/>
        <v>0.25928418101582473</v>
      </c>
      <c r="BI555" s="314">
        <f t="shared" si="498"/>
        <v>0.21213290741352236</v>
      </c>
      <c r="BJ555" s="314">
        <f t="shared" si="498"/>
        <v>0.26060514469304041</v>
      </c>
      <c r="BK555" s="410">
        <f t="shared" si="498"/>
        <v>0.26177711900960354</v>
      </c>
      <c r="BL555" s="293">
        <f t="shared" si="498"/>
        <v>0.26177711900960354</v>
      </c>
      <c r="BM555" s="409">
        <f t="shared" si="498"/>
        <v>0.25855922835042788</v>
      </c>
      <c r="BN555" s="314">
        <f t="shared" si="498"/>
        <v>0.17929082748436165</v>
      </c>
      <c r="BO555" s="314">
        <f t="shared" si="498"/>
        <v>0.23752635278965437</v>
      </c>
      <c r="BP555" s="410">
        <f t="shared" si="498"/>
        <v>0.23824602481935392</v>
      </c>
      <c r="BQ555" s="293">
        <f>BQ$533/(BQ$543)</f>
        <v>0.23824602481935392</v>
      </c>
    </row>
    <row r="556" spans="1:69" s="2" customFormat="1">
      <c r="A556" s="1523"/>
      <c r="C556" s="37" t="s">
        <v>437</v>
      </c>
      <c r="E556" s="409">
        <f t="shared" ref="E556:BP556" si="499">E$548/(E$543)</f>
        <v>0.43701727285493608</v>
      </c>
      <c r="F556" s="314">
        <f t="shared" si="499"/>
        <v>0.41466241669081427</v>
      </c>
      <c r="G556" s="314">
        <f t="shared" si="499"/>
        <v>0.43305186972255733</v>
      </c>
      <c r="H556" s="410">
        <f t="shared" si="499"/>
        <v>0.42657252888318359</v>
      </c>
      <c r="I556" s="293">
        <f t="shared" si="499"/>
        <v>0.42657252888318359</v>
      </c>
      <c r="J556" s="409">
        <f t="shared" si="499"/>
        <v>0.40010109945659045</v>
      </c>
      <c r="K556" s="314">
        <f t="shared" si="499"/>
        <v>0.42563154651879237</v>
      </c>
      <c r="L556" s="314">
        <f t="shared" si="499"/>
        <v>0.41436795394579035</v>
      </c>
      <c r="M556" s="410">
        <f t="shared" si="499"/>
        <v>0.40782188714807399</v>
      </c>
      <c r="N556" s="293">
        <f t="shared" si="499"/>
        <v>0.40782188714807399</v>
      </c>
      <c r="O556" s="409">
        <f t="shared" si="499"/>
        <v>0.40013893713094822</v>
      </c>
      <c r="P556" s="314">
        <f t="shared" si="499"/>
        <v>0.35350278983261002</v>
      </c>
      <c r="Q556" s="314">
        <f t="shared" si="499"/>
        <v>0.38124502105382951</v>
      </c>
      <c r="R556" s="410">
        <f t="shared" si="499"/>
        <v>0.33569249542403906</v>
      </c>
      <c r="S556" s="293">
        <f t="shared" si="499"/>
        <v>0.33569249542403906</v>
      </c>
      <c r="T556" s="409">
        <f t="shared" si="499"/>
        <v>0.33038021410114432</v>
      </c>
      <c r="U556" s="314">
        <f t="shared" si="499"/>
        <v>0.33944142550233791</v>
      </c>
      <c r="V556" s="314">
        <f t="shared" si="499"/>
        <v>0.33246688946651815</v>
      </c>
      <c r="W556" s="410">
        <f t="shared" si="499"/>
        <v>0.30080987273428461</v>
      </c>
      <c r="X556" s="293">
        <f t="shared" si="499"/>
        <v>0.30080987273428461</v>
      </c>
      <c r="Y556" s="409">
        <f t="shared" si="499"/>
        <v>0.303975058456742</v>
      </c>
      <c r="Z556" s="314">
        <f t="shared" si="499"/>
        <v>0.27783827933569288</v>
      </c>
      <c r="AA556" s="314">
        <f t="shared" si="499"/>
        <v>0.27581081081081082</v>
      </c>
      <c r="AB556" s="410">
        <f t="shared" si="499"/>
        <v>0.30253601619240383</v>
      </c>
      <c r="AC556" s="293">
        <f t="shared" si="499"/>
        <v>0.30253601619240383</v>
      </c>
      <c r="AD556" s="409">
        <f t="shared" si="499"/>
        <v>0.31010495484500855</v>
      </c>
      <c r="AE556" s="314">
        <f t="shared" si="499"/>
        <v>0.31530637558918384</v>
      </c>
      <c r="AF556" s="314">
        <f t="shared" si="499"/>
        <v>0.31558699429138742</v>
      </c>
      <c r="AG556" s="410">
        <f t="shared" si="499"/>
        <v>0.31391186273299593</v>
      </c>
      <c r="AH556" s="293">
        <f t="shared" si="499"/>
        <v>0.31391186273299593</v>
      </c>
      <c r="AI556" s="409">
        <f t="shared" si="499"/>
        <v>0.30840101830524913</v>
      </c>
      <c r="AJ556" s="314">
        <f t="shared" si="499"/>
        <v>0.30994152046783624</v>
      </c>
      <c r="AK556" s="314">
        <f t="shared" si="499"/>
        <v>0.30310973430239485</v>
      </c>
      <c r="AL556" s="410">
        <f t="shared" si="499"/>
        <v>0.2715135331957762</v>
      </c>
      <c r="AM556" s="293">
        <f t="shared" si="499"/>
        <v>0.2715135331957762</v>
      </c>
      <c r="AN556" s="409">
        <f t="shared" si="499"/>
        <v>0.26469544648137194</v>
      </c>
      <c r="AO556" s="314">
        <f t="shared" si="499"/>
        <v>0.32037138175860186</v>
      </c>
      <c r="AP556" s="314">
        <f t="shared" si="499"/>
        <v>0.27942729726557913</v>
      </c>
      <c r="AQ556" s="410">
        <f t="shared" si="499"/>
        <v>0.29116244957829118</v>
      </c>
      <c r="AR556" s="293">
        <f t="shared" si="499"/>
        <v>0.29116244957829118</v>
      </c>
      <c r="AS556" s="409">
        <f t="shared" si="499"/>
        <v>0.30314209388118563</v>
      </c>
      <c r="AT556" s="314">
        <f t="shared" si="499"/>
        <v>0.30642673521850899</v>
      </c>
      <c r="AU556" s="314">
        <f t="shared" si="499"/>
        <v>0.30726616851326977</v>
      </c>
      <c r="AV556" s="410">
        <f t="shared" si="499"/>
        <v>0.3088950660180681</v>
      </c>
      <c r="AW556" s="293">
        <f t="shared" si="499"/>
        <v>0.3088950660180681</v>
      </c>
      <c r="AX556" s="409">
        <f t="shared" si="499"/>
        <v>0.29619896536564611</v>
      </c>
      <c r="AY556" s="314">
        <f t="shared" si="499"/>
        <v>0.29469186166962191</v>
      </c>
      <c r="AZ556" s="314">
        <f t="shared" si="499"/>
        <v>0.29611270157027952</v>
      </c>
      <c r="BA556" s="410">
        <f t="shared" si="499"/>
        <v>0.30661752712212414</v>
      </c>
      <c r="BB556" s="293">
        <f t="shared" si="499"/>
        <v>0.30661752712212414</v>
      </c>
      <c r="BC556" s="409">
        <f t="shared" si="499"/>
        <v>0.29400163024959625</v>
      </c>
      <c r="BD556" s="314">
        <f t="shared" si="499"/>
        <v>0.2877503528814066</v>
      </c>
      <c r="BE556" s="314">
        <f t="shared" si="499"/>
        <v>0.28406582485218707</v>
      </c>
      <c r="BF556" s="410">
        <f t="shared" si="499"/>
        <v>0.29564280526476294</v>
      </c>
      <c r="BG556" s="293">
        <f t="shared" si="499"/>
        <v>0.29564280526476294</v>
      </c>
      <c r="BH556" s="409">
        <f t="shared" si="499"/>
        <v>0.27727930935762829</v>
      </c>
      <c r="BI556" s="314">
        <f t="shared" si="499"/>
        <v>0.27035035413097752</v>
      </c>
      <c r="BJ556" s="314">
        <f t="shared" si="499"/>
        <v>0.26060514469304041</v>
      </c>
      <c r="BK556" s="410">
        <f t="shared" si="499"/>
        <v>0.26298914344051383</v>
      </c>
      <c r="BL556" s="293">
        <f t="shared" si="499"/>
        <v>0.26298914344051383</v>
      </c>
      <c r="BM556" s="409">
        <f t="shared" si="499"/>
        <v>0.25855922835042788</v>
      </c>
      <c r="BN556" s="314">
        <f t="shared" si="499"/>
        <v>0.23707265893499044</v>
      </c>
      <c r="BO556" s="314">
        <f t="shared" si="499"/>
        <v>0.23752635278965437</v>
      </c>
      <c r="BP556" s="410">
        <f t="shared" si="499"/>
        <v>0.23824602481935392</v>
      </c>
      <c r="BQ556" s="293">
        <f>BQ$548/(BQ$543)</f>
        <v>0.23824602481935392</v>
      </c>
    </row>
    <row r="557" spans="1:69" s="2" customFormat="1">
      <c r="A557" s="1523"/>
      <c r="C557" s="37" t="s">
        <v>438</v>
      </c>
      <c r="E557" s="411"/>
      <c r="F557" s="315"/>
      <c r="G557" s="315"/>
      <c r="H557" s="412"/>
      <c r="I557" s="48">
        <f>I$549/I$21</f>
        <v>1.4151107251411204</v>
      </c>
      <c r="J557" s="411"/>
      <c r="K557" s="315"/>
      <c r="L557" s="315"/>
      <c r="M557" s="412"/>
      <c r="N557" s="48">
        <f>N$549/N$21</f>
        <v>1.5365093499554765</v>
      </c>
      <c r="O557" s="411"/>
      <c r="P557" s="315"/>
      <c r="Q557" s="315"/>
      <c r="R557" s="412"/>
      <c r="S557" s="48">
        <f>S$549/S$21</f>
        <v>1.313039309683605</v>
      </c>
      <c r="T557" s="411"/>
      <c r="U557" s="315"/>
      <c r="V557" s="315"/>
      <c r="W557" s="412"/>
      <c r="X557" s="48">
        <f>X$549/X$21</f>
        <v>1.607856650585803</v>
      </c>
      <c r="Y557" s="411"/>
      <c r="Z557" s="315"/>
      <c r="AA557" s="315"/>
      <c r="AB557" s="412"/>
      <c r="AC557" s="48">
        <f>AC$549/AC$21</f>
        <v>1.7458677685950412</v>
      </c>
      <c r="AD557" s="411"/>
      <c r="AE557" s="315"/>
      <c r="AF557" s="315"/>
      <c r="AG557" s="412"/>
      <c r="AH557" s="48">
        <f>AH$549/AH$21</f>
        <v>1.521921921921922</v>
      </c>
      <c r="AI557" s="411"/>
      <c r="AJ557" s="315"/>
      <c r="AK557" s="315"/>
      <c r="AL557" s="412"/>
      <c r="AM557" s="48">
        <f>AM$549/AM$21</f>
        <v>1.2507026419336706</v>
      </c>
      <c r="AN557" s="411"/>
      <c r="AO557" s="315"/>
      <c r="AP557" s="315"/>
      <c r="AQ557" s="412"/>
      <c r="AR557" s="48">
        <f>AR$549/AR$21</f>
        <v>2.5715835140997831</v>
      </c>
      <c r="AS557" s="411"/>
      <c r="AT557" s="315"/>
      <c r="AU557" s="315"/>
      <c r="AV557" s="412"/>
      <c r="AW557" s="48">
        <f>AW$549/AW$21</f>
        <v>2.2041198501872659</v>
      </c>
      <c r="AX557" s="411"/>
      <c r="AY557" s="315"/>
      <c r="AZ557" s="315"/>
      <c r="BA557" s="412"/>
      <c r="BB557" s="48">
        <f>BB$549/BB$21</f>
        <v>1.8907565383252709</v>
      </c>
      <c r="BC557" s="411"/>
      <c r="BD557" s="315"/>
      <c r="BE557" s="315"/>
      <c r="BF557" s="412"/>
      <c r="BG557" s="48">
        <f>BG$549/BG$21</f>
        <v>2.0146043479113729</v>
      </c>
      <c r="BH557" s="411"/>
      <c r="BI557" s="315"/>
      <c r="BJ557" s="315"/>
      <c r="BK557" s="412"/>
      <c r="BL557" s="48">
        <f>BL$549/BL$21</f>
        <v>2.0047796647328853</v>
      </c>
      <c r="BM557" s="411"/>
      <c r="BN557" s="315"/>
      <c r="BO557" s="315"/>
      <c r="BP557" s="412"/>
      <c r="BQ557" s="48">
        <f>BQ$549/BQ$21</f>
        <v>1.496148856725485</v>
      </c>
    </row>
    <row r="558" spans="1:69" s="2" customFormat="1">
      <c r="A558" s="1523"/>
      <c r="C558" s="37" t="s">
        <v>439</v>
      </c>
      <c r="E558" s="409"/>
      <c r="F558" s="314"/>
      <c r="G558" s="314"/>
      <c r="H558" s="410"/>
      <c r="I558" s="293">
        <f>I$550/I$548</f>
        <v>0.4513993379476377</v>
      </c>
      <c r="J558" s="409"/>
      <c r="K558" s="314"/>
      <c r="L558" s="314"/>
      <c r="M558" s="410"/>
      <c r="N558" s="293">
        <f>N$550/N$548</f>
        <v>0.37319468515309068</v>
      </c>
      <c r="O558" s="409"/>
      <c r="P558" s="314"/>
      <c r="Q558" s="314"/>
      <c r="R558" s="410"/>
      <c r="S558" s="293">
        <f>S$550/S$548</f>
        <v>0.39876408578698658</v>
      </c>
      <c r="T558" s="409"/>
      <c r="U558" s="314"/>
      <c r="V558" s="314"/>
      <c r="W558" s="410"/>
      <c r="X558" s="293">
        <f>X$550/X$548</f>
        <v>0.37649572649572649</v>
      </c>
      <c r="Y558" s="409"/>
      <c r="Z558" s="314"/>
      <c r="AA558" s="314"/>
      <c r="AB558" s="410"/>
      <c r="AC558" s="293">
        <f>AC$550/AC$548</f>
        <v>0.48075697693821334</v>
      </c>
      <c r="AD558" s="409"/>
      <c r="AE558" s="314"/>
      <c r="AF558" s="314"/>
      <c r="AG558" s="410"/>
      <c r="AH558" s="293">
        <f>AH$550/AH$548</f>
        <v>0.44637407107353522</v>
      </c>
      <c r="AI558" s="409"/>
      <c r="AJ558" s="314"/>
      <c r="AK558" s="314"/>
      <c r="AL558" s="410"/>
      <c r="AM558" s="293">
        <f>AM$550/AM$548</f>
        <v>0.51803063526419313</v>
      </c>
      <c r="AN558" s="409"/>
      <c r="AO558" s="314"/>
      <c r="AP558" s="314"/>
      <c r="AQ558" s="410"/>
      <c r="AR558" s="293">
        <f>AR$550/AR$548</f>
        <v>0.68024629475635767</v>
      </c>
      <c r="AS558" s="409"/>
      <c r="AT558" s="314"/>
      <c r="AU558" s="314"/>
      <c r="AV558" s="410"/>
      <c r="AW558" s="293">
        <f>AW$550/AW$548</f>
        <v>0.74849187190663669</v>
      </c>
      <c r="AX558" s="409"/>
      <c r="AY558" s="314"/>
      <c r="AZ558" s="314"/>
      <c r="BA558" s="410"/>
      <c r="BB558" s="293">
        <f>BB$550/BB$548</f>
        <v>0.40873945015424429</v>
      </c>
      <c r="BC558" s="409"/>
      <c r="BD558" s="314"/>
      <c r="BE558" s="314"/>
      <c r="BF558" s="410"/>
      <c r="BG558" s="293">
        <f>BG$550/BG$548</f>
        <v>0.40818513703853859</v>
      </c>
      <c r="BH558" s="409"/>
      <c r="BI558" s="314"/>
      <c r="BJ558" s="314"/>
      <c r="BK558" s="410"/>
      <c r="BL558" s="293">
        <f>BL$550/BL$548</f>
        <v>0.46957896864298138</v>
      </c>
      <c r="BM558" s="409"/>
      <c r="BN558" s="314"/>
      <c r="BO558" s="314"/>
      <c r="BP558" s="410"/>
      <c r="BQ558" s="293">
        <f>BQ$550/BQ$548</f>
        <v>0.57851948915300799</v>
      </c>
    </row>
    <row r="559" spans="1:69" s="2" customFormat="1">
      <c r="A559" s="1523"/>
      <c r="C559" s="37"/>
      <c r="E559" s="358"/>
      <c r="F559" s="312"/>
      <c r="G559" s="312"/>
      <c r="H559" s="359"/>
      <c r="I559" s="3"/>
      <c r="J559" s="358"/>
      <c r="K559" s="312"/>
      <c r="L559" s="312"/>
      <c r="M559" s="359"/>
      <c r="N559" s="3"/>
      <c r="O559" s="358"/>
      <c r="P559" s="312"/>
      <c r="Q559" s="312"/>
      <c r="R559" s="359"/>
      <c r="S559" s="3"/>
      <c r="T559" s="358"/>
      <c r="U559" s="312"/>
      <c r="V559" s="312"/>
      <c r="W559" s="359"/>
      <c r="X559" s="3"/>
      <c r="Y559" s="358"/>
      <c r="Z559" s="312"/>
      <c r="AA559" s="312"/>
      <c r="AB559" s="359"/>
      <c r="AC559" s="3"/>
      <c r="AD559" s="358"/>
      <c r="AE559" s="312"/>
      <c r="AF559" s="312"/>
      <c r="AG559" s="359"/>
      <c r="AH559" s="3"/>
      <c r="AI559" s="358"/>
      <c r="AJ559" s="312"/>
      <c r="AK559" s="312"/>
      <c r="AL559" s="359"/>
      <c r="AM559" s="3"/>
      <c r="AN559" s="358"/>
      <c r="AO559" s="312"/>
      <c r="AP559" s="312"/>
      <c r="AQ559" s="359"/>
      <c r="AR559" s="3"/>
      <c r="AS559" s="358"/>
      <c r="AT559" s="312"/>
      <c r="AU559" s="312"/>
      <c r="AV559" s="359"/>
      <c r="AW559" s="3"/>
      <c r="AX559" s="358"/>
      <c r="AY559" s="312"/>
      <c r="AZ559" s="312"/>
      <c r="BA559" s="359"/>
      <c r="BB559" s="3"/>
      <c r="BC559" s="358"/>
      <c r="BD559" s="312"/>
      <c r="BE559" s="312"/>
      <c r="BF559" s="359"/>
      <c r="BG559" s="3"/>
      <c r="BH559" s="358"/>
      <c r="BI559" s="312"/>
      <c r="BJ559" s="312"/>
      <c r="BK559" s="359"/>
      <c r="BL559" s="3"/>
      <c r="BM559" s="358"/>
      <c r="BN559" s="312"/>
      <c r="BO559" s="312"/>
      <c r="BP559" s="359"/>
      <c r="BQ559" s="3"/>
    </row>
    <row r="560" spans="1:69" s="2" customFormat="1">
      <c r="A560" s="1523"/>
      <c r="C560" s="49" t="s">
        <v>277</v>
      </c>
      <c r="E560" s="358"/>
      <c r="F560" s="312"/>
      <c r="G560" s="312"/>
      <c r="H560" s="359"/>
      <c r="I560" s="3"/>
      <c r="J560" s="358"/>
      <c r="K560" s="312"/>
      <c r="L560" s="312"/>
      <c r="M560" s="359"/>
      <c r="N560" s="3"/>
      <c r="O560" s="358"/>
      <c r="P560" s="312"/>
      <c r="Q560" s="312"/>
      <c r="R560" s="359"/>
      <c r="S560" s="3"/>
      <c r="T560" s="358"/>
      <c r="U560" s="312"/>
      <c r="V560" s="312"/>
      <c r="W560" s="359"/>
      <c r="X560" s="3"/>
      <c r="Y560" s="358"/>
      <c r="Z560" s="312"/>
      <c r="AA560" s="312"/>
      <c r="AB560" s="359"/>
      <c r="AC560" s="3"/>
      <c r="AD560" s="358"/>
      <c r="AE560" s="312"/>
      <c r="AF560" s="312"/>
      <c r="AG560" s="359"/>
      <c r="AH560" s="3"/>
      <c r="AI560" s="358"/>
      <c r="AJ560" s="312"/>
      <c r="AK560" s="312"/>
      <c r="AL560" s="359"/>
      <c r="AM560" s="3"/>
      <c r="AN560" s="358"/>
      <c r="AO560" s="312"/>
      <c r="AP560" s="312"/>
      <c r="AQ560" s="359"/>
      <c r="AR560" s="3"/>
      <c r="AS560" s="358"/>
      <c r="AT560" s="312"/>
      <c r="AU560" s="312"/>
      <c r="AV560" s="359"/>
      <c r="AW560" s="3"/>
      <c r="AX560" s="358"/>
      <c r="AY560" s="312"/>
      <c r="AZ560" s="312"/>
      <c r="BA560" s="359"/>
      <c r="BB560" s="3"/>
      <c r="BC560" s="358"/>
      <c r="BD560" s="312"/>
      <c r="BE560" s="312"/>
      <c r="BF560" s="359"/>
      <c r="BG560" s="3"/>
      <c r="BH560" s="358"/>
      <c r="BI560" s="312"/>
      <c r="BJ560" s="312"/>
      <c r="BK560" s="359"/>
      <c r="BL560" s="3"/>
      <c r="BM560" s="358"/>
      <c r="BN560" s="312"/>
      <c r="BO560" s="312"/>
      <c r="BP560" s="359"/>
      <c r="BQ560" s="3"/>
    </row>
    <row r="561" spans="1:71" s="2" customFormat="1">
      <c r="A561" s="1523"/>
      <c r="C561" s="37" t="s">
        <v>278</v>
      </c>
      <c r="E561" s="411"/>
      <c r="F561" s="315"/>
      <c r="G561" s="315"/>
      <c r="H561" s="412"/>
      <c r="I561" s="301">
        <f>(I$550-I$552)/I$552</f>
        <v>8.316770186335404</v>
      </c>
      <c r="J561" s="411"/>
      <c r="K561" s="315"/>
      <c r="L561" s="315"/>
      <c r="M561" s="412"/>
      <c r="N561" s="301">
        <f>(N$550-N$552)/N$552</f>
        <v>7.2292993630573248</v>
      </c>
      <c r="O561" s="411"/>
      <c r="P561" s="315"/>
      <c r="Q561" s="315"/>
      <c r="R561" s="412"/>
      <c r="S561" s="301">
        <f>(S$550-S$552)/S$552</f>
        <v>5.2685714285714287</v>
      </c>
      <c r="T561" s="411"/>
      <c r="U561" s="315"/>
      <c r="V561" s="315"/>
      <c r="W561" s="412"/>
      <c r="X561" s="301">
        <f>(X$550-X$552)/X$552</f>
        <v>5.5746268656716422</v>
      </c>
      <c r="Y561" s="411"/>
      <c r="Z561" s="315"/>
      <c r="AA561" s="315"/>
      <c r="AB561" s="412"/>
      <c r="AC561" s="301">
        <f>(AC$550-AC$552)/AC$552</f>
        <v>9.5310644689655177</v>
      </c>
      <c r="AD561" s="411"/>
      <c r="AE561" s="315"/>
      <c r="AF561" s="315"/>
      <c r="AG561" s="412"/>
      <c r="AH561" s="301">
        <f>(AH$550-AH$552)/AH$552</f>
        <v>8.3043382191803286</v>
      </c>
      <c r="AI561" s="411"/>
      <c r="AJ561" s="315"/>
      <c r="AK561" s="315"/>
      <c r="AL561" s="412"/>
      <c r="AM561" s="301">
        <f>(AM$550-AM$552)/AM$552</f>
        <v>8.5771448850082646</v>
      </c>
      <c r="AN561" s="411"/>
      <c r="AO561" s="315"/>
      <c r="AP561" s="315"/>
      <c r="AQ561" s="412"/>
      <c r="AR561" s="301">
        <f>(AR$550-AR$552)/AR$552</f>
        <v>18.289841358448143</v>
      </c>
      <c r="AS561" s="411"/>
      <c r="AT561" s="315"/>
      <c r="AU561" s="315"/>
      <c r="AV561" s="412"/>
      <c r="AW561" s="301">
        <f>(AW$550-AW$552)/AW$552</f>
        <v>38.924556447500002</v>
      </c>
      <c r="AX561" s="411"/>
      <c r="AY561" s="315"/>
      <c r="AZ561" s="315"/>
      <c r="BA561" s="412"/>
      <c r="BB561" s="301">
        <f>(BB$550-BB$552)/BB$552</f>
        <v>12.113282707906766</v>
      </c>
      <c r="BC561" s="411"/>
      <c r="BD561" s="315"/>
      <c r="BE561" s="315"/>
      <c r="BF561" s="412"/>
      <c r="BG561" s="301">
        <f>(BG$550-BG$552)/BG$552</f>
        <v>7.5370537249259311</v>
      </c>
      <c r="BH561" s="411"/>
      <c r="BI561" s="315"/>
      <c r="BJ561" s="315"/>
      <c r="BK561" s="412"/>
      <c r="BL561" s="301">
        <f>(BL$550-BL$552)/BL$552</f>
        <v>7.9805659876874273</v>
      </c>
      <c r="BM561" s="411"/>
      <c r="BN561" s="315"/>
      <c r="BO561" s="315"/>
      <c r="BP561" s="412"/>
      <c r="BQ561" s="301">
        <f>(BQ$550-BQ$552)/BQ$552</f>
        <v>8.4745854795223039</v>
      </c>
    </row>
    <row r="562" spans="1:71">
      <c r="A562" s="1523"/>
      <c r="B562" s="2"/>
      <c r="C562" s="37" t="s">
        <v>279</v>
      </c>
      <c r="D562" s="2"/>
      <c r="E562" s="411"/>
      <c r="F562" s="315"/>
      <c r="G562" s="315"/>
      <c r="H562" s="412"/>
      <c r="I562" s="301">
        <f>I$551/I$552</f>
        <v>12.161490683229813</v>
      </c>
      <c r="J562" s="411"/>
      <c r="K562" s="315"/>
      <c r="L562" s="315"/>
      <c r="M562" s="412"/>
      <c r="N562" s="301">
        <f>N$551/N$552</f>
        <v>12.19108280254777</v>
      </c>
      <c r="O562" s="411"/>
      <c r="P562" s="315"/>
      <c r="Q562" s="315"/>
      <c r="R562" s="412"/>
      <c r="S562" s="301">
        <f>S$551/S$552</f>
        <v>9.64</v>
      </c>
      <c r="T562" s="411"/>
      <c r="U562" s="315"/>
      <c r="V562" s="315"/>
      <c r="W562" s="412"/>
      <c r="X562" s="301">
        <f>X$551/X$552</f>
        <v>8.0597014925373127</v>
      </c>
      <c r="Y562" s="411"/>
      <c r="Z562" s="315"/>
      <c r="AA562" s="315"/>
      <c r="AB562" s="412"/>
      <c r="AC562" s="301">
        <f>AC$551/AC$552</f>
        <v>9.1637931034482758</v>
      </c>
      <c r="AD562" s="411"/>
      <c r="AE562" s="315"/>
      <c r="AF562" s="315"/>
      <c r="AG562" s="412"/>
      <c r="AH562" s="301">
        <f>AH$551/AH$552</f>
        <v>10.254098360655737</v>
      </c>
      <c r="AI562" s="411"/>
      <c r="AJ562" s="315"/>
      <c r="AK562" s="315"/>
      <c r="AL562" s="412"/>
      <c r="AM562" s="301">
        <f>AM$551/AM$552</f>
        <v>11.297520661157025</v>
      </c>
      <c r="AN562" s="411"/>
      <c r="AO562" s="315"/>
      <c r="AP562" s="315"/>
      <c r="AQ562" s="412"/>
      <c r="AR562" s="301">
        <f>AR$551/AR$552</f>
        <v>-0.51190476190476186</v>
      </c>
      <c r="AS562" s="411"/>
      <c r="AT562" s="315"/>
      <c r="AU562" s="315"/>
      <c r="AV562" s="412"/>
      <c r="AW562" s="301">
        <f>AW$551/AW$552</f>
        <v>-5</v>
      </c>
      <c r="AX562" s="411"/>
      <c r="AY562" s="315"/>
      <c r="AZ562" s="315"/>
      <c r="BA562" s="412"/>
      <c r="BB562" s="301">
        <f>BB$551/BB$552</f>
        <v>8.6106999126024135</v>
      </c>
      <c r="BC562" s="411"/>
      <c r="BD562" s="315"/>
      <c r="BE562" s="315"/>
      <c r="BF562" s="412"/>
      <c r="BG562" s="301">
        <f>BG$551/BG$552</f>
        <v>5.2570010653857704</v>
      </c>
      <c r="BH562" s="411"/>
      <c r="BI562" s="315"/>
      <c r="BJ562" s="315"/>
      <c r="BK562" s="412"/>
      <c r="BL562" s="301">
        <f>BL$551/BL$552</f>
        <v>5.5909465376074046</v>
      </c>
      <c r="BM562" s="411"/>
      <c r="BN562" s="315"/>
      <c r="BO562" s="315"/>
      <c r="BP562" s="412"/>
      <c r="BQ562" s="301">
        <f>BQ$551/BQ$552</f>
        <v>6.635285134159906</v>
      </c>
      <c r="BR562" s="2"/>
    </row>
    <row r="563" spans="1:71">
      <c r="A563" s="1502"/>
      <c r="C563" s="305"/>
      <c r="E563" s="365"/>
      <c r="F563" s="6"/>
      <c r="G563" s="6"/>
      <c r="H563" s="366"/>
      <c r="J563" s="365"/>
      <c r="K563" s="6"/>
      <c r="L563" s="6"/>
      <c r="M563" s="366"/>
      <c r="O563" s="716"/>
      <c r="P563" s="714"/>
      <c r="Q563" s="714"/>
      <c r="R563" s="715"/>
      <c r="T563" s="716"/>
      <c r="U563" s="714"/>
      <c r="V563" s="714"/>
      <c r="W563" s="715"/>
      <c r="Y563" s="716"/>
      <c r="Z563" s="714"/>
      <c r="AA563" s="714"/>
      <c r="AB563" s="715"/>
      <c r="AD563" s="716"/>
      <c r="AE563" s="714"/>
      <c r="AF563" s="714"/>
      <c r="AG563" s="715"/>
      <c r="AI563" s="716"/>
      <c r="AJ563" s="714"/>
      <c r="AK563" s="714"/>
      <c r="AL563" s="715"/>
      <c r="AN563" s="716"/>
      <c r="AO563" s="714"/>
      <c r="AP563" s="714"/>
      <c r="AQ563" s="715"/>
      <c r="AS563" s="716"/>
      <c r="AT563" s="714"/>
      <c r="AU563" s="714"/>
      <c r="AV563" s="715"/>
      <c r="AX563" s="716"/>
      <c r="AY563" s="714"/>
      <c r="AZ563" s="714"/>
      <c r="BA563" s="715"/>
      <c r="BC563" s="716"/>
      <c r="BD563" s="714"/>
      <c r="BE563" s="714"/>
      <c r="BF563" s="715"/>
      <c r="BH563" s="716"/>
      <c r="BI563" s="714"/>
      <c r="BJ563" s="714"/>
      <c r="BK563" s="715"/>
      <c r="BM563" s="716"/>
      <c r="BN563" s="714"/>
      <c r="BO563" s="714"/>
      <c r="BP563" s="715"/>
    </row>
    <row r="564" spans="1:71">
      <c r="B564" s="533" t="s">
        <v>1016</v>
      </c>
      <c r="C564" s="855"/>
      <c r="D564" s="856"/>
    </row>
    <row r="565" spans="1:71">
      <c r="C565" s="538" t="s">
        <v>1019</v>
      </c>
      <c r="AM565" s="1039">
        <v>0.5</v>
      </c>
      <c r="AR565" s="1039">
        <v>0.5</v>
      </c>
      <c r="AW565" s="1039">
        <v>0.5</v>
      </c>
      <c r="BA565" s="1039"/>
      <c r="BB565" s="1039">
        <v>0.4</v>
      </c>
      <c r="BG565" s="1039">
        <v>0.3</v>
      </c>
    </row>
    <row r="566" spans="1:71">
      <c r="C566" s="538" t="s">
        <v>1017</v>
      </c>
      <c r="AM566">
        <f>AM565*AM480</f>
        <v>558.5</v>
      </c>
      <c r="AR566">
        <f>AR565*AR480</f>
        <v>671.5</v>
      </c>
      <c r="AW566">
        <f>AW565*AW480</f>
        <v>615.5</v>
      </c>
      <c r="BB566">
        <f>BB565*BB480</f>
        <v>258</v>
      </c>
      <c r="BG566">
        <f>BG565*BG480</f>
        <v>78</v>
      </c>
      <c r="BS566" s="1616">
        <f>AM566+AR566+AW566+BB566+BG566</f>
        <v>2181.5</v>
      </c>
    </row>
    <row r="567" spans="1:71">
      <c r="C567" s="538" t="s">
        <v>1018</v>
      </c>
      <c r="AM567" s="1039">
        <f>AM566/$BS$566</f>
        <v>0.25601650240660095</v>
      </c>
      <c r="AN567" s="1039"/>
      <c r="AO567" s="1039"/>
      <c r="AP567" s="1039"/>
      <c r="AQ567" s="1039"/>
      <c r="AR567" s="1039">
        <f>AR566/$BS$566</f>
        <v>0.30781572312628924</v>
      </c>
      <c r="AS567" s="1039"/>
      <c r="AT567" s="1039"/>
      <c r="AU567" s="1039"/>
      <c r="AV567" s="1039"/>
      <c r="AW567" s="1039">
        <f>AW566/$BS$566</f>
        <v>0.28214531285812516</v>
      </c>
      <c r="AX567" s="1039"/>
      <c r="AY567" s="1039"/>
      <c r="AZ567" s="1039"/>
      <c r="BA567" s="1039"/>
      <c r="BB567" s="1039">
        <f>BB566/$BS$566</f>
        <v>0.11826724730689893</v>
      </c>
      <c r="BC567" s="1039"/>
      <c r="BD567" s="1039"/>
      <c r="BE567" s="1039"/>
      <c r="BF567" s="1039"/>
      <c r="BG567" s="1039">
        <f>BG566/$BS$566</f>
        <v>3.5755214302085718E-2</v>
      </c>
    </row>
  </sheetData>
  <phoneticPr fontId="2" type="noConversion"/>
  <conditionalFormatting sqref="E484:H485 E457:H462 J485:AH485 J461:AF462 J457:AE460 AJ458:AN458 J484:AE484 AG484:AH484 AJ485:AN485 AJ461:AR462 AJ459:AM460 AU485 AT461:BB462 AU458 AX484:BB485 AX457:BB460">
    <cfRule type="expression" dxfId="50" priority="67" stopIfTrue="1">
      <formula>#REF!&gt;LastQtr</formula>
    </cfRule>
  </conditionalFormatting>
  <conditionalFormatting sqref="AF457:AF460">
    <cfRule type="expression" dxfId="49" priority="65" stopIfTrue="1">
      <formula>#REF!&gt;LastQtr</formula>
    </cfRule>
  </conditionalFormatting>
  <conditionalFormatting sqref="AF484">
    <cfRule type="expression" dxfId="48" priority="64" stopIfTrue="1">
      <formula>#REF!&gt;LastQtr</formula>
    </cfRule>
  </conditionalFormatting>
  <conditionalFormatting sqref="AG457:AH462">
    <cfRule type="expression" dxfId="47" priority="63" stopIfTrue="1">
      <formula>#REF!&gt;LastQtr</formula>
    </cfRule>
  </conditionalFormatting>
  <conditionalFormatting sqref="AI457:AI462">
    <cfRule type="expression" dxfId="46" priority="62" stopIfTrue="1">
      <formula>#REF!&gt;LastQtr</formula>
    </cfRule>
  </conditionalFormatting>
  <conditionalFormatting sqref="AI485">
    <cfRule type="expression" dxfId="45" priority="61" stopIfTrue="1">
      <formula>#REF!&gt;LastQtr</formula>
    </cfRule>
  </conditionalFormatting>
  <conditionalFormatting sqref="BC458:BL462 BC485:BL485 BC457:BF457 BH457:BK457 BC484:BF484 BH484:BK484">
    <cfRule type="expression" dxfId="44" priority="60" stopIfTrue="1">
      <formula>#REF!&gt;LastQtr</formula>
    </cfRule>
  </conditionalFormatting>
  <conditionalFormatting sqref="BG457">
    <cfRule type="expression" dxfId="43" priority="59" stopIfTrue="1">
      <formula>#REF!&gt;LastQtr</formula>
    </cfRule>
  </conditionalFormatting>
  <conditionalFormatting sqref="BL457">
    <cfRule type="expression" dxfId="42" priority="58" stopIfTrue="1">
      <formula>#REF!&gt;LastQtr</formula>
    </cfRule>
  </conditionalFormatting>
  <conditionalFormatting sqref="AI484:AJ484">
    <cfRule type="expression" dxfId="41" priority="55" stopIfTrue="1">
      <formula>#REF!&gt;LastQtr</formula>
    </cfRule>
  </conditionalFormatting>
  <conditionalFormatting sqref="AJ457">
    <cfRule type="expression" dxfId="40" priority="53" stopIfTrue="1">
      <formula>#REF!&gt;LastQtr</formula>
    </cfRule>
  </conditionalFormatting>
  <conditionalFormatting sqref="AK457">
    <cfRule type="expression" dxfId="39" priority="52" stopIfTrue="1">
      <formula>#REF!&gt;LastQtr</formula>
    </cfRule>
  </conditionalFormatting>
  <conditionalFormatting sqref="AL457:AM457">
    <cfRule type="expression" dxfId="38" priority="51" stopIfTrue="1">
      <formula>#REF!&gt;LastQtr</formula>
    </cfRule>
  </conditionalFormatting>
  <conditionalFormatting sqref="AL484:AM484">
    <cfRule type="expression" dxfId="37" priority="50" stopIfTrue="1">
      <formula>#REF!&gt;LastQtr</formula>
    </cfRule>
  </conditionalFormatting>
  <conditionalFormatting sqref="AK484">
    <cfRule type="expression" dxfId="36" priority="49" stopIfTrue="1">
      <formula>#REF!&gt;LastQtr</formula>
    </cfRule>
  </conditionalFormatting>
  <conditionalFormatting sqref="AN484">
    <cfRule type="expression" dxfId="35" priority="46" stopIfTrue="1">
      <formula>#REF!&gt;LastQtr</formula>
    </cfRule>
  </conditionalFormatting>
  <conditionalFormatting sqref="AN457">
    <cfRule type="expression" dxfId="34" priority="48" stopIfTrue="1">
      <formula>#REF!&gt;LastQtr</formula>
    </cfRule>
  </conditionalFormatting>
  <conditionalFormatting sqref="AN459:AN460">
    <cfRule type="expression" dxfId="33" priority="47" stopIfTrue="1">
      <formula>#REF!&gt;LastQtr</formula>
    </cfRule>
  </conditionalFormatting>
  <conditionalFormatting sqref="AO458:AO460">
    <cfRule type="expression" dxfId="32" priority="45" stopIfTrue="1">
      <formula>#REF!&gt;LastQtr</formula>
    </cfRule>
  </conditionalFormatting>
  <conditionalFormatting sqref="AO457">
    <cfRule type="expression" dxfId="31" priority="44" stopIfTrue="1">
      <formula>#REF!&gt;LastQtr</formula>
    </cfRule>
  </conditionalFormatting>
  <conditionalFormatting sqref="AO485">
    <cfRule type="expression" dxfId="30" priority="43" stopIfTrue="1">
      <formula>#REF!&gt;LastQtr</formula>
    </cfRule>
  </conditionalFormatting>
  <conditionalFormatting sqref="AO484">
    <cfRule type="expression" dxfId="29" priority="42" stopIfTrue="1">
      <formula>#REF!&gt;LastQtr</formula>
    </cfRule>
  </conditionalFormatting>
  <conditionalFormatting sqref="AP458:AP460">
    <cfRule type="expression" dxfId="28" priority="36" stopIfTrue="1">
      <formula>#REF!&gt;LastQtr</formula>
    </cfRule>
  </conditionalFormatting>
  <conditionalFormatting sqref="AP485">
    <cfRule type="expression" dxfId="27" priority="38" stopIfTrue="1">
      <formula>#REF!&gt;LastQtr</formula>
    </cfRule>
  </conditionalFormatting>
  <conditionalFormatting sqref="AP457">
    <cfRule type="expression" dxfId="26" priority="35" stopIfTrue="1">
      <formula>#REF!&gt;LastQtr</formula>
    </cfRule>
  </conditionalFormatting>
  <conditionalFormatting sqref="AP484">
    <cfRule type="expression" dxfId="25" priority="34" stopIfTrue="1">
      <formula>#REF!&gt;LastQtr</formula>
    </cfRule>
  </conditionalFormatting>
  <conditionalFormatting sqref="BM458:BQ462 BM485:BQ485 BM457:BP457 BM484:BP484">
    <cfRule type="expression" dxfId="24" priority="33" stopIfTrue="1">
      <formula>#REF!&gt;LastQtr</formula>
    </cfRule>
  </conditionalFormatting>
  <conditionalFormatting sqref="BQ457">
    <cfRule type="expression" dxfId="23" priority="32" stopIfTrue="1">
      <formula>#REF!&gt;LastQtr</formula>
    </cfRule>
  </conditionalFormatting>
  <conditionalFormatting sqref="AQ458:AR460">
    <cfRule type="expression" dxfId="22" priority="30" stopIfTrue="1">
      <formula>#REF!&gt;LastQtr</formula>
    </cfRule>
  </conditionalFormatting>
  <conditionalFormatting sqref="AQ457:AR457">
    <cfRule type="expression" dxfId="21" priority="29" stopIfTrue="1">
      <formula>#REF!&gt;LastQtr</formula>
    </cfRule>
  </conditionalFormatting>
  <conditionalFormatting sqref="AQ485:AR485">
    <cfRule type="expression" dxfId="20" priority="28" stopIfTrue="1">
      <formula>#REF!&gt;LastQtr</formula>
    </cfRule>
  </conditionalFormatting>
  <conditionalFormatting sqref="AQ484:AR484">
    <cfRule type="expression" dxfId="19" priority="27" stopIfTrue="1">
      <formula>#REF!&gt;LastQtr</formula>
    </cfRule>
  </conditionalFormatting>
  <conditionalFormatting sqref="AS458 AS461:AS462">
    <cfRule type="expression" dxfId="18" priority="25" stopIfTrue="1">
      <formula>#REF!&gt;LastQtr</formula>
    </cfRule>
  </conditionalFormatting>
  <conditionalFormatting sqref="AS457">
    <cfRule type="expression" dxfId="17" priority="24" stopIfTrue="1">
      <formula>#REF!&gt;LastQtr</formula>
    </cfRule>
  </conditionalFormatting>
  <conditionalFormatting sqref="AS459:AS460">
    <cfRule type="expression" dxfId="16" priority="23" stopIfTrue="1">
      <formula>#REF!&gt;LastQtr</formula>
    </cfRule>
  </conditionalFormatting>
  <conditionalFormatting sqref="AS485">
    <cfRule type="expression" dxfId="15" priority="22" stopIfTrue="1">
      <formula>#REF!&gt;LastQtr</formula>
    </cfRule>
  </conditionalFormatting>
  <conditionalFormatting sqref="AS484">
    <cfRule type="expression" dxfId="14" priority="21" stopIfTrue="1">
      <formula>#REF!&gt;LastQtr</formula>
    </cfRule>
  </conditionalFormatting>
  <conditionalFormatting sqref="AT458:AT460">
    <cfRule type="expression" dxfId="13" priority="20" stopIfTrue="1">
      <formula>#REF!&gt;LastQtr</formula>
    </cfRule>
  </conditionalFormatting>
  <conditionalFormatting sqref="AT457">
    <cfRule type="expression" dxfId="12" priority="19" stopIfTrue="1">
      <formula>#REF!&gt;LastQtr</formula>
    </cfRule>
  </conditionalFormatting>
  <conditionalFormatting sqref="AT485">
    <cfRule type="expression" dxfId="11" priority="17" stopIfTrue="1">
      <formula>#REF!&gt;LastQtr</formula>
    </cfRule>
  </conditionalFormatting>
  <conditionalFormatting sqref="AT484">
    <cfRule type="expression" dxfId="10" priority="16" stopIfTrue="1">
      <formula>#REF!&gt;LastQtr</formula>
    </cfRule>
  </conditionalFormatting>
  <conditionalFormatting sqref="AU457">
    <cfRule type="expression" dxfId="9" priority="15" stopIfTrue="1">
      <formula>#REF!&gt;LastQtr</formula>
    </cfRule>
  </conditionalFormatting>
  <conditionalFormatting sqref="AU459:AU460">
    <cfRule type="expression" dxfId="8" priority="14" stopIfTrue="1">
      <formula>#REF!&gt;LastQtr</formula>
    </cfRule>
  </conditionalFormatting>
  <conditionalFormatting sqref="AU484">
    <cfRule type="expression" dxfId="7" priority="13" stopIfTrue="1">
      <formula>#REF!&gt;LastQtr</formula>
    </cfRule>
  </conditionalFormatting>
  <conditionalFormatting sqref="BG484">
    <cfRule type="expression" dxfId="6" priority="12" stopIfTrue="1">
      <formula>#REF!&gt;LastQtr</formula>
    </cfRule>
  </conditionalFormatting>
  <conditionalFormatting sqref="BL484">
    <cfRule type="expression" dxfId="5" priority="11" stopIfTrue="1">
      <formula>#REF!&gt;LastQtr</formula>
    </cfRule>
  </conditionalFormatting>
  <conditionalFormatting sqref="BQ484">
    <cfRule type="expression" dxfId="4" priority="10" stopIfTrue="1">
      <formula>#REF!&gt;LastQtr</formula>
    </cfRule>
  </conditionalFormatting>
  <conditionalFormatting sqref="AV485:AW485">
    <cfRule type="expression" dxfId="3" priority="9" stopIfTrue="1">
      <formula>#REF!&gt;LastQtr</formula>
    </cfRule>
  </conditionalFormatting>
  <conditionalFormatting sqref="AV484:AW484">
    <cfRule type="expression" dxfId="2" priority="8" stopIfTrue="1">
      <formula>#REF!&gt;LastQtr</formula>
    </cfRule>
  </conditionalFormatting>
  <conditionalFormatting sqref="AV458:AW460">
    <cfRule type="expression" dxfId="1" priority="2" stopIfTrue="1">
      <formula>#REF!&gt;LastQtr</formula>
    </cfRule>
  </conditionalFormatting>
  <conditionalFormatting sqref="AV457:AW457">
    <cfRule type="expression" dxfId="0" priority="1" stopIfTrue="1">
      <formula>#REF!&gt;LastQtr</formula>
    </cfRule>
  </conditionalFormatting>
  <hyperlinks>
    <hyperlink ref="CQ246" r:id="rId1"/>
  </hyperlinks>
  <pageMargins left="0" right="0" top="0" bottom="0" header="0" footer="0"/>
  <pageSetup paperSize="5" scale="10" orientation="landscape" r:id="rId2"/>
  <headerFooter alignWithMargins="0"/>
  <drawing r:id="rId3"/>
  <legacy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autoPageBreaks="0"/>
  </sheetPr>
  <dimension ref="A1:CC202"/>
  <sheetViews>
    <sheetView zoomScale="85" zoomScaleNormal="90" zoomScaleSheetLayoutView="40" workbookViewId="0">
      <pane xSplit="4" ySplit="5" topLeftCell="I6" activePane="bottomRight" state="frozen"/>
      <selection activeCell="H41" sqref="H41"/>
      <selection pane="topRight" activeCell="H41" sqref="H41"/>
      <selection pane="bottomLeft" activeCell="H41" sqref="H41"/>
      <selection pane="bottomRight" activeCell="I6" sqref="I6"/>
    </sheetView>
  </sheetViews>
  <sheetFormatPr defaultRowHeight="12.75" outlineLevelCol="1"/>
  <cols>
    <col min="1" max="2" width="2.7109375" customWidth="1"/>
    <col min="3" max="3" width="47.5703125" customWidth="1"/>
    <col min="4" max="4" width="2.7109375" customWidth="1"/>
    <col min="5" max="8" width="9" hidden="1" customWidth="1" outlineLevel="1"/>
    <col min="9" max="9" width="9" customWidth="1" collapsed="1"/>
    <col min="10" max="13" width="9" hidden="1" customWidth="1" outlineLevel="1"/>
    <col min="14" max="14" width="9" customWidth="1" collapsed="1"/>
    <col min="15" max="18" width="9" hidden="1" customWidth="1" outlineLevel="1"/>
    <col min="19" max="19" width="9" customWidth="1" collapsed="1"/>
    <col min="20" max="23" width="9" hidden="1" customWidth="1" outlineLevel="1"/>
    <col min="24" max="24" width="9" customWidth="1" collapsed="1"/>
    <col min="25" max="28" width="9" hidden="1" customWidth="1" outlineLevel="1"/>
    <col min="29" max="29" width="9" customWidth="1" collapsed="1"/>
    <col min="30" max="33" width="9" hidden="1" customWidth="1" outlineLevel="1"/>
    <col min="34" max="34" width="9" customWidth="1" collapsed="1"/>
    <col min="35" max="38" width="9" hidden="1" customWidth="1" outlineLevel="1"/>
    <col min="39" max="39" width="9" customWidth="1" collapsed="1"/>
    <col min="40" max="43" width="9" hidden="1" customWidth="1" outlineLevel="1"/>
    <col min="44" max="44" width="9" customWidth="1" collapsed="1"/>
    <col min="45" max="48" width="9" hidden="1" customWidth="1" outlineLevel="1"/>
    <col min="49" max="49" width="9" customWidth="1" collapsed="1"/>
    <col min="50" max="53" width="9" hidden="1" customWidth="1" outlineLevel="1"/>
    <col min="54" max="54" width="9" customWidth="1" collapsed="1"/>
    <col min="55" max="58" width="9" hidden="1" customWidth="1" outlineLevel="1"/>
    <col min="59" max="59" width="9" customWidth="1" collapsed="1"/>
    <col min="60" max="63" width="9" hidden="1" customWidth="1" outlineLevel="1"/>
    <col min="64" max="64" width="9" customWidth="1" collapsed="1"/>
    <col min="65" max="68" width="9" hidden="1" customWidth="1" outlineLevel="1"/>
    <col min="69" max="69" width="9" customWidth="1" collapsed="1"/>
  </cols>
  <sheetData>
    <row r="1" spans="1:69" ht="15" customHeight="1">
      <c r="A1" s="9"/>
      <c r="B1" s="9"/>
      <c r="C1" s="9"/>
      <c r="D1" s="11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</row>
    <row r="2" spans="1:69" ht="15" customHeight="1">
      <c r="A2" s="9"/>
      <c r="B2" s="644" t="str">
        <f>Cover!$B$2</f>
        <v>Public Service Enterprise Group</v>
      </c>
      <c r="C2" s="9"/>
      <c r="D2" s="11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</row>
    <row r="3" spans="1:69" ht="15" customHeight="1">
      <c r="A3" s="79"/>
      <c r="B3" s="79" t="s">
        <v>113</v>
      </c>
      <c r="C3" s="10"/>
      <c r="D3" s="10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</row>
    <row r="4" spans="1:69" ht="15" customHeight="1">
      <c r="A4" s="16"/>
      <c r="B4" s="16" t="s">
        <v>78</v>
      </c>
      <c r="C4" s="13"/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</row>
    <row r="5" spans="1:69" ht="12.75" customHeight="1">
      <c r="A5" s="325"/>
      <c r="B5" s="738" t="s">
        <v>574</v>
      </c>
      <c r="C5" s="738"/>
      <c r="D5" s="739"/>
      <c r="E5" s="1206" t="s">
        <v>419</v>
      </c>
      <c r="F5" s="1207" t="s">
        <v>420</v>
      </c>
      <c r="G5" s="1207" t="s">
        <v>389</v>
      </c>
      <c r="H5" s="1208" t="s">
        <v>390</v>
      </c>
      <c r="I5" s="1209">
        <v>2009</v>
      </c>
      <c r="J5" s="1206" t="s">
        <v>391</v>
      </c>
      <c r="K5" s="1207" t="s">
        <v>392</v>
      </c>
      <c r="L5" s="1207" t="s">
        <v>393</v>
      </c>
      <c r="M5" s="1208" t="s">
        <v>394</v>
      </c>
      <c r="N5" s="1209" t="s">
        <v>111</v>
      </c>
      <c r="O5" s="1206" t="s">
        <v>336</v>
      </c>
      <c r="P5" s="1207" t="s">
        <v>337</v>
      </c>
      <c r="Q5" s="1207" t="s">
        <v>338</v>
      </c>
      <c r="R5" s="1208" t="s">
        <v>339</v>
      </c>
      <c r="S5" s="1209">
        <v>2011</v>
      </c>
      <c r="T5" s="740" t="s">
        <v>660</v>
      </c>
      <c r="U5" s="741" t="s">
        <v>723</v>
      </c>
      <c r="V5" s="741" t="s">
        <v>791</v>
      </c>
      <c r="W5" s="742" t="s">
        <v>796</v>
      </c>
      <c r="X5" s="1210" t="s">
        <v>797</v>
      </c>
      <c r="Y5" s="1206" t="s">
        <v>805</v>
      </c>
      <c r="Z5" s="1207" t="s">
        <v>806</v>
      </c>
      <c r="AA5" s="1207" t="s">
        <v>868</v>
      </c>
      <c r="AB5" s="1208" t="s">
        <v>869</v>
      </c>
      <c r="AC5" s="1210" t="s">
        <v>870</v>
      </c>
      <c r="AD5" s="1206" t="s">
        <v>891</v>
      </c>
      <c r="AE5" s="1207" t="s">
        <v>892</v>
      </c>
      <c r="AF5" s="1207" t="s">
        <v>930</v>
      </c>
      <c r="AG5" s="1208" t="s">
        <v>931</v>
      </c>
      <c r="AH5" s="1210" t="s">
        <v>929</v>
      </c>
      <c r="AI5" s="1206" t="s">
        <v>932</v>
      </c>
      <c r="AJ5" s="1207" t="s">
        <v>1000</v>
      </c>
      <c r="AK5" s="1207" t="s">
        <v>1001</v>
      </c>
      <c r="AL5" s="1208" t="s">
        <v>1013</v>
      </c>
      <c r="AM5" s="743" t="s">
        <v>1014</v>
      </c>
      <c r="AN5" s="740" t="s">
        <v>1028</v>
      </c>
      <c r="AO5" s="741" t="s">
        <v>1031</v>
      </c>
      <c r="AP5" s="741" t="s">
        <v>1040</v>
      </c>
      <c r="AQ5" s="742" t="s">
        <v>1073</v>
      </c>
      <c r="AR5" s="743" t="s">
        <v>1072</v>
      </c>
      <c r="AS5" s="740" t="s">
        <v>1078</v>
      </c>
      <c r="AT5" s="741" t="s">
        <v>1079</v>
      </c>
      <c r="AU5" s="741" t="s">
        <v>1096</v>
      </c>
      <c r="AV5" s="742" t="s">
        <v>1111</v>
      </c>
      <c r="AW5" s="743" t="s">
        <v>1110</v>
      </c>
      <c r="AX5" s="740" t="s">
        <v>875</v>
      </c>
      <c r="AY5" s="741" t="s">
        <v>876</v>
      </c>
      <c r="AZ5" s="741" t="s">
        <v>877</v>
      </c>
      <c r="BA5" s="742" t="s">
        <v>878</v>
      </c>
      <c r="BB5" s="743" t="s">
        <v>879</v>
      </c>
      <c r="BC5" s="740" t="s">
        <v>937</v>
      </c>
      <c r="BD5" s="741" t="s">
        <v>938</v>
      </c>
      <c r="BE5" s="741" t="s">
        <v>939</v>
      </c>
      <c r="BF5" s="742" t="s">
        <v>940</v>
      </c>
      <c r="BG5" s="743" t="s">
        <v>941</v>
      </c>
      <c r="BH5" s="740" t="s">
        <v>942</v>
      </c>
      <c r="BI5" s="741" t="s">
        <v>943</v>
      </c>
      <c r="BJ5" s="741" t="s">
        <v>944</v>
      </c>
      <c r="BK5" s="742" t="s">
        <v>945</v>
      </c>
      <c r="BL5" s="743" t="s">
        <v>946</v>
      </c>
      <c r="BM5" s="740" t="s">
        <v>1042</v>
      </c>
      <c r="BN5" s="741" t="s">
        <v>1043</v>
      </c>
      <c r="BO5" s="741" t="s">
        <v>1044</v>
      </c>
      <c r="BP5" s="742" t="s">
        <v>1045</v>
      </c>
      <c r="BQ5" s="743" t="s">
        <v>1046</v>
      </c>
    </row>
    <row r="6" spans="1:69" s="2" customFormat="1">
      <c r="E6" s="365"/>
      <c r="F6" s="6"/>
      <c r="G6" s="6"/>
      <c r="H6" s="366"/>
      <c r="J6" s="365"/>
      <c r="K6" s="6"/>
      <c r="L6" s="6"/>
      <c r="M6" s="366"/>
      <c r="O6" s="365"/>
      <c r="P6" s="6"/>
      <c r="Q6" s="6"/>
      <c r="R6" s="366"/>
      <c r="T6" s="365"/>
      <c r="U6" s="6"/>
      <c r="V6" s="6"/>
      <c r="W6" s="366"/>
      <c r="Y6" s="365"/>
      <c r="Z6" s="6"/>
      <c r="AA6" s="6"/>
      <c r="AB6" s="366"/>
      <c r="AD6" s="365"/>
      <c r="AE6" s="6"/>
      <c r="AF6" s="6"/>
      <c r="AG6" s="366"/>
      <c r="AI6" s="365"/>
      <c r="AJ6" s="6"/>
      <c r="AK6" s="6"/>
      <c r="AL6" s="366"/>
      <c r="AN6" s="365"/>
      <c r="AO6" s="6"/>
      <c r="AP6" s="6"/>
      <c r="AQ6" s="366"/>
      <c r="AS6" s="365"/>
      <c r="AT6" s="6"/>
      <c r="AU6" s="6"/>
      <c r="AV6" s="366"/>
      <c r="AX6" s="365"/>
      <c r="AY6" s="6"/>
      <c r="AZ6" s="6"/>
      <c r="BA6" s="366"/>
      <c r="BC6" s="365"/>
      <c r="BD6" s="6"/>
      <c r="BE6" s="6"/>
      <c r="BF6" s="366"/>
      <c r="BH6" s="365"/>
      <c r="BI6" s="6"/>
      <c r="BJ6" s="6"/>
      <c r="BK6" s="366"/>
      <c r="BM6" s="365"/>
      <c r="BN6" s="6"/>
      <c r="BO6" s="6"/>
      <c r="BP6" s="366"/>
    </row>
    <row r="7" spans="1:69" s="2" customFormat="1" ht="12.75" customHeight="1">
      <c r="B7" s="105" t="s">
        <v>345</v>
      </c>
      <c r="C7" s="277"/>
      <c r="D7" s="277"/>
      <c r="E7" s="356"/>
      <c r="F7" s="326"/>
      <c r="G7" s="326"/>
      <c r="H7" s="357"/>
      <c r="J7" s="356"/>
      <c r="K7" s="326"/>
      <c r="L7" s="326"/>
      <c r="M7" s="357"/>
      <c r="O7" s="356"/>
      <c r="P7" s="326"/>
      <c r="Q7" s="326"/>
      <c r="R7" s="357"/>
      <c r="T7" s="356"/>
      <c r="U7" s="326"/>
      <c r="V7" s="326"/>
      <c r="W7" s="357"/>
      <c r="Y7" s="356"/>
      <c r="Z7" s="326"/>
      <c r="AA7" s="1326"/>
      <c r="AB7" s="1327"/>
      <c r="AD7" s="356"/>
      <c r="AE7" s="326"/>
      <c r="AF7" s="326"/>
      <c r="AG7" s="357"/>
      <c r="AH7" s="777"/>
      <c r="AI7" s="356"/>
      <c r="AJ7" s="326"/>
      <c r="AK7" s="326"/>
      <c r="AL7" s="357"/>
      <c r="AN7" s="356"/>
      <c r="AO7" s="326"/>
      <c r="AP7" s="326"/>
      <c r="AQ7" s="357"/>
      <c r="AS7" s="356"/>
      <c r="AT7" s="326"/>
      <c r="AU7" s="326"/>
      <c r="AV7" s="357"/>
      <c r="AX7" s="356"/>
      <c r="AY7" s="326"/>
      <c r="AZ7" s="326"/>
      <c r="BA7" s="357"/>
      <c r="BC7" s="356"/>
      <c r="BD7" s="326"/>
      <c r="BE7" s="326"/>
      <c r="BF7" s="357"/>
      <c r="BH7" s="356"/>
      <c r="BI7" s="326"/>
      <c r="BJ7" s="326"/>
      <c r="BK7" s="357"/>
      <c r="BM7" s="356"/>
      <c r="BN7" s="326"/>
      <c r="BO7" s="326"/>
      <c r="BP7" s="357"/>
    </row>
    <row r="8" spans="1:69" s="2" customFormat="1">
      <c r="C8" s="2" t="s">
        <v>69</v>
      </c>
      <c r="E8" s="503">
        <f>+PEG!E8-Power!E8-'PSE&amp;G'!E10</f>
        <v>-1278</v>
      </c>
      <c r="F8" s="504">
        <f>+PEG!F8-Power!F8-'PSE&amp;G'!F10</f>
        <v>-445</v>
      </c>
      <c r="G8" s="504">
        <f>+PEG!G8-Power!G8-'PSE&amp;G'!G10</f>
        <v>-468</v>
      </c>
      <c r="H8" s="505">
        <f>+PEG!H8-Power!H8-'PSE&amp;G'!H10</f>
        <v>-418</v>
      </c>
      <c r="I8" s="451">
        <f>+PEG!I8-Power!I8-'PSE&amp;G'!I10</f>
        <v>-2609</v>
      </c>
      <c r="J8" s="406">
        <f>+PEG!J8-Power!J8-'PSE&amp;G'!J10</f>
        <v>-960</v>
      </c>
      <c r="K8" s="348">
        <f>+PEG!K8-Power!K8-'PSE&amp;G'!K10</f>
        <v>-345</v>
      </c>
      <c r="L8" s="348">
        <f>+PEG!L8-Power!L8-'PSE&amp;G'!L10</f>
        <v>-416</v>
      </c>
      <c r="M8" s="405">
        <f>+PEG!M8-Power!M8-'PSE&amp;G'!M10</f>
        <v>-913</v>
      </c>
      <c r="N8" s="451">
        <f>+PEG!N8-Power!N8-'PSE&amp;G'!N10</f>
        <v>-2634</v>
      </c>
      <c r="O8" s="406">
        <f>+PEG!O8-Power!O8-'PSE&amp;G'!O10</f>
        <v>-919</v>
      </c>
      <c r="P8" s="348">
        <f>+PEG!P8-Power!P8-'PSE&amp;G'!P10</f>
        <v>-387</v>
      </c>
      <c r="Q8" s="348">
        <f>+PEG!Q8-Power!Q8-'PSE&amp;G'!Q10</f>
        <v>-619</v>
      </c>
      <c r="R8" s="405">
        <f>+PEG!R8-Power!R8-'PSE&amp;G'!R10</f>
        <v>-465</v>
      </c>
      <c r="S8" s="451">
        <f>+PEG!S8-Power!S8-'PSE&amp;G'!S10</f>
        <v>-2390</v>
      </c>
      <c r="T8" s="406">
        <f>+PEG!T8-Power!T8-'PSE&amp;G'!T10</f>
        <v>-625</v>
      </c>
      <c r="U8" s="348">
        <f>+PEG!U8-Power!U8-'PSE&amp;G'!U10</f>
        <v>-294</v>
      </c>
      <c r="V8" s="348">
        <f>+PEG!V8-Power!V8-'PSE&amp;G'!V10</f>
        <v>-319</v>
      </c>
      <c r="W8" s="405">
        <f>+PEG!W8-Power!W8-'PSE&amp;G'!W10</f>
        <v>-472</v>
      </c>
      <c r="X8" s="451">
        <f>+PEG!X8-Power!X8-'PSE&amp;G'!X10</f>
        <v>-1710</v>
      </c>
      <c r="Y8" s="406">
        <f>+PEG!Y8-Power!Y8-'PSE&amp;G'!Y10</f>
        <v>-656</v>
      </c>
      <c r="Z8" s="348">
        <f>+PEG!Z8-Power!Z8-'PSE&amp;G'!Z10</f>
        <v>-303</v>
      </c>
      <c r="AA8" s="342">
        <f>+PEG!AA8-Power!AA8-'PSE&amp;G'!AA10</f>
        <v>-281</v>
      </c>
      <c r="AB8" s="395">
        <f>+PEG!AB8-Power!AB8-'PSE&amp;G'!AB10</f>
        <v>-510</v>
      </c>
      <c r="AC8" s="77">
        <f>+PEG!AC8-Power!AC8-'PSE&amp;G'!AC10</f>
        <v>-1750</v>
      </c>
      <c r="AD8" s="406">
        <f>+PEG!AD8-Power!AD8-'PSE&amp;G'!AD10</f>
        <v>-622</v>
      </c>
      <c r="AE8" s="348">
        <f>+PEG!AE8-Power!AE8-'PSE&amp;G'!AE10</f>
        <v>-172</v>
      </c>
      <c r="AF8" s="348">
        <f>+PEG!AF8-Power!AF8-'PSE&amp;G'!AF10</f>
        <v>-152</v>
      </c>
      <c r="AG8" s="395">
        <f>+PEG!AG8-Power!AG8-'PSE&amp;G'!AG10</f>
        <v>-368</v>
      </c>
      <c r="AH8" s="77">
        <f>+PEG!AH8-Power!AH8-'PSE&amp;G'!AH10</f>
        <v>-1314</v>
      </c>
      <c r="AI8" s="406">
        <f>+PEG!AI8-Power!AI8-'PSE&amp;G'!AI10</f>
        <v>-592</v>
      </c>
      <c r="AJ8" s="348">
        <f>+PEG!AJ8-Power!AJ8-'PSE&amp;G'!AJ10</f>
        <v>-177</v>
      </c>
      <c r="AK8" s="348">
        <f>+PEG!AK8-Power!AK8-'PSE&amp;G'!AK10</f>
        <v>-174</v>
      </c>
      <c r="AL8" s="395">
        <f>+PEG!AL8-Power!AL8-'PSE&amp;G'!AL10</f>
        <v>-206</v>
      </c>
      <c r="AM8" s="77">
        <f>+PEG!AM8-Power!AM8-'PSE&amp;G'!AM10</f>
        <v>-1149</v>
      </c>
      <c r="AN8" s="406">
        <f>+PEG!AN8-Power!AN8-'PSE&amp;G'!AN10</f>
        <v>-409</v>
      </c>
      <c r="AO8" s="348">
        <f>+PEG!AO8-Power!AO8-'PSE&amp;G'!AO10</f>
        <v>-159</v>
      </c>
      <c r="AP8" s="348">
        <f>+PEG!AP8-Power!AP8-'PSE&amp;G'!AP10</f>
        <v>-309</v>
      </c>
      <c r="AQ8" s="395">
        <f>+PEG!AQ8-Power!AQ8-'PSE&amp;G'!AQ10</f>
        <v>-306</v>
      </c>
      <c r="AR8" s="77">
        <f>+PEG!AR8-Power!AR8-'PSE&amp;G'!AR10</f>
        <v>-1183</v>
      </c>
      <c r="AS8" s="406">
        <f>+PEG!AS8-Power!AS8-'PSE&amp;G'!AS10</f>
        <v>-504</v>
      </c>
      <c r="AT8" s="348">
        <f>+PEG!AT8-Power!AT8-'PSE&amp;G'!AT10</f>
        <v>-164</v>
      </c>
      <c r="AU8" s="348">
        <f>+PEG!AU8-Power!AU8-'PSE&amp;G'!AU10</f>
        <v>-119</v>
      </c>
      <c r="AV8" s="395">
        <f>+PEG!AV8-Power!AV8-'PSE&amp;G'!AV10</f>
        <v>-293</v>
      </c>
      <c r="AW8" s="77">
        <f>+PEG!AW8-Power!AW8-'PSE&amp;G'!AW10</f>
        <v>-1080</v>
      </c>
      <c r="AX8" s="398">
        <v>23</v>
      </c>
      <c r="AY8" s="344">
        <f>+AX8*1.02</f>
        <v>23.46</v>
      </c>
      <c r="AZ8" s="344">
        <f>+AY8*1.02</f>
        <v>23.929200000000002</v>
      </c>
      <c r="BA8" s="399">
        <f>+AZ8*1.02</f>
        <v>24.407784000000003</v>
      </c>
      <c r="BB8" s="451">
        <f>SUM(AX8:BA8)</f>
        <v>94.796984000000009</v>
      </c>
      <c r="BC8" s="398">
        <f>+BA8*1.02</f>
        <v>24.895939680000005</v>
      </c>
      <c r="BD8" s="344">
        <f>+BC8*1.02</f>
        <v>25.393858473600005</v>
      </c>
      <c r="BE8" s="344">
        <f>+BD8*1.02</f>
        <v>25.901735643072005</v>
      </c>
      <c r="BF8" s="399">
        <f>+BE8*1.02</f>
        <v>26.419770355933444</v>
      </c>
      <c r="BG8" s="451">
        <f>SUM(BC8:BF8)</f>
        <v>102.61130415260547</v>
      </c>
      <c r="BH8" s="398">
        <f>+BC8*1.02</f>
        <v>25.393858473600005</v>
      </c>
      <c r="BI8" s="344">
        <f>+BD8*1.02</f>
        <v>25.901735643072005</v>
      </c>
      <c r="BJ8" s="344">
        <f>+BE8*1.02</f>
        <v>26.419770355933444</v>
      </c>
      <c r="BK8" s="399">
        <f>+BF8*1.02</f>
        <v>26.948165763052113</v>
      </c>
      <c r="BL8" s="451">
        <f>SUM(BH8:BK8)</f>
        <v>104.66353023565756</v>
      </c>
      <c r="BM8" s="398">
        <f>+BH8*1.02</f>
        <v>25.901735643072005</v>
      </c>
      <c r="BN8" s="344">
        <f>+BI8*1.02</f>
        <v>26.419770355933444</v>
      </c>
      <c r="BO8" s="344">
        <f>+BJ8*1.02</f>
        <v>26.948165763052113</v>
      </c>
      <c r="BP8" s="399">
        <f>+BK8*1.02</f>
        <v>27.487129078313156</v>
      </c>
      <c r="BQ8" s="451">
        <f>SUM(BM8:BP8)</f>
        <v>106.75680084037073</v>
      </c>
    </row>
    <row r="9" spans="1:69" s="2" customFormat="1">
      <c r="C9" s="2" t="s">
        <v>115</v>
      </c>
      <c r="E9" s="503">
        <f>+PEG!E10+PEG!E11-Power!E9-'PSE&amp;G'!E12-'PSE&amp;G'!E13</f>
        <v>-1322</v>
      </c>
      <c r="F9" s="504">
        <f>+PEG!F10+PEG!F11-Power!F9-'PSE&amp;G'!F12-'PSE&amp;G'!F13</f>
        <v>-539</v>
      </c>
      <c r="G9" s="504">
        <f>+PEG!G10+PEG!G11-Power!G9-'PSE&amp;G'!G12-'PSE&amp;G'!G13</f>
        <v>-525</v>
      </c>
      <c r="H9" s="505">
        <f>+PEG!H10+PEG!H11-Power!H9-'PSE&amp;G'!H12-'PSE&amp;G'!H13</f>
        <v>-535</v>
      </c>
      <c r="I9" s="451">
        <f>+PEG!I10+PEG!I11-Power!I9-'PSE&amp;G'!I12-'PSE&amp;G'!I13</f>
        <v>-2921</v>
      </c>
      <c r="J9" s="406">
        <f>+PEG!J10+PEG!J11-Power!J9-'PSE&amp;G'!J12-'PSE&amp;G'!J13</f>
        <v>-1023</v>
      </c>
      <c r="K9" s="348">
        <f>+PEG!K10+PEG!K11-Power!K9-'PSE&amp;G'!K12-'PSE&amp;G'!K13</f>
        <v>-382</v>
      </c>
      <c r="L9" s="348">
        <f>+PEG!L10+PEG!L11-Power!L9-'PSE&amp;G'!L12-'PSE&amp;G'!L13</f>
        <v>-474</v>
      </c>
      <c r="M9" s="405">
        <f>+PEG!M10+PEG!M11-Power!M9-'PSE&amp;G'!M12-'PSE&amp;G'!M13</f>
        <v>-889</v>
      </c>
      <c r="N9" s="451">
        <f>+PEG!N10+PEG!N11-Power!N9-'PSE&amp;G'!N12-'PSE&amp;G'!N13</f>
        <v>-2767.9999999999995</v>
      </c>
      <c r="O9" s="406">
        <f>+PEG!O10+PEG!O11-Power!O9-'PSE&amp;G'!O12-'PSE&amp;G'!O13</f>
        <v>-938</v>
      </c>
      <c r="P9" s="348">
        <f>+PEG!P10+PEG!P11-Power!P9-'PSE&amp;G'!P12-'PSE&amp;G'!P13</f>
        <v>-408</v>
      </c>
      <c r="Q9" s="348">
        <f>+PEG!Q10+PEG!Q11-Power!Q9-'PSE&amp;G'!Q12-'PSE&amp;G'!Q13</f>
        <v>-373</v>
      </c>
      <c r="R9" s="405">
        <f>+PEG!R10+PEG!R11-Power!R9-'PSE&amp;G'!R12-'PSE&amp;G'!R13</f>
        <v>-531</v>
      </c>
      <c r="S9" s="451">
        <f>+PEG!S10+PEG!S11-Power!S9-'PSE&amp;G'!S12-'PSE&amp;G'!S13</f>
        <v>-2250</v>
      </c>
      <c r="T9" s="406">
        <f>+PEG!T10+PEG!T11-Power!T9-'PSE&amp;G'!T12-'PSE&amp;G'!T13</f>
        <v>-645</v>
      </c>
      <c r="U9" s="348">
        <f>+PEG!U10+PEG!U11-Power!U9-'PSE&amp;G'!U12-'PSE&amp;G'!U13</f>
        <v>-308</v>
      </c>
      <c r="V9" s="348">
        <f>+PEG!V10+PEG!V11-Power!V9-'PSE&amp;G'!V12-'PSE&amp;G'!V13</f>
        <v>-333</v>
      </c>
      <c r="W9" s="405">
        <f>+PEG!W10+PEG!W11-Power!W9-'PSE&amp;G'!W12-'PSE&amp;G'!W13</f>
        <v>-537</v>
      </c>
      <c r="X9" s="451">
        <f>+PEG!X10+PEG!X11-Power!X9-'PSE&amp;G'!X12-'PSE&amp;G'!X13</f>
        <v>-1822.9999999999998</v>
      </c>
      <c r="Y9" s="406">
        <f>+PEG!Y10+PEG!Y11-Power!Y9-'PSE&amp;G'!Y12-'PSE&amp;G'!Y13</f>
        <v>-672</v>
      </c>
      <c r="Z9" s="348">
        <f>+PEG!Z10+PEG!Z11-Power!Z9-'PSE&amp;G'!Z12-'PSE&amp;G'!Z13</f>
        <v>-321</v>
      </c>
      <c r="AA9" s="342">
        <f>+PEG!AA10+PEG!AA11-Power!AA9-'PSE&amp;G'!AA12-'PSE&amp;G'!AA13</f>
        <v>-290</v>
      </c>
      <c r="AB9" s="395">
        <f>+PEG!AB10+PEG!AB11-Power!AB9-'PSE&amp;G'!AB12-'PSE&amp;G'!AB13</f>
        <v>-518</v>
      </c>
      <c r="AC9" s="77">
        <f>+PEG!AC10+PEG!AC11-Power!AC9-'PSE&amp;G'!AC12-'PSE&amp;G'!AC13</f>
        <v>-1801</v>
      </c>
      <c r="AD9" s="406">
        <f>+PEG!AD10+PEG!AD11-Power!AD9-'PSE&amp;G'!AD12-'PSE&amp;G'!AD13</f>
        <v>-733</v>
      </c>
      <c r="AE9" s="348">
        <f>+PEG!AE10+PEG!AE11-Power!AE9-'PSE&amp;G'!AE12-'PSE&amp;G'!AE13</f>
        <v>-296</v>
      </c>
      <c r="AF9" s="348">
        <f>+PEG!AF10+PEG!AF11-Power!AF9-'PSE&amp;G'!AF12-'PSE&amp;G'!AF13</f>
        <v>-277</v>
      </c>
      <c r="AG9" s="395">
        <f>+PEG!AG10+PEG!AG11-Power!AG9-'PSE&amp;G'!AG12-'PSE&amp;G'!AG13</f>
        <v>-464</v>
      </c>
      <c r="AH9" s="77">
        <f>+PEG!AH10+PEG!AH11-Power!AH9-'PSE&amp;G'!AH12-'PSE&amp;G'!AH13</f>
        <v>-1770</v>
      </c>
      <c r="AI9" s="406">
        <f>+PEG!AI10+PEG!AI11-Power!AI9-'PSE&amp;G'!AI12-'PSE&amp;G'!AI13</f>
        <v>-691</v>
      </c>
      <c r="AJ9" s="348">
        <f>+PEG!AJ10+PEG!AJ11-Power!AJ9-'PSE&amp;G'!AJ12-'PSE&amp;G'!AJ13</f>
        <v>-285</v>
      </c>
      <c r="AK9" s="348">
        <f>+PEG!AK10+PEG!AK11-Power!AK9-'PSE&amp;G'!AK12-'PSE&amp;G'!AK13</f>
        <v>-292</v>
      </c>
      <c r="AL9" s="395">
        <f>+PEG!AL10+PEG!AL11-Power!AL9-'PSE&amp;G'!AL12-'PSE&amp;G'!AL13</f>
        <v>-343</v>
      </c>
      <c r="AM9" s="77">
        <f>+PEG!AM10+PEG!AM11-Power!AM9-'PSE&amp;G'!AM12-'PSE&amp;G'!AM13</f>
        <v>-1611</v>
      </c>
      <c r="AN9" s="406">
        <f>+PEG!AN10+PEG!AN11-Power!AN9-'PSE&amp;G'!AN12-'PSE&amp;G'!AN13</f>
        <v>-531</v>
      </c>
      <c r="AO9" s="348">
        <f>+PEG!AO10+PEG!AO11-Power!AO9-'PSE&amp;G'!AO12-'PSE&amp;G'!AO13</f>
        <v>-286</v>
      </c>
      <c r="AP9" s="348">
        <f>+PEG!AP10+PEG!AP11-Power!AP9-'PSE&amp;G'!AP12-'PSE&amp;G'!AP13</f>
        <v>-317</v>
      </c>
      <c r="AQ9" s="395">
        <f>+PEG!AQ10+PEG!AQ11-Power!AQ9-'PSE&amp;G'!AQ12-'PSE&amp;G'!AQ13</f>
        <v>-418</v>
      </c>
      <c r="AR9" s="77">
        <f>+PEG!AR10+PEG!AR11-Power!AR9-'PSE&amp;G'!AR12-'PSE&amp;G'!AR13</f>
        <v>-1552</v>
      </c>
      <c r="AS9" s="406">
        <f>+PEG!AS10+PEG!AS11-Power!AS9-'PSE&amp;G'!AS12-'PSE&amp;G'!AS13</f>
        <v>-586</v>
      </c>
      <c r="AT9" s="348">
        <f>+PEG!AT10+PEG!AT11-Power!AT9-'PSE&amp;G'!AT12-'PSE&amp;G'!AT13</f>
        <v>-281</v>
      </c>
      <c r="AU9" s="348">
        <f>+PEG!AU10+PEG!AU11-Power!AU9-'PSE&amp;G'!AU12-'PSE&amp;G'!AU13</f>
        <v>-254</v>
      </c>
      <c r="AV9" s="395">
        <f>+PEG!AV10+PEG!AV11-Power!AV9-'PSE&amp;G'!AV12-'PSE&amp;G'!AV13</f>
        <v>-425</v>
      </c>
      <c r="AW9" s="77">
        <f>+PEG!AW10+PEG!AW11-Power!AW9-'PSE&amp;G'!AW12-'PSE&amp;G'!AW13</f>
        <v>-1545.9999999999998</v>
      </c>
      <c r="AX9" s="406">
        <v>0</v>
      </c>
      <c r="AY9" s="348">
        <v>0</v>
      </c>
      <c r="AZ9" s="348">
        <v>0</v>
      </c>
      <c r="BA9" s="405">
        <v>0</v>
      </c>
      <c r="BB9" s="451">
        <f>SUM(AX9:BA9)</f>
        <v>0</v>
      </c>
      <c r="BC9" s="406">
        <f>+AX9</f>
        <v>0</v>
      </c>
      <c r="BD9" s="348">
        <f>+AY9</f>
        <v>0</v>
      </c>
      <c r="BE9" s="348">
        <f>+AY9</f>
        <v>0</v>
      </c>
      <c r="BF9" s="405">
        <f>+BA9</f>
        <v>0</v>
      </c>
      <c r="BG9" s="451">
        <f>SUM(BC9:BF9)</f>
        <v>0</v>
      </c>
      <c r="BH9" s="406">
        <f>+BC9</f>
        <v>0</v>
      </c>
      <c r="BI9" s="348">
        <f>+BD9</f>
        <v>0</v>
      </c>
      <c r="BJ9" s="348">
        <f>+BE9</f>
        <v>0</v>
      </c>
      <c r="BK9" s="405">
        <f>+BF9</f>
        <v>0</v>
      </c>
      <c r="BL9" s="451">
        <f>SUM(BH9:BK9)</f>
        <v>0</v>
      </c>
      <c r="BM9" s="406">
        <f>+BH9</f>
        <v>0</v>
      </c>
      <c r="BN9" s="348">
        <f>+BI9</f>
        <v>0</v>
      </c>
      <c r="BO9" s="348">
        <f>+BJ9</f>
        <v>0</v>
      </c>
      <c r="BP9" s="405">
        <f>+BK9</f>
        <v>0</v>
      </c>
      <c r="BQ9" s="451">
        <f>SUM(BM9:BP9)</f>
        <v>0</v>
      </c>
    </row>
    <row r="10" spans="1:69" s="2" customFormat="1">
      <c r="C10" s="49" t="s">
        <v>72</v>
      </c>
      <c r="D10" s="37"/>
      <c r="E10" s="881">
        <f t="shared" ref="E10:V10" si="0">E8-E9</f>
        <v>44</v>
      </c>
      <c r="F10" s="882">
        <f t="shared" si="0"/>
        <v>94</v>
      </c>
      <c r="G10" s="882">
        <f t="shared" si="0"/>
        <v>57</v>
      </c>
      <c r="H10" s="883">
        <f t="shared" si="0"/>
        <v>117</v>
      </c>
      <c r="I10" s="464">
        <f t="shared" si="0"/>
        <v>312</v>
      </c>
      <c r="J10" s="390">
        <f t="shared" si="0"/>
        <v>63</v>
      </c>
      <c r="K10" s="340">
        <f t="shared" si="0"/>
        <v>37</v>
      </c>
      <c r="L10" s="340">
        <f t="shared" si="0"/>
        <v>58</v>
      </c>
      <c r="M10" s="391">
        <f t="shared" si="0"/>
        <v>-24</v>
      </c>
      <c r="N10" s="464">
        <f t="shared" si="0"/>
        <v>133.99999999999955</v>
      </c>
      <c r="O10" s="390">
        <f t="shared" si="0"/>
        <v>19</v>
      </c>
      <c r="P10" s="340">
        <f t="shared" si="0"/>
        <v>21</v>
      </c>
      <c r="Q10" s="340">
        <f t="shared" si="0"/>
        <v>-246</v>
      </c>
      <c r="R10" s="391">
        <f t="shared" si="0"/>
        <v>66</v>
      </c>
      <c r="S10" s="464">
        <f>S8-S9</f>
        <v>-140</v>
      </c>
      <c r="T10" s="390">
        <f t="shared" si="0"/>
        <v>20</v>
      </c>
      <c r="U10" s="340">
        <f t="shared" si="0"/>
        <v>14</v>
      </c>
      <c r="V10" s="340">
        <f t="shared" si="0"/>
        <v>14</v>
      </c>
      <c r="W10" s="391">
        <f t="shared" ref="W10:AC10" si="1">W8-W9</f>
        <v>65</v>
      </c>
      <c r="X10" s="464">
        <f t="shared" si="1"/>
        <v>112.99999999999977</v>
      </c>
      <c r="Y10" s="390">
        <f t="shared" si="1"/>
        <v>16</v>
      </c>
      <c r="Z10" s="340">
        <f t="shared" si="1"/>
        <v>18</v>
      </c>
      <c r="AA10" s="343">
        <f t="shared" si="1"/>
        <v>9</v>
      </c>
      <c r="AB10" s="397">
        <f t="shared" si="1"/>
        <v>8</v>
      </c>
      <c r="AC10" s="297">
        <f t="shared" si="1"/>
        <v>51</v>
      </c>
      <c r="AD10" s="390">
        <f t="shared" ref="AD10:AI10" si="2">AD8-AD9</f>
        <v>111</v>
      </c>
      <c r="AE10" s="340">
        <f t="shared" si="2"/>
        <v>124</v>
      </c>
      <c r="AF10" s="340">
        <f t="shared" si="2"/>
        <v>125</v>
      </c>
      <c r="AG10" s="397">
        <f t="shared" si="2"/>
        <v>96</v>
      </c>
      <c r="AH10" s="297">
        <f t="shared" si="2"/>
        <v>456</v>
      </c>
      <c r="AI10" s="390">
        <f t="shared" si="2"/>
        <v>99</v>
      </c>
      <c r="AJ10" s="340">
        <f t="shared" ref="AJ10:AR10" si="3">AJ8-AJ9</f>
        <v>108</v>
      </c>
      <c r="AK10" s="340">
        <f t="shared" si="3"/>
        <v>118</v>
      </c>
      <c r="AL10" s="397">
        <f t="shared" si="3"/>
        <v>137</v>
      </c>
      <c r="AM10" s="297">
        <f t="shared" si="3"/>
        <v>462</v>
      </c>
      <c r="AN10" s="390">
        <f t="shared" si="3"/>
        <v>122</v>
      </c>
      <c r="AO10" s="340">
        <f t="shared" si="3"/>
        <v>127</v>
      </c>
      <c r="AP10" s="340">
        <f t="shared" si="3"/>
        <v>8</v>
      </c>
      <c r="AQ10" s="397">
        <f t="shared" si="3"/>
        <v>112</v>
      </c>
      <c r="AR10" s="297">
        <f t="shared" si="3"/>
        <v>369</v>
      </c>
      <c r="AS10" s="390">
        <f t="shared" ref="AS10:AY10" si="4">AS8-AS9</f>
        <v>82</v>
      </c>
      <c r="AT10" s="340">
        <f t="shared" si="4"/>
        <v>117</v>
      </c>
      <c r="AU10" s="340">
        <f t="shared" si="4"/>
        <v>135</v>
      </c>
      <c r="AV10" s="397">
        <f t="shared" si="4"/>
        <v>132</v>
      </c>
      <c r="AW10" s="297">
        <f t="shared" si="4"/>
        <v>465.99999999999977</v>
      </c>
      <c r="AX10" s="396">
        <f t="shared" si="4"/>
        <v>23</v>
      </c>
      <c r="AY10" s="343">
        <f t="shared" si="4"/>
        <v>23.46</v>
      </c>
      <c r="AZ10" s="343">
        <f>AZ8-AZ9</f>
        <v>23.929200000000002</v>
      </c>
      <c r="BA10" s="397">
        <f>BA8-BA9</f>
        <v>24.407784000000003</v>
      </c>
      <c r="BB10" s="297">
        <f>BB8-BB9</f>
        <v>94.796984000000009</v>
      </c>
      <c r="BC10" s="396">
        <f t="shared" ref="BC10:BL10" si="5">BC8-BC9</f>
        <v>24.895939680000005</v>
      </c>
      <c r="BD10" s="343">
        <f t="shared" si="5"/>
        <v>25.393858473600005</v>
      </c>
      <c r="BE10" s="343">
        <f t="shared" si="5"/>
        <v>25.901735643072005</v>
      </c>
      <c r="BF10" s="397">
        <f t="shared" si="5"/>
        <v>26.419770355933444</v>
      </c>
      <c r="BG10" s="297">
        <f t="shared" si="5"/>
        <v>102.61130415260547</v>
      </c>
      <c r="BH10" s="396">
        <f t="shared" si="5"/>
        <v>25.393858473600005</v>
      </c>
      <c r="BI10" s="343">
        <f t="shared" si="5"/>
        <v>25.901735643072005</v>
      </c>
      <c r="BJ10" s="343">
        <f t="shared" si="5"/>
        <v>26.419770355933444</v>
      </c>
      <c r="BK10" s="397">
        <f t="shared" si="5"/>
        <v>26.948165763052113</v>
      </c>
      <c r="BL10" s="297">
        <f t="shared" si="5"/>
        <v>104.66353023565756</v>
      </c>
      <c r="BM10" s="396">
        <f>BM8-BM9</f>
        <v>25.901735643072005</v>
      </c>
      <c r="BN10" s="343">
        <f>BN8-BN9</f>
        <v>26.419770355933444</v>
      </c>
      <c r="BO10" s="343">
        <f>BO8-BO9</f>
        <v>26.948165763052113</v>
      </c>
      <c r="BP10" s="397">
        <f>BP8-BP9</f>
        <v>27.487129078313156</v>
      </c>
      <c r="BQ10" s="297">
        <f>BQ8-BQ9</f>
        <v>106.75680084037073</v>
      </c>
    </row>
    <row r="11" spans="1:69" s="2" customFormat="1">
      <c r="E11" s="884"/>
      <c r="F11" s="885"/>
      <c r="G11" s="885"/>
      <c r="H11" s="886"/>
      <c r="I11" s="463"/>
      <c r="J11" s="509"/>
      <c r="K11" s="480"/>
      <c r="L11" s="480"/>
      <c r="M11" s="481"/>
      <c r="N11" s="463"/>
      <c r="O11" s="509"/>
      <c r="P11" s="480"/>
      <c r="Q11" s="480"/>
      <c r="R11" s="481"/>
      <c r="S11" s="463"/>
      <c r="T11" s="509"/>
      <c r="U11" s="480"/>
      <c r="V11" s="480"/>
      <c r="W11" s="481"/>
      <c r="X11" s="463"/>
      <c r="Y11" s="509"/>
      <c r="Z11" s="480"/>
      <c r="AA11" s="342"/>
      <c r="AB11" s="395"/>
      <c r="AC11" s="77"/>
      <c r="AD11" s="509"/>
      <c r="AE11" s="480"/>
      <c r="AF11" s="480"/>
      <c r="AG11" s="395"/>
      <c r="AH11" s="77"/>
      <c r="AI11" s="509"/>
      <c r="AJ11" s="480"/>
      <c r="AK11" s="480"/>
      <c r="AL11" s="395"/>
      <c r="AM11" s="77"/>
      <c r="AN11" s="509"/>
      <c r="AO11" s="480"/>
      <c r="AP11" s="480"/>
      <c r="AQ11" s="395"/>
      <c r="AR11" s="77"/>
      <c r="AS11" s="509"/>
      <c r="AT11" s="480"/>
      <c r="AU11" s="480"/>
      <c r="AV11" s="395"/>
      <c r="AW11" s="77"/>
      <c r="AX11" s="392"/>
      <c r="AY11" s="341"/>
      <c r="AZ11" s="341"/>
      <c r="BA11" s="393"/>
      <c r="BB11" s="296"/>
      <c r="BC11" s="392"/>
      <c r="BD11" s="341"/>
      <c r="BE11" s="341"/>
      <c r="BF11" s="393"/>
      <c r="BG11" s="296"/>
      <c r="BH11" s="392"/>
      <c r="BI11" s="341"/>
      <c r="BJ11" s="341"/>
      <c r="BK11" s="393"/>
      <c r="BL11" s="296"/>
      <c r="BM11" s="392"/>
      <c r="BN11" s="341"/>
      <c r="BO11" s="341"/>
      <c r="BP11" s="393"/>
      <c r="BQ11" s="296"/>
    </row>
    <row r="12" spans="1:69" s="2" customFormat="1">
      <c r="C12" s="2" t="s">
        <v>73</v>
      </c>
      <c r="E12" s="884">
        <f>PEG!E14+PEG!E16-Power!E12-'PSE&amp;G'!E18-'PSE&amp;G'!E20</f>
        <v>6</v>
      </c>
      <c r="F12" s="885">
        <f>PEG!F14+PEG!F16-Power!F12-'PSE&amp;G'!F18-'PSE&amp;G'!F20</f>
        <v>3</v>
      </c>
      <c r="G12" s="885">
        <f>PEG!G14+PEG!G16-Power!G12-'PSE&amp;G'!G18-'PSE&amp;G'!G20</f>
        <v>6</v>
      </c>
      <c r="H12" s="886">
        <f>PEG!H14+PEG!H16-Power!H12-'PSE&amp;G'!H18-'PSE&amp;G'!H20</f>
        <v>69</v>
      </c>
      <c r="I12" s="463">
        <f>PEG!I14+PEG!I16-Power!I12-'PSE&amp;G'!I18-'PSE&amp;G'!I20</f>
        <v>84</v>
      </c>
      <c r="J12" s="509">
        <f>PEG!J14+PEG!J16-Power!J12-'PSE&amp;G'!J18-'PSE&amp;G'!J20</f>
        <v>39</v>
      </c>
      <c r="K12" s="480">
        <f>PEG!K14+PEG!K16-Power!K12-'PSE&amp;G'!K18-'PSE&amp;G'!K20</f>
        <v>7</v>
      </c>
      <c r="L12" s="480">
        <f>PEG!L14+PEG!L16-Power!L12-'PSE&amp;G'!L18-'PSE&amp;G'!L20</f>
        <v>11</v>
      </c>
      <c r="M12" s="481">
        <f>PEG!M14+PEG!M16-Power!M12-'PSE&amp;G'!M18-'PSE&amp;G'!M20</f>
        <v>-41</v>
      </c>
      <c r="N12" s="463">
        <f>PEG!N14+PEG!N16-Power!N12-'PSE&amp;G'!N18-'PSE&amp;G'!N20</f>
        <v>16</v>
      </c>
      <c r="O12" s="509">
        <f>PEG!O14+PEG!O16-Power!O12-'PSE&amp;G'!O18-'PSE&amp;G'!O20</f>
        <v>6</v>
      </c>
      <c r="P12" s="480">
        <f>PEG!P14+PEG!P16-Power!P12-'PSE&amp;G'!P18-'PSE&amp;G'!P20</f>
        <v>0</v>
      </c>
      <c r="Q12" s="480">
        <f>PEG!Q14+PEG!Q16-Power!Q12-'PSE&amp;G'!Q18-'PSE&amp;G'!Q20</f>
        <v>-1</v>
      </c>
      <c r="R12" s="481">
        <f>PEG!R14+PEG!R16-Power!R12-'PSE&amp;G'!R18-'PSE&amp;G'!R20</f>
        <v>2</v>
      </c>
      <c r="S12" s="463">
        <f>PEG!S14+PEG!S16-Power!S12-'PSE&amp;G'!S18-'PSE&amp;G'!S20</f>
        <v>7</v>
      </c>
      <c r="T12" s="509">
        <f>PEG!T14+PEG!T16-Power!T12-'PSE&amp;G'!T18-'PSE&amp;G'!T20</f>
        <v>11</v>
      </c>
      <c r="U12" s="480">
        <f>PEG!U14+PEG!U16-Power!U12-'PSE&amp;G'!U18-'PSE&amp;G'!U20</f>
        <v>-5</v>
      </c>
      <c r="V12" s="480">
        <f>PEG!V14+PEG!V16-Power!V12-'PSE&amp;G'!V18-'PSE&amp;G'!V20</f>
        <v>-2</v>
      </c>
      <c r="W12" s="481">
        <f>PEG!W14+PEG!W16-Power!W12-'PSE&amp;G'!W18-'PSE&amp;G'!W20</f>
        <v>-2</v>
      </c>
      <c r="X12" s="463">
        <f>PEG!X14+PEG!X16-Power!X12-'PSE&amp;G'!X18-'PSE&amp;G'!X20</f>
        <v>2</v>
      </c>
      <c r="Y12" s="509">
        <f>PEG!Y14+PEG!Y16-Power!Y12-'PSE&amp;G'!Y18-'PSE&amp;G'!Y20</f>
        <v>1</v>
      </c>
      <c r="Z12" s="480">
        <f>PEG!Z14+PEG!Z16-Power!Z12-'PSE&amp;G'!Z18-'PSE&amp;G'!Z20</f>
        <v>-3</v>
      </c>
      <c r="AA12" s="342">
        <f>PEG!AA14+PEG!AA16-Power!AA12-'PSE&amp;G'!AA18-'PSE&amp;G'!AA20</f>
        <v>1</v>
      </c>
      <c r="AB12" s="395">
        <f>PEG!AB14+PEG!AB16-Power!AB12-'PSE&amp;G'!AB18-'PSE&amp;G'!AB20</f>
        <v>25</v>
      </c>
      <c r="AC12" s="77">
        <f>PEG!AC14+PEG!AC16-Power!AC12-'PSE&amp;G'!AC18-'PSE&amp;G'!AC20</f>
        <v>24</v>
      </c>
      <c r="AD12" s="509">
        <f>PEG!AD14+PEG!AD16-Power!AD12-'PSE&amp;G'!AD18-'PSE&amp;G'!AD20</f>
        <v>92</v>
      </c>
      <c r="AE12" s="480">
        <f>PEG!AE14+PEG!AE16-Power!AE12-'PSE&amp;G'!AE18-'PSE&amp;G'!AE20</f>
        <v>111</v>
      </c>
      <c r="AF12" s="480">
        <f>PEG!AF14+PEG!AF16-Power!AF12-'PSE&amp;G'!AF18-'PSE&amp;G'!AF20</f>
        <v>106</v>
      </c>
      <c r="AG12" s="395">
        <f>PEG!AG14+PEG!AG16-Power!AG12-'PSE&amp;G'!AG18-'PSE&amp;G'!AG20</f>
        <v>97</v>
      </c>
      <c r="AH12" s="77">
        <f>PEG!AH14+PEG!AH16-Power!AH12-'PSE&amp;G'!AH18-'PSE&amp;G'!AH20</f>
        <v>406</v>
      </c>
      <c r="AI12" s="509">
        <f>PEG!AI14+PEG!AI16-Power!AI12-'PSE&amp;G'!AI18-'PSE&amp;G'!AI20</f>
        <v>79</v>
      </c>
      <c r="AJ12" s="480">
        <f>PEG!AJ14+PEG!AJ16-Power!AJ12-'PSE&amp;G'!AJ18-'PSE&amp;G'!AJ20</f>
        <v>80</v>
      </c>
      <c r="AK12" s="480">
        <f>PEG!AK14+PEG!AK16-Power!AK12-'PSE&amp;G'!AK18-'PSE&amp;G'!AK20</f>
        <v>92</v>
      </c>
      <c r="AL12" s="395">
        <f>PEG!AL14+PEG!AL16-Power!AL12-'PSE&amp;G'!AL18-'PSE&amp;G'!AL20</f>
        <v>110</v>
      </c>
      <c r="AM12" s="77">
        <f>PEG!AM14+PEG!AM16-Power!AM12-'PSE&amp;G'!AM18-'PSE&amp;G'!AM20</f>
        <v>361</v>
      </c>
      <c r="AN12" s="509">
        <f>PEG!AN14+PEG!AN16-Power!AN12-'PSE&amp;G'!AN18-'PSE&amp;G'!AN20</f>
        <v>94</v>
      </c>
      <c r="AO12" s="480">
        <f>PEG!AO14+PEG!AO16-Power!AO12-'PSE&amp;G'!AO18-'PSE&amp;G'!AO20</f>
        <v>93</v>
      </c>
      <c r="AP12" s="480">
        <f>PEG!AP14+PEG!AP16-Power!AP12-'PSE&amp;G'!AP18-'PSE&amp;G'!AP20</f>
        <v>111</v>
      </c>
      <c r="AQ12" s="395">
        <f>PEG!AQ14+PEG!AQ16-Power!AQ12-'PSE&amp;G'!AQ18-'PSE&amp;G'!AQ20</f>
        <v>92</v>
      </c>
      <c r="AR12" s="77">
        <f>PEG!AR14+PEG!AR16-Power!AR12-'PSE&amp;G'!AR18-'PSE&amp;G'!AR20</f>
        <v>390</v>
      </c>
      <c r="AS12" s="509">
        <f>PEG!AS14+PEG!AS16-Power!AS12-'PSE&amp;G'!AS18-'PSE&amp;G'!AS20</f>
        <v>115</v>
      </c>
      <c r="AT12" s="480">
        <f>PEG!AT14+PEG!AT16-Power!AT12-'PSE&amp;G'!AT18-'PSE&amp;G'!AT20</f>
        <v>103</v>
      </c>
      <c r="AU12" s="480">
        <f>PEG!AU14+PEG!AU16-Power!AU12-'PSE&amp;G'!AU18-'PSE&amp;G'!AU20</f>
        <v>107</v>
      </c>
      <c r="AV12" s="395">
        <f>PEG!AV14+PEG!AV16-Power!AV12-'PSE&amp;G'!AV18-'PSE&amp;G'!AV20</f>
        <v>72</v>
      </c>
      <c r="AW12" s="77">
        <f>PEG!AW14+PEG!AW16-Power!AW12-'PSE&amp;G'!AW18-'PSE&amp;G'!AW20</f>
        <v>397</v>
      </c>
      <c r="AX12" s="406">
        <v>0</v>
      </c>
      <c r="AY12" s="348">
        <v>0</v>
      </c>
      <c r="AZ12" s="348">
        <v>0</v>
      </c>
      <c r="BA12" s="405">
        <v>0</v>
      </c>
      <c r="BB12" s="451">
        <f>SUM(AX12:BA12)</f>
        <v>0</v>
      </c>
      <c r="BC12" s="406">
        <f t="shared" ref="BC12:BF13" si="6">+AX12</f>
        <v>0</v>
      </c>
      <c r="BD12" s="348">
        <f t="shared" si="6"/>
        <v>0</v>
      </c>
      <c r="BE12" s="348">
        <f>+AY12</f>
        <v>0</v>
      </c>
      <c r="BF12" s="405">
        <f t="shared" si="6"/>
        <v>0</v>
      </c>
      <c r="BG12" s="451">
        <f>SUM(BC12:BF12)</f>
        <v>0</v>
      </c>
      <c r="BH12" s="406">
        <f t="shared" ref="BH12:BK13" si="7">+BC12</f>
        <v>0</v>
      </c>
      <c r="BI12" s="348">
        <f t="shared" si="7"/>
        <v>0</v>
      </c>
      <c r="BJ12" s="348">
        <f t="shared" si="7"/>
        <v>0</v>
      </c>
      <c r="BK12" s="405">
        <f t="shared" si="7"/>
        <v>0</v>
      </c>
      <c r="BL12" s="451">
        <f>SUM(BH12:BK12)</f>
        <v>0</v>
      </c>
      <c r="BM12" s="406">
        <f t="shared" ref="BM12:BP13" si="8">+BH12</f>
        <v>0</v>
      </c>
      <c r="BN12" s="348">
        <f t="shared" si="8"/>
        <v>0</v>
      </c>
      <c r="BO12" s="348">
        <f t="shared" si="8"/>
        <v>0</v>
      </c>
      <c r="BP12" s="405">
        <f t="shared" si="8"/>
        <v>0</v>
      </c>
      <c r="BQ12" s="451">
        <f>SUM(BM12:BP12)</f>
        <v>0</v>
      </c>
    </row>
    <row r="13" spans="1:69" s="2" customFormat="1">
      <c r="C13" s="2" t="s">
        <v>76</v>
      </c>
      <c r="E13" s="884">
        <f>+PEG!E15-Power!E13-'PSE&amp;G'!E19</f>
        <v>7</v>
      </c>
      <c r="F13" s="885">
        <f>+PEG!F15-Power!F13-'PSE&amp;G'!F19</f>
        <v>6</v>
      </c>
      <c r="G13" s="885">
        <f>+PEG!G15-Power!G13-'PSE&amp;G'!G19</f>
        <v>7</v>
      </c>
      <c r="H13" s="886">
        <f>+PEG!H15-Power!H13-'PSE&amp;G'!H19</f>
        <v>26</v>
      </c>
      <c r="I13" s="463">
        <f>+PEG!I15-Power!I13-'PSE&amp;G'!I19</f>
        <v>46</v>
      </c>
      <c r="J13" s="509">
        <f>+PEG!J15-Power!J13-'PSE&amp;G'!J19</f>
        <v>12</v>
      </c>
      <c r="K13" s="480">
        <f>+PEG!K15-Power!K13-'PSE&amp;G'!K19</f>
        <v>12</v>
      </c>
      <c r="L13" s="480">
        <f>+PEG!L15-Power!L13-'PSE&amp;G'!L19</f>
        <v>8</v>
      </c>
      <c r="M13" s="481">
        <f>+PEG!M15-Power!M13-'PSE&amp;G'!M19</f>
        <v>-2</v>
      </c>
      <c r="N13" s="463">
        <f>+PEG!N15-Power!N13-'PSE&amp;G'!N19</f>
        <v>30</v>
      </c>
      <c r="O13" s="509">
        <f>+PEG!O15-Power!O13-'PSE&amp;G'!O19</f>
        <v>8</v>
      </c>
      <c r="P13" s="480">
        <f>+PEG!P15-Power!P13-'PSE&amp;G'!P19</f>
        <v>7</v>
      </c>
      <c r="Q13" s="480">
        <f>+PEG!Q15-Power!Q13-'PSE&amp;G'!Q19</f>
        <v>10</v>
      </c>
      <c r="R13" s="481">
        <f>+PEG!R15-Power!R13-'PSE&amp;G'!R19</f>
        <v>8</v>
      </c>
      <c r="S13" s="463">
        <f>+PEG!S15-Power!S13-'PSE&amp;G'!S19</f>
        <v>33</v>
      </c>
      <c r="T13" s="509">
        <f>+PEG!T15-Power!T13-'PSE&amp;G'!T19</f>
        <v>9</v>
      </c>
      <c r="U13" s="480">
        <f>+PEG!U15-Power!U13-'PSE&amp;G'!U19</f>
        <v>9</v>
      </c>
      <c r="V13" s="480">
        <f>+PEG!V15-Power!V13-'PSE&amp;G'!V19</f>
        <v>10</v>
      </c>
      <c r="W13" s="481">
        <f>+PEG!W15-Power!W13-'PSE&amp;G'!W19</f>
        <v>11</v>
      </c>
      <c r="X13" s="463">
        <f>+PEG!X15-Power!X13-'PSE&amp;G'!X19</f>
        <v>39</v>
      </c>
      <c r="Y13" s="509">
        <f>+PEG!Y15-Power!Y13-'PSE&amp;G'!Y19</f>
        <v>11</v>
      </c>
      <c r="Z13" s="480">
        <f>+PEG!Z15-Power!Z13-'PSE&amp;G'!Z19</f>
        <v>11</v>
      </c>
      <c r="AA13" s="342">
        <f>+PEG!AA15-Power!AA13-'PSE&amp;G'!AA19</f>
        <v>11</v>
      </c>
      <c r="AB13" s="395">
        <f>+PEG!AB15-Power!AB13-'PSE&amp;G'!AB19</f>
        <v>0</v>
      </c>
      <c r="AC13" s="77">
        <f>+PEG!AC15-Power!AC13-'PSE&amp;G'!AC19</f>
        <v>33</v>
      </c>
      <c r="AD13" s="509">
        <f>+PEG!AD15-Power!AD13-'PSE&amp;G'!AD19</f>
        <v>7</v>
      </c>
      <c r="AE13" s="480">
        <f>+PEG!AE15-Power!AE13-'PSE&amp;G'!AE19</f>
        <v>6</v>
      </c>
      <c r="AF13" s="480">
        <f>+PEG!AF15-Power!AF13-'PSE&amp;G'!AF19</f>
        <v>9</v>
      </c>
      <c r="AG13" s="395">
        <f>+PEG!AG15-Power!AG13-'PSE&amp;G'!AG19</f>
        <v>7</v>
      </c>
      <c r="AH13" s="77">
        <f>+PEG!AH15-Power!AH13-'PSE&amp;G'!AH19</f>
        <v>29</v>
      </c>
      <c r="AI13" s="509">
        <f>+PEG!AI15-Power!AI13-'PSE&amp;G'!AI19</f>
        <v>7</v>
      </c>
      <c r="AJ13" s="480">
        <f>+PEG!AJ15-Power!AJ13-'PSE&amp;G'!AJ19</f>
        <v>8</v>
      </c>
      <c r="AK13" s="480">
        <f>+PEG!AK15-Power!AK13-'PSE&amp;G'!AK19</f>
        <v>7</v>
      </c>
      <c r="AL13" s="395">
        <f>+PEG!AL15-Power!AL13-'PSE&amp;G'!AL19</f>
        <v>9</v>
      </c>
      <c r="AM13" s="77">
        <f>+PEG!AM15-Power!AM13-'PSE&amp;G'!AM19</f>
        <v>31</v>
      </c>
      <c r="AN13" s="509">
        <f>+PEG!AN15-Power!AN13-'PSE&amp;G'!AN19</f>
        <v>6</v>
      </c>
      <c r="AO13" s="480">
        <f>+PEG!AO15-Power!AO13-'PSE&amp;G'!AO19</f>
        <v>8</v>
      </c>
      <c r="AP13" s="480">
        <f>+PEG!AP15-Power!AP13-'PSE&amp;G'!AP19</f>
        <v>8</v>
      </c>
      <c r="AQ13" s="395">
        <f>+PEG!AQ15-Power!AQ13-'PSE&amp;G'!AQ19</f>
        <v>8</v>
      </c>
      <c r="AR13" s="77">
        <f>+PEG!AR15-Power!AR13-'PSE&amp;G'!AR19</f>
        <v>30</v>
      </c>
      <c r="AS13" s="509">
        <f>+PEG!AS15-Power!AS13-'PSE&amp;G'!AS19</f>
        <v>7</v>
      </c>
      <c r="AT13" s="480">
        <f>+PEG!AT15-Power!AT13-'PSE&amp;G'!AT19</f>
        <v>10</v>
      </c>
      <c r="AU13" s="480">
        <f>+PEG!AU15-Power!AU13-'PSE&amp;G'!AU19</f>
        <v>7</v>
      </c>
      <c r="AV13" s="395">
        <f>+PEG!AV15-Power!AV13-'PSE&amp;G'!AV19</f>
        <v>9</v>
      </c>
      <c r="AW13" s="77">
        <f>+PEG!AW15-Power!AW13-'PSE&amp;G'!AW19</f>
        <v>33</v>
      </c>
      <c r="AX13" s="406">
        <v>0</v>
      </c>
      <c r="AY13" s="348">
        <v>0</v>
      </c>
      <c r="AZ13" s="348">
        <v>0</v>
      </c>
      <c r="BA13" s="405">
        <v>0</v>
      </c>
      <c r="BB13" s="451">
        <f>SUM(AX13:BA13)</f>
        <v>0</v>
      </c>
      <c r="BC13" s="406">
        <f t="shared" si="6"/>
        <v>0</v>
      </c>
      <c r="BD13" s="348">
        <f t="shared" si="6"/>
        <v>0</v>
      </c>
      <c r="BE13" s="348">
        <f>+AY13</f>
        <v>0</v>
      </c>
      <c r="BF13" s="405">
        <f t="shared" si="6"/>
        <v>0</v>
      </c>
      <c r="BG13" s="451">
        <f>SUM(BC13:BF13)</f>
        <v>0</v>
      </c>
      <c r="BH13" s="406">
        <f t="shared" si="7"/>
        <v>0</v>
      </c>
      <c r="BI13" s="348">
        <f t="shared" si="7"/>
        <v>0</v>
      </c>
      <c r="BJ13" s="348">
        <f t="shared" si="7"/>
        <v>0</v>
      </c>
      <c r="BK13" s="405">
        <f t="shared" si="7"/>
        <v>0</v>
      </c>
      <c r="BL13" s="451">
        <f>SUM(BH13:BK13)</f>
        <v>0</v>
      </c>
      <c r="BM13" s="406">
        <f t="shared" si="8"/>
        <v>0</v>
      </c>
      <c r="BN13" s="348">
        <f t="shared" si="8"/>
        <v>0</v>
      </c>
      <c r="BO13" s="348">
        <f t="shared" si="8"/>
        <v>0</v>
      </c>
      <c r="BP13" s="405">
        <f t="shared" si="8"/>
        <v>0</v>
      </c>
      <c r="BQ13" s="451">
        <f>SUM(BM13:BP13)</f>
        <v>0</v>
      </c>
    </row>
    <row r="14" spans="1:69" s="2" customFormat="1">
      <c r="C14" s="49" t="s">
        <v>88</v>
      </c>
      <c r="E14" s="881">
        <f t="shared" ref="E14:V14" si="9">SUM(E9,E12:E13)</f>
        <v>-1309</v>
      </c>
      <c r="F14" s="882">
        <f t="shared" si="9"/>
        <v>-530</v>
      </c>
      <c r="G14" s="882">
        <f t="shared" si="9"/>
        <v>-512</v>
      </c>
      <c r="H14" s="883">
        <f t="shared" si="9"/>
        <v>-440</v>
      </c>
      <c r="I14" s="464">
        <f t="shared" si="9"/>
        <v>-2791</v>
      </c>
      <c r="J14" s="390">
        <f t="shared" si="9"/>
        <v>-972</v>
      </c>
      <c r="K14" s="340">
        <f t="shared" si="9"/>
        <v>-363</v>
      </c>
      <c r="L14" s="340">
        <f t="shared" si="9"/>
        <v>-455</v>
      </c>
      <c r="M14" s="391">
        <f t="shared" si="9"/>
        <v>-932</v>
      </c>
      <c r="N14" s="464">
        <f t="shared" si="9"/>
        <v>-2721.9999999999995</v>
      </c>
      <c r="O14" s="390">
        <f t="shared" si="9"/>
        <v>-924</v>
      </c>
      <c r="P14" s="340">
        <f t="shared" si="9"/>
        <v>-401</v>
      </c>
      <c r="Q14" s="340">
        <f t="shared" si="9"/>
        <v>-364</v>
      </c>
      <c r="R14" s="391">
        <f t="shared" si="9"/>
        <v>-521</v>
      </c>
      <c r="S14" s="464">
        <f>SUM(S9,S12:S13)</f>
        <v>-2210</v>
      </c>
      <c r="T14" s="390">
        <f t="shared" si="9"/>
        <v>-625</v>
      </c>
      <c r="U14" s="340">
        <f t="shared" si="9"/>
        <v>-304</v>
      </c>
      <c r="V14" s="340">
        <f t="shared" si="9"/>
        <v>-325</v>
      </c>
      <c r="W14" s="391">
        <f t="shared" ref="W14:AC14" si="10">SUM(W9,W12:W13)</f>
        <v>-528</v>
      </c>
      <c r="X14" s="464">
        <f t="shared" si="10"/>
        <v>-1781.9999999999998</v>
      </c>
      <c r="Y14" s="390">
        <f t="shared" si="10"/>
        <v>-660</v>
      </c>
      <c r="Z14" s="340">
        <f t="shared" si="10"/>
        <v>-313</v>
      </c>
      <c r="AA14" s="343">
        <f t="shared" si="10"/>
        <v>-278</v>
      </c>
      <c r="AB14" s="397">
        <f t="shared" si="10"/>
        <v>-493</v>
      </c>
      <c r="AC14" s="297">
        <f t="shared" si="10"/>
        <v>-1744</v>
      </c>
      <c r="AD14" s="390">
        <f t="shared" ref="AD14:AI14" si="11">SUM(AD9,AD12:AD13)</f>
        <v>-634</v>
      </c>
      <c r="AE14" s="340">
        <f t="shared" si="11"/>
        <v>-179</v>
      </c>
      <c r="AF14" s="340">
        <f t="shared" si="11"/>
        <v>-162</v>
      </c>
      <c r="AG14" s="397">
        <f t="shared" si="11"/>
        <v>-360</v>
      </c>
      <c r="AH14" s="297">
        <f t="shared" si="11"/>
        <v>-1335</v>
      </c>
      <c r="AI14" s="390">
        <f t="shared" si="11"/>
        <v>-605</v>
      </c>
      <c r="AJ14" s="340">
        <f t="shared" ref="AJ14:AO14" si="12">SUM(AJ9,AJ12:AJ13)</f>
        <v>-197</v>
      </c>
      <c r="AK14" s="340">
        <f t="shared" si="12"/>
        <v>-193</v>
      </c>
      <c r="AL14" s="397">
        <f t="shared" si="12"/>
        <v>-224</v>
      </c>
      <c r="AM14" s="297">
        <f t="shared" si="12"/>
        <v>-1219</v>
      </c>
      <c r="AN14" s="390">
        <f t="shared" si="12"/>
        <v>-431</v>
      </c>
      <c r="AO14" s="340">
        <f t="shared" si="12"/>
        <v>-185</v>
      </c>
      <c r="AP14" s="340">
        <f t="shared" ref="AP14:AU14" si="13">SUM(AP9,AP12:AP13)</f>
        <v>-198</v>
      </c>
      <c r="AQ14" s="397">
        <f t="shared" si="13"/>
        <v>-318</v>
      </c>
      <c r="AR14" s="297">
        <f t="shared" si="13"/>
        <v>-1132</v>
      </c>
      <c r="AS14" s="390">
        <f t="shared" si="13"/>
        <v>-464</v>
      </c>
      <c r="AT14" s="340">
        <f t="shared" si="13"/>
        <v>-168</v>
      </c>
      <c r="AU14" s="340">
        <f t="shared" si="13"/>
        <v>-140</v>
      </c>
      <c r="AV14" s="397">
        <f>SUM(AV9,AV12:AV13)</f>
        <v>-344</v>
      </c>
      <c r="AW14" s="297">
        <f>SUM(AW9,AW12:AW13)</f>
        <v>-1115.9999999999998</v>
      </c>
      <c r="AX14" s="396">
        <v>0</v>
      </c>
      <c r="AY14" s="343">
        <f>SUM(AY9,AY12:AY13)</f>
        <v>0</v>
      </c>
      <c r="AZ14" s="343">
        <f>SUM(AZ9,AZ12:AZ13)</f>
        <v>0</v>
      </c>
      <c r="BA14" s="397">
        <f>SUM(BA9,BA12:BA13)</f>
        <v>0</v>
      </c>
      <c r="BB14" s="297">
        <f>SUM(BB9,BB12:BB13)</f>
        <v>0</v>
      </c>
      <c r="BC14" s="396">
        <f t="shared" ref="BC14:BL14" si="14">SUM(BC9,BC12:BC13)</f>
        <v>0</v>
      </c>
      <c r="BD14" s="343">
        <f t="shared" si="14"/>
        <v>0</v>
      </c>
      <c r="BE14" s="343">
        <f t="shared" si="14"/>
        <v>0</v>
      </c>
      <c r="BF14" s="397">
        <f t="shared" si="14"/>
        <v>0</v>
      </c>
      <c r="BG14" s="297">
        <f t="shared" si="14"/>
        <v>0</v>
      </c>
      <c r="BH14" s="396">
        <f t="shared" si="14"/>
        <v>0</v>
      </c>
      <c r="BI14" s="343">
        <f t="shared" si="14"/>
        <v>0</v>
      </c>
      <c r="BJ14" s="343">
        <f t="shared" si="14"/>
        <v>0</v>
      </c>
      <c r="BK14" s="397">
        <f t="shared" si="14"/>
        <v>0</v>
      </c>
      <c r="BL14" s="297">
        <f t="shared" si="14"/>
        <v>0</v>
      </c>
      <c r="BM14" s="396">
        <f>SUM(BM9,BM12:BM13)</f>
        <v>0</v>
      </c>
      <c r="BN14" s="343">
        <f>SUM(BN9,BN12:BN13)</f>
        <v>0</v>
      </c>
      <c r="BO14" s="343">
        <f>SUM(BO9,BO12:BO13)</f>
        <v>0</v>
      </c>
      <c r="BP14" s="397">
        <f>SUM(BP9,BP12:BP13)</f>
        <v>0</v>
      </c>
      <c r="BQ14" s="297">
        <f>SUM(BQ9,BQ12:BQ13)</f>
        <v>0</v>
      </c>
    </row>
    <row r="15" spans="1:69" s="2" customFormat="1">
      <c r="E15" s="506"/>
      <c r="F15" s="507"/>
      <c r="G15" s="507"/>
      <c r="H15" s="508"/>
      <c r="I15" s="462"/>
      <c r="J15" s="459"/>
      <c r="K15" s="460"/>
      <c r="L15" s="460"/>
      <c r="M15" s="461"/>
      <c r="N15" s="462"/>
      <c r="O15" s="459"/>
      <c r="P15" s="460"/>
      <c r="Q15" s="460"/>
      <c r="R15" s="461"/>
      <c r="S15" s="451"/>
      <c r="T15" s="459"/>
      <c r="U15" s="460"/>
      <c r="V15" s="460"/>
      <c r="W15" s="461"/>
      <c r="X15" s="451"/>
      <c r="Y15" s="459"/>
      <c r="Z15" s="460"/>
      <c r="AA15" s="460"/>
      <c r="AB15" s="461"/>
      <c r="AC15" s="77"/>
      <c r="AD15" s="459"/>
      <c r="AE15" s="460"/>
      <c r="AF15" s="460"/>
      <c r="AG15" s="461"/>
      <c r="AH15" s="77"/>
      <c r="AI15" s="459"/>
      <c r="AJ15" s="460"/>
      <c r="AK15" s="460"/>
      <c r="AL15" s="461"/>
      <c r="AM15" s="77"/>
      <c r="AN15" s="459"/>
      <c r="AO15" s="460"/>
      <c r="AP15" s="460"/>
      <c r="AQ15" s="461"/>
      <c r="AR15" s="77"/>
      <c r="AS15" s="459"/>
      <c r="AT15" s="460"/>
      <c r="AU15" s="460"/>
      <c r="AV15" s="461"/>
      <c r="AW15" s="77"/>
      <c r="AX15" s="406"/>
      <c r="AY15" s="348"/>
      <c r="AZ15" s="348"/>
      <c r="BA15" s="405"/>
      <c r="BB15" s="451"/>
      <c r="BC15" s="406"/>
      <c r="BD15" s="348"/>
      <c r="BE15" s="348"/>
      <c r="BF15" s="405"/>
      <c r="BG15" s="451"/>
      <c r="BH15" s="406"/>
      <c r="BI15" s="348"/>
      <c r="BJ15" s="348"/>
      <c r="BK15" s="405"/>
      <c r="BL15" s="451"/>
      <c r="BM15" s="406"/>
      <c r="BN15" s="348"/>
      <c r="BO15" s="348"/>
      <c r="BP15" s="405"/>
      <c r="BQ15" s="451"/>
    </row>
    <row r="16" spans="1:69" s="2" customFormat="1">
      <c r="C16" s="49" t="s">
        <v>79</v>
      </c>
      <c r="E16" s="477">
        <f t="shared" ref="E16:R16" si="15">E8-E14</f>
        <v>31</v>
      </c>
      <c r="F16" s="478">
        <f t="shared" si="15"/>
        <v>85</v>
      </c>
      <c r="G16" s="478">
        <f t="shared" si="15"/>
        <v>44</v>
      </c>
      <c r="H16" s="479">
        <f t="shared" si="15"/>
        <v>22</v>
      </c>
      <c r="I16" s="297">
        <f t="shared" si="15"/>
        <v>182</v>
      </c>
      <c r="J16" s="396">
        <f t="shared" si="15"/>
        <v>12</v>
      </c>
      <c r="K16" s="343">
        <f t="shared" si="15"/>
        <v>18</v>
      </c>
      <c r="L16" s="343">
        <f t="shared" si="15"/>
        <v>39</v>
      </c>
      <c r="M16" s="397">
        <f t="shared" si="15"/>
        <v>19</v>
      </c>
      <c r="N16" s="297">
        <f t="shared" si="15"/>
        <v>87.999999999999545</v>
      </c>
      <c r="O16" s="396">
        <f t="shared" si="15"/>
        <v>5</v>
      </c>
      <c r="P16" s="343">
        <f t="shared" si="15"/>
        <v>14</v>
      </c>
      <c r="Q16" s="343">
        <f t="shared" si="15"/>
        <v>-255</v>
      </c>
      <c r="R16" s="397">
        <f t="shared" si="15"/>
        <v>56</v>
      </c>
      <c r="S16" s="297">
        <f t="shared" ref="S16:X16" si="16">S8-S14</f>
        <v>-180</v>
      </c>
      <c r="T16" s="396">
        <f t="shared" si="16"/>
        <v>0</v>
      </c>
      <c r="U16" s="343">
        <f t="shared" si="16"/>
        <v>10</v>
      </c>
      <c r="V16" s="343">
        <f t="shared" si="16"/>
        <v>6</v>
      </c>
      <c r="W16" s="397">
        <f t="shared" si="16"/>
        <v>56</v>
      </c>
      <c r="X16" s="297">
        <f t="shared" si="16"/>
        <v>71.999999999999773</v>
      </c>
      <c r="Y16" s="396">
        <f t="shared" ref="Y16:AE16" si="17">Y8-Y14</f>
        <v>4</v>
      </c>
      <c r="Z16" s="343">
        <f t="shared" si="17"/>
        <v>10</v>
      </c>
      <c r="AA16" s="343">
        <f t="shared" si="17"/>
        <v>-3</v>
      </c>
      <c r="AB16" s="397">
        <f t="shared" si="17"/>
        <v>-17</v>
      </c>
      <c r="AC16" s="297">
        <f t="shared" si="17"/>
        <v>-6</v>
      </c>
      <c r="AD16" s="396">
        <f t="shared" si="17"/>
        <v>12</v>
      </c>
      <c r="AE16" s="343">
        <f t="shared" si="17"/>
        <v>7</v>
      </c>
      <c r="AF16" s="343">
        <f t="shared" ref="AF16:AK16" si="18">AF8-AF14</f>
        <v>10</v>
      </c>
      <c r="AG16" s="397">
        <f t="shared" si="18"/>
        <v>-8</v>
      </c>
      <c r="AH16" s="297">
        <f t="shared" si="18"/>
        <v>21</v>
      </c>
      <c r="AI16" s="396">
        <f t="shared" si="18"/>
        <v>13</v>
      </c>
      <c r="AJ16" s="343">
        <f t="shared" si="18"/>
        <v>20</v>
      </c>
      <c r="AK16" s="343">
        <f t="shared" si="18"/>
        <v>19</v>
      </c>
      <c r="AL16" s="397">
        <f t="shared" ref="AL16:AR16" si="19">AL8-AL14</f>
        <v>18</v>
      </c>
      <c r="AM16" s="297">
        <f t="shared" si="19"/>
        <v>70</v>
      </c>
      <c r="AN16" s="396">
        <f t="shared" si="19"/>
        <v>22</v>
      </c>
      <c r="AO16" s="343">
        <f t="shared" si="19"/>
        <v>26</v>
      </c>
      <c r="AP16" s="343">
        <f t="shared" si="19"/>
        <v>-111</v>
      </c>
      <c r="AQ16" s="397">
        <f t="shared" si="19"/>
        <v>12</v>
      </c>
      <c r="AR16" s="297">
        <f t="shared" si="19"/>
        <v>-51</v>
      </c>
      <c r="AS16" s="396">
        <f t="shared" ref="AS16:AY16" si="20">AS8-AS14</f>
        <v>-40</v>
      </c>
      <c r="AT16" s="343">
        <f t="shared" si="20"/>
        <v>4</v>
      </c>
      <c r="AU16" s="343">
        <f t="shared" si="20"/>
        <v>21</v>
      </c>
      <c r="AV16" s="397">
        <f t="shared" si="20"/>
        <v>51</v>
      </c>
      <c r="AW16" s="297">
        <f t="shared" si="20"/>
        <v>35.999999999999773</v>
      </c>
      <c r="AX16" s="396">
        <f t="shared" si="20"/>
        <v>23</v>
      </c>
      <c r="AY16" s="343">
        <f t="shared" si="20"/>
        <v>23.46</v>
      </c>
      <c r="AZ16" s="343">
        <f>AZ8-AZ14</f>
        <v>23.929200000000002</v>
      </c>
      <c r="BA16" s="397">
        <f>BA8-BA14</f>
        <v>24.407784000000003</v>
      </c>
      <c r="BB16" s="297">
        <f>BB8-BB14</f>
        <v>94.796984000000009</v>
      </c>
      <c r="BC16" s="396">
        <f t="shared" ref="BC16:BL16" si="21">BC8-BC14</f>
        <v>24.895939680000005</v>
      </c>
      <c r="BD16" s="343">
        <f t="shared" si="21"/>
        <v>25.393858473600005</v>
      </c>
      <c r="BE16" s="343">
        <f t="shared" si="21"/>
        <v>25.901735643072005</v>
      </c>
      <c r="BF16" s="397">
        <f t="shared" si="21"/>
        <v>26.419770355933444</v>
      </c>
      <c r="BG16" s="297">
        <f t="shared" si="21"/>
        <v>102.61130415260547</v>
      </c>
      <c r="BH16" s="396">
        <f t="shared" si="21"/>
        <v>25.393858473600005</v>
      </c>
      <c r="BI16" s="343">
        <f t="shared" si="21"/>
        <v>25.901735643072005</v>
      </c>
      <c r="BJ16" s="343">
        <f t="shared" si="21"/>
        <v>26.419770355933444</v>
      </c>
      <c r="BK16" s="397">
        <f t="shared" si="21"/>
        <v>26.948165763052113</v>
      </c>
      <c r="BL16" s="297">
        <f t="shared" si="21"/>
        <v>104.66353023565756</v>
      </c>
      <c r="BM16" s="396">
        <f>BM8-BM14</f>
        <v>25.901735643072005</v>
      </c>
      <c r="BN16" s="343">
        <f>BN8-BN14</f>
        <v>26.419770355933444</v>
      </c>
      <c r="BO16" s="343">
        <f>BO8-BO14</f>
        <v>26.948165763052113</v>
      </c>
      <c r="BP16" s="397">
        <f>BP8-BP14</f>
        <v>27.487129078313156</v>
      </c>
      <c r="BQ16" s="297">
        <f>BQ8-BQ14</f>
        <v>106.75680084037073</v>
      </c>
    </row>
    <row r="17" spans="3:81" s="2" customFormat="1">
      <c r="C17" s="49"/>
      <c r="E17" s="477"/>
      <c r="F17" s="478"/>
      <c r="G17" s="478"/>
      <c r="H17" s="479"/>
      <c r="I17" s="297"/>
      <c r="J17" s="396"/>
      <c r="K17" s="343"/>
      <c r="L17" s="343"/>
      <c r="M17" s="397"/>
      <c r="N17" s="297"/>
      <c r="O17" s="396"/>
      <c r="P17" s="343"/>
      <c r="Q17" s="343"/>
      <c r="R17" s="397"/>
      <c r="S17" s="297"/>
      <c r="T17" s="396"/>
      <c r="U17" s="343"/>
      <c r="V17" s="343"/>
      <c r="W17" s="397"/>
      <c r="X17" s="297"/>
      <c r="Y17" s="396"/>
      <c r="Z17" s="343"/>
      <c r="AA17" s="343"/>
      <c r="AB17" s="397"/>
      <c r="AC17" s="297"/>
      <c r="AD17" s="396"/>
      <c r="AE17" s="343"/>
      <c r="AF17" s="343"/>
      <c r="AG17" s="397"/>
      <c r="AH17" s="297"/>
      <c r="AI17" s="396"/>
      <c r="AJ17" s="343"/>
      <c r="AK17" s="343"/>
      <c r="AL17" s="397"/>
      <c r="AM17" s="297"/>
      <c r="AN17" s="396"/>
      <c r="AO17" s="343"/>
      <c r="AP17" s="343"/>
      <c r="AQ17" s="397"/>
      <c r="AR17" s="297"/>
      <c r="AS17" s="396"/>
      <c r="AT17" s="343"/>
      <c r="AU17" s="343"/>
      <c r="AV17" s="397"/>
      <c r="AW17" s="297"/>
      <c r="AX17" s="396"/>
      <c r="AY17" s="343"/>
      <c r="AZ17" s="343"/>
      <c r="BA17" s="397"/>
      <c r="BB17" s="297"/>
      <c r="BC17" s="396"/>
      <c r="BD17" s="343"/>
      <c r="BE17" s="343"/>
      <c r="BF17" s="397"/>
      <c r="BG17" s="297"/>
      <c r="BH17" s="396"/>
      <c r="BI17" s="343"/>
      <c r="BJ17" s="343"/>
      <c r="BK17" s="397"/>
      <c r="BL17" s="297"/>
      <c r="BM17" s="396"/>
      <c r="BN17" s="343"/>
      <c r="BO17" s="343"/>
      <c r="BP17" s="397"/>
      <c r="BQ17" s="297"/>
    </row>
    <row r="18" spans="3:81" s="2" customFormat="1">
      <c r="C18" s="2" t="s">
        <v>385</v>
      </c>
      <c r="E18" s="503">
        <f>PEG!E25-Power!E18-'PSE&amp;G'!E25</f>
        <v>6.25</v>
      </c>
      <c r="F18" s="504">
        <f>PEG!F25-Power!F18-'PSE&amp;G'!F25</f>
        <v>2.25</v>
      </c>
      <c r="G18" s="504">
        <f>PEG!G25-Power!G18-'PSE&amp;G'!G25</f>
        <v>7.25</v>
      </c>
      <c r="H18" s="505">
        <f>PEG!H25-Power!H18-'PSE&amp;G'!H25</f>
        <v>-15.75</v>
      </c>
      <c r="I18" s="451">
        <f>PEG!I25-Power!I18-'PSE&amp;G'!I25</f>
        <v>0</v>
      </c>
      <c r="J18" s="406">
        <f>PEG!J25-Power!J18-'PSE&amp;G'!J25</f>
        <v>1.25</v>
      </c>
      <c r="K18" s="348">
        <f>PEG!K25-Power!K18-'PSE&amp;G'!K25</f>
        <v>7.25</v>
      </c>
      <c r="L18" s="348">
        <f>PEG!L25-Power!L18-'PSE&amp;G'!L25</f>
        <v>21</v>
      </c>
      <c r="M18" s="405">
        <f>PEG!M25-Power!M18-'PSE&amp;G'!M25</f>
        <v>-8.5</v>
      </c>
      <c r="N18" s="451">
        <f>PEG!N25-Power!N18-'PSE&amp;G'!N25</f>
        <v>21</v>
      </c>
      <c r="O18" s="406">
        <f>PEG!O25-Power!O18-'PSE&amp;G'!O25</f>
        <v>3</v>
      </c>
      <c r="P18" s="348">
        <f>PEG!P25-Power!P18-'PSE&amp;G'!P25</f>
        <v>5</v>
      </c>
      <c r="Q18" s="348">
        <f>PEG!Q25-Power!Q18-'PSE&amp;G'!Q25</f>
        <v>2</v>
      </c>
      <c r="R18" s="405">
        <f>PEG!R25-Power!R18-'PSE&amp;G'!R25</f>
        <v>-4</v>
      </c>
      <c r="S18" s="451">
        <f>PEG!S25-Power!S18-'PSE&amp;G'!S25</f>
        <v>6</v>
      </c>
      <c r="T18" s="406">
        <f>PEG!T25-Power!T18-'PSE&amp;G'!T25</f>
        <v>3</v>
      </c>
      <c r="U18" s="348">
        <f>PEG!U25-Power!U18-'PSE&amp;G'!U25</f>
        <v>3</v>
      </c>
      <c r="V18" s="348">
        <f>PEG!V25-Power!V18-'PSE&amp;G'!V25</f>
        <v>8</v>
      </c>
      <c r="W18" s="405">
        <f>PEG!W25-Power!W18-'PSE&amp;G'!W25</f>
        <v>4</v>
      </c>
      <c r="X18" s="451">
        <f>PEG!X25-Power!X18-'PSE&amp;G'!X25</f>
        <v>18</v>
      </c>
      <c r="Y18" s="406">
        <f>PEG!Y25-Power!Y18-'PSE&amp;G'!Y25</f>
        <v>3</v>
      </c>
      <c r="Z18" s="348">
        <f>PEG!Z25-Power!Z18-'PSE&amp;G'!Z25</f>
        <v>3</v>
      </c>
      <c r="AA18" s="342">
        <f>PEG!AA25-Power!AA18-'PSE&amp;G'!AA25</f>
        <v>5</v>
      </c>
      <c r="AB18" s="395">
        <f>PEG!AB25-Power!AB18-'PSE&amp;G'!AB25</f>
        <v>-13</v>
      </c>
      <c r="AC18" s="77">
        <f>PEG!AC25-Power!AC18-'PSE&amp;G'!AC25</f>
        <v>-2</v>
      </c>
      <c r="AD18" s="406">
        <f>PEG!AD25-Power!AD18-'PSE&amp;G'!AD25</f>
        <v>-1</v>
      </c>
      <c r="AE18" s="348">
        <f>PEG!AE25-Power!AE18-'PSE&amp;G'!AE25</f>
        <v>2</v>
      </c>
      <c r="AF18" s="348">
        <f>PEG!AF25-Power!AF18-'PSE&amp;G'!AF25</f>
        <v>1</v>
      </c>
      <c r="AG18" s="395">
        <f>PEG!AG25-Power!AG18-'PSE&amp;G'!AG25</f>
        <v>-2</v>
      </c>
      <c r="AH18" s="77">
        <f>PEG!AH25-Power!AH18-'PSE&amp;G'!AH25</f>
        <v>0</v>
      </c>
      <c r="AI18" s="406">
        <f>PEG!AI25-Power!AI18-'PSE&amp;G'!AI25</f>
        <v>1</v>
      </c>
      <c r="AJ18" s="348">
        <f>PEG!AJ25-Power!AJ18-'PSE&amp;G'!AJ25</f>
        <v>-1</v>
      </c>
      <c r="AK18" s="348">
        <f>PEG!AK25-Power!AK18-'PSE&amp;G'!AK25</f>
        <v>0</v>
      </c>
      <c r="AL18" s="395">
        <f>PEG!AL25-Power!AL18-'PSE&amp;G'!AL25</f>
        <v>-22</v>
      </c>
      <c r="AM18" s="77">
        <f>PEG!AM25-Power!AM18-'PSE&amp;G'!AM25</f>
        <v>-22</v>
      </c>
      <c r="AN18" s="406">
        <f>PEG!AN25-Power!AN18-'PSE&amp;G'!AN25</f>
        <v>0</v>
      </c>
      <c r="AO18" s="348">
        <f>PEG!AO25-Power!AO18-'PSE&amp;G'!AO25</f>
        <v>0</v>
      </c>
      <c r="AP18" s="348">
        <f>PEG!AP25-Power!AP18-'PSE&amp;G'!AP25</f>
        <v>1</v>
      </c>
      <c r="AQ18" s="395">
        <f>PEG!AQ25-Power!AQ18-'PSE&amp;G'!AQ25</f>
        <v>-1</v>
      </c>
      <c r="AR18" s="77">
        <f>PEG!AR25-Power!AR18-'PSE&amp;G'!AR25</f>
        <v>0</v>
      </c>
      <c r="AS18" s="406">
        <f>PEG!AS25-Power!AS18-'PSE&amp;G'!AS25</f>
        <v>6</v>
      </c>
      <c r="AT18" s="348">
        <f>PEG!AT25-Power!AT18-'PSE&amp;G'!AT25</f>
        <v>1</v>
      </c>
      <c r="AU18" s="348">
        <f>PEG!AU25-Power!AU18-'PSE&amp;G'!AU25</f>
        <v>-1</v>
      </c>
      <c r="AV18" s="395">
        <f>PEG!AV25-Power!AV18-'PSE&amp;G'!AV25</f>
        <v>-22</v>
      </c>
      <c r="AW18" s="77">
        <f>PEG!AW25-Power!AW18-'PSE&amp;G'!AW25</f>
        <v>-16</v>
      </c>
      <c r="AX18" s="398">
        <f>AS18</f>
        <v>6</v>
      </c>
      <c r="AY18" s="344">
        <f>AT18</f>
        <v>1</v>
      </c>
      <c r="AZ18" s="344">
        <f>AU18</f>
        <v>-1</v>
      </c>
      <c r="BA18" s="399">
        <f>AV18</f>
        <v>-22</v>
      </c>
      <c r="BB18" s="451">
        <f>SUM(AX18:BA18)</f>
        <v>-16</v>
      </c>
      <c r="BC18" s="398">
        <f>AX18</f>
        <v>6</v>
      </c>
      <c r="BD18" s="344">
        <f>AY18</f>
        <v>1</v>
      </c>
      <c r="BE18" s="344">
        <f>AZ18</f>
        <v>-1</v>
      </c>
      <c r="BF18" s="399">
        <f>BA18</f>
        <v>-22</v>
      </c>
      <c r="BG18" s="451">
        <f>SUM(BC18:BF18)</f>
        <v>-16</v>
      </c>
      <c r="BH18" s="398">
        <f>BC18</f>
        <v>6</v>
      </c>
      <c r="BI18" s="344">
        <f>BD18</f>
        <v>1</v>
      </c>
      <c r="BJ18" s="344">
        <f>BE18</f>
        <v>-1</v>
      </c>
      <c r="BK18" s="399">
        <f>BF18</f>
        <v>-22</v>
      </c>
      <c r="BL18" s="451">
        <f>SUM(BH18:BK18)</f>
        <v>-16</v>
      </c>
      <c r="BM18" s="398">
        <v>0</v>
      </c>
      <c r="BN18" s="344">
        <v>0</v>
      </c>
      <c r="BO18" s="344">
        <v>0</v>
      </c>
      <c r="BP18" s="399">
        <v>0</v>
      </c>
      <c r="BQ18" s="451">
        <f>SUM(BM18:BP18)</f>
        <v>0</v>
      </c>
    </row>
    <row r="19" spans="3:81" s="2" customFormat="1">
      <c r="C19" s="49"/>
      <c r="E19" s="477"/>
      <c r="F19" s="478"/>
      <c r="G19" s="478"/>
      <c r="H19" s="479"/>
      <c r="I19" s="297"/>
      <c r="J19" s="396"/>
      <c r="K19" s="343"/>
      <c r="L19" s="343"/>
      <c r="M19" s="397"/>
      <c r="N19" s="297"/>
      <c r="O19" s="396"/>
      <c r="P19" s="343"/>
      <c r="Q19" s="343"/>
      <c r="R19" s="397"/>
      <c r="S19" s="297"/>
      <c r="T19" s="396"/>
      <c r="U19" s="343"/>
      <c r="V19" s="343"/>
      <c r="W19" s="397"/>
      <c r="X19" s="297"/>
      <c r="Y19" s="396"/>
      <c r="Z19" s="343"/>
      <c r="AA19" s="343"/>
      <c r="AB19" s="397"/>
      <c r="AC19" s="297"/>
      <c r="AD19" s="396"/>
      <c r="AE19" s="343"/>
      <c r="AF19" s="343"/>
      <c r="AG19" s="397"/>
      <c r="AH19" s="297"/>
      <c r="AI19" s="396"/>
      <c r="AJ19" s="343"/>
      <c r="AK19" s="343"/>
      <c r="AL19" s="397"/>
      <c r="AM19" s="297"/>
      <c r="AN19" s="396"/>
      <c r="AO19" s="343"/>
      <c r="AP19" s="343"/>
      <c r="AQ19" s="397"/>
      <c r="AR19" s="297"/>
      <c r="AS19" s="396"/>
      <c r="AT19" s="343"/>
      <c r="AU19" s="343"/>
      <c r="AV19" s="397"/>
      <c r="AW19" s="297"/>
      <c r="AX19" s="396"/>
      <c r="AY19" s="343"/>
      <c r="AZ19" s="343"/>
      <c r="BA19" s="397"/>
      <c r="BB19" s="297"/>
      <c r="BC19" s="396"/>
      <c r="BD19" s="343"/>
      <c r="BE19" s="343"/>
      <c r="BF19" s="397"/>
      <c r="BG19" s="297"/>
      <c r="BH19" s="396"/>
      <c r="BI19" s="343"/>
      <c r="BJ19" s="343"/>
      <c r="BK19" s="397"/>
      <c r="BL19" s="297"/>
      <c r="BM19" s="396"/>
      <c r="BN19" s="343"/>
      <c r="BO19" s="343"/>
      <c r="BP19" s="397"/>
      <c r="BQ19" s="297"/>
    </row>
    <row r="20" spans="3:81" s="2" customFormat="1">
      <c r="C20" s="49" t="s">
        <v>545</v>
      </c>
      <c r="E20" s="477">
        <f t="shared" ref="E20:S20" si="22">E16+E18</f>
        <v>37.25</v>
      </c>
      <c r="F20" s="478">
        <f t="shared" si="22"/>
        <v>87.25</v>
      </c>
      <c r="G20" s="478">
        <f t="shared" si="22"/>
        <v>51.25</v>
      </c>
      <c r="H20" s="479">
        <f t="shared" si="22"/>
        <v>6.25</v>
      </c>
      <c r="I20" s="297">
        <f t="shared" si="22"/>
        <v>182</v>
      </c>
      <c r="J20" s="396">
        <f t="shared" si="22"/>
        <v>13.25</v>
      </c>
      <c r="K20" s="343">
        <f t="shared" si="22"/>
        <v>25.25</v>
      </c>
      <c r="L20" s="343">
        <f t="shared" si="22"/>
        <v>60</v>
      </c>
      <c r="M20" s="397">
        <f t="shared" si="22"/>
        <v>10.5</v>
      </c>
      <c r="N20" s="297">
        <f t="shared" si="22"/>
        <v>108.99999999999955</v>
      </c>
      <c r="O20" s="396">
        <f t="shared" si="22"/>
        <v>8</v>
      </c>
      <c r="P20" s="343">
        <f t="shared" si="22"/>
        <v>19</v>
      </c>
      <c r="Q20" s="343">
        <f t="shared" si="22"/>
        <v>-253</v>
      </c>
      <c r="R20" s="397">
        <f t="shared" si="22"/>
        <v>52</v>
      </c>
      <c r="S20" s="297">
        <f t="shared" si="22"/>
        <v>-174</v>
      </c>
      <c r="T20" s="396">
        <f t="shared" ref="T20:Z20" si="23">T16+T18</f>
        <v>3</v>
      </c>
      <c r="U20" s="343">
        <f t="shared" si="23"/>
        <v>13</v>
      </c>
      <c r="V20" s="343">
        <f t="shared" si="23"/>
        <v>14</v>
      </c>
      <c r="W20" s="397">
        <f t="shared" si="23"/>
        <v>60</v>
      </c>
      <c r="X20" s="297">
        <f t="shared" si="23"/>
        <v>89.999999999999773</v>
      </c>
      <c r="Y20" s="396">
        <f t="shared" si="23"/>
        <v>7</v>
      </c>
      <c r="Z20" s="343">
        <f t="shared" si="23"/>
        <v>13</v>
      </c>
      <c r="AA20" s="343">
        <f t="shared" ref="AA20:AI20" si="24">AA16+AA18</f>
        <v>2</v>
      </c>
      <c r="AB20" s="397">
        <f t="shared" si="24"/>
        <v>-30</v>
      </c>
      <c r="AC20" s="297">
        <f t="shared" si="24"/>
        <v>-8</v>
      </c>
      <c r="AD20" s="396">
        <f t="shared" si="24"/>
        <v>11</v>
      </c>
      <c r="AE20" s="343">
        <f t="shared" si="24"/>
        <v>9</v>
      </c>
      <c r="AF20" s="343">
        <f t="shared" si="24"/>
        <v>11</v>
      </c>
      <c r="AG20" s="397">
        <f t="shared" si="24"/>
        <v>-10</v>
      </c>
      <c r="AH20" s="297">
        <f t="shared" si="24"/>
        <v>21</v>
      </c>
      <c r="AI20" s="396">
        <f t="shared" si="24"/>
        <v>14</v>
      </c>
      <c r="AJ20" s="343">
        <f t="shared" ref="AJ20:AR20" si="25">AJ16+AJ18</f>
        <v>19</v>
      </c>
      <c r="AK20" s="343">
        <f t="shared" si="25"/>
        <v>19</v>
      </c>
      <c r="AL20" s="397">
        <f t="shared" si="25"/>
        <v>-4</v>
      </c>
      <c r="AM20" s="297">
        <f t="shared" si="25"/>
        <v>48</v>
      </c>
      <c r="AN20" s="396">
        <f t="shared" si="25"/>
        <v>22</v>
      </c>
      <c r="AO20" s="343">
        <f t="shared" si="25"/>
        <v>26</v>
      </c>
      <c r="AP20" s="343">
        <f t="shared" si="25"/>
        <v>-110</v>
      </c>
      <c r="AQ20" s="397">
        <f t="shared" si="25"/>
        <v>11</v>
      </c>
      <c r="AR20" s="297">
        <f t="shared" si="25"/>
        <v>-51</v>
      </c>
      <c r="AS20" s="396">
        <f t="shared" ref="AS20:AY20" si="26">AS16+AS18</f>
        <v>-34</v>
      </c>
      <c r="AT20" s="343">
        <f t="shared" si="26"/>
        <v>5</v>
      </c>
      <c r="AU20" s="343">
        <f t="shared" si="26"/>
        <v>20</v>
      </c>
      <c r="AV20" s="397">
        <f t="shared" si="26"/>
        <v>29</v>
      </c>
      <c r="AW20" s="297">
        <f t="shared" si="26"/>
        <v>19.999999999999773</v>
      </c>
      <c r="AX20" s="396">
        <f t="shared" si="26"/>
        <v>29</v>
      </c>
      <c r="AY20" s="343">
        <f t="shared" si="26"/>
        <v>24.46</v>
      </c>
      <c r="AZ20" s="343">
        <f>AZ16+AZ18</f>
        <v>22.929200000000002</v>
      </c>
      <c r="BA20" s="397">
        <f>BA16+BA18</f>
        <v>2.407784000000003</v>
      </c>
      <c r="BB20" s="297">
        <f>BB16+BB18</f>
        <v>78.796984000000009</v>
      </c>
      <c r="BC20" s="396">
        <f t="shared" ref="BC20:BL20" si="27">BC16+BC18</f>
        <v>30.895939680000005</v>
      </c>
      <c r="BD20" s="343">
        <f t="shared" si="27"/>
        <v>26.393858473600005</v>
      </c>
      <c r="BE20" s="343">
        <f t="shared" si="27"/>
        <v>24.901735643072005</v>
      </c>
      <c r="BF20" s="397">
        <f t="shared" si="27"/>
        <v>4.4197703559334443</v>
      </c>
      <c r="BG20" s="297">
        <f t="shared" si="27"/>
        <v>86.61130415260547</v>
      </c>
      <c r="BH20" s="396">
        <f t="shared" si="27"/>
        <v>31.393858473600005</v>
      </c>
      <c r="BI20" s="343">
        <f t="shared" si="27"/>
        <v>26.901735643072005</v>
      </c>
      <c r="BJ20" s="343">
        <f t="shared" si="27"/>
        <v>25.419770355933444</v>
      </c>
      <c r="BK20" s="397">
        <f t="shared" si="27"/>
        <v>4.9481657630521134</v>
      </c>
      <c r="BL20" s="297">
        <f t="shared" si="27"/>
        <v>88.663530235657561</v>
      </c>
      <c r="BM20" s="396">
        <f>BM16+BM18</f>
        <v>25.901735643072005</v>
      </c>
      <c r="BN20" s="343">
        <f>BN16+BN18</f>
        <v>26.419770355933444</v>
      </c>
      <c r="BO20" s="343">
        <f>BO16+BO18</f>
        <v>26.948165763052113</v>
      </c>
      <c r="BP20" s="397">
        <f>BP16+BP18</f>
        <v>27.487129078313156</v>
      </c>
      <c r="BQ20" s="297">
        <f>BQ16+BQ18</f>
        <v>106.75680084037073</v>
      </c>
    </row>
    <row r="21" spans="3:81" s="2" customFormat="1">
      <c r="C21" s="49" t="s">
        <v>75</v>
      </c>
      <c r="E21" s="477">
        <f t="shared" ref="E21:Z21" si="28">E20+E13</f>
        <v>44.25</v>
      </c>
      <c r="F21" s="478">
        <f t="shared" si="28"/>
        <v>93.25</v>
      </c>
      <c r="G21" s="478">
        <f t="shared" si="28"/>
        <v>58.25</v>
      </c>
      <c r="H21" s="479">
        <f t="shared" si="28"/>
        <v>32.25</v>
      </c>
      <c r="I21" s="297">
        <f t="shared" si="28"/>
        <v>228</v>
      </c>
      <c r="J21" s="396">
        <f t="shared" si="28"/>
        <v>25.25</v>
      </c>
      <c r="K21" s="343">
        <f t="shared" si="28"/>
        <v>37.25</v>
      </c>
      <c r="L21" s="343">
        <f t="shared" si="28"/>
        <v>68</v>
      </c>
      <c r="M21" s="397">
        <f t="shared" si="28"/>
        <v>8.5</v>
      </c>
      <c r="N21" s="297">
        <f t="shared" si="28"/>
        <v>138.99999999999955</v>
      </c>
      <c r="O21" s="396">
        <f t="shared" si="28"/>
        <v>16</v>
      </c>
      <c r="P21" s="343">
        <f t="shared" si="28"/>
        <v>26</v>
      </c>
      <c r="Q21" s="343">
        <f t="shared" si="28"/>
        <v>-243</v>
      </c>
      <c r="R21" s="397">
        <f t="shared" si="28"/>
        <v>60</v>
      </c>
      <c r="S21" s="297">
        <f t="shared" si="28"/>
        <v>-141</v>
      </c>
      <c r="T21" s="396">
        <f t="shared" si="28"/>
        <v>12</v>
      </c>
      <c r="U21" s="343">
        <f t="shared" si="28"/>
        <v>22</v>
      </c>
      <c r="V21" s="343">
        <f t="shared" si="28"/>
        <v>24</v>
      </c>
      <c r="W21" s="397">
        <f>W20+W13</f>
        <v>71</v>
      </c>
      <c r="X21" s="297">
        <f>X20+X13</f>
        <v>128.99999999999977</v>
      </c>
      <c r="Y21" s="396">
        <f t="shared" si="28"/>
        <v>18</v>
      </c>
      <c r="Z21" s="343">
        <f t="shared" si="28"/>
        <v>24</v>
      </c>
      <c r="AA21" s="343">
        <f t="shared" ref="AA21:AI21" si="29">AA20+AA13</f>
        <v>13</v>
      </c>
      <c r="AB21" s="397">
        <f t="shared" si="29"/>
        <v>-30</v>
      </c>
      <c r="AC21" s="297">
        <f t="shared" si="29"/>
        <v>25</v>
      </c>
      <c r="AD21" s="396">
        <f t="shared" si="29"/>
        <v>18</v>
      </c>
      <c r="AE21" s="343">
        <f t="shared" si="29"/>
        <v>15</v>
      </c>
      <c r="AF21" s="343">
        <f t="shared" si="29"/>
        <v>20</v>
      </c>
      <c r="AG21" s="397">
        <f t="shared" si="29"/>
        <v>-3</v>
      </c>
      <c r="AH21" s="297">
        <f t="shared" si="29"/>
        <v>50</v>
      </c>
      <c r="AI21" s="396">
        <f t="shared" si="29"/>
        <v>21</v>
      </c>
      <c r="AJ21" s="343">
        <f t="shared" ref="AJ21:AO21" si="30">AJ20+AJ13</f>
        <v>27</v>
      </c>
      <c r="AK21" s="343">
        <f t="shared" si="30"/>
        <v>26</v>
      </c>
      <c r="AL21" s="397">
        <f t="shared" si="30"/>
        <v>5</v>
      </c>
      <c r="AM21" s="297">
        <f t="shared" si="30"/>
        <v>79</v>
      </c>
      <c r="AN21" s="396">
        <f t="shared" si="30"/>
        <v>28</v>
      </c>
      <c r="AO21" s="343">
        <f t="shared" si="30"/>
        <v>34</v>
      </c>
      <c r="AP21" s="343">
        <f t="shared" ref="AP21:AU21" si="31">AP20+AP13</f>
        <v>-102</v>
      </c>
      <c r="AQ21" s="397">
        <f t="shared" si="31"/>
        <v>19</v>
      </c>
      <c r="AR21" s="297">
        <f t="shared" si="31"/>
        <v>-21</v>
      </c>
      <c r="AS21" s="396">
        <f t="shared" si="31"/>
        <v>-27</v>
      </c>
      <c r="AT21" s="343">
        <f t="shared" si="31"/>
        <v>15</v>
      </c>
      <c r="AU21" s="343">
        <f t="shared" si="31"/>
        <v>27</v>
      </c>
      <c r="AV21" s="397">
        <f t="shared" ref="AV21:BB21" si="32">AV20+AV13</f>
        <v>38</v>
      </c>
      <c r="AW21" s="297">
        <f t="shared" si="32"/>
        <v>52.999999999999773</v>
      </c>
      <c r="AX21" s="396">
        <f t="shared" si="32"/>
        <v>29</v>
      </c>
      <c r="AY21" s="343">
        <f t="shared" si="32"/>
        <v>24.46</v>
      </c>
      <c r="AZ21" s="343">
        <f t="shared" si="32"/>
        <v>22.929200000000002</v>
      </c>
      <c r="BA21" s="397">
        <f>BA20+BA13</f>
        <v>2.407784000000003</v>
      </c>
      <c r="BB21" s="297">
        <f t="shared" si="32"/>
        <v>78.796984000000009</v>
      </c>
      <c r="BC21" s="396">
        <f t="shared" ref="BC21:BL21" si="33">BC20+BC13</f>
        <v>30.895939680000005</v>
      </c>
      <c r="BD21" s="343">
        <f t="shared" si="33"/>
        <v>26.393858473600005</v>
      </c>
      <c r="BE21" s="343">
        <f t="shared" si="33"/>
        <v>24.901735643072005</v>
      </c>
      <c r="BF21" s="397">
        <f t="shared" si="33"/>
        <v>4.4197703559334443</v>
      </c>
      <c r="BG21" s="297">
        <f t="shared" si="33"/>
        <v>86.61130415260547</v>
      </c>
      <c r="BH21" s="396">
        <f t="shared" si="33"/>
        <v>31.393858473600005</v>
      </c>
      <c r="BI21" s="343">
        <f t="shared" si="33"/>
        <v>26.901735643072005</v>
      </c>
      <c r="BJ21" s="343">
        <f t="shared" si="33"/>
        <v>25.419770355933444</v>
      </c>
      <c r="BK21" s="397">
        <f t="shared" si="33"/>
        <v>4.9481657630521134</v>
      </c>
      <c r="BL21" s="297">
        <f t="shared" si="33"/>
        <v>88.663530235657561</v>
      </c>
      <c r="BM21" s="396">
        <f>BM20+BM13</f>
        <v>25.901735643072005</v>
      </c>
      <c r="BN21" s="343">
        <f>BN20+BN13</f>
        <v>26.419770355933444</v>
      </c>
      <c r="BO21" s="343">
        <f>BO20+BO13</f>
        <v>26.948165763052113</v>
      </c>
      <c r="BP21" s="397">
        <f>BP20+BP13</f>
        <v>27.487129078313156</v>
      </c>
      <c r="BQ21" s="297">
        <f>BQ20+BQ13</f>
        <v>106.75680084037073</v>
      </c>
    </row>
    <row r="22" spans="3:81" s="2" customFormat="1">
      <c r="C22" s="49"/>
      <c r="E22" s="477"/>
      <c r="F22" s="478"/>
      <c r="G22" s="478"/>
      <c r="H22" s="479"/>
      <c r="I22" s="297"/>
      <c r="J22" s="396"/>
      <c r="K22" s="343"/>
      <c r="L22" s="343"/>
      <c r="M22" s="397"/>
      <c r="N22" s="297"/>
      <c r="O22" s="396"/>
      <c r="P22" s="343"/>
      <c r="Q22" s="343"/>
      <c r="R22" s="397"/>
      <c r="S22" s="297"/>
      <c r="T22" s="396"/>
      <c r="U22" s="343"/>
      <c r="V22" s="343"/>
      <c r="W22" s="397"/>
      <c r="X22" s="297"/>
      <c r="Y22" s="396"/>
      <c r="Z22" s="343"/>
      <c r="AA22" s="343"/>
      <c r="AB22" s="397"/>
      <c r="AC22" s="297"/>
      <c r="AD22" s="396"/>
      <c r="AE22" s="343"/>
      <c r="AF22" s="343"/>
      <c r="AG22" s="397"/>
      <c r="AH22" s="297"/>
      <c r="AI22" s="396"/>
      <c r="AJ22" s="343"/>
      <c r="AK22" s="343"/>
      <c r="AL22" s="397"/>
      <c r="AM22" s="297"/>
      <c r="AN22" s="396"/>
      <c r="AO22" s="343"/>
      <c r="AP22" s="343"/>
      <c r="AQ22" s="397"/>
      <c r="AR22" s="297"/>
      <c r="AS22" s="396"/>
      <c r="AT22" s="343"/>
      <c r="AU22" s="343"/>
      <c r="AV22" s="397"/>
      <c r="AW22" s="297"/>
      <c r="AX22" s="396"/>
      <c r="AY22" s="343"/>
      <c r="AZ22" s="343"/>
      <c r="BA22" s="397"/>
      <c r="BB22" s="297"/>
      <c r="BC22" s="396"/>
      <c r="BD22" s="343"/>
      <c r="BE22" s="343"/>
      <c r="BF22" s="397"/>
      <c r="BG22" s="297"/>
      <c r="BH22" s="396"/>
      <c r="BI22" s="343"/>
      <c r="BJ22" s="343"/>
      <c r="BK22" s="397"/>
      <c r="BL22" s="297"/>
      <c r="BM22" s="396"/>
      <c r="BN22" s="343"/>
      <c r="BO22" s="343"/>
      <c r="BP22" s="397"/>
      <c r="BQ22" s="297"/>
    </row>
    <row r="23" spans="3:81" s="37" customFormat="1">
      <c r="C23" s="37" t="s">
        <v>89</v>
      </c>
      <c r="E23" s="472">
        <f>PEG!E30-Power!E23-'PSE&amp;G'!E30</f>
        <v>16</v>
      </c>
      <c r="F23" s="473">
        <f>PEG!F30-Power!F23-'PSE&amp;G'!F30</f>
        <v>14</v>
      </c>
      <c r="G23" s="473">
        <f>PEG!G30-Power!G23-'PSE&amp;G'!G30</f>
        <v>15</v>
      </c>
      <c r="H23" s="474">
        <f>PEG!H30-Power!H23-'PSE&amp;G'!H30</f>
        <v>9</v>
      </c>
      <c r="I23" s="77">
        <f>PEG!I30-Power!I23-'PSE&amp;G'!I30</f>
        <v>54</v>
      </c>
      <c r="J23" s="394">
        <f>PEG!J30-Power!J23-'PSE&amp;G'!J30</f>
        <v>-1</v>
      </c>
      <c r="K23" s="342">
        <f>PEG!K30-Power!K23-'PSE&amp;G'!K30</f>
        <v>-2</v>
      </c>
      <c r="L23" s="342">
        <f>PEG!L30-Power!L23-'PSE&amp;G'!L30</f>
        <v>1</v>
      </c>
      <c r="M23" s="395">
        <f>PEG!M30-Power!M23-'PSE&amp;G'!M30</f>
        <v>-1</v>
      </c>
      <c r="N23" s="77">
        <f>PEG!N30-Power!N23-'PSE&amp;G'!N30</f>
        <v>-3</v>
      </c>
      <c r="O23" s="394">
        <f>PEG!O30-Power!O23-'PSE&amp;G'!O30</f>
        <v>-3</v>
      </c>
      <c r="P23" s="342">
        <f>PEG!P30-Power!P23-'PSE&amp;G'!P30</f>
        <v>-2</v>
      </c>
      <c r="Q23" s="342">
        <f>PEG!Q30-Power!Q23-'PSE&amp;G'!Q30</f>
        <v>-2</v>
      </c>
      <c r="R23" s="395">
        <f>PEG!R30-Power!R23-'PSE&amp;G'!R30</f>
        <v>-3</v>
      </c>
      <c r="S23" s="77">
        <f>PEG!S30-Power!S23-'PSE&amp;G'!S30</f>
        <v>-10</v>
      </c>
      <c r="T23" s="394">
        <f>PEG!T30-Power!T23-'PSE&amp;G'!T30</f>
        <v>-2</v>
      </c>
      <c r="U23" s="342">
        <f>PEG!U30-Power!U23-'PSE&amp;G'!U30</f>
        <v>-3</v>
      </c>
      <c r="V23" s="342">
        <f>PEG!V30-Power!V23-'PSE&amp;G'!V30</f>
        <v>-2</v>
      </c>
      <c r="W23" s="395">
        <f>PEG!W30-Power!W23-'PSE&amp;G'!W30</f>
        <v>1</v>
      </c>
      <c r="X23" s="77">
        <f>PEG!X30-Power!X23-'PSE&amp;G'!X30</f>
        <v>-6</v>
      </c>
      <c r="Y23" s="394">
        <f>PEG!Y30-Power!Y23-'PSE&amp;G'!Y30</f>
        <v>-1</v>
      </c>
      <c r="Z23" s="342">
        <f>PEG!Z30-Power!Z23-'PSE&amp;G'!Z30</f>
        <v>-3</v>
      </c>
      <c r="AA23" s="342">
        <f>PEG!AA30-Power!AA23-'PSE&amp;G'!AA30</f>
        <v>-1</v>
      </c>
      <c r="AB23" s="395">
        <f>PEG!AB30-Power!AB23-'PSE&amp;G'!AB30</f>
        <v>-2</v>
      </c>
      <c r="AC23" s="77">
        <f>PEG!AC30-Power!AC23-'PSE&amp;G'!AC30</f>
        <v>-7</v>
      </c>
      <c r="AD23" s="394">
        <f>PEG!AD30-Power!AD23-'PSE&amp;G'!AD30</f>
        <v>-3</v>
      </c>
      <c r="AE23" s="342">
        <f>PEG!AE30-Power!AE23-'PSE&amp;G'!AE30</f>
        <v>-2</v>
      </c>
      <c r="AF23" s="342">
        <f>PEG!AF30-Power!AF23-'PSE&amp;G'!AF30</f>
        <v>-2</v>
      </c>
      <c r="AG23" s="395">
        <f>PEG!AG30-Power!AG23-'PSE&amp;G'!AG30</f>
        <v>-3</v>
      </c>
      <c r="AH23" s="77">
        <f>PEG!AH30-Power!AH23-'PSE&amp;G'!AH30</f>
        <v>-10</v>
      </c>
      <c r="AI23" s="394">
        <f>PEG!AI30-Power!AI23-'PSE&amp;G'!AI30</f>
        <v>-2</v>
      </c>
      <c r="AJ23" s="342">
        <f>PEG!AJ30-Power!AJ23-'PSE&amp;G'!AJ30</f>
        <v>-3</v>
      </c>
      <c r="AK23" s="342">
        <f>PEG!AK30-Power!AK23-'PSE&amp;G'!AK30</f>
        <v>-1</v>
      </c>
      <c r="AL23" s="395">
        <f>PEG!AL30-Power!AL23-'PSE&amp;G'!AL30</f>
        <v>-2</v>
      </c>
      <c r="AM23" s="77">
        <f>PEG!AM30-Power!AM23-'PSE&amp;G'!AM30</f>
        <v>-8</v>
      </c>
      <c r="AN23" s="394">
        <f>PEG!AN30-Power!AN23-'PSE&amp;G'!AN30</f>
        <v>2</v>
      </c>
      <c r="AO23" s="342">
        <f>PEG!AO30-Power!AO23-'PSE&amp;G'!AO30</f>
        <v>3</v>
      </c>
      <c r="AP23" s="342">
        <f>PEG!AP30-Power!AP23-'PSE&amp;G'!AP30</f>
        <v>3</v>
      </c>
      <c r="AQ23" s="395">
        <f>PEG!AQ30-Power!AQ23-'PSE&amp;G'!AQ30</f>
        <v>4</v>
      </c>
      <c r="AR23" s="77">
        <f>PEG!AR30-Power!AR23-'PSE&amp;G'!AR30</f>
        <v>12</v>
      </c>
      <c r="AS23" s="394">
        <f>PEG!AS30-Power!AS23-'PSE&amp;G'!AS30</f>
        <v>7</v>
      </c>
      <c r="AT23" s="342">
        <f>PEG!AT30-Power!AT23-'PSE&amp;G'!AT30</f>
        <v>9</v>
      </c>
      <c r="AU23" s="342">
        <f>PEG!AU30-Power!AU23-'PSE&amp;G'!AU30</f>
        <v>9</v>
      </c>
      <c r="AV23" s="395">
        <f>PEG!AV30-Power!AV23-'PSE&amp;G'!AV30</f>
        <v>13</v>
      </c>
      <c r="AW23" s="77">
        <f>PEG!AW30-Power!AW23-'PSE&amp;G'!AW30</f>
        <v>38</v>
      </c>
      <c r="AX23" s="394">
        <f>PEG!AX30-Power!AX23-'PSE&amp;G'!AX30</f>
        <v>14.825000000000003</v>
      </c>
      <c r="AY23" s="342">
        <f>PEG!AY30-Power!AY23-'PSE&amp;G'!AY30</f>
        <v>14.248323242869134</v>
      </c>
      <c r="AZ23" s="342">
        <f>PEG!AZ30-Power!AZ23-'PSE&amp;G'!AZ30</f>
        <v>10.677004437070465</v>
      </c>
      <c r="BA23" s="395">
        <f>PEG!BA30-Power!BA23-'PSE&amp;G'!BA30</f>
        <v>15.512004437070459</v>
      </c>
      <c r="BB23" s="77">
        <f>PEG!BB30-Power!BB23-'PSE&amp;G'!BB30</f>
        <v>55.262332117010033</v>
      </c>
      <c r="BC23" s="394">
        <f>PEG!BC30-Power!BC23-'PSE&amp;G'!BC30</f>
        <v>9.6725843305804062</v>
      </c>
      <c r="BD23" s="342">
        <f>PEG!BD30-Power!BD23-'PSE&amp;G'!BD30</f>
        <v>3.7531375096362609</v>
      </c>
      <c r="BE23" s="342">
        <f>PEG!BE30-Power!BE23-'PSE&amp;G'!BE30</f>
        <v>18.462176848718286</v>
      </c>
      <c r="BF23" s="395">
        <f>PEG!BF30-Power!BF23-'PSE&amp;G'!BF30</f>
        <v>13.014854687587786</v>
      </c>
      <c r="BG23" s="77">
        <f>PEG!BG30-Power!BG23-'PSE&amp;G'!BG30</f>
        <v>44.90275337652281</v>
      </c>
      <c r="BH23" s="394">
        <f>PEG!BH30-Power!BH23-'PSE&amp;G'!BH30</f>
        <v>21.205375756474211</v>
      </c>
      <c r="BI23" s="342">
        <f>PEG!BI30-Power!BI23-'PSE&amp;G'!BI30</f>
        <v>13.723802684010849</v>
      </c>
      <c r="BJ23" s="342">
        <f>PEG!BJ30-Power!BJ23-'PSE&amp;G'!BJ30</f>
        <v>19.408743899580841</v>
      </c>
      <c r="BK23" s="395">
        <f>PEG!BK30-Power!BK23-'PSE&amp;G'!BK30</f>
        <v>16.084224376374479</v>
      </c>
      <c r="BL23" s="77">
        <f>PEG!BL30-Power!BL23-'PSE&amp;G'!BL30</f>
        <v>70.422146716440409</v>
      </c>
      <c r="BM23" s="394">
        <f>PEG!BM30-Power!BM23-'PSE&amp;G'!BM30</f>
        <v>24.251729347253118</v>
      </c>
      <c r="BN23" s="342">
        <f>PEG!BN30-Power!BN23-'PSE&amp;G'!BN30</f>
        <v>15.478893086209638</v>
      </c>
      <c r="BO23" s="342">
        <f>PEG!BO30-Power!BO23-'PSE&amp;G'!BO30</f>
        <v>25.254466371791693</v>
      </c>
      <c r="BP23" s="395">
        <f>PEG!BP30-Power!BP23-'PSE&amp;G'!BP30</f>
        <v>20.65222285163938</v>
      </c>
      <c r="BQ23" s="77">
        <f>PEG!BQ30-Power!BQ23-'PSE&amp;G'!BQ30</f>
        <v>85.637311656893758</v>
      </c>
      <c r="BR23" s="77"/>
      <c r="BT23" s="77"/>
      <c r="BU23" s="77"/>
      <c r="BV23" s="77"/>
      <c r="BW23" s="77"/>
      <c r="BX23" s="77"/>
      <c r="BY23" s="77"/>
      <c r="BZ23" s="77"/>
      <c r="CA23" s="77"/>
      <c r="CB23" s="77"/>
      <c r="CC23" s="77"/>
    </row>
    <row r="24" spans="3:81" s="2" customFormat="1">
      <c r="C24" s="49"/>
      <c r="E24" s="477"/>
      <c r="F24" s="478"/>
      <c r="G24" s="478"/>
      <c r="H24" s="479"/>
      <c r="I24" s="297"/>
      <c r="J24" s="396"/>
      <c r="K24" s="343"/>
      <c r="L24" s="343"/>
      <c r="M24" s="397"/>
      <c r="N24" s="297"/>
      <c r="O24" s="396"/>
      <c r="P24" s="343"/>
      <c r="Q24" s="343"/>
      <c r="R24" s="397"/>
      <c r="S24" s="297"/>
      <c r="T24" s="396"/>
      <c r="U24" s="343"/>
      <c r="V24" s="343"/>
      <c r="W24" s="397"/>
      <c r="X24" s="297"/>
      <c r="Y24" s="396"/>
      <c r="Z24" s="343"/>
      <c r="AA24" s="343"/>
      <c r="AB24" s="397"/>
      <c r="AC24" s="297"/>
      <c r="AD24" s="396"/>
      <c r="AE24" s="343"/>
      <c r="AF24" s="343"/>
      <c r="AG24" s="397"/>
      <c r="AH24" s="297"/>
      <c r="AI24" s="396"/>
      <c r="AJ24" s="343"/>
      <c r="AK24" s="343"/>
      <c r="AL24" s="397"/>
      <c r="AM24" s="297"/>
      <c r="AN24" s="396"/>
      <c r="AO24" s="343"/>
      <c r="AP24" s="343"/>
      <c r="AQ24" s="397"/>
      <c r="AR24" s="297"/>
      <c r="AS24" s="396"/>
      <c r="AT24" s="343"/>
      <c r="AU24" s="343"/>
      <c r="AV24" s="397"/>
      <c r="AW24" s="297"/>
      <c r="AX24" s="396"/>
      <c r="AY24" s="343"/>
      <c r="AZ24" s="343"/>
      <c r="BA24" s="397"/>
      <c r="BB24" s="297"/>
      <c r="BC24" s="396"/>
      <c r="BD24" s="343"/>
      <c r="BE24" s="343"/>
      <c r="BF24" s="397"/>
      <c r="BG24" s="297"/>
      <c r="BH24" s="396"/>
      <c r="BI24" s="343"/>
      <c r="BJ24" s="343"/>
      <c r="BK24" s="397"/>
      <c r="BL24" s="297"/>
      <c r="BM24" s="396"/>
      <c r="BN24" s="343"/>
      <c r="BO24" s="343"/>
      <c r="BP24" s="397"/>
      <c r="BQ24" s="297"/>
      <c r="BS24" s="37"/>
    </row>
    <row r="25" spans="3:81" s="2" customFormat="1">
      <c r="C25" s="49" t="s">
        <v>625</v>
      </c>
      <c r="E25" s="477">
        <f t="shared" ref="E25:S25" si="34">E20-E23</f>
        <v>21.25</v>
      </c>
      <c r="F25" s="478">
        <f t="shared" si="34"/>
        <v>73.25</v>
      </c>
      <c r="G25" s="478">
        <f t="shared" si="34"/>
        <v>36.25</v>
      </c>
      <c r="H25" s="479">
        <f t="shared" si="34"/>
        <v>-2.75</v>
      </c>
      <c r="I25" s="297">
        <f t="shared" si="34"/>
        <v>128</v>
      </c>
      <c r="J25" s="396">
        <f t="shared" si="34"/>
        <v>14.25</v>
      </c>
      <c r="K25" s="343">
        <f t="shared" si="34"/>
        <v>27.25</v>
      </c>
      <c r="L25" s="343">
        <f t="shared" si="34"/>
        <v>59</v>
      </c>
      <c r="M25" s="397">
        <f t="shared" si="34"/>
        <v>11.5</v>
      </c>
      <c r="N25" s="297">
        <f t="shared" si="34"/>
        <v>111.99999999999955</v>
      </c>
      <c r="O25" s="396">
        <f t="shared" si="34"/>
        <v>11</v>
      </c>
      <c r="P25" s="343">
        <f t="shared" si="34"/>
        <v>21</v>
      </c>
      <c r="Q25" s="343">
        <f t="shared" si="34"/>
        <v>-251</v>
      </c>
      <c r="R25" s="397">
        <f t="shared" si="34"/>
        <v>55</v>
      </c>
      <c r="S25" s="297">
        <f t="shared" si="34"/>
        <v>-164</v>
      </c>
      <c r="T25" s="396">
        <f t="shared" ref="T25:Z25" si="35">T20-T23</f>
        <v>5</v>
      </c>
      <c r="U25" s="343">
        <f t="shared" si="35"/>
        <v>16</v>
      </c>
      <c r="V25" s="343">
        <f t="shared" si="35"/>
        <v>16</v>
      </c>
      <c r="W25" s="397">
        <f t="shared" si="35"/>
        <v>59</v>
      </c>
      <c r="X25" s="297">
        <f t="shared" si="35"/>
        <v>95.999999999999773</v>
      </c>
      <c r="Y25" s="396">
        <f t="shared" si="35"/>
        <v>8</v>
      </c>
      <c r="Z25" s="343">
        <f t="shared" si="35"/>
        <v>16</v>
      </c>
      <c r="AA25" s="343">
        <f t="shared" ref="AA25:AI25" si="36">AA20-AA23</f>
        <v>3</v>
      </c>
      <c r="AB25" s="397">
        <f t="shared" si="36"/>
        <v>-28</v>
      </c>
      <c r="AC25" s="297">
        <f t="shared" si="36"/>
        <v>-1</v>
      </c>
      <c r="AD25" s="396">
        <f t="shared" si="36"/>
        <v>14</v>
      </c>
      <c r="AE25" s="343">
        <f t="shared" si="36"/>
        <v>11</v>
      </c>
      <c r="AF25" s="343">
        <f t="shared" si="36"/>
        <v>13</v>
      </c>
      <c r="AG25" s="397">
        <f t="shared" si="36"/>
        <v>-7</v>
      </c>
      <c r="AH25" s="297">
        <f t="shared" si="36"/>
        <v>31</v>
      </c>
      <c r="AI25" s="396">
        <f t="shared" si="36"/>
        <v>16</v>
      </c>
      <c r="AJ25" s="343">
        <f t="shared" ref="AJ25:AR25" si="37">AJ20-AJ23</f>
        <v>22</v>
      </c>
      <c r="AK25" s="343">
        <f t="shared" si="37"/>
        <v>20</v>
      </c>
      <c r="AL25" s="397">
        <f t="shared" si="37"/>
        <v>-2</v>
      </c>
      <c r="AM25" s="297">
        <f t="shared" si="37"/>
        <v>56</v>
      </c>
      <c r="AN25" s="396">
        <f t="shared" si="37"/>
        <v>20</v>
      </c>
      <c r="AO25" s="343">
        <f t="shared" si="37"/>
        <v>23</v>
      </c>
      <c r="AP25" s="343">
        <f t="shared" si="37"/>
        <v>-113</v>
      </c>
      <c r="AQ25" s="397">
        <f t="shared" si="37"/>
        <v>7</v>
      </c>
      <c r="AR25" s="297">
        <f t="shared" si="37"/>
        <v>-63</v>
      </c>
      <c r="AS25" s="396">
        <f t="shared" ref="AS25:AY25" si="38">AS20-AS23</f>
        <v>-41</v>
      </c>
      <c r="AT25" s="343">
        <f t="shared" si="38"/>
        <v>-4</v>
      </c>
      <c r="AU25" s="343">
        <f t="shared" si="38"/>
        <v>11</v>
      </c>
      <c r="AV25" s="397">
        <f t="shared" si="38"/>
        <v>16</v>
      </c>
      <c r="AW25" s="297">
        <f t="shared" si="38"/>
        <v>-18.000000000000227</v>
      </c>
      <c r="AX25" s="396">
        <f t="shared" si="38"/>
        <v>14.174999999999997</v>
      </c>
      <c r="AY25" s="343">
        <f t="shared" si="38"/>
        <v>10.211676757130867</v>
      </c>
      <c r="AZ25" s="343">
        <f>AZ20-AZ23</f>
        <v>12.252195562929536</v>
      </c>
      <c r="BA25" s="397">
        <f>BA20-BA23</f>
        <v>-13.104220437070456</v>
      </c>
      <c r="BB25" s="297">
        <f>BB20-BB23</f>
        <v>23.534651882989976</v>
      </c>
      <c r="BC25" s="396">
        <f t="shared" ref="BC25:BL25" si="39">BC20-BC23</f>
        <v>21.223355349419599</v>
      </c>
      <c r="BD25" s="343">
        <f t="shared" si="39"/>
        <v>22.640720963963744</v>
      </c>
      <c r="BE25" s="343">
        <f t="shared" si="39"/>
        <v>6.4395587943537187</v>
      </c>
      <c r="BF25" s="397">
        <f t="shared" si="39"/>
        <v>-8.5950843316543413</v>
      </c>
      <c r="BG25" s="297">
        <f t="shared" si="39"/>
        <v>41.70855077608266</v>
      </c>
      <c r="BH25" s="396">
        <f t="shared" si="39"/>
        <v>10.188482717125794</v>
      </c>
      <c r="BI25" s="343">
        <f t="shared" si="39"/>
        <v>13.177932959061156</v>
      </c>
      <c r="BJ25" s="343">
        <f t="shared" si="39"/>
        <v>6.011026456352603</v>
      </c>
      <c r="BK25" s="397">
        <f t="shared" si="39"/>
        <v>-11.136058613322366</v>
      </c>
      <c r="BL25" s="297">
        <f t="shared" si="39"/>
        <v>18.241383519217152</v>
      </c>
      <c r="BM25" s="396">
        <f>BM20-BM23</f>
        <v>1.650006295818887</v>
      </c>
      <c r="BN25" s="343">
        <f>BN20-BN23</f>
        <v>10.940877269723806</v>
      </c>
      <c r="BO25" s="343">
        <f>BO20-BO23</f>
        <v>1.6936993912604201</v>
      </c>
      <c r="BP25" s="397">
        <f>BP20-BP23</f>
        <v>6.8349062266737768</v>
      </c>
      <c r="BQ25" s="297">
        <f>BQ20-BQ23</f>
        <v>21.119489183476972</v>
      </c>
      <c r="BS25" s="37"/>
    </row>
    <row r="26" spans="3:81" s="2" customFormat="1">
      <c r="C26" s="49"/>
      <c r="E26" s="477"/>
      <c r="F26" s="478"/>
      <c r="G26" s="478"/>
      <c r="H26" s="479"/>
      <c r="I26" s="297"/>
      <c r="J26" s="396"/>
      <c r="K26" s="343"/>
      <c r="L26" s="343"/>
      <c r="M26" s="397"/>
      <c r="N26" s="297"/>
      <c r="O26" s="396"/>
      <c r="P26" s="343"/>
      <c r="Q26" s="343"/>
      <c r="R26" s="397"/>
      <c r="S26" s="297"/>
      <c r="T26" s="396"/>
      <c r="U26" s="343"/>
      <c r="V26" s="343"/>
      <c r="W26" s="397"/>
      <c r="X26" s="297"/>
      <c r="Y26" s="396"/>
      <c r="Z26" s="343"/>
      <c r="AA26" s="343"/>
      <c r="AB26" s="397"/>
      <c r="AC26" s="297"/>
      <c r="AD26" s="396"/>
      <c r="AE26" s="343"/>
      <c r="AF26" s="343"/>
      <c r="AG26" s="397"/>
      <c r="AH26" s="297"/>
      <c r="AI26" s="396"/>
      <c r="AJ26" s="343"/>
      <c r="AK26" s="343"/>
      <c r="AL26" s="397"/>
      <c r="AM26" s="297"/>
      <c r="AN26" s="396"/>
      <c r="AO26" s="343"/>
      <c r="AP26" s="343"/>
      <c r="AQ26" s="397"/>
      <c r="AR26" s="297"/>
      <c r="AS26" s="396"/>
      <c r="AT26" s="343"/>
      <c r="AU26" s="343"/>
      <c r="AV26" s="397"/>
      <c r="AW26" s="297"/>
      <c r="AX26" s="396"/>
      <c r="AY26" s="343"/>
      <c r="AZ26" s="343"/>
      <c r="BA26" s="397"/>
      <c r="BB26" s="297"/>
      <c r="BC26" s="396"/>
      <c r="BD26" s="343"/>
      <c r="BE26" s="343"/>
      <c r="BF26" s="397"/>
      <c r="BG26" s="297"/>
      <c r="BH26" s="396"/>
      <c r="BI26" s="343"/>
      <c r="BJ26" s="343"/>
      <c r="BK26" s="397"/>
      <c r="BL26" s="297"/>
      <c r="BM26" s="396"/>
      <c r="BN26" s="343"/>
      <c r="BO26" s="343"/>
      <c r="BP26" s="397"/>
      <c r="BQ26" s="297"/>
      <c r="BS26" s="37"/>
    </row>
    <row r="27" spans="3:81" s="37" customFormat="1">
      <c r="C27" s="37" t="s">
        <v>386</v>
      </c>
      <c r="E27" s="472">
        <f>PEG!E34-Power!E27-'PSE&amp;G'!E34</f>
        <v>15</v>
      </c>
      <c r="F27" s="473">
        <f>PEG!F34-Power!F27-'PSE&amp;G'!F34</f>
        <v>52</v>
      </c>
      <c r="G27" s="473">
        <f>PEG!G34-Power!G27-'PSE&amp;G'!G34</f>
        <v>18</v>
      </c>
      <c r="H27" s="474">
        <f>PEG!H34-Power!H27-'PSE&amp;G'!H34</f>
        <v>-34</v>
      </c>
      <c r="I27" s="77">
        <f>PEG!I34-Power!I27-'PSE&amp;G'!I34</f>
        <v>51</v>
      </c>
      <c r="J27" s="394">
        <f>PEG!J34-Power!J27-'PSE&amp;G'!J34</f>
        <v>12</v>
      </c>
      <c r="K27" s="342">
        <f>PEG!K34-Power!K27-'PSE&amp;G'!K34</f>
        <v>8</v>
      </c>
      <c r="L27" s="342">
        <f>PEG!L34-Power!L27-'PSE&amp;G'!L34</f>
        <v>31</v>
      </c>
      <c r="M27" s="395">
        <f>PEG!M34-Power!M27-'PSE&amp;G'!M34</f>
        <v>-2</v>
      </c>
      <c r="N27" s="77">
        <f>PEG!N34-Power!N27-'PSE&amp;G'!N34</f>
        <v>49</v>
      </c>
      <c r="O27" s="394">
        <f>PEG!O34-Power!O27-'PSE&amp;G'!O34</f>
        <v>10</v>
      </c>
      <c r="P27" s="342">
        <f>PEG!P34-Power!P27-'PSE&amp;G'!P34</f>
        <v>11</v>
      </c>
      <c r="Q27" s="342">
        <f>PEG!Q34-Power!Q27-'PSE&amp;G'!Q34</f>
        <v>-89</v>
      </c>
      <c r="R27" s="395">
        <f>PEG!R34-Power!R27-'PSE&amp;G'!R34</f>
        <v>21</v>
      </c>
      <c r="S27" s="77">
        <f>PEG!S34-Power!S27-'PSE&amp;G'!S34</f>
        <v>-47</v>
      </c>
      <c r="T27" s="394">
        <f>PEG!T34-Power!T27-'PSE&amp;G'!T34</f>
        <v>-38</v>
      </c>
      <c r="U27" s="342">
        <f>PEG!U34-Power!U27-'PSE&amp;G'!U34</f>
        <v>10</v>
      </c>
      <c r="V27" s="342">
        <f>PEG!V34-Power!V27-'PSE&amp;G'!V34</f>
        <v>5</v>
      </c>
      <c r="W27" s="395">
        <f>PEG!W34-Power!W27-'PSE&amp;G'!W34</f>
        <v>19</v>
      </c>
      <c r="X27" s="77">
        <f>PEG!X34-Power!X27-'PSE&amp;G'!X34</f>
        <v>-4</v>
      </c>
      <c r="Y27" s="394">
        <f>PEG!Y34-Power!Y27-'PSE&amp;G'!Y34</f>
        <v>4</v>
      </c>
      <c r="Z27" s="342">
        <f>PEG!Z34-Power!Z27-'PSE&amp;G'!Z34</f>
        <v>8</v>
      </c>
      <c r="AA27" s="342">
        <f>PEG!AA34-Power!AA27-'PSE&amp;G'!AA34</f>
        <v>2</v>
      </c>
      <c r="AB27" s="395">
        <f>PEG!AB34-Power!AB27-'PSE&amp;G'!AB34</f>
        <v>-2</v>
      </c>
      <c r="AC27" s="77">
        <f>PEG!AC34-Power!AC27-'PSE&amp;G'!AC34</f>
        <v>12</v>
      </c>
      <c r="AD27" s="394">
        <f>PEG!AD34-Power!AD27-'PSE&amp;G'!AD34</f>
        <v>6</v>
      </c>
      <c r="AE27" s="342">
        <f>PEG!AE34-Power!AE27-'PSE&amp;G'!AE34</f>
        <v>4</v>
      </c>
      <c r="AF27" s="342">
        <f>PEG!AF34-Power!AF27-'PSE&amp;G'!AF34</f>
        <v>-9</v>
      </c>
      <c r="AG27" s="395">
        <f>PEG!AG34-Power!AG27-'PSE&amp;G'!AG34</f>
        <v>-3</v>
      </c>
      <c r="AH27" s="77">
        <f>PEG!AH34-Power!AH27-'PSE&amp;G'!AH34</f>
        <v>-2</v>
      </c>
      <c r="AI27" s="394">
        <f>PEG!AI34-Power!AI27-'PSE&amp;G'!AI34</f>
        <v>7</v>
      </c>
      <c r="AJ27" s="342">
        <f>PEG!AJ34-Power!AJ27-'PSE&amp;G'!AJ34</f>
        <v>10</v>
      </c>
      <c r="AK27" s="342">
        <f>PEG!AK34-Power!AK27-'PSE&amp;G'!AK34</f>
        <v>9</v>
      </c>
      <c r="AL27" s="395">
        <f>PEG!AL34-Power!AL27-'PSE&amp;G'!AL34</f>
        <v>-6</v>
      </c>
      <c r="AM27" s="77">
        <f>PEG!AM34-Power!AM27-'PSE&amp;G'!AM34</f>
        <v>20</v>
      </c>
      <c r="AN27" s="394">
        <f>PEG!AN34-Power!AN27-'PSE&amp;G'!AN34</f>
        <v>3</v>
      </c>
      <c r="AO27" s="342">
        <f>PEG!AO34-Power!AO27-'PSE&amp;G'!AO34</f>
        <v>4</v>
      </c>
      <c r="AP27" s="342">
        <f>PEG!AP34-Power!AP27-'PSE&amp;G'!AP34</f>
        <v>-46</v>
      </c>
      <c r="AQ27" s="395">
        <f>PEG!AQ34-Power!AQ27-'PSE&amp;G'!AQ34</f>
        <v>-4</v>
      </c>
      <c r="AR27" s="77">
        <f>PEG!AR34-Power!AR27-'PSE&amp;G'!AR34</f>
        <v>-43</v>
      </c>
      <c r="AS27" s="394">
        <f>PEG!AS34-Power!AS27-'PSE&amp;G'!AS34</f>
        <v>-26</v>
      </c>
      <c r="AT27" s="342">
        <f>PEG!AT34-Power!AT27-'PSE&amp;G'!AT34</f>
        <v>-2</v>
      </c>
      <c r="AU27" s="342">
        <f>PEG!AU34-Power!AU27-'PSE&amp;G'!AU34</f>
        <v>-2</v>
      </c>
      <c r="AV27" s="395">
        <f>PEG!AV34-Power!AV27-'PSE&amp;G'!AV34</f>
        <v>-110</v>
      </c>
      <c r="AW27" s="77">
        <f>PEG!AW34-Power!AW27-'PSE&amp;G'!AW34</f>
        <v>-140</v>
      </c>
      <c r="AX27" s="394">
        <f>PEG!AX34-Power!AX27-'PSE&amp;G'!AX34</f>
        <v>-3.9918477215053372</v>
      </c>
      <c r="AY27" s="342">
        <f>PEG!AY34-Power!AY27-'PSE&amp;G'!AY34</f>
        <v>-1.8800506336992413</v>
      </c>
      <c r="AZ27" s="342">
        <f>PEG!AZ34-Power!AZ27-'PSE&amp;G'!AZ34</f>
        <v>-4.5801870549471602</v>
      </c>
      <c r="BA27" s="395">
        <f>PEG!BA34-Power!BA27-'PSE&amp;G'!BA34</f>
        <v>-5.5431277381203898</v>
      </c>
      <c r="BB27" s="77">
        <f>PEG!BB34-Power!BB27-'PSE&amp;G'!BB34</f>
        <v>-15.995213148272057</v>
      </c>
      <c r="BC27" s="394">
        <f>PEG!BC34-Power!BC27-'PSE&amp;G'!BC34</f>
        <v>-3.3097963222668625</v>
      </c>
      <c r="BD27" s="342">
        <f>PEG!BD34-Power!BD27-'PSE&amp;G'!BD34</f>
        <v>-0.72829045242562529</v>
      </c>
      <c r="BE27" s="342">
        <f>PEG!BE34-Power!BE27-'PSE&amp;G'!BE34</f>
        <v>-3.5484940133357696</v>
      </c>
      <c r="BF27" s="395">
        <f>PEG!BF34-Power!BF27-'PSE&amp;G'!BF34</f>
        <v>-1.7456563688615034</v>
      </c>
      <c r="BG27" s="77">
        <f>PEG!BG34-Power!BG27-'PSE&amp;G'!BG34</f>
        <v>-9.3322371568897893</v>
      </c>
      <c r="BH27" s="394">
        <f>PEG!BH34-Power!BH27-'PSE&amp;G'!BH34</f>
        <v>-5.9881919581464871</v>
      </c>
      <c r="BI27" s="342">
        <f>PEG!BI34-Power!BI27-'PSE&amp;G'!BI34</f>
        <v>-1.3551556847361184</v>
      </c>
      <c r="BJ27" s="342">
        <f>PEG!BJ34-Power!BJ27-'PSE&amp;G'!BJ34</f>
        <v>-4.052578846041186</v>
      </c>
      <c r="BK27" s="395">
        <f>PEG!BK34-Power!BK27-'PSE&amp;G'!BK34</f>
        <v>-3.6690668631670746</v>
      </c>
      <c r="BL27" s="77">
        <f>PEG!BL34-Power!BL27-'PSE&amp;G'!BL34</f>
        <v>-15.06499335209088</v>
      </c>
      <c r="BM27" s="394">
        <f>PEG!BM34-Power!BM27-'PSE&amp;G'!BM34</f>
        <v>-8.2981390772225154</v>
      </c>
      <c r="BN27" s="342">
        <f>PEG!BN34-Power!BN27-'PSE&amp;G'!BN34</f>
        <v>-3.7576252978679605</v>
      </c>
      <c r="BO27" s="342">
        <f>PEG!BO34-Power!BO27-'PSE&amp;G'!BO34</f>
        <v>-5.7675689242273478</v>
      </c>
      <c r="BP27" s="395">
        <f>PEG!BP34-Power!BP27-'PSE&amp;G'!BP34</f>
        <v>-1.4581058251526855</v>
      </c>
      <c r="BQ27" s="77">
        <f>PEG!BQ34-Power!BQ27-'PSE&amp;G'!BQ34</f>
        <v>-19.28143912447058</v>
      </c>
    </row>
    <row r="28" spans="3:81" s="2" customFormat="1">
      <c r="C28" s="37"/>
      <c r="E28" s="477"/>
      <c r="F28" s="478"/>
      <c r="G28" s="478"/>
      <c r="H28" s="479"/>
      <c r="I28" s="297"/>
      <c r="J28" s="396"/>
      <c r="K28" s="343"/>
      <c r="L28" s="343"/>
      <c r="M28" s="397"/>
      <c r="N28" s="297"/>
      <c r="O28" s="396"/>
      <c r="P28" s="343"/>
      <c r="Q28" s="343"/>
      <c r="R28" s="397"/>
      <c r="S28" s="297"/>
      <c r="T28" s="396"/>
      <c r="U28" s="343"/>
      <c r="V28" s="343"/>
      <c r="W28" s="397"/>
      <c r="X28" s="297"/>
      <c r="Y28" s="396"/>
      <c r="Z28" s="343"/>
      <c r="AA28" s="343"/>
      <c r="AB28" s="397"/>
      <c r="AC28" s="297"/>
      <c r="AD28" s="396"/>
      <c r="AE28" s="343"/>
      <c r="AF28" s="343"/>
      <c r="AG28" s="397"/>
      <c r="AH28" s="297"/>
      <c r="AI28" s="396"/>
      <c r="AJ28" s="343"/>
      <c r="AK28" s="343"/>
      <c r="AL28" s="397"/>
      <c r="AM28" s="297"/>
      <c r="AN28" s="396"/>
      <c r="AO28" s="343"/>
      <c r="AP28" s="343"/>
      <c r="AQ28" s="397"/>
      <c r="AR28" s="297"/>
      <c r="AS28" s="396"/>
      <c r="AT28" s="343"/>
      <c r="AU28" s="343"/>
      <c r="AV28" s="397"/>
      <c r="AW28" s="297"/>
      <c r="AX28" s="396"/>
      <c r="AY28" s="343"/>
      <c r="AZ28" s="343"/>
      <c r="BA28" s="397"/>
      <c r="BB28" s="297"/>
      <c r="BC28" s="396"/>
      <c r="BD28" s="343"/>
      <c r="BE28" s="343"/>
      <c r="BF28" s="397"/>
      <c r="BG28" s="297"/>
      <c r="BH28" s="396"/>
      <c r="BI28" s="343"/>
      <c r="BJ28" s="343"/>
      <c r="BK28" s="397"/>
      <c r="BL28" s="297"/>
      <c r="BM28" s="396"/>
      <c r="BN28" s="343"/>
      <c r="BO28" s="343"/>
      <c r="BP28" s="397"/>
      <c r="BQ28" s="297"/>
    </row>
    <row r="29" spans="3:81" s="2" customFormat="1">
      <c r="C29" s="49" t="s">
        <v>90</v>
      </c>
      <c r="E29" s="477">
        <f t="shared" ref="E29:R29" si="40">+E25-E27</f>
        <v>6.25</v>
      </c>
      <c r="F29" s="478">
        <f t="shared" si="40"/>
        <v>21.25</v>
      </c>
      <c r="G29" s="478">
        <f t="shared" si="40"/>
        <v>18.25</v>
      </c>
      <c r="H29" s="479">
        <f t="shared" si="40"/>
        <v>31.25</v>
      </c>
      <c r="I29" s="297">
        <f t="shared" si="40"/>
        <v>77</v>
      </c>
      <c r="J29" s="396">
        <f t="shared" si="40"/>
        <v>2.25</v>
      </c>
      <c r="K29" s="343">
        <f t="shared" si="40"/>
        <v>19.25</v>
      </c>
      <c r="L29" s="343">
        <f t="shared" si="40"/>
        <v>28</v>
      </c>
      <c r="M29" s="397">
        <f t="shared" si="40"/>
        <v>13.5</v>
      </c>
      <c r="N29" s="297">
        <f t="shared" si="40"/>
        <v>62.999999999999545</v>
      </c>
      <c r="O29" s="396">
        <f t="shared" si="40"/>
        <v>1</v>
      </c>
      <c r="P29" s="343">
        <f t="shared" si="40"/>
        <v>10</v>
      </c>
      <c r="Q29" s="343">
        <f t="shared" si="40"/>
        <v>-162</v>
      </c>
      <c r="R29" s="397">
        <f t="shared" si="40"/>
        <v>34</v>
      </c>
      <c r="S29" s="297">
        <f t="shared" ref="S29:X29" si="41">+S25-S27</f>
        <v>-117</v>
      </c>
      <c r="T29" s="396">
        <f t="shared" si="41"/>
        <v>43</v>
      </c>
      <c r="U29" s="343">
        <f t="shared" si="41"/>
        <v>6</v>
      </c>
      <c r="V29" s="343">
        <f t="shared" si="41"/>
        <v>11</v>
      </c>
      <c r="W29" s="397">
        <f t="shared" si="41"/>
        <v>40</v>
      </c>
      <c r="X29" s="297">
        <f t="shared" si="41"/>
        <v>99.999999999999773</v>
      </c>
      <c r="Y29" s="396">
        <f t="shared" ref="Y29:AE29" si="42">+Y25-Y27</f>
        <v>4</v>
      </c>
      <c r="Z29" s="343">
        <f t="shared" si="42"/>
        <v>8</v>
      </c>
      <c r="AA29" s="343">
        <f t="shared" si="42"/>
        <v>1</v>
      </c>
      <c r="AB29" s="397">
        <f t="shared" si="42"/>
        <v>-26</v>
      </c>
      <c r="AC29" s="297">
        <f t="shared" si="42"/>
        <v>-13</v>
      </c>
      <c r="AD29" s="396">
        <f t="shared" si="42"/>
        <v>8</v>
      </c>
      <c r="AE29" s="343">
        <f t="shared" si="42"/>
        <v>7</v>
      </c>
      <c r="AF29" s="343">
        <f t="shared" ref="AF29:AK29" si="43">+AF25-AF27</f>
        <v>22</v>
      </c>
      <c r="AG29" s="397">
        <f t="shared" si="43"/>
        <v>-4</v>
      </c>
      <c r="AH29" s="297">
        <f t="shared" si="43"/>
        <v>33</v>
      </c>
      <c r="AI29" s="396">
        <f t="shared" si="43"/>
        <v>9</v>
      </c>
      <c r="AJ29" s="343">
        <f t="shared" si="43"/>
        <v>12</v>
      </c>
      <c r="AK29" s="343">
        <f t="shared" si="43"/>
        <v>11</v>
      </c>
      <c r="AL29" s="397">
        <f t="shared" ref="AL29:AR29" si="44">+AL25-AL27</f>
        <v>4</v>
      </c>
      <c r="AM29" s="297">
        <f t="shared" si="44"/>
        <v>36</v>
      </c>
      <c r="AN29" s="396">
        <f t="shared" si="44"/>
        <v>17</v>
      </c>
      <c r="AO29" s="343">
        <f t="shared" si="44"/>
        <v>19</v>
      </c>
      <c r="AP29" s="343">
        <f t="shared" si="44"/>
        <v>-67</v>
      </c>
      <c r="AQ29" s="397">
        <f t="shared" si="44"/>
        <v>11</v>
      </c>
      <c r="AR29" s="297">
        <f t="shared" si="44"/>
        <v>-20</v>
      </c>
      <c r="AS29" s="396">
        <f t="shared" ref="AS29:AY29" si="45">+AS25-AS27</f>
        <v>-15</v>
      </c>
      <c r="AT29" s="343">
        <f t="shared" si="45"/>
        <v>-2</v>
      </c>
      <c r="AU29" s="343">
        <f t="shared" si="45"/>
        <v>13</v>
      </c>
      <c r="AV29" s="397">
        <f t="shared" si="45"/>
        <v>126</v>
      </c>
      <c r="AW29" s="297">
        <f t="shared" si="45"/>
        <v>121.99999999999977</v>
      </c>
      <c r="AX29" s="396">
        <f t="shared" si="45"/>
        <v>18.166847721505334</v>
      </c>
      <c r="AY29" s="343">
        <f t="shared" si="45"/>
        <v>12.091727390830108</v>
      </c>
      <c r="AZ29" s="343">
        <f>+AZ25-AZ27</f>
        <v>16.832382617876696</v>
      </c>
      <c r="BA29" s="397">
        <f>+BA25-BA27</f>
        <v>-7.5610926989500662</v>
      </c>
      <c r="BB29" s="297">
        <f>+BB25-BB27</f>
        <v>39.529865031262034</v>
      </c>
      <c r="BC29" s="396">
        <f t="shared" ref="BC29:BL29" si="46">+BC25-BC27</f>
        <v>24.533151671686461</v>
      </c>
      <c r="BD29" s="343">
        <f t="shared" si="46"/>
        <v>23.36901141638937</v>
      </c>
      <c r="BE29" s="343">
        <f t="shared" si="46"/>
        <v>9.9880528076894883</v>
      </c>
      <c r="BF29" s="397">
        <f t="shared" si="46"/>
        <v>-6.8494279627928378</v>
      </c>
      <c r="BG29" s="297">
        <f t="shared" si="46"/>
        <v>51.040787932972449</v>
      </c>
      <c r="BH29" s="396">
        <f t="shared" si="46"/>
        <v>16.176674675272281</v>
      </c>
      <c r="BI29" s="343">
        <f t="shared" si="46"/>
        <v>14.533088643797274</v>
      </c>
      <c r="BJ29" s="343">
        <f t="shared" si="46"/>
        <v>10.063605302393789</v>
      </c>
      <c r="BK29" s="397">
        <f t="shared" si="46"/>
        <v>-7.4669917501552909</v>
      </c>
      <c r="BL29" s="297">
        <f t="shared" si="46"/>
        <v>33.306376871308032</v>
      </c>
      <c r="BM29" s="396">
        <f>+BM25-BM27</f>
        <v>9.9481453730414025</v>
      </c>
      <c r="BN29" s="343">
        <f>+BN25-BN27</f>
        <v>14.698502567591767</v>
      </c>
      <c r="BO29" s="343">
        <f>+BO25-BO27</f>
        <v>7.4612683154877679</v>
      </c>
      <c r="BP29" s="397">
        <f>+BP25-BP27</f>
        <v>8.2930120518264623</v>
      </c>
      <c r="BQ29" s="297">
        <f>+BQ25-BQ27</f>
        <v>40.400928307947552</v>
      </c>
    </row>
    <row r="30" spans="3:81" s="2" customFormat="1">
      <c r="C30" s="305" t="s">
        <v>91</v>
      </c>
      <c r="E30" s="406">
        <f>PEG!E41-Power!E34-'PSE&amp;G'!E37</f>
        <v>1</v>
      </c>
      <c r="F30" s="348">
        <f>PEG!F41-Power!F34-'PSE&amp;G'!F37</f>
        <v>1</v>
      </c>
      <c r="G30" s="348">
        <f>PEG!G41-Power!G34-'PSE&amp;G'!G37</f>
        <v>0</v>
      </c>
      <c r="H30" s="405">
        <f>PEG!H41-Power!H34-'PSE&amp;G'!H37</f>
        <v>-43</v>
      </c>
      <c r="I30" s="451">
        <f>SUM(E30:H30)</f>
        <v>-41</v>
      </c>
      <c r="J30" s="406">
        <f>PEG!J41-Power!J34-'PSE&amp;G'!J37</f>
        <v>0</v>
      </c>
      <c r="K30" s="348">
        <f>PEG!K41-Power!K34-'PSE&amp;G'!K37</f>
        <v>5</v>
      </c>
      <c r="L30" s="348">
        <f>PEG!L41-Power!L34-'PSE&amp;G'!L37</f>
        <v>15</v>
      </c>
      <c r="M30" s="405">
        <f>PEG!M41-Power!M34-'PSE&amp;G'!M37</f>
        <v>-7</v>
      </c>
      <c r="N30" s="451">
        <f>SUM(J30:M30)</f>
        <v>13</v>
      </c>
      <c r="O30" s="406">
        <f>PEG!O41-Power!O34-'PSE&amp;G'!O37</f>
        <v>2</v>
      </c>
      <c r="P30" s="348">
        <f>PEG!P41-Power!P34-'PSE&amp;G'!P37</f>
        <v>0</v>
      </c>
      <c r="Q30" s="348">
        <f>PEG!Q41-Power!Q34-'PSE&amp;G'!Q37</f>
        <v>170</v>
      </c>
      <c r="R30" s="405">
        <f>PEG!R41-Power!R34-'PSE&amp;G'!R37</f>
        <v>-32</v>
      </c>
      <c r="S30" s="451">
        <f>SUM(O30:R30)</f>
        <v>140</v>
      </c>
      <c r="T30" s="406">
        <f>PEG!T41-Power!T34-'PSE&amp;G'!T37</f>
        <v>-4</v>
      </c>
      <c r="U30" s="348">
        <f>PEG!U41-Power!U34-'PSE&amp;G'!U37</f>
        <v>-2</v>
      </c>
      <c r="V30" s="348">
        <f>PEG!V41-Power!V34-'PSE&amp;G'!V37</f>
        <v>-1</v>
      </c>
      <c r="W30" s="405">
        <f>PEG!W41-Power!W34-'PSE&amp;G'!W37</f>
        <v>-29</v>
      </c>
      <c r="X30" s="451">
        <f>SUM(T30:W30)</f>
        <v>-36</v>
      </c>
      <c r="Y30" s="406">
        <f>PEG!Y41-Power!Y34-'PSE&amp;G'!Y37</f>
        <v>0</v>
      </c>
      <c r="Z30" s="348">
        <f>PEG!Z41-Power!Z34-'PSE&amp;G'!Z37</f>
        <v>0</v>
      </c>
      <c r="AA30" s="342">
        <f>PEG!AA41-Power!AA34-'PSE&amp;G'!AA37</f>
        <v>0</v>
      </c>
      <c r="AB30" s="395">
        <f>PEG!AB41-Power!AB34-'PSE&amp;G'!AB37</f>
        <v>0</v>
      </c>
      <c r="AC30" s="77">
        <f>SUM(Y30:AB30)</f>
        <v>0</v>
      </c>
      <c r="AD30" s="406">
        <f>PEG!AD41-Power!AD34-'PSE&amp;G'!AD37</f>
        <v>0</v>
      </c>
      <c r="AE30" s="348">
        <f>PEG!AE41-Power!AE34-'PSE&amp;G'!AE37</f>
        <v>0</v>
      </c>
      <c r="AF30" s="348">
        <f>PEG!AF41-Power!AF34-'PSE&amp;G'!AF37</f>
        <v>0</v>
      </c>
      <c r="AG30" s="395">
        <f>PEG!AG41-Power!AG34-'PSE&amp;G'!AG37</f>
        <v>0</v>
      </c>
      <c r="AH30" s="77">
        <f>SUM(AD30:AG30)</f>
        <v>0</v>
      </c>
      <c r="AI30" s="406">
        <f>PEG!AI41-Power!AI34-'PSE&amp;G'!AI37</f>
        <v>0</v>
      </c>
      <c r="AJ30" s="348">
        <f>PEG!AJ41-Power!AJ34-'PSE&amp;G'!AJ37</f>
        <v>0</v>
      </c>
      <c r="AK30" s="348">
        <f>PEG!AK41-Power!AK34-'PSE&amp;G'!AK37</f>
        <v>0</v>
      </c>
      <c r="AL30" s="395">
        <f>PEG!AL41-Power!AL34-'PSE&amp;G'!AL37</f>
        <v>0</v>
      </c>
      <c r="AM30" s="77">
        <f>SUM(AI30:AL30)</f>
        <v>0</v>
      </c>
      <c r="AN30" s="406">
        <f>PEG!AN41-Power!AN34-'PSE&amp;G'!AN37</f>
        <v>0</v>
      </c>
      <c r="AO30" s="348">
        <f>PEG!AO41-Power!AO34-'PSE&amp;G'!AO37</f>
        <v>0</v>
      </c>
      <c r="AP30" s="348">
        <f>PEG!AP41-Power!AP34-'PSE&amp;G'!AP37</f>
        <v>86</v>
      </c>
      <c r="AQ30" s="395">
        <f>PEG!AQ41-Power!AQ34-'PSE&amp;G'!AQ37</f>
        <v>6</v>
      </c>
      <c r="AR30" s="77">
        <f>SUM(AN30:AQ30)</f>
        <v>92</v>
      </c>
      <c r="AS30" s="406">
        <f>PEG!AS41-Power!AS34-'PSE&amp;G'!AS37</f>
        <v>32</v>
      </c>
      <c r="AT30" s="348">
        <f>PEG!AT41-Power!AT34-'PSE&amp;G'!AT37</f>
        <v>13</v>
      </c>
      <c r="AU30" s="348">
        <f>PEG!AU41-Power!AU34-'PSE&amp;G'!AU37</f>
        <v>0</v>
      </c>
      <c r="AV30" s="395">
        <f>PEG!AV41-Power!AV34-'PSE&amp;G'!AV37</f>
        <v>-147</v>
      </c>
      <c r="AW30" s="77">
        <f>SUM(AS30:AV30)</f>
        <v>-102</v>
      </c>
      <c r="AX30" s="398">
        <v>0</v>
      </c>
      <c r="AY30" s="344">
        <v>0</v>
      </c>
      <c r="AZ30" s="344">
        <v>0</v>
      </c>
      <c r="BA30" s="399">
        <v>0</v>
      </c>
      <c r="BB30" s="451">
        <f>SUM(AX30:BA30)</f>
        <v>0</v>
      </c>
      <c r="BC30" s="398">
        <v>0</v>
      </c>
      <c r="BD30" s="344">
        <v>0</v>
      </c>
      <c r="BE30" s="344">
        <v>0</v>
      </c>
      <c r="BF30" s="399">
        <v>0</v>
      </c>
      <c r="BG30" s="451">
        <f>SUM(BC30:BF30)</f>
        <v>0</v>
      </c>
      <c r="BH30" s="398">
        <v>0</v>
      </c>
      <c r="BI30" s="344">
        <v>0</v>
      </c>
      <c r="BJ30" s="344">
        <v>0</v>
      </c>
      <c r="BK30" s="399">
        <v>0</v>
      </c>
      <c r="BL30" s="451">
        <f>SUM(BH30:BK30)</f>
        <v>0</v>
      </c>
      <c r="BM30" s="398">
        <v>0</v>
      </c>
      <c r="BN30" s="344">
        <v>0</v>
      </c>
      <c r="BO30" s="344">
        <v>0</v>
      </c>
      <c r="BP30" s="399">
        <v>0</v>
      </c>
      <c r="BQ30" s="451">
        <f>SUM(BM30:BP30)</f>
        <v>0</v>
      </c>
    </row>
    <row r="31" spans="3:81" s="2" customFormat="1">
      <c r="C31" s="49" t="s">
        <v>421</v>
      </c>
      <c r="E31" s="477">
        <f t="shared" ref="E31:Z31" si="47">E29+E30</f>
        <v>7.25</v>
      </c>
      <c r="F31" s="478">
        <f t="shared" si="47"/>
        <v>22.25</v>
      </c>
      <c r="G31" s="478">
        <f t="shared" si="47"/>
        <v>18.25</v>
      </c>
      <c r="H31" s="479">
        <f t="shared" si="47"/>
        <v>-11.75</v>
      </c>
      <c r="I31" s="297">
        <f t="shared" si="47"/>
        <v>36</v>
      </c>
      <c r="J31" s="396">
        <f t="shared" si="47"/>
        <v>2.25</v>
      </c>
      <c r="K31" s="343">
        <f t="shared" si="47"/>
        <v>24.25</v>
      </c>
      <c r="L31" s="343">
        <f t="shared" si="47"/>
        <v>43</v>
      </c>
      <c r="M31" s="397">
        <f t="shared" si="47"/>
        <v>6.5</v>
      </c>
      <c r="N31" s="297">
        <f t="shared" si="47"/>
        <v>75.999999999999545</v>
      </c>
      <c r="O31" s="396">
        <f t="shared" si="47"/>
        <v>3</v>
      </c>
      <c r="P31" s="343">
        <f t="shared" si="47"/>
        <v>10</v>
      </c>
      <c r="Q31" s="343">
        <f t="shared" si="47"/>
        <v>8</v>
      </c>
      <c r="R31" s="397">
        <f t="shared" si="47"/>
        <v>2</v>
      </c>
      <c r="S31" s="297">
        <f t="shared" si="47"/>
        <v>23</v>
      </c>
      <c r="T31" s="396">
        <f t="shared" si="47"/>
        <v>39</v>
      </c>
      <c r="U31" s="343">
        <f t="shared" si="47"/>
        <v>4</v>
      </c>
      <c r="V31" s="343">
        <f t="shared" si="47"/>
        <v>10</v>
      </c>
      <c r="W31" s="397">
        <f t="shared" si="47"/>
        <v>11</v>
      </c>
      <c r="X31" s="297">
        <f t="shared" si="47"/>
        <v>63.999999999999773</v>
      </c>
      <c r="Y31" s="396">
        <f t="shared" si="47"/>
        <v>4</v>
      </c>
      <c r="Z31" s="343">
        <f t="shared" si="47"/>
        <v>8</v>
      </c>
      <c r="AA31" s="343">
        <f t="shared" ref="AA31:AI31" si="48">AA29+AA30</f>
        <v>1</v>
      </c>
      <c r="AB31" s="397">
        <f t="shared" si="48"/>
        <v>-26</v>
      </c>
      <c r="AC31" s="297">
        <f t="shared" si="48"/>
        <v>-13</v>
      </c>
      <c r="AD31" s="396">
        <f t="shared" si="48"/>
        <v>8</v>
      </c>
      <c r="AE31" s="343">
        <f t="shared" si="48"/>
        <v>7</v>
      </c>
      <c r="AF31" s="343">
        <f t="shared" si="48"/>
        <v>22</v>
      </c>
      <c r="AG31" s="397">
        <f t="shared" si="48"/>
        <v>-4</v>
      </c>
      <c r="AH31" s="297">
        <f t="shared" si="48"/>
        <v>33</v>
      </c>
      <c r="AI31" s="396">
        <f t="shared" si="48"/>
        <v>9</v>
      </c>
      <c r="AJ31" s="343">
        <f t="shared" ref="AJ31:AO31" si="49">AJ29+AJ30</f>
        <v>12</v>
      </c>
      <c r="AK31" s="343">
        <f t="shared" si="49"/>
        <v>11</v>
      </c>
      <c r="AL31" s="397">
        <f t="shared" si="49"/>
        <v>4</v>
      </c>
      <c r="AM31" s="297">
        <f t="shared" si="49"/>
        <v>36</v>
      </c>
      <c r="AN31" s="396">
        <f t="shared" si="49"/>
        <v>17</v>
      </c>
      <c r="AO31" s="343">
        <f t="shared" si="49"/>
        <v>19</v>
      </c>
      <c r="AP31" s="343">
        <f t="shared" ref="AP31:AU31" si="50">AP29+AP30</f>
        <v>19</v>
      </c>
      <c r="AQ31" s="397">
        <f t="shared" si="50"/>
        <v>17</v>
      </c>
      <c r="AR31" s="297">
        <f t="shared" si="50"/>
        <v>72</v>
      </c>
      <c r="AS31" s="396">
        <f t="shared" si="50"/>
        <v>17</v>
      </c>
      <c r="AT31" s="343">
        <f t="shared" si="50"/>
        <v>11</v>
      </c>
      <c r="AU31" s="343">
        <f t="shared" si="50"/>
        <v>13</v>
      </c>
      <c r="AV31" s="397">
        <f t="shared" ref="AV31:BB31" si="51">AV29+AV30</f>
        <v>-21</v>
      </c>
      <c r="AW31" s="297">
        <f t="shared" si="51"/>
        <v>19.999999999999773</v>
      </c>
      <c r="AX31" s="396">
        <f t="shared" si="51"/>
        <v>18.166847721505334</v>
      </c>
      <c r="AY31" s="343">
        <f t="shared" si="51"/>
        <v>12.091727390830108</v>
      </c>
      <c r="AZ31" s="343">
        <f t="shared" si="51"/>
        <v>16.832382617876696</v>
      </c>
      <c r="BA31" s="397">
        <f>BA29+BA30</f>
        <v>-7.5610926989500662</v>
      </c>
      <c r="BB31" s="297">
        <f t="shared" si="51"/>
        <v>39.529865031262034</v>
      </c>
      <c r="BC31" s="396">
        <f t="shared" ref="BC31:BL31" si="52">BC29+BC30</f>
        <v>24.533151671686461</v>
      </c>
      <c r="BD31" s="343">
        <f t="shared" si="52"/>
        <v>23.36901141638937</v>
      </c>
      <c r="BE31" s="343">
        <f t="shared" si="52"/>
        <v>9.9880528076894883</v>
      </c>
      <c r="BF31" s="397">
        <f t="shared" si="52"/>
        <v>-6.8494279627928378</v>
      </c>
      <c r="BG31" s="297">
        <f t="shared" si="52"/>
        <v>51.040787932972449</v>
      </c>
      <c r="BH31" s="396">
        <f t="shared" si="52"/>
        <v>16.176674675272281</v>
      </c>
      <c r="BI31" s="343">
        <f t="shared" si="52"/>
        <v>14.533088643797274</v>
      </c>
      <c r="BJ31" s="343">
        <f t="shared" si="52"/>
        <v>10.063605302393789</v>
      </c>
      <c r="BK31" s="397">
        <f t="shared" si="52"/>
        <v>-7.4669917501552909</v>
      </c>
      <c r="BL31" s="297">
        <f t="shared" si="52"/>
        <v>33.306376871308032</v>
      </c>
      <c r="BM31" s="396">
        <f>BM29+BM30</f>
        <v>9.9481453730414025</v>
      </c>
      <c r="BN31" s="343">
        <f>BN29+BN30</f>
        <v>14.698502567591767</v>
      </c>
      <c r="BO31" s="343">
        <f>BO29+BO30</f>
        <v>7.4612683154877679</v>
      </c>
      <c r="BP31" s="397">
        <f>BP29+BP30</f>
        <v>8.2930120518264623</v>
      </c>
      <c r="BQ31" s="297">
        <f>BQ29+BQ30</f>
        <v>40.400928307947552</v>
      </c>
    </row>
    <row r="32" spans="3:81" s="2" customFormat="1">
      <c r="C32" s="49"/>
      <c r="E32" s="477"/>
      <c r="F32" s="478"/>
      <c r="G32" s="478"/>
      <c r="H32" s="479"/>
      <c r="I32" s="297"/>
      <c r="J32" s="396"/>
      <c r="K32" s="343"/>
      <c r="L32" s="343"/>
      <c r="M32" s="397"/>
      <c r="N32" s="297"/>
      <c r="O32" s="396"/>
      <c r="P32" s="343"/>
      <c r="Q32" s="343"/>
      <c r="R32" s="397"/>
      <c r="S32" s="297"/>
      <c r="T32" s="396"/>
      <c r="U32" s="343"/>
      <c r="V32" s="343"/>
      <c r="W32" s="397"/>
      <c r="X32" s="297"/>
      <c r="Y32" s="396"/>
      <c r="Z32" s="343"/>
      <c r="AA32" s="343"/>
      <c r="AB32" s="397"/>
      <c r="AC32" s="297"/>
      <c r="AD32" s="396"/>
      <c r="AE32" s="343"/>
      <c r="AF32" s="343"/>
      <c r="AG32" s="397"/>
      <c r="AH32" s="297"/>
      <c r="AI32" s="396"/>
      <c r="AJ32" s="343"/>
      <c r="AK32" s="343"/>
      <c r="AL32" s="397"/>
      <c r="AM32" s="297"/>
      <c r="AN32" s="396"/>
      <c r="AO32" s="343"/>
      <c r="AP32" s="343"/>
      <c r="AQ32" s="397"/>
      <c r="AR32" s="297"/>
      <c r="AS32" s="396"/>
      <c r="AT32" s="343"/>
      <c r="AU32" s="343"/>
      <c r="AV32" s="397"/>
      <c r="AW32" s="297"/>
      <c r="AX32" s="396"/>
      <c r="AY32" s="343"/>
      <c r="AZ32" s="343"/>
      <c r="BA32" s="397"/>
      <c r="BB32" s="297"/>
      <c r="BC32" s="396"/>
      <c r="BD32" s="343"/>
      <c r="BE32" s="343"/>
      <c r="BF32" s="397"/>
      <c r="BG32" s="297"/>
      <c r="BH32" s="396"/>
      <c r="BI32" s="343"/>
      <c r="BJ32" s="343"/>
      <c r="BK32" s="397"/>
      <c r="BL32" s="297"/>
      <c r="BM32" s="396"/>
      <c r="BN32" s="343"/>
      <c r="BO32" s="343"/>
      <c r="BP32" s="397"/>
      <c r="BQ32" s="297"/>
    </row>
    <row r="33" spans="2:69" s="2" customFormat="1">
      <c r="C33" s="37" t="s">
        <v>400</v>
      </c>
      <c r="D33" s="37"/>
      <c r="E33" s="472">
        <f>+PEG!E45</f>
        <v>505.98599999999999</v>
      </c>
      <c r="F33" s="473">
        <f>+PEG!F45</f>
        <v>505.98200000000003</v>
      </c>
      <c r="G33" s="473">
        <f>+PEG!G45</f>
        <v>505.98200000000003</v>
      </c>
      <c r="H33" s="474">
        <f>+PEG!H45</f>
        <v>505.98700000000002</v>
      </c>
      <c r="I33" s="476">
        <f>+PEG!I45</f>
        <v>507.1035</v>
      </c>
      <c r="J33" s="472">
        <f>+PEG!J45</f>
        <v>505.95</v>
      </c>
      <c r="K33" s="473">
        <f>+PEG!K45</f>
        <v>506.10899999999998</v>
      </c>
      <c r="L33" s="473">
        <f>+PEG!L45</f>
        <v>505.94499999999999</v>
      </c>
      <c r="M33" s="474">
        <f>+PEG!M45</f>
        <v>505.93799999999999</v>
      </c>
      <c r="N33" s="476">
        <f>+PEG!N45</f>
        <v>507.04500000000002</v>
      </c>
      <c r="O33" s="472">
        <f>+PEG!O45</f>
        <v>505.97899999999998</v>
      </c>
      <c r="P33" s="473">
        <f>+PEG!P45</f>
        <v>505.988</v>
      </c>
      <c r="Q33" s="473">
        <f>+PEG!Q45</f>
        <v>505.90899999999999</v>
      </c>
      <c r="R33" s="474">
        <f>+PEG!R45</f>
        <v>505.92</v>
      </c>
      <c r="S33" s="476">
        <f>+PEG!S45</f>
        <v>505.94900000000001</v>
      </c>
      <c r="T33" s="472">
        <f>+PEG!T45</f>
        <v>506.01</v>
      </c>
      <c r="U33" s="473">
        <f>+PEG!U45</f>
        <v>505.90300000000002</v>
      </c>
      <c r="V33" s="473">
        <f>+PEG!V45</f>
        <v>505.91399999999999</v>
      </c>
      <c r="W33" s="474">
        <f>+PEG!W45</f>
        <v>505.90600000000001</v>
      </c>
      <c r="X33" s="476">
        <f>+PEG!X45</f>
        <v>505.93299999999999</v>
      </c>
      <c r="Y33" s="472">
        <f>+PEG!Y45</f>
        <v>505.94200000000001</v>
      </c>
      <c r="Z33" s="473">
        <f>+PEG!Z45</f>
        <v>505.9</v>
      </c>
      <c r="AA33" s="473">
        <f>+PEG!AA45</f>
        <v>505.858</v>
      </c>
      <c r="AB33" s="474">
        <f>+PEG!AB45</f>
        <v>505.85899999999998</v>
      </c>
      <c r="AC33" s="476">
        <f>+PEG!AC45</f>
        <v>505.88900000000001</v>
      </c>
      <c r="AD33" s="472">
        <f>+PEG!AD45</f>
        <v>506.077</v>
      </c>
      <c r="AE33" s="473">
        <f>+PEG!AE45</f>
        <v>505.875</v>
      </c>
      <c r="AF33" s="473">
        <f>+PEG!AF45</f>
        <v>505.86200000000002</v>
      </c>
      <c r="AG33" s="474">
        <f>+PEG!AG45</f>
        <v>506</v>
      </c>
      <c r="AH33" s="476">
        <f>+PEG!AH45</f>
        <v>506</v>
      </c>
      <c r="AI33" s="472">
        <f>+PEG!AI45</f>
        <v>506.077</v>
      </c>
      <c r="AJ33" s="473">
        <f>+PEG!AJ45</f>
        <v>506</v>
      </c>
      <c r="AK33" s="473">
        <f>+PEG!AK45</f>
        <v>505</v>
      </c>
      <c r="AL33" s="474">
        <f>+PEG!AL45</f>
        <v>505</v>
      </c>
      <c r="AM33" s="476">
        <f>+PEG!AM45</f>
        <v>505</v>
      </c>
      <c r="AN33" s="472">
        <f>+PEG!AN45</f>
        <v>505</v>
      </c>
      <c r="AO33" s="473">
        <f>+PEG!AO45</f>
        <v>505</v>
      </c>
      <c r="AP33" s="473">
        <f>+PEG!AP45</f>
        <v>505</v>
      </c>
      <c r="AQ33" s="474">
        <f>+PEG!AQ45</f>
        <v>505</v>
      </c>
      <c r="AR33" s="476">
        <f>+PEG!AR45</f>
        <v>505</v>
      </c>
      <c r="AS33" s="472">
        <f>+PEG!AS45</f>
        <v>505</v>
      </c>
      <c r="AT33" s="473">
        <f>+PEG!AT45</f>
        <v>505</v>
      </c>
      <c r="AU33" s="473">
        <f>+PEG!AU45</f>
        <v>505</v>
      </c>
      <c r="AV33" s="474">
        <f>+PEG!AV45</f>
        <v>505</v>
      </c>
      <c r="AW33" s="476">
        <f>+PEG!AW45</f>
        <v>505</v>
      </c>
      <c r="AX33" s="472">
        <f>+PEG!AX45</f>
        <v>505</v>
      </c>
      <c r="AY33" s="473">
        <f>+PEG!AY45</f>
        <v>505</v>
      </c>
      <c r="AZ33" s="473">
        <f>+PEG!AZ45</f>
        <v>505</v>
      </c>
      <c r="BA33" s="474">
        <f>+PEG!BA45</f>
        <v>505</v>
      </c>
      <c r="BB33" s="476">
        <f>+PEG!BB45</f>
        <v>505</v>
      </c>
      <c r="BC33" s="472">
        <f>+PEG!BC45</f>
        <v>505</v>
      </c>
      <c r="BD33" s="473">
        <f>+PEG!BD45</f>
        <v>505</v>
      </c>
      <c r="BE33" s="473">
        <f>+PEG!BE45</f>
        <v>505</v>
      </c>
      <c r="BF33" s="474">
        <f>+PEG!BF45</f>
        <v>505</v>
      </c>
      <c r="BG33" s="476">
        <f>+PEG!BG45</f>
        <v>505</v>
      </c>
      <c r="BH33" s="472">
        <f>+PEG!BH45</f>
        <v>505</v>
      </c>
      <c r="BI33" s="473">
        <f>+PEG!BI45</f>
        <v>505</v>
      </c>
      <c r="BJ33" s="473">
        <f>+PEG!BJ45</f>
        <v>505</v>
      </c>
      <c r="BK33" s="474">
        <f>+PEG!BK45</f>
        <v>505</v>
      </c>
      <c r="BL33" s="476">
        <f>+PEG!BL45</f>
        <v>505</v>
      </c>
      <c r="BM33" s="472">
        <f>+PEG!BM45</f>
        <v>505</v>
      </c>
      <c r="BN33" s="473">
        <f>+PEG!BN45</f>
        <v>505</v>
      </c>
      <c r="BO33" s="473">
        <f>+PEG!BO45</f>
        <v>505</v>
      </c>
      <c r="BP33" s="474">
        <f>+PEG!BP45</f>
        <v>505</v>
      </c>
      <c r="BQ33" s="476">
        <f>+PEG!BQ45</f>
        <v>505</v>
      </c>
    </row>
    <row r="34" spans="2:69" s="2" customFormat="1">
      <c r="C34" s="37" t="s">
        <v>401</v>
      </c>
      <c r="D34" s="37"/>
      <c r="E34" s="472">
        <f>+PEG!E46</f>
        <v>506.548</v>
      </c>
      <c r="F34" s="473">
        <f>+PEG!F46</f>
        <v>507.24200000000002</v>
      </c>
      <c r="G34" s="473">
        <f>+PEG!G46</f>
        <v>507.24200000000002</v>
      </c>
      <c r="H34" s="474">
        <f>+PEG!H46</f>
        <v>507.38200000000001</v>
      </c>
      <c r="I34" s="476">
        <f>PEG!I46</f>
        <v>507.1035</v>
      </c>
      <c r="J34" s="472">
        <f>+PEG!J46</f>
        <v>507.14699999999999</v>
      </c>
      <c r="K34" s="473">
        <f>+PEG!K46</f>
        <v>507.09100000000001</v>
      </c>
      <c r="L34" s="473">
        <f>+PEG!L46</f>
        <v>506.96800000000002</v>
      </c>
      <c r="M34" s="474">
        <f>+PEG!M46</f>
        <v>506.97399999999999</v>
      </c>
      <c r="N34" s="476">
        <f>PEG!N46</f>
        <v>507.04500000000002</v>
      </c>
      <c r="O34" s="472">
        <f>+PEG!O46</f>
        <v>507.13200000000001</v>
      </c>
      <c r="P34" s="473">
        <f>+PEG!P46</f>
        <v>506.76100000000002</v>
      </c>
      <c r="Q34" s="473">
        <f>+PEG!Q46</f>
        <v>506.99900000000002</v>
      </c>
      <c r="R34" s="474">
        <f>+PEG!R46</f>
        <v>507.03800000000001</v>
      </c>
      <c r="S34" s="476">
        <f>PEG!S46</f>
        <v>506.98200000000003</v>
      </c>
      <c r="T34" s="472">
        <f>+PEG!T46</f>
        <v>507.029</v>
      </c>
      <c r="U34" s="473">
        <f>+PEG!U46</f>
        <v>506.96899999999999</v>
      </c>
      <c r="V34" s="473">
        <f>+PEG!V46</f>
        <v>507.11099999999999</v>
      </c>
      <c r="W34" s="474">
        <f>+PEG!W46</f>
        <v>507.23099999999999</v>
      </c>
      <c r="X34" s="476">
        <f>PEG!X46</f>
        <v>507.08600000000001</v>
      </c>
      <c r="Y34" s="472">
        <f>+PEG!Y46</f>
        <v>507.22</v>
      </c>
      <c r="Z34" s="473">
        <f>+PEG!Z46</f>
        <v>507.38099999999997</v>
      </c>
      <c r="AA34" s="473">
        <f>+PEG!AA46</f>
        <v>507.69400000000002</v>
      </c>
      <c r="AB34" s="474">
        <f>+PEG!AB46</f>
        <v>507.79599999999999</v>
      </c>
      <c r="AC34" s="476">
        <f>PEG!AC46</f>
        <v>507.52499999999998</v>
      </c>
      <c r="AD34" s="472">
        <f>+PEG!AD46</f>
        <v>507.83100000000002</v>
      </c>
      <c r="AE34" s="473">
        <f>+PEG!AE46</f>
        <v>508.05599999999998</v>
      </c>
      <c r="AF34" s="473">
        <f>+PEG!AF46</f>
        <v>507.42200000000003</v>
      </c>
      <c r="AG34" s="474">
        <f>+PEG!AG46</f>
        <v>508</v>
      </c>
      <c r="AH34" s="476">
        <f>PEG!AH46</f>
        <v>508</v>
      </c>
      <c r="AI34" s="472">
        <f>+PEG!AI46</f>
        <v>507.83100000000002</v>
      </c>
      <c r="AJ34" s="473">
        <f>+PEG!AJ46</f>
        <v>508</v>
      </c>
      <c r="AK34" s="473">
        <f>+PEG!AK46</f>
        <v>508</v>
      </c>
      <c r="AL34" s="474">
        <f>+PEG!AL46</f>
        <v>508</v>
      </c>
      <c r="AM34" s="476">
        <f>PEG!AM46</f>
        <v>508</v>
      </c>
      <c r="AN34" s="472">
        <f>+PEG!AN46</f>
        <v>508</v>
      </c>
      <c r="AO34" s="473">
        <f>+PEG!AO46</f>
        <v>508</v>
      </c>
      <c r="AP34" s="473">
        <f>+PEG!AP46</f>
        <v>508</v>
      </c>
      <c r="AQ34" s="474">
        <f>+PEG!AQ46</f>
        <v>508</v>
      </c>
      <c r="AR34" s="476">
        <f>PEG!AR46</f>
        <v>508</v>
      </c>
      <c r="AS34" s="472">
        <f>+PEG!AS46</f>
        <v>508</v>
      </c>
      <c r="AT34" s="473">
        <f>+PEG!AT46</f>
        <v>507</v>
      </c>
      <c r="AU34" s="473">
        <f>+PEG!AU46</f>
        <v>507</v>
      </c>
      <c r="AV34" s="474">
        <f>+PEG!AV46</f>
        <v>508</v>
      </c>
      <c r="AW34" s="476">
        <f>PEG!AW46</f>
        <v>507</v>
      </c>
      <c r="AX34" s="472">
        <f>+PEG!AX46</f>
        <v>508</v>
      </c>
      <c r="AY34" s="473">
        <f>+PEG!AY46</f>
        <v>508</v>
      </c>
      <c r="AZ34" s="473">
        <f>+PEG!AZ46</f>
        <v>508</v>
      </c>
      <c r="BA34" s="474">
        <f>+PEG!BA46</f>
        <v>508</v>
      </c>
      <c r="BB34" s="476">
        <f>PEG!BB46</f>
        <v>508</v>
      </c>
      <c r="BC34" s="472">
        <f>+PEG!BC46</f>
        <v>508</v>
      </c>
      <c r="BD34" s="473">
        <f>+PEG!BD46</f>
        <v>508</v>
      </c>
      <c r="BE34" s="473">
        <f>+PEG!BE46</f>
        <v>508</v>
      </c>
      <c r="BF34" s="474">
        <f>+PEG!BF46</f>
        <v>508</v>
      </c>
      <c r="BG34" s="476">
        <f>PEG!BG46</f>
        <v>508</v>
      </c>
      <c r="BH34" s="472">
        <f>+PEG!BH46</f>
        <v>508</v>
      </c>
      <c r="BI34" s="473">
        <f>+PEG!BI46</f>
        <v>508</v>
      </c>
      <c r="BJ34" s="473">
        <f>+PEG!BJ46</f>
        <v>508</v>
      </c>
      <c r="BK34" s="474">
        <f>+PEG!BK46</f>
        <v>508</v>
      </c>
      <c r="BL34" s="476">
        <f>PEG!BL46</f>
        <v>508</v>
      </c>
      <c r="BM34" s="472">
        <f>+PEG!BM46</f>
        <v>508</v>
      </c>
      <c r="BN34" s="473">
        <f>+PEG!BN46</f>
        <v>508</v>
      </c>
      <c r="BO34" s="473">
        <f>+PEG!BO46</f>
        <v>508</v>
      </c>
      <c r="BP34" s="474">
        <f>+PEG!BP46</f>
        <v>508</v>
      </c>
      <c r="BQ34" s="476">
        <f>PEG!BQ46</f>
        <v>508</v>
      </c>
    </row>
    <row r="35" spans="2:69" s="2" customFormat="1">
      <c r="C35" s="37"/>
      <c r="D35" s="37"/>
      <c r="E35" s="472"/>
      <c r="F35" s="473"/>
      <c r="G35" s="473"/>
      <c r="H35" s="474"/>
      <c r="I35" s="476"/>
      <c r="J35" s="472"/>
      <c r="K35" s="473"/>
      <c r="L35" s="473"/>
      <c r="M35" s="474"/>
      <c r="N35" s="476"/>
      <c r="O35" s="472"/>
      <c r="P35" s="473"/>
      <c r="Q35" s="473"/>
      <c r="R35" s="474"/>
      <c r="S35" s="476"/>
      <c r="T35" s="472"/>
      <c r="U35" s="473"/>
      <c r="V35" s="473"/>
      <c r="W35" s="474"/>
      <c r="X35" s="476"/>
      <c r="Y35" s="472"/>
      <c r="Z35" s="473"/>
      <c r="AA35" s="473"/>
      <c r="AB35" s="474"/>
      <c r="AC35" s="476"/>
      <c r="AD35" s="472"/>
      <c r="AE35" s="473"/>
      <c r="AF35" s="473"/>
      <c r="AG35" s="474"/>
      <c r="AH35" s="476"/>
      <c r="AI35" s="472"/>
      <c r="AJ35" s="473"/>
      <c r="AK35" s="473"/>
      <c r="AL35" s="474"/>
      <c r="AM35" s="476"/>
      <c r="AN35" s="472"/>
      <c r="AO35" s="473"/>
      <c r="AP35" s="473"/>
      <c r="AQ35" s="474"/>
      <c r="AR35" s="476"/>
      <c r="AS35" s="472"/>
      <c r="AT35" s="473"/>
      <c r="AU35" s="473"/>
      <c r="AV35" s="474"/>
      <c r="AW35" s="476"/>
      <c r="AX35" s="472"/>
      <c r="AY35" s="473"/>
      <c r="AZ35" s="473"/>
      <c r="BA35" s="474"/>
      <c r="BB35" s="476"/>
      <c r="BC35" s="472"/>
      <c r="BD35" s="473"/>
      <c r="BE35" s="473"/>
      <c r="BF35" s="474"/>
      <c r="BG35" s="476"/>
      <c r="BH35" s="472"/>
      <c r="BI35" s="473"/>
      <c r="BJ35" s="473"/>
      <c r="BK35" s="474"/>
      <c r="BL35" s="476"/>
      <c r="BM35" s="472"/>
      <c r="BN35" s="473"/>
      <c r="BO35" s="473"/>
      <c r="BP35" s="474"/>
      <c r="BQ35" s="476"/>
    </row>
    <row r="36" spans="2:69" s="2" customFormat="1">
      <c r="C36" s="37" t="s">
        <v>522</v>
      </c>
      <c r="D36" s="37"/>
      <c r="E36" s="493">
        <f t="shared" ref="E36:U36" si="53">E29/E34</f>
        <v>1.2338416102718795E-2</v>
      </c>
      <c r="F36" s="494">
        <f t="shared" si="53"/>
        <v>4.1893218621486393E-2</v>
      </c>
      <c r="G36" s="494">
        <f t="shared" si="53"/>
        <v>3.5978881874923603E-2</v>
      </c>
      <c r="H36" s="495">
        <f t="shared" si="53"/>
        <v>6.1590675270309155E-2</v>
      </c>
      <c r="I36" s="496">
        <f t="shared" si="53"/>
        <v>0.15184276976987932</v>
      </c>
      <c r="J36" s="493">
        <f t="shared" si="53"/>
        <v>4.4365834757969583E-3</v>
      </c>
      <c r="K36" s="494">
        <f t="shared" si="53"/>
        <v>3.7961628189023273E-2</v>
      </c>
      <c r="L36" s="494">
        <f t="shared" si="53"/>
        <v>5.5230310394344416E-2</v>
      </c>
      <c r="M36" s="495">
        <f t="shared" si="53"/>
        <v>2.6628584503347312E-2</v>
      </c>
      <c r="N36" s="496">
        <f t="shared" si="53"/>
        <v>0.12424932698281127</v>
      </c>
      <c r="O36" s="493">
        <f t="shared" si="53"/>
        <v>1.9718732006657044E-3</v>
      </c>
      <c r="P36" s="494">
        <f t="shared" si="53"/>
        <v>1.97331681009391E-2</v>
      </c>
      <c r="Q36" s="494">
        <f t="shared" si="53"/>
        <v>-0.31952725745021193</v>
      </c>
      <c r="R36" s="495">
        <f t="shared" si="53"/>
        <v>6.7056118081879459E-2</v>
      </c>
      <c r="S36" s="496">
        <f t="shared" si="53"/>
        <v>-0.23077742405055798</v>
      </c>
      <c r="T36" s="493">
        <f t="shared" si="53"/>
        <v>8.4807772336493573E-2</v>
      </c>
      <c r="U36" s="494">
        <f t="shared" si="53"/>
        <v>1.1835043168319957E-2</v>
      </c>
      <c r="V36" s="494">
        <f t="shared" ref="V36:AC36" si="54">V29/V34</f>
        <v>2.1691503438103294E-2</v>
      </c>
      <c r="W36" s="495">
        <f t="shared" si="54"/>
        <v>7.8859533427570475E-2</v>
      </c>
      <c r="X36" s="496">
        <f t="shared" si="54"/>
        <v>0.19720520779512701</v>
      </c>
      <c r="Y36" s="493">
        <f t="shared" si="54"/>
        <v>7.8861243641812229E-3</v>
      </c>
      <c r="Z36" s="494">
        <f t="shared" si="54"/>
        <v>1.5767243944885601E-2</v>
      </c>
      <c r="AA36" s="494">
        <f t="shared" si="54"/>
        <v>1.9696904040622893E-3</v>
      </c>
      <c r="AB36" s="495">
        <f t="shared" si="54"/>
        <v>-5.1201663660210006E-2</v>
      </c>
      <c r="AC36" s="496">
        <f t="shared" si="54"/>
        <v>-2.5614501748682333E-2</v>
      </c>
      <c r="AD36" s="493">
        <f t="shared" ref="AD36:AI36" si="55">AD29/AD34</f>
        <v>1.5753272250020184E-2</v>
      </c>
      <c r="AE36" s="494">
        <f t="shared" si="55"/>
        <v>1.377800872344781E-2</v>
      </c>
      <c r="AF36" s="494">
        <f t="shared" si="55"/>
        <v>4.3356417340990334E-2</v>
      </c>
      <c r="AG36" s="495">
        <f t="shared" si="55"/>
        <v>-7.874015748031496E-3</v>
      </c>
      <c r="AH36" s="496">
        <f t="shared" si="55"/>
        <v>6.4960629921259838E-2</v>
      </c>
      <c r="AI36" s="493">
        <f t="shared" si="55"/>
        <v>1.7722431281272707E-2</v>
      </c>
      <c r="AJ36" s="494">
        <f t="shared" ref="AJ36:AR36" si="56">AJ29/AJ34</f>
        <v>2.3622047244094488E-2</v>
      </c>
      <c r="AK36" s="494">
        <f t="shared" si="56"/>
        <v>2.1653543307086614E-2</v>
      </c>
      <c r="AL36" s="495">
        <f t="shared" si="56"/>
        <v>7.874015748031496E-3</v>
      </c>
      <c r="AM36" s="496">
        <f t="shared" si="56"/>
        <v>7.0866141732283464E-2</v>
      </c>
      <c r="AN36" s="493">
        <f t="shared" si="56"/>
        <v>3.3464566929133861E-2</v>
      </c>
      <c r="AO36" s="494">
        <f t="shared" si="56"/>
        <v>3.7401574803149609E-2</v>
      </c>
      <c r="AP36" s="494">
        <f t="shared" si="56"/>
        <v>-0.13188976377952755</v>
      </c>
      <c r="AQ36" s="495">
        <f t="shared" si="56"/>
        <v>2.1653543307086614E-2</v>
      </c>
      <c r="AR36" s="496">
        <f t="shared" si="56"/>
        <v>-3.937007874015748E-2</v>
      </c>
      <c r="AS36" s="493">
        <f t="shared" ref="AS36:AY36" si="57">AS29/AS34</f>
        <v>-2.952755905511811E-2</v>
      </c>
      <c r="AT36" s="494">
        <f t="shared" si="57"/>
        <v>-3.9447731755424065E-3</v>
      </c>
      <c r="AU36" s="494">
        <f t="shared" si="57"/>
        <v>2.564102564102564E-2</v>
      </c>
      <c r="AV36" s="495">
        <f t="shared" si="57"/>
        <v>0.24803149606299213</v>
      </c>
      <c r="AW36" s="496">
        <f t="shared" si="57"/>
        <v>0.24063116370808635</v>
      </c>
      <c r="AX36" s="493">
        <f t="shared" si="57"/>
        <v>3.5761511262805773E-2</v>
      </c>
      <c r="AY36" s="494">
        <f t="shared" si="57"/>
        <v>2.3802612974075016E-2</v>
      </c>
      <c r="AZ36" s="494">
        <f>AZ29/AZ34</f>
        <v>3.3134611452513181E-2</v>
      </c>
      <c r="BA36" s="495">
        <f>BA29/BA34</f>
        <v>-1.4884040745964697E-2</v>
      </c>
      <c r="BB36" s="496">
        <f>BB29/BB34</f>
        <v>7.78146949434292E-2</v>
      </c>
      <c r="BC36" s="493">
        <f t="shared" ref="BC36:BL36" si="58">BC29/BC34</f>
        <v>4.8293605652926105E-2</v>
      </c>
      <c r="BD36" s="494">
        <f t="shared" si="58"/>
        <v>4.6001990977144427E-2</v>
      </c>
      <c r="BE36" s="494">
        <f t="shared" si="58"/>
        <v>1.9661521274979308E-2</v>
      </c>
      <c r="BF36" s="495">
        <f t="shared" si="58"/>
        <v>-1.3483125911009523E-2</v>
      </c>
      <c r="BG36" s="496">
        <f t="shared" si="58"/>
        <v>0.10047399199404025</v>
      </c>
      <c r="BH36" s="493">
        <f t="shared" si="58"/>
        <v>3.1843847785969055E-2</v>
      </c>
      <c r="BI36" s="494">
        <f t="shared" si="58"/>
        <v>2.860844221219936E-2</v>
      </c>
      <c r="BJ36" s="494">
        <f t="shared" si="58"/>
        <v>1.9810246658255492E-2</v>
      </c>
      <c r="BK36" s="495">
        <f t="shared" si="58"/>
        <v>-1.4698802657786007E-2</v>
      </c>
      <c r="BL36" s="496">
        <f t="shared" si="58"/>
        <v>6.5563733998637852E-2</v>
      </c>
      <c r="BM36" s="493">
        <f>BM29/BM34</f>
        <v>1.9582963332758666E-2</v>
      </c>
      <c r="BN36" s="494">
        <f>BN29/BN34</f>
        <v>2.8934060172424739E-2</v>
      </c>
      <c r="BO36" s="494">
        <f>BO29/BO34</f>
        <v>1.468753605410978E-2</v>
      </c>
      <c r="BP36" s="495">
        <f>BP29/BP34</f>
        <v>1.6324826873674137E-2</v>
      </c>
      <c r="BQ36" s="496">
        <f>BQ29/BQ34</f>
        <v>7.9529386432967628E-2</v>
      </c>
    </row>
    <row r="37" spans="2:69" s="2" customFormat="1">
      <c r="C37" s="497" t="s">
        <v>521</v>
      </c>
      <c r="D37" s="498"/>
      <c r="E37" s="499">
        <f t="shared" ref="E37:U37" si="59">E31/E34</f>
        <v>1.4312562679153802E-2</v>
      </c>
      <c r="F37" s="500">
        <f t="shared" si="59"/>
        <v>4.3864664203673985E-2</v>
      </c>
      <c r="G37" s="500">
        <f t="shared" si="59"/>
        <v>3.5978881874923603E-2</v>
      </c>
      <c r="H37" s="501">
        <f t="shared" si="59"/>
        <v>-2.3158093901636242E-2</v>
      </c>
      <c r="I37" s="502">
        <f t="shared" si="59"/>
        <v>7.0991424827476043E-2</v>
      </c>
      <c r="J37" s="499">
        <f t="shared" si="59"/>
        <v>4.4365834757969583E-3</v>
      </c>
      <c r="K37" s="500">
        <f t="shared" si="59"/>
        <v>4.7821791355003342E-2</v>
      </c>
      <c r="L37" s="500">
        <f t="shared" si="59"/>
        <v>8.4817976677028922E-2</v>
      </c>
      <c r="M37" s="501">
        <f t="shared" si="59"/>
        <v>1.2821170316426484E-2</v>
      </c>
      <c r="N37" s="502">
        <f t="shared" si="59"/>
        <v>0.14988807699513759</v>
      </c>
      <c r="O37" s="499">
        <f t="shared" si="59"/>
        <v>5.9156196019971132E-3</v>
      </c>
      <c r="P37" s="500">
        <f t="shared" si="59"/>
        <v>1.97331681009391E-2</v>
      </c>
      <c r="Q37" s="500">
        <f t="shared" si="59"/>
        <v>1.5779123824701823E-2</v>
      </c>
      <c r="R37" s="501">
        <f t="shared" si="59"/>
        <v>3.9444775342282034E-3</v>
      </c>
      <c r="S37" s="502">
        <f t="shared" si="59"/>
        <v>4.5366502163784905E-2</v>
      </c>
      <c r="T37" s="499">
        <f t="shared" si="59"/>
        <v>7.6918677235424407E-2</v>
      </c>
      <c r="U37" s="500">
        <f t="shared" si="59"/>
        <v>7.8900287788799713E-3</v>
      </c>
      <c r="V37" s="500">
        <f t="shared" ref="V37:AC37" si="60">V31/V34</f>
        <v>1.9719548580093903E-2</v>
      </c>
      <c r="W37" s="501">
        <f t="shared" si="60"/>
        <v>2.168637169258188E-2</v>
      </c>
      <c r="X37" s="502">
        <f t="shared" si="60"/>
        <v>0.12621133298888113</v>
      </c>
      <c r="Y37" s="499">
        <f t="shared" si="60"/>
        <v>7.8861243641812229E-3</v>
      </c>
      <c r="Z37" s="500">
        <f t="shared" si="60"/>
        <v>1.5767243944885601E-2</v>
      </c>
      <c r="AA37" s="500">
        <f t="shared" si="60"/>
        <v>1.9696904040622893E-3</v>
      </c>
      <c r="AB37" s="501">
        <f t="shared" si="60"/>
        <v>-5.1201663660210006E-2</v>
      </c>
      <c r="AC37" s="502">
        <f t="shared" si="60"/>
        <v>-2.5614501748682333E-2</v>
      </c>
      <c r="AD37" s="499">
        <f t="shared" ref="AD37:AI37" si="61">AD31/AD34</f>
        <v>1.5753272250020184E-2</v>
      </c>
      <c r="AE37" s="500">
        <f t="shared" si="61"/>
        <v>1.377800872344781E-2</v>
      </c>
      <c r="AF37" s="500">
        <f t="shared" si="61"/>
        <v>4.3356417340990334E-2</v>
      </c>
      <c r="AG37" s="501">
        <f t="shared" si="61"/>
        <v>-7.874015748031496E-3</v>
      </c>
      <c r="AH37" s="502">
        <f t="shared" si="61"/>
        <v>6.4960629921259838E-2</v>
      </c>
      <c r="AI37" s="499">
        <f t="shared" si="61"/>
        <v>1.7722431281272707E-2</v>
      </c>
      <c r="AJ37" s="500">
        <f t="shared" ref="AJ37:AR37" si="62">AJ31/AJ34</f>
        <v>2.3622047244094488E-2</v>
      </c>
      <c r="AK37" s="500">
        <f t="shared" si="62"/>
        <v>2.1653543307086614E-2</v>
      </c>
      <c r="AL37" s="501">
        <f t="shared" si="62"/>
        <v>7.874015748031496E-3</v>
      </c>
      <c r="AM37" s="502">
        <f t="shared" si="62"/>
        <v>7.0866141732283464E-2</v>
      </c>
      <c r="AN37" s="499">
        <f t="shared" si="62"/>
        <v>3.3464566929133861E-2</v>
      </c>
      <c r="AO37" s="500">
        <f t="shared" si="62"/>
        <v>3.7401574803149609E-2</v>
      </c>
      <c r="AP37" s="500">
        <f t="shared" si="62"/>
        <v>3.7401574803149609E-2</v>
      </c>
      <c r="AQ37" s="501">
        <f t="shared" si="62"/>
        <v>3.3464566929133861E-2</v>
      </c>
      <c r="AR37" s="502">
        <f t="shared" si="62"/>
        <v>0.14173228346456693</v>
      </c>
      <c r="AS37" s="499">
        <f>AS31/AS34</f>
        <v>3.3464566929133861E-2</v>
      </c>
      <c r="AT37" s="500">
        <f>AT31/AT34</f>
        <v>2.1696252465483234E-2</v>
      </c>
      <c r="AU37" s="500">
        <f>AU31/AU34</f>
        <v>2.564102564102564E-2</v>
      </c>
      <c r="AV37" s="501">
        <f>AV31/AV34</f>
        <v>-4.1338582677165357E-2</v>
      </c>
      <c r="AW37" s="502">
        <f>AW31/AW34</f>
        <v>3.9447731755423612E-2</v>
      </c>
      <c r="AX37" s="499">
        <f t="shared" ref="AX37:BF37" si="63">AX31/AX34</f>
        <v>3.5761511262805773E-2</v>
      </c>
      <c r="AY37" s="500">
        <f t="shared" si="63"/>
        <v>2.3802612974075016E-2</v>
      </c>
      <c r="AZ37" s="500">
        <f>AZ31/AZ34</f>
        <v>3.3134611452513181E-2</v>
      </c>
      <c r="BA37" s="501">
        <f>BA31/BA34</f>
        <v>-1.4884040745964697E-2</v>
      </c>
      <c r="BB37" s="502">
        <f>BB31/BB34</f>
        <v>7.78146949434292E-2</v>
      </c>
      <c r="BC37" s="499">
        <f t="shared" si="63"/>
        <v>4.8293605652926105E-2</v>
      </c>
      <c r="BD37" s="500">
        <f t="shared" si="63"/>
        <v>4.6001990977144427E-2</v>
      </c>
      <c r="BE37" s="500">
        <f t="shared" si="63"/>
        <v>1.9661521274979308E-2</v>
      </c>
      <c r="BF37" s="501">
        <f t="shared" si="63"/>
        <v>-1.3483125911009523E-2</v>
      </c>
      <c r="BG37" s="502">
        <f t="shared" ref="BG37:BL37" si="64">BG31/BG34</f>
        <v>0.10047399199404025</v>
      </c>
      <c r="BH37" s="499">
        <f t="shared" si="64"/>
        <v>3.1843847785969055E-2</v>
      </c>
      <c r="BI37" s="500">
        <f t="shared" si="64"/>
        <v>2.860844221219936E-2</v>
      </c>
      <c r="BJ37" s="500">
        <f t="shared" si="64"/>
        <v>1.9810246658255492E-2</v>
      </c>
      <c r="BK37" s="501">
        <f t="shared" si="64"/>
        <v>-1.4698802657786007E-2</v>
      </c>
      <c r="BL37" s="502">
        <f t="shared" si="64"/>
        <v>6.5563733998637852E-2</v>
      </c>
      <c r="BM37" s="499">
        <f>BM31/BM34</f>
        <v>1.9582963332758666E-2</v>
      </c>
      <c r="BN37" s="500">
        <f>BN31/BN34</f>
        <v>2.8934060172424739E-2</v>
      </c>
      <c r="BO37" s="500">
        <f>BO31/BO34</f>
        <v>1.468753605410978E-2</v>
      </c>
      <c r="BP37" s="501">
        <f>BP31/BP34</f>
        <v>1.6324826873674137E-2</v>
      </c>
      <c r="BQ37" s="502">
        <f>BQ31/BQ34</f>
        <v>7.9529386432967628E-2</v>
      </c>
    </row>
    <row r="38" spans="2:69" s="2" customFormat="1">
      <c r="C38" s="49"/>
      <c r="D38" s="37"/>
      <c r="E38" s="360"/>
      <c r="F38" s="20"/>
      <c r="G38" s="20"/>
      <c r="H38" s="361"/>
      <c r="I38" s="33"/>
      <c r="J38" s="360"/>
      <c r="K38" s="20"/>
      <c r="L38" s="20"/>
      <c r="M38" s="361"/>
      <c r="N38" s="33"/>
      <c r="O38" s="360"/>
      <c r="P38" s="20"/>
      <c r="Q38" s="20"/>
      <c r="R38" s="361"/>
      <c r="S38" s="33"/>
      <c r="T38" s="360"/>
      <c r="U38" s="20"/>
      <c r="V38" s="20"/>
      <c r="W38" s="361"/>
      <c r="X38" s="33"/>
      <c r="Y38" s="360"/>
      <c r="Z38" s="20"/>
      <c r="AA38" s="20"/>
      <c r="AB38" s="361"/>
      <c r="AC38" s="33"/>
      <c r="AD38" s="360"/>
      <c r="AE38" s="20"/>
      <c r="AF38" s="20"/>
      <c r="AG38" s="361"/>
      <c r="AH38" s="33"/>
      <c r="AI38" s="360"/>
      <c r="AJ38" s="20"/>
      <c r="AK38" s="20"/>
      <c r="AL38" s="361"/>
      <c r="AM38" s="33"/>
      <c r="AN38" s="360"/>
      <c r="AO38" s="20"/>
      <c r="AP38" s="20"/>
      <c r="AQ38" s="361"/>
      <c r="AR38" s="33"/>
      <c r="AS38" s="360"/>
      <c r="AT38" s="20"/>
      <c r="AU38" s="20"/>
      <c r="AV38" s="361"/>
      <c r="AW38" s="33"/>
      <c r="AX38" s="360"/>
      <c r="AY38" s="20"/>
      <c r="AZ38" s="20"/>
      <c r="BA38" s="361"/>
      <c r="BB38" s="33"/>
      <c r="BC38" s="360"/>
      <c r="BD38" s="20"/>
      <c r="BE38" s="20"/>
      <c r="BF38" s="361"/>
      <c r="BG38" s="33"/>
      <c r="BH38" s="360"/>
      <c r="BI38" s="20"/>
      <c r="BJ38" s="20"/>
      <c r="BK38" s="361"/>
      <c r="BL38" s="33"/>
      <c r="BM38" s="360"/>
      <c r="BN38" s="20"/>
      <c r="BO38" s="20"/>
      <c r="BP38" s="361"/>
      <c r="BQ38" s="33"/>
    </row>
    <row r="39" spans="2:69" s="2" customFormat="1">
      <c r="C39" s="37"/>
      <c r="E39" s="360"/>
      <c r="F39" s="20"/>
      <c r="G39" s="20"/>
      <c r="H39" s="361"/>
      <c r="I39" s="33"/>
      <c r="J39" s="360"/>
      <c r="K39" s="20"/>
      <c r="L39" s="20"/>
      <c r="M39" s="361"/>
      <c r="N39" s="33"/>
      <c r="O39" s="360"/>
      <c r="P39" s="20"/>
      <c r="Q39" s="20"/>
      <c r="R39" s="361"/>
      <c r="S39" s="33"/>
      <c r="T39" s="360"/>
      <c r="U39" s="20"/>
      <c r="V39" s="20"/>
      <c r="W39" s="361"/>
      <c r="X39" s="33"/>
      <c r="Y39" s="360"/>
      <c r="Z39" s="20"/>
      <c r="AA39" s="20"/>
      <c r="AB39" s="361"/>
      <c r="AC39" s="33"/>
      <c r="AD39" s="360"/>
      <c r="AE39" s="20"/>
      <c r="AF39" s="20"/>
      <c r="AG39" s="361"/>
      <c r="AH39" s="33"/>
      <c r="AI39" s="360"/>
      <c r="AJ39" s="20"/>
      <c r="AK39" s="20"/>
      <c r="AL39" s="361"/>
      <c r="AM39" s="33"/>
      <c r="AN39" s="360"/>
      <c r="AO39" s="20"/>
      <c r="AP39" s="20"/>
      <c r="AQ39" s="361"/>
      <c r="AR39" s="33"/>
      <c r="AS39" s="360"/>
      <c r="AT39" s="20"/>
      <c r="AU39" s="20"/>
      <c r="AV39" s="361"/>
      <c r="AW39" s="33"/>
      <c r="AX39" s="360"/>
      <c r="AY39" s="20"/>
      <c r="AZ39" s="20"/>
      <c r="BA39" s="361"/>
      <c r="BB39" s="33"/>
      <c r="BC39" s="360"/>
      <c r="BD39" s="20"/>
      <c r="BE39" s="20"/>
      <c r="BF39" s="361"/>
      <c r="BG39" s="33"/>
      <c r="BH39" s="360"/>
      <c r="BI39" s="20"/>
      <c r="BJ39" s="20"/>
      <c r="BK39" s="361"/>
      <c r="BL39" s="33"/>
      <c r="BM39" s="360"/>
      <c r="BN39" s="20"/>
      <c r="BO39" s="20"/>
      <c r="BP39" s="361"/>
      <c r="BQ39" s="33"/>
    </row>
    <row r="40" spans="2:69" s="2" customFormat="1">
      <c r="B40" s="276" t="s">
        <v>418</v>
      </c>
      <c r="C40" s="277"/>
      <c r="D40" s="277"/>
      <c r="E40" s="360"/>
      <c r="F40" s="20"/>
      <c r="G40" s="20"/>
      <c r="H40" s="361"/>
      <c r="I40" s="33"/>
      <c r="J40" s="360"/>
      <c r="K40" s="20"/>
      <c r="L40" s="20"/>
      <c r="M40" s="361"/>
      <c r="N40" s="33"/>
      <c r="O40" s="360"/>
      <c r="P40" s="20"/>
      <c r="Q40" s="20"/>
      <c r="R40" s="361"/>
      <c r="S40" s="33"/>
      <c r="T40" s="360"/>
      <c r="U40" s="20"/>
      <c r="V40" s="20"/>
      <c r="W40" s="361"/>
      <c r="X40" s="33"/>
      <c r="Y40" s="360"/>
      <c r="Z40" s="20"/>
      <c r="AA40" s="20"/>
      <c r="AB40" s="361"/>
      <c r="AC40" s="33"/>
      <c r="AD40" s="360"/>
      <c r="AE40" s="20"/>
      <c r="AF40" s="20"/>
      <c r="AG40" s="361"/>
      <c r="AH40" s="33"/>
      <c r="AI40" s="360"/>
      <c r="AJ40" s="20"/>
      <c r="AK40" s="20"/>
      <c r="AL40" s="361"/>
      <c r="AM40" s="33"/>
      <c r="AN40" s="360"/>
      <c r="AO40" s="20"/>
      <c r="AP40" s="20"/>
      <c r="AQ40" s="361"/>
      <c r="AR40" s="33"/>
      <c r="AS40" s="360"/>
      <c r="AT40" s="20"/>
      <c r="AU40" s="20"/>
      <c r="AV40" s="361"/>
      <c r="AW40" s="33"/>
      <c r="AX40" s="360"/>
      <c r="AY40" s="20"/>
      <c r="AZ40" s="20"/>
      <c r="BA40" s="361"/>
      <c r="BB40" s="33"/>
      <c r="BC40" s="360"/>
      <c r="BD40" s="20"/>
      <c r="BE40" s="20"/>
      <c r="BF40" s="361"/>
      <c r="BG40" s="33"/>
      <c r="BH40" s="360"/>
      <c r="BI40" s="20"/>
      <c r="BJ40" s="20"/>
      <c r="BK40" s="361"/>
      <c r="BL40" s="33"/>
      <c r="BM40" s="360"/>
      <c r="BN40" s="20"/>
      <c r="BO40" s="20"/>
      <c r="BP40" s="361"/>
      <c r="BQ40" s="33"/>
    </row>
    <row r="41" spans="2:69" s="2" customFormat="1">
      <c r="B41" s="305"/>
      <c r="C41" s="552" t="s">
        <v>318</v>
      </c>
      <c r="D41" s="305"/>
      <c r="E41" s="360"/>
      <c r="F41" s="20"/>
      <c r="G41" s="20"/>
      <c r="H41" s="361"/>
      <c r="I41" s="33"/>
      <c r="J41" s="360"/>
      <c r="K41" s="20"/>
      <c r="L41" s="20"/>
      <c r="M41" s="361"/>
      <c r="N41" s="33"/>
      <c r="O41" s="360"/>
      <c r="P41" s="20"/>
      <c r="Q41" s="20"/>
      <c r="R41" s="361"/>
      <c r="S41" s="33"/>
      <c r="T41" s="360"/>
      <c r="U41" s="20"/>
      <c r="V41" s="20"/>
      <c r="W41" s="361"/>
      <c r="X41" s="33"/>
      <c r="Y41" s="360"/>
      <c r="Z41" s="20"/>
      <c r="AA41" s="20"/>
      <c r="AB41" s="361"/>
      <c r="AC41" s="33"/>
      <c r="AD41" s="360"/>
      <c r="AE41" s="20"/>
      <c r="AF41" s="20"/>
      <c r="AG41" s="361"/>
      <c r="AH41" s="33"/>
      <c r="AI41" s="360"/>
      <c r="AJ41" s="20"/>
      <c r="AK41" s="20"/>
      <c r="AL41" s="361"/>
      <c r="AM41" s="33"/>
      <c r="AN41" s="360"/>
      <c r="AO41" s="20"/>
      <c r="AP41" s="20"/>
      <c r="AQ41" s="361"/>
      <c r="AR41" s="33"/>
      <c r="AS41" s="360"/>
      <c r="AT41" s="20"/>
      <c r="AU41" s="20"/>
      <c r="AV41" s="361"/>
      <c r="AW41" s="33"/>
      <c r="AX41" s="360"/>
      <c r="AY41" s="20"/>
      <c r="AZ41" s="20"/>
      <c r="BA41" s="361"/>
      <c r="BB41" s="33"/>
      <c r="BC41" s="360"/>
      <c r="BD41" s="20"/>
      <c r="BE41" s="20"/>
      <c r="BF41" s="361"/>
      <c r="BG41" s="33"/>
      <c r="BH41" s="360"/>
      <c r="BI41" s="20"/>
      <c r="BJ41" s="20"/>
      <c r="BK41" s="361"/>
      <c r="BL41" s="33"/>
      <c r="BM41" s="360"/>
      <c r="BN41" s="20"/>
      <c r="BO41" s="20"/>
      <c r="BP41" s="361"/>
      <c r="BQ41" s="33"/>
    </row>
    <row r="42" spans="2:69" s="2" customFormat="1">
      <c r="B42" s="305"/>
      <c r="C42" s="553" t="s">
        <v>316</v>
      </c>
      <c r="D42" s="305"/>
      <c r="E42" s="434">
        <f>E60</f>
        <v>0</v>
      </c>
      <c r="F42" s="473">
        <f t="shared" ref="F42:R43" si="65">F60</f>
        <v>0</v>
      </c>
      <c r="G42" s="473">
        <f t="shared" si="65"/>
        <v>0</v>
      </c>
      <c r="H42" s="474">
        <f t="shared" si="65"/>
        <v>0</v>
      </c>
      <c r="I42" s="476">
        <f t="shared" si="65"/>
        <v>0</v>
      </c>
      <c r="J42" s="472">
        <f t="shared" si="65"/>
        <v>0</v>
      </c>
      <c r="K42" s="473">
        <f t="shared" si="65"/>
        <v>0</v>
      </c>
      <c r="L42" s="473">
        <f t="shared" si="65"/>
        <v>0</v>
      </c>
      <c r="M42" s="474">
        <f t="shared" si="65"/>
        <v>20</v>
      </c>
      <c r="N42" s="476">
        <f t="shared" si="65"/>
        <v>20</v>
      </c>
      <c r="O42" s="472">
        <f t="shared" si="65"/>
        <v>0</v>
      </c>
      <c r="P42" s="473">
        <f t="shared" si="65"/>
        <v>0</v>
      </c>
      <c r="Q42" s="473">
        <f t="shared" si="65"/>
        <v>0</v>
      </c>
      <c r="R42" s="474">
        <f t="shared" si="65"/>
        <v>0</v>
      </c>
      <c r="S42" s="476">
        <f t="shared" ref="S42:AC43" si="66">S60</f>
        <v>0</v>
      </c>
      <c r="T42" s="472">
        <f t="shared" si="66"/>
        <v>0</v>
      </c>
      <c r="U42" s="473">
        <f t="shared" si="66"/>
        <v>0</v>
      </c>
      <c r="V42" s="473">
        <f t="shared" si="66"/>
        <v>0</v>
      </c>
      <c r="W42" s="474">
        <f t="shared" si="66"/>
        <v>0</v>
      </c>
      <c r="X42" s="476">
        <f t="shared" si="66"/>
        <v>0</v>
      </c>
      <c r="Y42" s="472">
        <f t="shared" si="66"/>
        <v>0</v>
      </c>
      <c r="Z42" s="473">
        <f t="shared" si="66"/>
        <v>0</v>
      </c>
      <c r="AA42" s="473">
        <f t="shared" si="66"/>
        <v>0</v>
      </c>
      <c r="AB42" s="474">
        <f t="shared" si="66"/>
        <v>0</v>
      </c>
      <c r="AC42" s="476">
        <f t="shared" si="66"/>
        <v>0</v>
      </c>
      <c r="AD42" s="472">
        <f>AD60</f>
        <v>0</v>
      </c>
      <c r="AE42" s="473">
        <f t="shared" ref="AE42:AM42" si="67">AE60</f>
        <v>0</v>
      </c>
      <c r="AF42" s="473">
        <f t="shared" si="67"/>
        <v>0</v>
      </c>
      <c r="AG42" s="474">
        <f t="shared" si="67"/>
        <v>0</v>
      </c>
      <c r="AH42" s="476">
        <f t="shared" si="67"/>
        <v>0</v>
      </c>
      <c r="AI42" s="472">
        <f t="shared" si="67"/>
        <v>0</v>
      </c>
      <c r="AJ42" s="473">
        <f t="shared" si="67"/>
        <v>0</v>
      </c>
      <c r="AK42" s="473">
        <f t="shared" si="67"/>
        <v>0</v>
      </c>
      <c r="AL42" s="474">
        <f t="shared" si="67"/>
        <v>500</v>
      </c>
      <c r="AM42" s="476">
        <f t="shared" si="67"/>
        <v>500</v>
      </c>
      <c r="AN42" s="472">
        <f t="shared" ref="AN42:AR43" si="68">AN60</f>
        <v>0</v>
      </c>
      <c r="AO42" s="473">
        <f t="shared" si="68"/>
        <v>0</v>
      </c>
      <c r="AP42" s="473">
        <f t="shared" si="68"/>
        <v>0</v>
      </c>
      <c r="AQ42" s="474">
        <f t="shared" si="68"/>
        <v>700</v>
      </c>
      <c r="AR42" s="476">
        <f t="shared" si="68"/>
        <v>700</v>
      </c>
      <c r="AS42" s="472">
        <f t="shared" ref="AS42:AW43" si="69">AS60</f>
        <v>0</v>
      </c>
      <c r="AT42" s="473">
        <f t="shared" si="69"/>
        <v>700</v>
      </c>
      <c r="AU42" s="473">
        <f t="shared" si="69"/>
        <v>0</v>
      </c>
      <c r="AV42" s="474">
        <f t="shared" si="69"/>
        <v>700</v>
      </c>
      <c r="AW42" s="476">
        <f t="shared" si="69"/>
        <v>1400</v>
      </c>
      <c r="AX42" s="472">
        <f>+Debt!AL34</f>
        <v>1000</v>
      </c>
      <c r="AY42" s="473">
        <f>+Debt!AM34</f>
        <v>0</v>
      </c>
      <c r="AZ42" s="473">
        <f>+Debt!AN34</f>
        <v>0</v>
      </c>
      <c r="BA42" s="474">
        <f>+Debt!AO34</f>
        <v>0</v>
      </c>
      <c r="BB42" s="974">
        <v>1000</v>
      </c>
      <c r="BC42" s="472">
        <f>+Debt!AQ34</f>
        <v>0</v>
      </c>
      <c r="BD42" s="473">
        <f>+Debt!AR34</f>
        <v>0</v>
      </c>
      <c r="BE42" s="473">
        <f>+Debt!AS34</f>
        <v>1300</v>
      </c>
      <c r="BF42" s="474">
        <f>+Debt!AT34</f>
        <v>0</v>
      </c>
      <c r="BG42" s="974">
        <v>1300</v>
      </c>
      <c r="BH42" s="472">
        <f>+Debt!AV34</f>
        <v>0</v>
      </c>
      <c r="BI42" s="473">
        <f>+Debt!AW34</f>
        <v>0</v>
      </c>
      <c r="BJ42" s="473">
        <f>+Debt!AX34</f>
        <v>100</v>
      </c>
      <c r="BK42" s="474">
        <f>+Debt!AY34</f>
        <v>0</v>
      </c>
      <c r="BL42" s="974">
        <v>100</v>
      </c>
      <c r="BM42" s="472">
        <f>+Debt!BF34</f>
        <v>0</v>
      </c>
      <c r="BN42" s="473">
        <f>+Debt!BG34</f>
        <v>0</v>
      </c>
      <c r="BO42" s="473">
        <f>+Debt!BH34</f>
        <v>0</v>
      </c>
      <c r="BP42" s="474">
        <f>+Debt!BI34</f>
        <v>0</v>
      </c>
      <c r="BQ42" s="974">
        <v>500</v>
      </c>
    </row>
    <row r="43" spans="2:69" s="2" customFormat="1">
      <c r="B43" s="305"/>
      <c r="C43" s="553" t="s">
        <v>317</v>
      </c>
      <c r="D43" s="305"/>
      <c r="E43" s="434">
        <f>E61</f>
        <v>-11</v>
      </c>
      <c r="F43" s="473">
        <f t="shared" si="65"/>
        <v>-2</v>
      </c>
      <c r="G43" s="473">
        <f t="shared" si="65"/>
        <v>-301</v>
      </c>
      <c r="H43" s="474">
        <f t="shared" si="65"/>
        <v>-51</v>
      </c>
      <c r="I43" s="476">
        <f t="shared" si="65"/>
        <v>-365</v>
      </c>
      <c r="J43" s="472">
        <f t="shared" si="65"/>
        <v>-1</v>
      </c>
      <c r="K43" s="473">
        <f t="shared" si="65"/>
        <v>-1</v>
      </c>
      <c r="L43" s="473">
        <f t="shared" si="65"/>
        <v>-14</v>
      </c>
      <c r="M43" s="474">
        <f t="shared" si="65"/>
        <v>-161</v>
      </c>
      <c r="N43" s="476">
        <f t="shared" si="65"/>
        <v>-177</v>
      </c>
      <c r="O43" s="472">
        <f t="shared" si="65"/>
        <v>-1</v>
      </c>
      <c r="P43" s="473">
        <f t="shared" si="65"/>
        <v>0</v>
      </c>
      <c r="Q43" s="473">
        <f t="shared" si="65"/>
        <v>0</v>
      </c>
      <c r="R43" s="474">
        <f t="shared" si="65"/>
        <v>-17</v>
      </c>
      <c r="S43" s="476">
        <f t="shared" si="66"/>
        <v>-18</v>
      </c>
      <c r="T43" s="472">
        <f t="shared" si="66"/>
        <v>0</v>
      </c>
      <c r="U43" s="473">
        <f t="shared" si="66"/>
        <v>0</v>
      </c>
      <c r="V43" s="473">
        <f t="shared" si="66"/>
        <v>-1</v>
      </c>
      <c r="W43" s="474">
        <f t="shared" si="66"/>
        <v>0</v>
      </c>
      <c r="X43" s="476">
        <f t="shared" si="66"/>
        <v>-1</v>
      </c>
      <c r="Y43" s="472">
        <f t="shared" si="66"/>
        <v>-51</v>
      </c>
      <c r="Z43" s="473">
        <f t="shared" si="66"/>
        <v>51</v>
      </c>
      <c r="AA43" s="473">
        <f t="shared" si="66"/>
        <v>0</v>
      </c>
      <c r="AB43" s="474">
        <f t="shared" si="66"/>
        <v>0</v>
      </c>
      <c r="AC43" s="476">
        <f t="shared" si="66"/>
        <v>0</v>
      </c>
      <c r="AD43" s="472">
        <f>AD61</f>
        <v>-54</v>
      </c>
      <c r="AE43" s="473">
        <f t="shared" ref="AE43:AM43" si="70">AE61</f>
        <v>-57</v>
      </c>
      <c r="AF43" s="473">
        <f t="shared" si="70"/>
        <v>111</v>
      </c>
      <c r="AG43" s="474">
        <f t="shared" si="70"/>
        <v>0</v>
      </c>
      <c r="AH43" s="476">
        <f t="shared" si="70"/>
        <v>0</v>
      </c>
      <c r="AI43" s="472">
        <f t="shared" si="70"/>
        <v>0</v>
      </c>
      <c r="AJ43" s="473">
        <f t="shared" si="70"/>
        <v>0</v>
      </c>
      <c r="AK43" s="473">
        <f t="shared" si="70"/>
        <v>0</v>
      </c>
      <c r="AL43" s="474">
        <f t="shared" si="70"/>
        <v>0</v>
      </c>
      <c r="AM43" s="476">
        <f t="shared" si="70"/>
        <v>0</v>
      </c>
      <c r="AN43" s="472">
        <f t="shared" si="68"/>
        <v>0</v>
      </c>
      <c r="AO43" s="473">
        <f t="shared" si="68"/>
        <v>0</v>
      </c>
      <c r="AP43" s="473">
        <f t="shared" si="68"/>
        <v>0</v>
      </c>
      <c r="AQ43" s="474">
        <f t="shared" si="68"/>
        <v>0</v>
      </c>
      <c r="AR43" s="476">
        <f t="shared" si="68"/>
        <v>0</v>
      </c>
      <c r="AS43" s="472">
        <f t="shared" si="69"/>
        <v>0</v>
      </c>
      <c r="AT43" s="473">
        <f t="shared" si="69"/>
        <v>0</v>
      </c>
      <c r="AU43" s="473">
        <f t="shared" si="69"/>
        <v>0</v>
      </c>
      <c r="AV43" s="474">
        <f t="shared" si="69"/>
        <v>-500</v>
      </c>
      <c r="AW43" s="476">
        <f t="shared" si="69"/>
        <v>-500</v>
      </c>
      <c r="AX43" s="472">
        <f>+Debt!AL24</f>
        <v>0</v>
      </c>
      <c r="AY43" s="473">
        <f>+Debt!AM24</f>
        <v>0</v>
      </c>
      <c r="AZ43" s="473">
        <f>+Debt!AN24</f>
        <v>0</v>
      </c>
      <c r="BA43" s="474">
        <f>+Debt!AO24</f>
        <v>0</v>
      </c>
      <c r="BB43" s="476">
        <f>+Debt!AP24</f>
        <v>0</v>
      </c>
      <c r="BC43" s="472">
        <f>+Debt!AQ24</f>
        <v>0</v>
      </c>
      <c r="BD43" s="473">
        <f>+Debt!AR24</f>
        <v>-700</v>
      </c>
      <c r="BE43" s="473">
        <f>+Debt!AS24</f>
        <v>0</v>
      </c>
      <c r="BF43" s="474">
        <f>+Debt!AT24</f>
        <v>-400</v>
      </c>
      <c r="BG43" s="476">
        <f>+Debt!AU24</f>
        <v>-1100</v>
      </c>
      <c r="BH43" s="472">
        <f>+Debt!AV24</f>
        <v>0</v>
      </c>
      <c r="BI43" s="473">
        <f>+Debt!AW24</f>
        <v>0</v>
      </c>
      <c r="BJ43" s="473">
        <f>+Debt!AX24</f>
        <v>0</v>
      </c>
      <c r="BK43" s="474">
        <f>+Debt!AY24</f>
        <v>0</v>
      </c>
      <c r="BL43" s="476">
        <f>+Debt!AY24</f>
        <v>0</v>
      </c>
      <c r="BM43" s="472">
        <f>+Debt!BF24</f>
        <v>0</v>
      </c>
      <c r="BN43" s="473">
        <f>+Debt!BG24</f>
        <v>0</v>
      </c>
      <c r="BO43" s="473">
        <f>+Debt!BH24</f>
        <v>0</v>
      </c>
      <c r="BP43" s="474">
        <f>+Debt!BI24</f>
        <v>0</v>
      </c>
      <c r="BQ43" s="476">
        <f>+Debt!BJ24</f>
        <v>0</v>
      </c>
    </row>
    <row r="44" spans="2:69" s="2" customFormat="1">
      <c r="B44" s="305"/>
      <c r="C44" s="553"/>
      <c r="D44" s="305"/>
      <c r="E44" s="434"/>
      <c r="F44" s="473"/>
      <c r="G44" s="473"/>
      <c r="H44" s="474"/>
      <c r="I44" s="476"/>
      <c r="J44" s="472"/>
      <c r="K44" s="473"/>
      <c r="L44" s="473"/>
      <c r="M44" s="474"/>
      <c r="N44" s="476"/>
      <c r="O44" s="472"/>
      <c r="P44" s="473"/>
      <c r="Q44" s="473"/>
      <c r="R44" s="474"/>
      <c r="S44" s="476"/>
      <c r="T44" s="472"/>
      <c r="U44" s="473"/>
      <c r="V44" s="473"/>
      <c r="W44" s="474"/>
      <c r="X44" s="476"/>
      <c r="Y44" s="472"/>
      <c r="Z44" s="473"/>
      <c r="AA44" s="473"/>
      <c r="AB44" s="474"/>
      <c r="AC44" s="476"/>
      <c r="AD44" s="472"/>
      <c r="AE44" s="473"/>
      <c r="AF44" s="473"/>
      <c r="AG44" s="474"/>
      <c r="AH44" s="476"/>
      <c r="AI44" s="472"/>
      <c r="AJ44" s="473"/>
      <c r="AK44" s="473"/>
      <c r="AL44" s="474"/>
      <c r="AM44" s="476"/>
      <c r="AN44" s="472"/>
      <c r="AO44" s="473"/>
      <c r="AP44" s="473"/>
      <c r="AQ44" s="474"/>
      <c r="AR44" s="476"/>
      <c r="AS44" s="472"/>
      <c r="AT44" s="473"/>
      <c r="AU44" s="473"/>
      <c r="AV44" s="474"/>
      <c r="AW44" s="476"/>
      <c r="AX44" s="472"/>
      <c r="AY44" s="473"/>
      <c r="AZ44" s="473"/>
      <c r="BA44" s="474"/>
      <c r="BB44" s="476"/>
      <c r="BC44" s="472"/>
      <c r="BD44" s="473"/>
      <c r="BE44" s="473"/>
      <c r="BF44" s="474"/>
      <c r="BG44" s="476"/>
      <c r="BH44" s="472"/>
      <c r="BI44" s="473"/>
      <c r="BJ44" s="473"/>
      <c r="BK44" s="474"/>
      <c r="BL44" s="476"/>
      <c r="BM44" s="472"/>
      <c r="BN44" s="473"/>
      <c r="BO44" s="473"/>
      <c r="BP44" s="474"/>
      <c r="BQ44" s="476"/>
    </row>
    <row r="45" spans="2:69" s="2" customFormat="1">
      <c r="C45" s="37"/>
      <c r="E45" s="360"/>
      <c r="F45" s="20"/>
      <c r="G45" s="20"/>
      <c r="H45" s="361"/>
      <c r="I45" s="33"/>
      <c r="J45" s="360"/>
      <c r="K45" s="20"/>
      <c r="L45" s="20"/>
      <c r="M45" s="361"/>
      <c r="N45" s="33"/>
      <c r="O45" s="360"/>
      <c r="P45" s="20"/>
      <c r="Q45" s="20"/>
      <c r="R45" s="361"/>
      <c r="S45" s="33"/>
      <c r="T45" s="360"/>
      <c r="U45" s="20"/>
      <c r="V45" s="20"/>
      <c r="W45" s="361"/>
      <c r="X45" s="33"/>
      <c r="Y45" s="360"/>
      <c r="Z45" s="20"/>
      <c r="AA45" s="20"/>
      <c r="AB45" s="361"/>
      <c r="AC45" s="33"/>
      <c r="AD45" s="360"/>
      <c r="AE45" s="20"/>
      <c r="AF45" s="20"/>
      <c r="AG45" s="361"/>
      <c r="AH45" s="33"/>
      <c r="AI45" s="360"/>
      <c r="AJ45" s="20"/>
      <c r="AK45" s="20"/>
      <c r="AL45" s="361"/>
      <c r="AM45" s="33"/>
      <c r="AN45" s="360"/>
      <c r="AO45" s="20"/>
      <c r="AP45" s="20"/>
      <c r="AQ45" s="361"/>
      <c r="AR45" s="33"/>
      <c r="AS45" s="360"/>
      <c r="AT45" s="20"/>
      <c r="AU45" s="20"/>
      <c r="AV45" s="361"/>
      <c r="AW45" s="33"/>
      <c r="AX45" s="360"/>
      <c r="AY45" s="20"/>
      <c r="AZ45" s="20"/>
      <c r="BA45" s="361"/>
      <c r="BB45" s="33"/>
      <c r="BC45" s="360"/>
      <c r="BD45" s="20"/>
      <c r="BE45" s="20"/>
      <c r="BF45" s="361"/>
      <c r="BG45" s="33"/>
      <c r="BH45" s="360"/>
      <c r="BI45" s="20"/>
      <c r="BJ45" s="20"/>
      <c r="BK45" s="361"/>
      <c r="BL45" s="33"/>
      <c r="BM45" s="360"/>
      <c r="BN45" s="20"/>
      <c r="BO45" s="20"/>
      <c r="BP45" s="361"/>
      <c r="BQ45" s="33"/>
    </row>
    <row r="46" spans="2:69" s="2" customFormat="1">
      <c r="B46" s="105" t="s">
        <v>344</v>
      </c>
      <c r="C46" s="277"/>
      <c r="D46" s="277"/>
      <c r="E46" s="356"/>
      <c r="F46" s="326"/>
      <c r="G46" s="326"/>
      <c r="H46" s="357"/>
      <c r="I46" s="296"/>
      <c r="J46" s="401"/>
      <c r="K46" s="346"/>
      <c r="L46" s="346"/>
      <c r="M46" s="402"/>
      <c r="N46" s="296"/>
      <c r="O46" s="401"/>
      <c r="P46" s="346"/>
      <c r="Q46" s="346"/>
      <c r="R46" s="402"/>
      <c r="S46" s="296"/>
      <c r="T46" s="401"/>
      <c r="U46" s="346"/>
      <c r="V46" s="346"/>
      <c r="W46" s="402"/>
      <c r="X46" s="296"/>
      <c r="Y46" s="401"/>
      <c r="Z46" s="346"/>
      <c r="AA46" s="1333"/>
      <c r="AB46" s="1334"/>
      <c r="AC46" s="296"/>
      <c r="AD46" s="401"/>
      <c r="AE46" s="346"/>
      <c r="AF46" s="346"/>
      <c r="AG46" s="402"/>
      <c r="AH46" s="296"/>
      <c r="AI46" s="401"/>
      <c r="AJ46" s="346"/>
      <c r="AK46" s="346"/>
      <c r="AL46" s="402"/>
      <c r="AM46" s="296"/>
      <c r="AN46" s="401"/>
      <c r="AO46" s="346"/>
      <c r="AP46" s="346"/>
      <c r="AQ46" s="402"/>
      <c r="AR46" s="296"/>
      <c r="AS46" s="401"/>
      <c r="AT46" s="346"/>
      <c r="AU46" s="346"/>
      <c r="AV46" s="402"/>
      <c r="AW46" s="296"/>
      <c r="AX46" s="401"/>
      <c r="AY46" s="346"/>
      <c r="AZ46" s="346"/>
      <c r="BA46" s="402"/>
      <c r="BB46" s="296"/>
      <c r="BC46" s="401"/>
      <c r="BD46" s="346"/>
      <c r="BE46" s="346"/>
      <c r="BF46" s="402"/>
      <c r="BG46" s="296"/>
      <c r="BH46" s="401"/>
      <c r="BI46" s="346"/>
      <c r="BJ46" s="346"/>
      <c r="BK46" s="402"/>
      <c r="BL46" s="296"/>
      <c r="BM46" s="401"/>
      <c r="BN46" s="346"/>
      <c r="BO46" s="346"/>
      <c r="BP46" s="402"/>
      <c r="BQ46" s="296"/>
    </row>
    <row r="47" spans="2:69" s="2" customFormat="1">
      <c r="E47" s="360"/>
      <c r="F47" s="20"/>
      <c r="G47" s="20"/>
      <c r="H47" s="361"/>
      <c r="I47" s="296"/>
      <c r="J47" s="392"/>
      <c r="K47" s="341"/>
      <c r="L47" s="341"/>
      <c r="M47" s="393"/>
      <c r="N47" s="296"/>
      <c r="O47" s="392"/>
      <c r="P47" s="341"/>
      <c r="Q47" s="341"/>
      <c r="R47" s="393"/>
      <c r="S47" s="296"/>
      <c r="T47" s="392"/>
      <c r="U47" s="341"/>
      <c r="V47" s="341"/>
      <c r="W47" s="393"/>
      <c r="X47" s="296"/>
      <c r="Y47" s="392"/>
      <c r="Z47" s="341"/>
      <c r="AA47" s="341"/>
      <c r="AB47" s="393"/>
      <c r="AC47" s="296"/>
      <c r="AD47" s="392"/>
      <c r="AE47" s="341"/>
      <c r="AF47" s="341"/>
      <c r="AG47" s="393"/>
      <c r="AH47" s="296"/>
      <c r="AI47" s="392"/>
      <c r="AJ47" s="341"/>
      <c r="AK47" s="341"/>
      <c r="AL47" s="393"/>
      <c r="AM47" s="296"/>
      <c r="AN47" s="392"/>
      <c r="AO47" s="341"/>
      <c r="AP47" s="341"/>
      <c r="AQ47" s="393"/>
      <c r="AR47" s="296"/>
      <c r="AS47" s="392"/>
      <c r="AT47" s="341"/>
      <c r="AU47" s="341"/>
      <c r="AV47" s="393"/>
      <c r="AW47" s="296"/>
      <c r="AX47" s="392"/>
      <c r="AY47" s="341"/>
      <c r="AZ47" s="341"/>
      <c r="BA47" s="393"/>
      <c r="BB47" s="296"/>
      <c r="BC47" s="392"/>
      <c r="BD47" s="341"/>
      <c r="BE47" s="341"/>
      <c r="BF47" s="393"/>
      <c r="BG47" s="296"/>
      <c r="BH47" s="392"/>
      <c r="BI47" s="341"/>
      <c r="BJ47" s="341"/>
      <c r="BK47" s="393"/>
      <c r="BL47" s="296"/>
      <c r="BM47" s="392"/>
      <c r="BN47" s="341"/>
      <c r="BO47" s="341"/>
      <c r="BP47" s="393"/>
      <c r="BQ47" s="296"/>
    </row>
    <row r="48" spans="2:69" s="2" customFormat="1">
      <c r="C48" s="2" t="s">
        <v>387</v>
      </c>
      <c r="E48" s="406">
        <f>+PEG!E110-Power!E503-'PSE&amp;G'!E189</f>
        <v>6</v>
      </c>
      <c r="F48" s="348">
        <f>+PEG!F110-Power!F503-'PSE&amp;G'!F189</f>
        <v>20</v>
      </c>
      <c r="G48" s="348">
        <f>+PEG!G110-Power!G503-'PSE&amp;G'!G189</f>
        <v>18</v>
      </c>
      <c r="H48" s="405">
        <f>+PEG!H110-Power!H503-'PSE&amp;G'!H189</f>
        <v>34</v>
      </c>
      <c r="I48" s="451">
        <f>SUM(E48:H48)</f>
        <v>78</v>
      </c>
      <c r="J48" s="406">
        <f>+PEG!J110-Power!J503-'PSE&amp;G'!J189</f>
        <v>9</v>
      </c>
      <c r="K48" s="348">
        <f>+PEG!K110-Power!K503-'PSE&amp;G'!K189</f>
        <v>17</v>
      </c>
      <c r="L48" s="348">
        <f>+PEG!L110-Power!L503-'PSE&amp;G'!L189</f>
        <v>28</v>
      </c>
      <c r="M48" s="405">
        <f>+PEG!M110-Power!M503-'PSE&amp;G'!M189</f>
        <v>8</v>
      </c>
      <c r="N48" s="451">
        <f>SUM(J48:M48)</f>
        <v>62</v>
      </c>
      <c r="O48" s="406">
        <f>+PEG!O110-Power!O503-'PSE&amp;G'!O189</f>
        <v>1</v>
      </c>
      <c r="P48" s="348">
        <f>+PEG!P110-Power!P503-'PSE&amp;G'!P189</f>
        <v>11</v>
      </c>
      <c r="Q48" s="348">
        <f>+PEG!Q110-Power!Q503-'PSE&amp;G'!Q189</f>
        <v>-162</v>
      </c>
      <c r="R48" s="405">
        <f>+PEG!R110-Power!R503-'PSE&amp;G'!R189</f>
        <v>34</v>
      </c>
      <c r="S48" s="451">
        <f>SUM(O48:R48)</f>
        <v>-116</v>
      </c>
      <c r="T48" s="406">
        <f>+PEG!T110-Power!T503-'PSE&amp;G'!T189</f>
        <v>43</v>
      </c>
      <c r="U48" s="348">
        <f>+PEG!U110-Power!U503-'PSE&amp;G'!U189</f>
        <v>6</v>
      </c>
      <c r="V48" s="348">
        <f>+PEG!V110-Power!V503-'PSE&amp;G'!V189</f>
        <v>11</v>
      </c>
      <c r="W48" s="405">
        <f>+PEG!W110-Power!W503-'PSE&amp;G'!W189</f>
        <v>40</v>
      </c>
      <c r="X48" s="451">
        <f>SUM(T48:W48)</f>
        <v>100</v>
      </c>
      <c r="Y48" s="406">
        <f>+PEG!Y110-Power!Y503-'PSE&amp;G'!Y189</f>
        <v>4</v>
      </c>
      <c r="Z48" s="348">
        <f>+PEG!Z110-Power!Z503-'PSE&amp;G'!Z189</f>
        <v>8</v>
      </c>
      <c r="AA48" s="342">
        <f>+PEG!AA110-Power!AA503-'PSE&amp;G'!AA189</f>
        <v>1</v>
      </c>
      <c r="AB48" s="395">
        <f>+PEG!AB110-Power!AB503-'PSE&amp;G'!AB189</f>
        <v>-26</v>
      </c>
      <c r="AC48" s="77">
        <f>SUM(Y48:AB48)</f>
        <v>-13</v>
      </c>
      <c r="AD48" s="406">
        <f>+PEG!AD110-Power!AD503-'PSE&amp;G'!AD189</f>
        <v>8</v>
      </c>
      <c r="AE48" s="348">
        <f>+PEG!AE110-Power!AE503-'PSE&amp;G'!AE189</f>
        <v>7</v>
      </c>
      <c r="AF48" s="348">
        <f>+PEG!AF110-Power!AF503-'PSE&amp;G'!AF189</f>
        <v>22</v>
      </c>
      <c r="AG48" s="405">
        <f>+PEG!AG110-Power!AG503-'PSE&amp;G'!AG189</f>
        <v>-4</v>
      </c>
      <c r="AH48" s="451">
        <f>SUM(AD48:AG48)</f>
        <v>33</v>
      </c>
      <c r="AI48" s="406">
        <f>+PEG!AI110-Power!AI503-'PSE&amp;G'!AI189</f>
        <v>9</v>
      </c>
      <c r="AJ48" s="348">
        <f>+PEG!AJ110-Power!AJ503-'PSE&amp;G'!AJ189</f>
        <v>12</v>
      </c>
      <c r="AK48" s="348">
        <f>+PEG!AK110-Power!AK503-'PSE&amp;G'!AK189</f>
        <v>11</v>
      </c>
      <c r="AL48" s="405">
        <f>+PEG!AL110-Power!AL503-'PSE&amp;G'!AL189</f>
        <v>4</v>
      </c>
      <c r="AM48" s="451">
        <f>SUM(AI48:AL48)</f>
        <v>36</v>
      </c>
      <c r="AN48" s="406">
        <f>+PEG!AN110-Power!AN503-'PSE&amp;G'!AN189</f>
        <v>17</v>
      </c>
      <c r="AO48" s="348">
        <f>+PEG!AO110-Power!AO503-'PSE&amp;G'!AO189</f>
        <v>19</v>
      </c>
      <c r="AP48" s="348">
        <f>+PEG!AP110-Power!AP503-'PSE&amp;G'!AP189</f>
        <v>-67</v>
      </c>
      <c r="AQ48" s="405">
        <f>+PEG!AQ110-Power!AQ503-'PSE&amp;G'!AQ189</f>
        <v>11</v>
      </c>
      <c r="AR48" s="451">
        <f>SUM(AN48:AQ48)</f>
        <v>-20</v>
      </c>
      <c r="AS48" s="406">
        <f>+PEG!AS110-Power!AS503-'PSE&amp;G'!AS189</f>
        <v>-15</v>
      </c>
      <c r="AT48" s="348">
        <f>+PEG!AT110-Power!AT503-'PSE&amp;G'!AT189</f>
        <v>-2</v>
      </c>
      <c r="AU48" s="348">
        <f>+PEG!AU110-Power!AU503-'PSE&amp;G'!AU189</f>
        <v>13</v>
      </c>
      <c r="AV48" s="405">
        <f>+PEG!AV110-Power!AV503-'PSE&amp;G'!AV189</f>
        <v>126</v>
      </c>
      <c r="AW48" s="451">
        <f>SUM(AS48:AV48)</f>
        <v>122</v>
      </c>
      <c r="AX48" s="406">
        <f>+PEG!AX110-Power!AX503-'PSE&amp;G'!AX189</f>
        <v>18.166847721505064</v>
      </c>
      <c r="AY48" s="348">
        <f>+PEG!AY110-Power!AY503-'PSE&amp;G'!AY189</f>
        <v>12.091727390830187</v>
      </c>
      <c r="AZ48" s="348">
        <f>+PEG!AZ110-Power!AZ503-'PSE&amp;G'!AZ189</f>
        <v>16.83238261787659</v>
      </c>
      <c r="BA48" s="405">
        <f>+PEG!BA110-Power!BA503-'PSE&amp;G'!BA189</f>
        <v>-7.5610926989498068</v>
      </c>
      <c r="BB48" s="451">
        <f>SUM(AX48:BA48)</f>
        <v>39.529865031262034</v>
      </c>
      <c r="BC48" s="406">
        <f>+PEG!BC110-Power!BC503-'PSE&amp;G'!BC189</f>
        <v>24.533151671686369</v>
      </c>
      <c r="BD48" s="348">
        <f>+PEG!BD110-Power!BD503-'PSE&amp;G'!BD189</f>
        <v>23.369011416389412</v>
      </c>
      <c r="BE48" s="348">
        <f>+PEG!BE110-Power!BE503-'PSE&amp;G'!BE189</f>
        <v>9.9880528076894848</v>
      </c>
      <c r="BF48" s="405">
        <f>+PEG!BF110-Power!BF503-'PSE&amp;G'!BF189</f>
        <v>-6.8494279627926744</v>
      </c>
      <c r="BG48" s="451">
        <f>SUM(BC48:BF48)</f>
        <v>51.040787932972592</v>
      </c>
      <c r="BH48" s="406">
        <f>+PEG!BH110-Power!BH503-'PSE&amp;G'!BH189</f>
        <v>16.176674675272238</v>
      </c>
      <c r="BI48" s="348">
        <f>+PEG!BI110-Power!BI503-'PSE&amp;G'!BI189</f>
        <v>14.533088643797043</v>
      </c>
      <c r="BJ48" s="348">
        <f>+PEG!BJ110-Power!BJ503-'PSE&amp;G'!BJ189</f>
        <v>10.063605302393682</v>
      </c>
      <c r="BK48" s="405">
        <f>+PEG!BK110-Power!BK503-'PSE&amp;G'!BK189</f>
        <v>-7.4669917501551026</v>
      </c>
      <c r="BL48" s="451">
        <f>SUM(BH48:BK48)</f>
        <v>33.306376871307862</v>
      </c>
      <c r="BM48" s="406">
        <f>+PEG!BM110-Power!BM503-'PSE&amp;G'!BM189</f>
        <v>9.9481453730413705</v>
      </c>
      <c r="BN48" s="348">
        <f>+PEG!BN110-Power!BN503-'PSE&amp;G'!BN189</f>
        <v>14.698502567591902</v>
      </c>
      <c r="BO48" s="348">
        <f>+PEG!BO110-Power!BO503-'PSE&amp;G'!BO189</f>
        <v>7.4612683154874162</v>
      </c>
      <c r="BP48" s="405">
        <f>+PEG!BP110-Power!BP503-'PSE&amp;G'!BP189</f>
        <v>8.2930120518261674</v>
      </c>
      <c r="BQ48" s="451">
        <f>SUM(BM48:BP48)</f>
        <v>40.400928307946856</v>
      </c>
    </row>
    <row r="49" spans="3:69" s="2" customFormat="1">
      <c r="C49" s="2" t="s">
        <v>76</v>
      </c>
      <c r="E49" s="406">
        <f>+PEG!E111-Power!E504-'PSE&amp;G'!E190</f>
        <v>7</v>
      </c>
      <c r="F49" s="348">
        <f>+PEG!F111-Power!F504-'PSE&amp;G'!F190</f>
        <v>6</v>
      </c>
      <c r="G49" s="348">
        <f>+PEG!G111-Power!G504-'PSE&amp;G'!G190</f>
        <v>7</v>
      </c>
      <c r="H49" s="405">
        <f>+PEG!H111-Power!H504-'PSE&amp;G'!H190</f>
        <v>7</v>
      </c>
      <c r="I49" s="451">
        <f>SUM(E49:H49)</f>
        <v>27</v>
      </c>
      <c r="J49" s="406">
        <f>+PEG!J111-Power!J504-'PSE&amp;G'!J190</f>
        <v>7</v>
      </c>
      <c r="K49" s="348">
        <f>+PEG!K111-Power!K504-'PSE&amp;G'!K190</f>
        <v>8</v>
      </c>
      <c r="L49" s="348">
        <f>+PEG!L111-Power!L504-'PSE&amp;G'!L190</f>
        <v>8</v>
      </c>
      <c r="M49" s="405">
        <f>+PEG!M111-Power!M504-'PSE&amp;G'!M190</f>
        <v>7</v>
      </c>
      <c r="N49" s="451">
        <f>SUM(J49:M49)</f>
        <v>30</v>
      </c>
      <c r="O49" s="406">
        <f>+PEG!O111-Power!O504-'PSE&amp;G'!O190</f>
        <v>8</v>
      </c>
      <c r="P49" s="348">
        <f>+PEG!P111-Power!P504-'PSE&amp;G'!P190</f>
        <v>8</v>
      </c>
      <c r="Q49" s="348">
        <f>+PEG!Q111-Power!Q504-'PSE&amp;G'!Q190</f>
        <v>8</v>
      </c>
      <c r="R49" s="405">
        <f>+PEG!R111-Power!R504-'PSE&amp;G'!R190</f>
        <v>8</v>
      </c>
      <c r="S49" s="451">
        <f>SUM(O49:R49)</f>
        <v>32</v>
      </c>
      <c r="T49" s="406">
        <f>+PEG!T111-Power!T504-'PSE&amp;G'!T190</f>
        <v>9</v>
      </c>
      <c r="U49" s="348">
        <f>+PEG!U111-Power!U504-'PSE&amp;G'!U190</f>
        <v>9</v>
      </c>
      <c r="V49" s="348">
        <f>+PEG!V111-Power!V504-'PSE&amp;G'!V190</f>
        <v>10</v>
      </c>
      <c r="W49" s="405">
        <f>+PEG!W111-Power!W504-'PSE&amp;G'!W190</f>
        <v>11</v>
      </c>
      <c r="X49" s="451">
        <f>SUM(T49:W49)</f>
        <v>39</v>
      </c>
      <c r="Y49" s="406">
        <f>+PEG!Y111-Power!Y504-'PSE&amp;G'!Y190</f>
        <v>11</v>
      </c>
      <c r="Z49" s="348">
        <f>+PEG!Z111-Power!Z504-'PSE&amp;G'!Z190</f>
        <v>11</v>
      </c>
      <c r="AA49" s="342">
        <f>+PEG!AA111-Power!AA504-'PSE&amp;G'!AA190</f>
        <v>11</v>
      </c>
      <c r="AB49" s="395">
        <f>+PEG!AB111-Power!AB504-'PSE&amp;G'!AB190</f>
        <v>0</v>
      </c>
      <c r="AC49" s="77">
        <f>SUM(Y49:AB49)</f>
        <v>33</v>
      </c>
      <c r="AD49" s="406">
        <f>+PEG!AD111-Power!AD504-'PSE&amp;G'!AD190</f>
        <v>7</v>
      </c>
      <c r="AE49" s="348">
        <f>+PEG!AE111-Power!AE504-'PSE&amp;G'!AE190</f>
        <v>6</v>
      </c>
      <c r="AF49" s="348">
        <f>+PEG!AF111-Power!AF504-'PSE&amp;G'!AF190</f>
        <v>9</v>
      </c>
      <c r="AG49" s="405">
        <f>+PEG!AG111-Power!AG504-'PSE&amp;G'!AG190</f>
        <v>7</v>
      </c>
      <c r="AH49" s="451">
        <f>SUM(AD49:AG49)</f>
        <v>29</v>
      </c>
      <c r="AI49" s="406">
        <f>+PEG!AI111-Power!AI504-'PSE&amp;G'!AI190</f>
        <v>7</v>
      </c>
      <c r="AJ49" s="348">
        <f>+PEG!AJ111-Power!AJ504-'PSE&amp;G'!AJ190</f>
        <v>8</v>
      </c>
      <c r="AK49" s="348">
        <f>+PEG!AK111-Power!AK504-'PSE&amp;G'!AK190</f>
        <v>7</v>
      </c>
      <c r="AL49" s="405">
        <f>+PEG!AL111-Power!AL504-'PSE&amp;G'!AL190</f>
        <v>9</v>
      </c>
      <c r="AM49" s="451">
        <f>SUM(AI49:AL49)</f>
        <v>31</v>
      </c>
      <c r="AN49" s="406">
        <f>+PEG!AN111-Power!AN504-'PSE&amp;G'!AN190</f>
        <v>6</v>
      </c>
      <c r="AO49" s="348">
        <f>+PEG!AO111-Power!AO504-'PSE&amp;G'!AO190</f>
        <v>8</v>
      </c>
      <c r="AP49" s="348">
        <f>+PEG!AP111-Power!AP504-'PSE&amp;G'!AP190</f>
        <v>8</v>
      </c>
      <c r="AQ49" s="405">
        <f>+PEG!AQ111-Power!AQ504-'PSE&amp;G'!AQ190</f>
        <v>8</v>
      </c>
      <c r="AR49" s="451">
        <f>SUM(AN49:AQ49)</f>
        <v>30</v>
      </c>
      <c r="AS49" s="406">
        <f>+PEG!AS111-Power!AS504-'PSE&amp;G'!AS190</f>
        <v>7</v>
      </c>
      <c r="AT49" s="348">
        <f>+PEG!AT111-Power!AT504-'PSE&amp;G'!AT190</f>
        <v>10</v>
      </c>
      <c r="AU49" s="348">
        <f>+PEG!AU111-Power!AU504-'PSE&amp;G'!AU190</f>
        <v>7</v>
      </c>
      <c r="AV49" s="405">
        <f>+PEG!AV111-Power!AV504-'PSE&amp;G'!AV190</f>
        <v>9</v>
      </c>
      <c r="AW49" s="451">
        <f>SUM(AS49:AV49)</f>
        <v>33</v>
      </c>
      <c r="AX49" s="406">
        <f>+PEG!AX111-Power!AX504-'PSE&amp;G'!AX190</f>
        <v>0</v>
      </c>
      <c r="AY49" s="348">
        <f>+PEG!AY111-Power!AY504-'PSE&amp;G'!AY190</f>
        <v>0</v>
      </c>
      <c r="AZ49" s="348">
        <f>+PEG!AZ111-Power!AZ504-'PSE&amp;G'!AZ190</f>
        <v>0</v>
      </c>
      <c r="BA49" s="405">
        <f>+PEG!BA111-Power!BA504-'PSE&amp;G'!BA190</f>
        <v>0</v>
      </c>
      <c r="BB49" s="451">
        <f>SUM(AX49:BA49)</f>
        <v>0</v>
      </c>
      <c r="BC49" s="406">
        <f>+PEG!BC111-Power!BC504-'PSE&amp;G'!BC190</f>
        <v>0</v>
      </c>
      <c r="BD49" s="348">
        <f>+PEG!BD111-Power!BD504-'PSE&amp;G'!BD190</f>
        <v>0</v>
      </c>
      <c r="BE49" s="348">
        <f>+PEG!BE111-Power!BE504-'PSE&amp;G'!BE190</f>
        <v>0</v>
      </c>
      <c r="BF49" s="405">
        <f>+PEG!BF111-Power!BF504-'PSE&amp;G'!BF190</f>
        <v>0</v>
      </c>
      <c r="BG49" s="451">
        <f>SUM(BC49:BF49)</f>
        <v>0</v>
      </c>
      <c r="BH49" s="406">
        <f>+PEG!BH111-Power!BH504-'PSE&amp;G'!BH190</f>
        <v>0</v>
      </c>
      <c r="BI49" s="348">
        <f>+PEG!BI111-Power!BI504-'PSE&amp;G'!BI190</f>
        <v>0</v>
      </c>
      <c r="BJ49" s="348">
        <f>+PEG!BJ111-Power!BJ504-'PSE&amp;G'!BJ190</f>
        <v>0</v>
      </c>
      <c r="BK49" s="405">
        <f>+PEG!BK111-Power!BK504-'PSE&amp;G'!BK190</f>
        <v>0</v>
      </c>
      <c r="BL49" s="451">
        <f>SUM(BH49:BK49)</f>
        <v>0</v>
      </c>
      <c r="BM49" s="406">
        <f>+PEG!BM111-Power!BM504-'PSE&amp;G'!BM190</f>
        <v>0</v>
      </c>
      <c r="BN49" s="348">
        <f>+PEG!BN111-Power!BN504-'PSE&amp;G'!BN190</f>
        <v>0</v>
      </c>
      <c r="BO49" s="348">
        <f>+PEG!BO111-Power!BO504-'PSE&amp;G'!BO190</f>
        <v>0</v>
      </c>
      <c r="BP49" s="405">
        <f>+PEG!BP111-Power!BP504-'PSE&amp;G'!BP190</f>
        <v>0</v>
      </c>
      <c r="BQ49" s="451">
        <f>SUM(BM49:BP49)</f>
        <v>0</v>
      </c>
    </row>
    <row r="50" spans="3:69" s="2" customFormat="1">
      <c r="C50" s="37" t="s">
        <v>483</v>
      </c>
      <c r="E50" s="406">
        <f>+PEG!E112-Power!E505-'PSE&amp;G'!E191</f>
        <v>-1</v>
      </c>
      <c r="F50" s="348">
        <f>+PEG!F112-Power!F505-'PSE&amp;G'!F191</f>
        <v>10</v>
      </c>
      <c r="G50" s="348">
        <f>+PEG!G112-Power!G505-'PSE&amp;G'!G191</f>
        <v>-4</v>
      </c>
      <c r="H50" s="405">
        <f>+PEG!H112-Power!H505-'PSE&amp;G'!H191</f>
        <v>-6</v>
      </c>
      <c r="I50" s="451">
        <f>SUM(E50:H50)</f>
        <v>-1</v>
      </c>
      <c r="J50" s="406">
        <f>+PEG!J112-Power!J505-'PSE&amp;G'!J191</f>
        <v>-1</v>
      </c>
      <c r="K50" s="348">
        <f>+PEG!K112-Power!K505-'PSE&amp;G'!K191</f>
        <v>19</v>
      </c>
      <c r="L50" s="348">
        <f>+PEG!L112-Power!L505-'PSE&amp;G'!L191</f>
        <v>1</v>
      </c>
      <c r="M50" s="405">
        <f>+PEG!M112-Power!M505-'PSE&amp;G'!M191</f>
        <v>-7</v>
      </c>
      <c r="N50" s="451">
        <f>SUM(J50:M50)</f>
        <v>12</v>
      </c>
      <c r="O50" s="406">
        <f>+PEG!O112-Power!O505-'PSE&amp;G'!O191</f>
        <v>-5</v>
      </c>
      <c r="P50" s="348">
        <f>+PEG!P112-Power!P505-'PSE&amp;G'!P191</f>
        <v>4</v>
      </c>
      <c r="Q50" s="348">
        <f>+PEG!Q112-Power!Q505-'PSE&amp;G'!Q191</f>
        <v>-7</v>
      </c>
      <c r="R50" s="405">
        <f>+PEG!R112-Power!R505-'PSE&amp;G'!R191</f>
        <v>17</v>
      </c>
      <c r="S50" s="451">
        <f>SUM(O50:R50)</f>
        <v>9</v>
      </c>
      <c r="T50" s="406">
        <f>+PEG!T112-Power!T505-'PSE&amp;G'!T191</f>
        <v>-97</v>
      </c>
      <c r="U50" s="348">
        <f>+PEG!U112-Power!U505-'PSE&amp;G'!U191</f>
        <v>3</v>
      </c>
      <c r="V50" s="348">
        <f>+PEG!V112-Power!V505-'PSE&amp;G'!V191</f>
        <v>-5</v>
      </c>
      <c r="W50" s="405">
        <f>+PEG!W112-Power!W505-'PSE&amp;G'!W191</f>
        <v>36</v>
      </c>
      <c r="X50" s="451">
        <f>SUM(T50:W50)</f>
        <v>-63</v>
      </c>
      <c r="Y50" s="406">
        <f>+PEG!Y112-Power!Y505-'PSE&amp;G'!Y191</f>
        <v>-1</v>
      </c>
      <c r="Z50" s="348">
        <f>+PEG!Z112-Power!Z505-'PSE&amp;G'!Z191</f>
        <v>-2</v>
      </c>
      <c r="AA50" s="342">
        <f>+PEG!AA112-Power!AA505-'PSE&amp;G'!AA191</f>
        <v>-4</v>
      </c>
      <c r="AB50" s="395">
        <f>+PEG!AB112-Power!AB505-'PSE&amp;G'!AB191</f>
        <v>-43</v>
      </c>
      <c r="AC50" s="77">
        <f>SUM(Y50:AB50)</f>
        <v>-50</v>
      </c>
      <c r="AD50" s="406">
        <f>+PEG!AD112-Power!AD505-'PSE&amp;G'!AD191</f>
        <v>1</v>
      </c>
      <c r="AE50" s="348">
        <f>+PEG!AE112-Power!AE505-'PSE&amp;G'!AE191</f>
        <v>18</v>
      </c>
      <c r="AF50" s="348">
        <f>+PEG!AF112-Power!AF505-'PSE&amp;G'!AF191</f>
        <v>-14</v>
      </c>
      <c r="AG50" s="405">
        <f>+PEG!AG112-Power!AG505-'PSE&amp;G'!AG191</f>
        <v>-21</v>
      </c>
      <c r="AH50" s="451">
        <f>SUM(AD50:AG50)</f>
        <v>-16</v>
      </c>
      <c r="AI50" s="406">
        <f>+PEG!AI112-Power!AI505-'PSE&amp;G'!AI191</f>
        <v>-3</v>
      </c>
      <c r="AJ50" s="348">
        <f>+PEG!AJ112-Power!AJ505-'PSE&amp;G'!AJ191</f>
        <v>30</v>
      </c>
      <c r="AK50" s="348">
        <f>+PEG!AK112-Power!AK505-'PSE&amp;G'!AK191</f>
        <v>-2</v>
      </c>
      <c r="AL50" s="405">
        <f>+PEG!AL112-Power!AL505-'PSE&amp;G'!AL191</f>
        <v>13</v>
      </c>
      <c r="AM50" s="451">
        <f>SUM(AI50:AL50)</f>
        <v>38</v>
      </c>
      <c r="AN50" s="406">
        <f>+PEG!AN112-Power!AN505-'PSE&amp;G'!AN191</f>
        <v>1</v>
      </c>
      <c r="AO50" s="348">
        <f>+PEG!AO112-Power!AO505-'PSE&amp;G'!AO191</f>
        <v>6</v>
      </c>
      <c r="AP50" s="348">
        <f>+PEG!AP112-Power!AP505-'PSE&amp;G'!AP191</f>
        <v>-10</v>
      </c>
      <c r="AQ50" s="405">
        <f>+PEG!AQ112-Power!AQ505-'PSE&amp;G'!AQ191</f>
        <v>27</v>
      </c>
      <c r="AR50" s="451">
        <f>SUM(AN50:AQ50)</f>
        <v>24</v>
      </c>
      <c r="AS50" s="406">
        <f>+PEG!AS112-Power!AS505-'PSE&amp;G'!AS191</f>
        <v>-19</v>
      </c>
      <c r="AT50" s="348">
        <f>+PEG!AT112-Power!AT505-'PSE&amp;G'!AT191</f>
        <v>6</v>
      </c>
      <c r="AU50" s="348">
        <f>+PEG!AU112-Power!AU505-'PSE&amp;G'!AU191</f>
        <v>2</v>
      </c>
      <c r="AV50" s="405">
        <f>+PEG!AV112-Power!AV505-'PSE&amp;G'!AV191</f>
        <v>35</v>
      </c>
      <c r="AW50" s="451">
        <f>SUM(AS50:AV50)</f>
        <v>24</v>
      </c>
      <c r="AX50" s="406">
        <f>+PEG!AX112-Power!AX505-'PSE&amp;G'!AX191</f>
        <v>0</v>
      </c>
      <c r="AY50" s="348">
        <f>+PEG!AY112-Power!AY505-'PSE&amp;G'!AY191</f>
        <v>0</v>
      </c>
      <c r="AZ50" s="348">
        <f>+PEG!AZ112-Power!AZ505-'PSE&amp;G'!AZ191</f>
        <v>0</v>
      </c>
      <c r="BA50" s="405">
        <f>+PEG!BA112-Power!BA505-'PSE&amp;G'!BA191</f>
        <v>0</v>
      </c>
      <c r="BB50" s="451">
        <f>SUM(AX50:BA50)</f>
        <v>0</v>
      </c>
      <c r="BC50" s="406">
        <f>+PEG!BC112-Power!BC505-'PSE&amp;G'!BC191</f>
        <v>0</v>
      </c>
      <c r="BD50" s="348">
        <f>+PEG!BD112-Power!BD505-'PSE&amp;G'!BD191</f>
        <v>0</v>
      </c>
      <c r="BE50" s="348">
        <f>+PEG!BE112-Power!BE505-'PSE&amp;G'!BE191</f>
        <v>0</v>
      </c>
      <c r="BF50" s="405">
        <f>+PEG!BF112-Power!BF505-'PSE&amp;G'!BF191</f>
        <v>0</v>
      </c>
      <c r="BG50" s="451">
        <f>SUM(BC50:BF50)</f>
        <v>0</v>
      </c>
      <c r="BH50" s="406">
        <f>+PEG!BH112-Power!BH505-'PSE&amp;G'!BH191</f>
        <v>0</v>
      </c>
      <c r="BI50" s="348">
        <f>+PEG!BI112-Power!BI505-'PSE&amp;G'!BI191</f>
        <v>0</v>
      </c>
      <c r="BJ50" s="348">
        <f>+PEG!BJ112-Power!BJ505-'PSE&amp;G'!BJ191</f>
        <v>0</v>
      </c>
      <c r="BK50" s="405">
        <f>+PEG!BK112-Power!BK505-'PSE&amp;G'!BK191</f>
        <v>0</v>
      </c>
      <c r="BL50" s="451">
        <f>SUM(BH50:BK50)</f>
        <v>0</v>
      </c>
      <c r="BM50" s="406">
        <f>+PEG!BM112-Power!BM505-'PSE&amp;G'!BM191</f>
        <v>0</v>
      </c>
      <c r="BN50" s="348">
        <f>+PEG!BN112-Power!BN505-'PSE&amp;G'!BN191</f>
        <v>0</v>
      </c>
      <c r="BO50" s="348">
        <f>+PEG!BO112-Power!BO505-'PSE&amp;G'!BO191</f>
        <v>0</v>
      </c>
      <c r="BP50" s="405">
        <f>+PEG!BP112-Power!BP505-'PSE&amp;G'!BP191</f>
        <v>0</v>
      </c>
      <c r="BQ50" s="451">
        <f>SUM(BM50:BP50)</f>
        <v>0</v>
      </c>
    </row>
    <row r="51" spans="3:69" s="2" customFormat="1">
      <c r="C51" s="2" t="s">
        <v>71</v>
      </c>
      <c r="E51" s="406">
        <f>+PEG!E113-Power!E506-'PSE&amp;G'!E192</f>
        <v>-149</v>
      </c>
      <c r="F51" s="348">
        <f>+PEG!F113-Power!F506-'PSE&amp;G'!F192</f>
        <v>-460</v>
      </c>
      <c r="G51" s="348">
        <f>+PEG!G113-Power!G506-'PSE&amp;G'!G192</f>
        <v>-204</v>
      </c>
      <c r="H51" s="405">
        <f>+PEG!H113-Power!H506-'PSE&amp;G'!H192</f>
        <v>-488</v>
      </c>
      <c r="I51" s="451">
        <f>SUM(E51:H51)</f>
        <v>-1301</v>
      </c>
      <c r="J51" s="406">
        <f>+PEG!J113-Power!J506-'PSE&amp;G'!J192</f>
        <v>-148</v>
      </c>
      <c r="K51" s="348">
        <f>+PEG!K113-Power!K506-'PSE&amp;G'!K192</f>
        <v>-61</v>
      </c>
      <c r="L51" s="348">
        <f>+PEG!L113-Power!L506-'PSE&amp;G'!L192</f>
        <v>-245</v>
      </c>
      <c r="M51" s="405">
        <f>+PEG!M113-Power!M506-'PSE&amp;G'!M192</f>
        <v>-275</v>
      </c>
      <c r="N51" s="451">
        <f>SUM(J51:M51)</f>
        <v>-729</v>
      </c>
      <c r="O51" s="406">
        <f>+PEG!O113-Power!O506-'PSE&amp;G'!O192</f>
        <v>-42</v>
      </c>
      <c r="P51" s="348">
        <f>+PEG!P113-Power!P506-'PSE&amp;G'!P192</f>
        <v>-8</v>
      </c>
      <c r="Q51" s="348">
        <f>+PEG!Q113-Power!Q506-'PSE&amp;G'!Q192</f>
        <v>185</v>
      </c>
      <c r="R51" s="405">
        <f>+PEG!R113-Power!R506-'PSE&amp;G'!R192</f>
        <v>-736</v>
      </c>
      <c r="S51" s="451">
        <f>SUM(O51:R51)</f>
        <v>-601</v>
      </c>
      <c r="T51" s="406">
        <f>+PEG!T113-Power!T506-'PSE&amp;G'!T192</f>
        <v>160</v>
      </c>
      <c r="U51" s="348">
        <f>+PEG!U113-Power!U506-'PSE&amp;G'!U192</f>
        <v>-247</v>
      </c>
      <c r="V51" s="348">
        <f>+PEG!V113-Power!V506-'PSE&amp;G'!V192</f>
        <v>38</v>
      </c>
      <c r="W51" s="405">
        <f>+PEG!W113-Power!W506-'PSE&amp;G'!W192</f>
        <v>-150</v>
      </c>
      <c r="X51" s="451">
        <f>SUM(T51:W51)</f>
        <v>-199</v>
      </c>
      <c r="Y51" s="406">
        <f>+PEG!Y113-Power!Y506-'PSE&amp;G'!Y192</f>
        <v>0</v>
      </c>
      <c r="Z51" s="348">
        <f>+PEG!Z113-Power!Z506-'PSE&amp;G'!Z192</f>
        <v>27</v>
      </c>
      <c r="AA51" s="342">
        <f>+PEG!AA113-Power!AA506-'PSE&amp;G'!AA192</f>
        <v>178</v>
      </c>
      <c r="AB51" s="395">
        <f>+PEG!AB113-Power!AB506-'PSE&amp;G'!AB192</f>
        <v>-124</v>
      </c>
      <c r="AC51" s="77">
        <f>SUM(Y51:AB51)</f>
        <v>81</v>
      </c>
      <c r="AD51" s="406">
        <f>+PEG!AD113-Power!AD506-'PSE&amp;G'!AD192</f>
        <v>0</v>
      </c>
      <c r="AE51" s="348">
        <f>+PEG!AE113-Power!AE506-'PSE&amp;G'!AE192</f>
        <v>21</v>
      </c>
      <c r="AF51" s="348">
        <f>+PEG!AF113-Power!AF506-'PSE&amp;G'!AF192</f>
        <v>-117</v>
      </c>
      <c r="AG51" s="405">
        <f>+PEG!AG113-Power!AG506-'PSE&amp;G'!AG192</f>
        <v>75</v>
      </c>
      <c r="AH51" s="451">
        <f>SUM(AD51:AG51)</f>
        <v>-21</v>
      </c>
      <c r="AI51" s="406">
        <f>+PEG!AI113-Power!AI506-'PSE&amp;G'!AI192</f>
        <v>6</v>
      </c>
      <c r="AJ51" s="348">
        <f>+PEG!AJ113-Power!AJ506-'PSE&amp;G'!AJ192</f>
        <v>-12</v>
      </c>
      <c r="AK51" s="348">
        <f>+PEG!AK113-Power!AK506-'PSE&amp;G'!AK192</f>
        <v>44</v>
      </c>
      <c r="AL51" s="405">
        <f>+PEG!AL113-Power!AL506-'PSE&amp;G'!AL192</f>
        <v>-66</v>
      </c>
      <c r="AM51" s="451">
        <f>SUM(AI51:AL51)</f>
        <v>-28</v>
      </c>
      <c r="AN51" s="406">
        <f>+PEG!AN113-Power!AN506-'PSE&amp;G'!AN192</f>
        <v>1</v>
      </c>
      <c r="AO51" s="348">
        <f>+PEG!AO113-Power!AO506-'PSE&amp;G'!AO192</f>
        <v>-42</v>
      </c>
      <c r="AP51" s="348">
        <f>+PEG!AP113-Power!AP506-'PSE&amp;G'!AP192</f>
        <v>101</v>
      </c>
      <c r="AQ51" s="405">
        <f>+PEG!AQ113-Power!AQ506-'PSE&amp;G'!AQ192</f>
        <v>96</v>
      </c>
      <c r="AR51" s="451">
        <f>SUM(AN51:AQ51)</f>
        <v>156</v>
      </c>
      <c r="AS51" s="406">
        <f>+PEG!AS113-Power!AS506-'PSE&amp;G'!AS192</f>
        <v>64</v>
      </c>
      <c r="AT51" s="348">
        <f>+PEG!AT113-Power!AT506-'PSE&amp;G'!AT192</f>
        <v>-58</v>
      </c>
      <c r="AU51" s="348">
        <f>+PEG!AU113-Power!AU506-'PSE&amp;G'!AU192</f>
        <v>119</v>
      </c>
      <c r="AV51" s="405">
        <f>+PEG!AV113-Power!AV506-'PSE&amp;G'!AV192</f>
        <v>-140</v>
      </c>
      <c r="AW51" s="451">
        <f>SUM(AS51:AV51)</f>
        <v>-15</v>
      </c>
      <c r="AX51" s="406">
        <f>+PEG!AX113-Power!AX506-'PSE&amp;G'!AX192</f>
        <v>0</v>
      </c>
      <c r="AY51" s="348">
        <f>+PEG!AY113-Power!AY506-'PSE&amp;G'!AY192</f>
        <v>0</v>
      </c>
      <c r="AZ51" s="348">
        <f>+PEG!AZ113-Power!AZ506-'PSE&amp;G'!AZ192</f>
        <v>0</v>
      </c>
      <c r="BA51" s="405">
        <f>+PEG!BA113-Power!BA506-'PSE&amp;G'!BA192</f>
        <v>0</v>
      </c>
      <c r="BB51" s="451">
        <f>SUM(AX51:BA51)</f>
        <v>0</v>
      </c>
      <c r="BC51" s="406">
        <f>+PEG!BC113-Power!BC506-'PSE&amp;G'!BC192</f>
        <v>0</v>
      </c>
      <c r="BD51" s="348">
        <f>+PEG!BD113-Power!BD506-'PSE&amp;G'!BD192</f>
        <v>0</v>
      </c>
      <c r="BE51" s="348">
        <f>+PEG!BE113-Power!BE506-'PSE&amp;G'!BE192</f>
        <v>0</v>
      </c>
      <c r="BF51" s="405">
        <f>+PEG!BF113-Power!BF506-'PSE&amp;G'!BF192</f>
        <v>0</v>
      </c>
      <c r="BG51" s="451">
        <f>SUM(BC51:BF51)</f>
        <v>0</v>
      </c>
      <c r="BH51" s="406">
        <f>+PEG!BH113-Power!BH506-'PSE&amp;G'!BH192</f>
        <v>0</v>
      </c>
      <c r="BI51" s="348">
        <f>+PEG!BI113-Power!BI506-'PSE&amp;G'!BI192</f>
        <v>0</v>
      </c>
      <c r="BJ51" s="348">
        <f>+PEG!BJ113-Power!BJ506-'PSE&amp;G'!BJ192</f>
        <v>0</v>
      </c>
      <c r="BK51" s="405">
        <f>+PEG!BK113-Power!BK506-'PSE&amp;G'!BK192</f>
        <v>0</v>
      </c>
      <c r="BL51" s="451">
        <f>SUM(BH51:BK51)</f>
        <v>0</v>
      </c>
      <c r="BM51" s="406">
        <f>+PEG!BM113-Power!BM506-'PSE&amp;G'!BM192</f>
        <v>0</v>
      </c>
      <c r="BN51" s="348">
        <f>+PEG!BN113-Power!BN506-'PSE&amp;G'!BN192</f>
        <v>0</v>
      </c>
      <c r="BO51" s="348">
        <f>+PEG!BO113-Power!BO506-'PSE&amp;G'!BO192</f>
        <v>0</v>
      </c>
      <c r="BP51" s="405">
        <f>+PEG!BP113-Power!BP506-'PSE&amp;G'!BP192</f>
        <v>0</v>
      </c>
      <c r="BQ51" s="451">
        <f>SUM(BM51:BP51)</f>
        <v>0</v>
      </c>
    </row>
    <row r="52" spans="3:69" s="2" customFormat="1">
      <c r="C52" s="2" t="s">
        <v>486</v>
      </c>
      <c r="E52" s="406">
        <f>+PEG!E114-Power!E507-'PSE&amp;G'!E193</f>
        <v>70</v>
      </c>
      <c r="F52" s="348">
        <f>+PEG!F114-Power!F507-'PSE&amp;G'!F193</f>
        <v>190</v>
      </c>
      <c r="G52" s="348">
        <f>+PEG!G114-Power!G507-'PSE&amp;G'!G193</f>
        <v>-26</v>
      </c>
      <c r="H52" s="405">
        <f>+PEG!H114-Power!H507-'PSE&amp;G'!H193</f>
        <v>203</v>
      </c>
      <c r="I52" s="451">
        <f>SUM(E52:H52)</f>
        <v>437</v>
      </c>
      <c r="J52" s="406">
        <f>+PEG!J114-Power!J507-'PSE&amp;G'!J193</f>
        <v>97</v>
      </c>
      <c r="K52" s="348">
        <f>+PEG!K114-Power!K507-'PSE&amp;G'!K193</f>
        <v>-160</v>
      </c>
      <c r="L52" s="348">
        <f>+PEG!L114-Power!L507-'PSE&amp;G'!L193</f>
        <v>77</v>
      </c>
      <c r="M52" s="405">
        <f>+PEG!M114-Power!M507-'PSE&amp;G'!M193</f>
        <v>198</v>
      </c>
      <c r="N52" s="451">
        <f>SUM(J52:M52)</f>
        <v>212</v>
      </c>
      <c r="O52" s="406">
        <f>+PEG!O114-Power!O507-'PSE&amp;G'!O193</f>
        <v>20</v>
      </c>
      <c r="P52" s="348">
        <f>+PEG!P114-Power!P507-'PSE&amp;G'!P193</f>
        <v>-27</v>
      </c>
      <c r="Q52" s="348">
        <f>+PEG!Q114-Power!Q507-'PSE&amp;G'!Q193</f>
        <v>56</v>
      </c>
      <c r="R52" s="405">
        <f>+PEG!R114-Power!R507-'PSE&amp;G'!R193</f>
        <v>596</v>
      </c>
      <c r="S52" s="451">
        <f>SUM(O52:R52)</f>
        <v>645</v>
      </c>
      <c r="T52" s="406">
        <f>+PEG!T114-Power!T507-'PSE&amp;G'!T193</f>
        <v>-124</v>
      </c>
      <c r="U52" s="348">
        <f>+PEG!U114-Power!U507-'PSE&amp;G'!U193</f>
        <v>305</v>
      </c>
      <c r="V52" s="348">
        <f>+PEG!V114-Power!V507-'PSE&amp;G'!V193</f>
        <v>-23</v>
      </c>
      <c r="W52" s="405">
        <f>+PEG!W114-Power!W507-'PSE&amp;G'!W193</f>
        <v>117</v>
      </c>
      <c r="X52" s="451">
        <f>SUM(T52:W52)</f>
        <v>275</v>
      </c>
      <c r="Y52" s="406">
        <f>+PEG!Y114-Power!Y507-'PSE&amp;G'!Y193</f>
        <v>-38</v>
      </c>
      <c r="Z52" s="348">
        <f>+PEG!Z114-Power!Z507-'PSE&amp;G'!Z193</f>
        <v>48</v>
      </c>
      <c r="AA52" s="342">
        <f>+PEG!AA114-Power!AA507-'PSE&amp;G'!AA193</f>
        <v>-152</v>
      </c>
      <c r="AB52" s="395">
        <f>+PEG!AB114-Power!AB507-'PSE&amp;G'!AB193</f>
        <v>257</v>
      </c>
      <c r="AC52" s="77">
        <f>SUM(Y52:AB52)</f>
        <v>115</v>
      </c>
      <c r="AD52" s="406">
        <f>+PEG!AD114-Power!AD507-'PSE&amp;G'!AD193</f>
        <v>-153</v>
      </c>
      <c r="AE52" s="348">
        <f>+PEG!AE114-Power!AE507-'PSE&amp;G'!AE193</f>
        <v>-18</v>
      </c>
      <c r="AF52" s="348">
        <f>+PEG!AF114-Power!AF507-'PSE&amp;G'!AF193</f>
        <v>286</v>
      </c>
      <c r="AG52" s="405">
        <f>+PEG!AG114-Power!AG507-'PSE&amp;G'!AG193</f>
        <v>-238</v>
      </c>
      <c r="AH52" s="451">
        <f>SUM(AD52:AG52)</f>
        <v>-123</v>
      </c>
      <c r="AI52" s="406">
        <f>+PEG!AI114-Power!AI507-'PSE&amp;G'!AI193</f>
        <v>133</v>
      </c>
      <c r="AJ52" s="348">
        <f>+PEG!AJ114-Power!AJ507-'PSE&amp;G'!AJ193</f>
        <v>-157</v>
      </c>
      <c r="AK52" s="348">
        <f>+PEG!AK114-Power!AK507-'PSE&amp;G'!AK193</f>
        <v>59</v>
      </c>
      <c r="AL52" s="405">
        <f>+PEG!AL114-Power!AL507-'PSE&amp;G'!AL193</f>
        <v>-24</v>
      </c>
      <c r="AM52" s="451">
        <f>SUM(AI52:AL52)</f>
        <v>11</v>
      </c>
      <c r="AN52" s="406">
        <f>+PEG!AN114-Power!AN507-'PSE&amp;G'!AN193</f>
        <v>-42</v>
      </c>
      <c r="AO52" s="348">
        <f>+PEG!AO114-Power!AO507-'PSE&amp;G'!AO193</f>
        <v>23</v>
      </c>
      <c r="AP52" s="348">
        <f>+PEG!AP114-Power!AP507-'PSE&amp;G'!AP193</f>
        <v>71</v>
      </c>
      <c r="AQ52" s="405">
        <f>+PEG!AQ114-Power!AQ507-'PSE&amp;G'!AQ193</f>
        <v>-80</v>
      </c>
      <c r="AR52" s="451">
        <f>SUM(AN52:AQ52)</f>
        <v>-28</v>
      </c>
      <c r="AS52" s="406">
        <f>+PEG!AS114-Power!AS507-'PSE&amp;G'!AS193</f>
        <v>65</v>
      </c>
      <c r="AT52" s="348">
        <f>+PEG!AT114-Power!AT507-'PSE&amp;G'!AT193</f>
        <v>-4</v>
      </c>
      <c r="AU52" s="348">
        <f>+PEG!AU114-Power!AU507-'PSE&amp;G'!AU193</f>
        <v>-103</v>
      </c>
      <c r="AV52" s="405">
        <f>+PEG!AV114-Power!AV507-'PSE&amp;G'!AV193</f>
        <v>-26</v>
      </c>
      <c r="AW52" s="451">
        <f>SUM(AS52:AV52)</f>
        <v>-68</v>
      </c>
      <c r="AX52" s="406">
        <f>+PEG!AX114-Power!AX507-'PSE&amp;G'!AX193</f>
        <v>0</v>
      </c>
      <c r="AY52" s="348">
        <f>+PEG!AY114-Power!AY507-'PSE&amp;G'!AY193</f>
        <v>0</v>
      </c>
      <c r="AZ52" s="348">
        <f>+PEG!AZ114-Power!AZ507-'PSE&amp;G'!AZ193</f>
        <v>0</v>
      </c>
      <c r="BA52" s="405">
        <f>+PEG!BA114-Power!BA507-'PSE&amp;G'!BA193</f>
        <v>0</v>
      </c>
      <c r="BB52" s="451">
        <f>SUM(AX52:BA52)</f>
        <v>0</v>
      </c>
      <c r="BC52" s="406">
        <f>+PEG!BC114-Power!BC507-'PSE&amp;G'!BC193</f>
        <v>0</v>
      </c>
      <c r="BD52" s="348">
        <f>+PEG!BD114-Power!BD507-'PSE&amp;G'!BD193</f>
        <v>0</v>
      </c>
      <c r="BE52" s="348">
        <f>+PEG!BE114-Power!BE507-'PSE&amp;G'!BE193</f>
        <v>0</v>
      </c>
      <c r="BF52" s="405">
        <f>+PEG!BF114-Power!BF507-'PSE&amp;G'!BF193</f>
        <v>0</v>
      </c>
      <c r="BG52" s="451">
        <f>SUM(BC52:BF52)</f>
        <v>0</v>
      </c>
      <c r="BH52" s="406">
        <f>+PEG!BH114-Power!BH507-'PSE&amp;G'!BH193</f>
        <v>0</v>
      </c>
      <c r="BI52" s="348">
        <f>+PEG!BI114-Power!BI507-'PSE&amp;G'!BI193</f>
        <v>0</v>
      </c>
      <c r="BJ52" s="348">
        <f>+PEG!BJ114-Power!BJ507-'PSE&amp;G'!BJ193</f>
        <v>0</v>
      </c>
      <c r="BK52" s="405">
        <f>+PEG!BK114-Power!BK507-'PSE&amp;G'!BK193</f>
        <v>0</v>
      </c>
      <c r="BL52" s="451">
        <f>SUM(BH52:BK52)</f>
        <v>0</v>
      </c>
      <c r="BM52" s="406">
        <f>+PEG!BM114-Power!BM507-'PSE&amp;G'!BM193</f>
        <v>0</v>
      </c>
      <c r="BN52" s="348">
        <f>+PEG!BN114-Power!BN507-'PSE&amp;G'!BN193</f>
        <v>0</v>
      </c>
      <c r="BO52" s="348">
        <f>+PEG!BO114-Power!BO507-'PSE&amp;G'!BO193</f>
        <v>0</v>
      </c>
      <c r="BP52" s="405">
        <f>+PEG!BP114-Power!BP507-'PSE&amp;G'!BP193</f>
        <v>0</v>
      </c>
      <c r="BQ52" s="451">
        <f>SUM(BM52:BP52)</f>
        <v>0</v>
      </c>
    </row>
    <row r="53" spans="3:69" s="2" customFormat="1">
      <c r="C53" s="49" t="s">
        <v>85</v>
      </c>
      <c r="E53" s="390">
        <f t="shared" ref="E53:N53" si="71">SUM(E48:E52)</f>
        <v>-67</v>
      </c>
      <c r="F53" s="340">
        <f t="shared" si="71"/>
        <v>-234</v>
      </c>
      <c r="G53" s="340">
        <f t="shared" si="71"/>
        <v>-209</v>
      </c>
      <c r="H53" s="391">
        <f t="shared" si="71"/>
        <v>-250</v>
      </c>
      <c r="I53" s="464">
        <f t="shared" si="71"/>
        <v>-760</v>
      </c>
      <c r="J53" s="390">
        <f t="shared" si="71"/>
        <v>-36</v>
      </c>
      <c r="K53" s="340">
        <f t="shared" si="71"/>
        <v>-177</v>
      </c>
      <c r="L53" s="340">
        <f t="shared" si="71"/>
        <v>-131</v>
      </c>
      <c r="M53" s="391">
        <f t="shared" si="71"/>
        <v>-69</v>
      </c>
      <c r="N53" s="464">
        <f t="shared" si="71"/>
        <v>-413</v>
      </c>
      <c r="O53" s="390">
        <f t="shared" ref="O53:Z53" si="72">SUM(O48:O52)</f>
        <v>-18</v>
      </c>
      <c r="P53" s="340">
        <f t="shared" si="72"/>
        <v>-12</v>
      </c>
      <c r="Q53" s="340">
        <f t="shared" si="72"/>
        <v>80</v>
      </c>
      <c r="R53" s="391">
        <f t="shared" si="72"/>
        <v>-81</v>
      </c>
      <c r="S53" s="464">
        <f t="shared" si="72"/>
        <v>-31</v>
      </c>
      <c r="T53" s="390">
        <f t="shared" si="72"/>
        <v>-9</v>
      </c>
      <c r="U53" s="340">
        <f t="shared" si="72"/>
        <v>76</v>
      </c>
      <c r="V53" s="340">
        <f t="shared" si="72"/>
        <v>31</v>
      </c>
      <c r="W53" s="391">
        <f t="shared" si="72"/>
        <v>54</v>
      </c>
      <c r="X53" s="464">
        <f t="shared" si="72"/>
        <v>152</v>
      </c>
      <c r="Y53" s="390">
        <f t="shared" si="72"/>
        <v>-24</v>
      </c>
      <c r="Z53" s="340">
        <f t="shared" si="72"/>
        <v>92</v>
      </c>
      <c r="AA53" s="343">
        <f t="shared" ref="AA53:AF53" si="73">SUM(AA48:AA52)</f>
        <v>34</v>
      </c>
      <c r="AB53" s="397">
        <f t="shared" si="73"/>
        <v>64</v>
      </c>
      <c r="AC53" s="297">
        <f t="shared" si="73"/>
        <v>166</v>
      </c>
      <c r="AD53" s="390">
        <f t="shared" si="73"/>
        <v>-137</v>
      </c>
      <c r="AE53" s="340">
        <f t="shared" si="73"/>
        <v>34</v>
      </c>
      <c r="AF53" s="340">
        <f t="shared" si="73"/>
        <v>186</v>
      </c>
      <c r="AG53" s="391">
        <f>SUM(AG48:AG52)</f>
        <v>-181</v>
      </c>
      <c r="AH53" s="464">
        <f>SUM(AH48:AH52)</f>
        <v>-98</v>
      </c>
      <c r="AI53" s="390">
        <f t="shared" ref="AI53:AN53" si="74">SUM(AI48:AI52)</f>
        <v>152</v>
      </c>
      <c r="AJ53" s="340">
        <f t="shared" si="74"/>
        <v>-119</v>
      </c>
      <c r="AK53" s="340">
        <f t="shared" si="74"/>
        <v>119</v>
      </c>
      <c r="AL53" s="391">
        <f t="shared" si="74"/>
        <v>-64</v>
      </c>
      <c r="AM53" s="464">
        <f t="shared" si="74"/>
        <v>88</v>
      </c>
      <c r="AN53" s="390">
        <f t="shared" si="74"/>
        <v>-17</v>
      </c>
      <c r="AO53" s="340">
        <f t="shared" ref="AO53:AT53" si="75">SUM(AO48:AO52)</f>
        <v>14</v>
      </c>
      <c r="AP53" s="340">
        <f t="shared" si="75"/>
        <v>103</v>
      </c>
      <c r="AQ53" s="391">
        <f t="shared" si="75"/>
        <v>62</v>
      </c>
      <c r="AR53" s="464">
        <f t="shared" si="75"/>
        <v>162</v>
      </c>
      <c r="AS53" s="390">
        <f t="shared" si="75"/>
        <v>102</v>
      </c>
      <c r="AT53" s="340">
        <f t="shared" si="75"/>
        <v>-48</v>
      </c>
      <c r="AU53" s="340">
        <f t="shared" ref="AU53:BB53" si="76">SUM(AU48:AU52)</f>
        <v>38</v>
      </c>
      <c r="AV53" s="391">
        <f t="shared" si="76"/>
        <v>4</v>
      </c>
      <c r="AW53" s="464">
        <f t="shared" si="76"/>
        <v>96</v>
      </c>
      <c r="AX53" s="390">
        <f t="shared" si="76"/>
        <v>18.166847721505064</v>
      </c>
      <c r="AY53" s="340">
        <f t="shared" si="76"/>
        <v>12.091727390830187</v>
      </c>
      <c r="AZ53" s="340">
        <f t="shared" si="76"/>
        <v>16.83238261787659</v>
      </c>
      <c r="BA53" s="391">
        <f t="shared" si="76"/>
        <v>-7.5610926989498068</v>
      </c>
      <c r="BB53" s="464">
        <f t="shared" si="76"/>
        <v>39.529865031262034</v>
      </c>
      <c r="BC53" s="390">
        <f t="shared" ref="BC53:BL53" si="77">SUM(BC48:BC52)</f>
        <v>24.533151671686369</v>
      </c>
      <c r="BD53" s="340">
        <f t="shared" si="77"/>
        <v>23.369011416389412</v>
      </c>
      <c r="BE53" s="340">
        <f t="shared" si="77"/>
        <v>9.9880528076894848</v>
      </c>
      <c r="BF53" s="391">
        <f t="shared" si="77"/>
        <v>-6.8494279627926744</v>
      </c>
      <c r="BG53" s="464">
        <f t="shared" si="77"/>
        <v>51.040787932972592</v>
      </c>
      <c r="BH53" s="390">
        <f t="shared" si="77"/>
        <v>16.176674675272238</v>
      </c>
      <c r="BI53" s="340">
        <f t="shared" si="77"/>
        <v>14.533088643797043</v>
      </c>
      <c r="BJ53" s="340">
        <f t="shared" si="77"/>
        <v>10.063605302393682</v>
      </c>
      <c r="BK53" s="391">
        <f t="shared" si="77"/>
        <v>-7.4669917501551026</v>
      </c>
      <c r="BL53" s="464">
        <f t="shared" si="77"/>
        <v>33.306376871307862</v>
      </c>
      <c r="BM53" s="390">
        <f>SUM(BM48:BM52)</f>
        <v>9.9481453730413705</v>
      </c>
      <c r="BN53" s="340">
        <f>SUM(BN48:BN52)</f>
        <v>14.698502567591902</v>
      </c>
      <c r="BO53" s="340">
        <f>SUM(BO48:BO52)</f>
        <v>7.4612683154874162</v>
      </c>
      <c r="BP53" s="391">
        <f>SUM(BP48:BP52)</f>
        <v>8.2930120518261674</v>
      </c>
      <c r="BQ53" s="464">
        <f>SUM(BQ48:BQ52)</f>
        <v>40.400928307946856</v>
      </c>
    </row>
    <row r="54" spans="3:69" s="2" customFormat="1">
      <c r="E54" s="509"/>
      <c r="F54" s="480"/>
      <c r="G54" s="480"/>
      <c r="H54" s="481"/>
      <c r="I54" s="463"/>
      <c r="J54" s="509"/>
      <c r="K54" s="480"/>
      <c r="L54" s="480"/>
      <c r="M54" s="481"/>
      <c r="N54" s="463"/>
      <c r="O54" s="509"/>
      <c r="P54" s="480"/>
      <c r="Q54" s="480"/>
      <c r="R54" s="481"/>
      <c r="S54" s="463"/>
      <c r="T54" s="509"/>
      <c r="U54" s="480"/>
      <c r="V54" s="480"/>
      <c r="W54" s="481"/>
      <c r="X54" s="463"/>
      <c r="Y54" s="509"/>
      <c r="Z54" s="480"/>
      <c r="AA54" s="342"/>
      <c r="AB54" s="395"/>
      <c r="AC54" s="77"/>
      <c r="AD54" s="509"/>
      <c r="AE54" s="480"/>
      <c r="AF54" s="480"/>
      <c r="AG54" s="481"/>
      <c r="AH54" s="463"/>
      <c r="AI54" s="509"/>
      <c r="AJ54" s="480"/>
      <c r="AK54" s="480"/>
      <c r="AL54" s="481"/>
      <c r="AM54" s="463"/>
      <c r="AN54" s="509"/>
      <c r="AO54" s="480"/>
      <c r="AP54" s="480"/>
      <c r="AQ54" s="481"/>
      <c r="AR54" s="463"/>
      <c r="AS54" s="509"/>
      <c r="AT54" s="480"/>
      <c r="AU54" s="480"/>
      <c r="AV54" s="481"/>
      <c r="AW54" s="463"/>
      <c r="AX54" s="509"/>
      <c r="AY54" s="480"/>
      <c r="AZ54" s="480"/>
      <c r="BA54" s="481"/>
      <c r="BB54" s="463"/>
      <c r="BC54" s="509"/>
      <c r="BD54" s="480"/>
      <c r="BE54" s="480"/>
      <c r="BF54" s="481"/>
      <c r="BG54" s="463"/>
      <c r="BH54" s="509"/>
      <c r="BI54" s="480"/>
      <c r="BJ54" s="480"/>
      <c r="BK54" s="481"/>
      <c r="BL54" s="463"/>
      <c r="BM54" s="509"/>
      <c r="BN54" s="480"/>
      <c r="BO54" s="480"/>
      <c r="BP54" s="481"/>
      <c r="BQ54" s="463"/>
    </row>
    <row r="55" spans="3:69" s="2" customFormat="1">
      <c r="C55" s="2" t="s">
        <v>484</v>
      </c>
      <c r="E55" s="406">
        <f>+PEG!E117-Power!E510-'PSE&amp;G'!E196</f>
        <v>0</v>
      </c>
      <c r="F55" s="348">
        <f>+PEG!F117-Power!F510-'PSE&amp;G'!F196</f>
        <v>-8</v>
      </c>
      <c r="G55" s="348">
        <f>+PEG!G117-Power!G510-'PSE&amp;G'!G196</f>
        <v>-8</v>
      </c>
      <c r="H55" s="405">
        <f>+PEG!H117-Power!H510-'PSE&amp;G'!H196</f>
        <v>-54</v>
      </c>
      <c r="I55" s="451">
        <f>SUM(E55:H55)</f>
        <v>-70</v>
      </c>
      <c r="J55" s="406">
        <f>+PEG!J117-Power!J510-'PSE&amp;G'!J196</f>
        <v>-36</v>
      </c>
      <c r="K55" s="348">
        <f>+PEG!K117-Power!K510-'PSE&amp;G'!K196</f>
        <v>-17</v>
      </c>
      <c r="L55" s="348">
        <f>+PEG!L117-Power!L510-'PSE&amp;G'!L196</f>
        <v>-14</v>
      </c>
      <c r="M55" s="405">
        <f>+PEG!M117-Power!M510-'PSE&amp;G'!M196</f>
        <v>-11</v>
      </c>
      <c r="N55" s="451">
        <f>SUM(J55:M55)</f>
        <v>-78</v>
      </c>
      <c r="O55" s="406">
        <f>+PEG!O117-Power!O510-'PSE&amp;G'!O196</f>
        <v>-3</v>
      </c>
      <c r="P55" s="348">
        <f>+PEG!P117-Power!P510-'PSE&amp;G'!P196</f>
        <v>-2</v>
      </c>
      <c r="Q55" s="348">
        <f>+PEG!Q117-Power!Q510-'PSE&amp;G'!Q196</f>
        <v>-5</v>
      </c>
      <c r="R55" s="405">
        <f>+PEG!R117-Power!R510-'PSE&amp;G'!R196</f>
        <v>-14</v>
      </c>
      <c r="S55" s="451">
        <f>SUM(O55:R55)</f>
        <v>-24</v>
      </c>
      <c r="T55" s="406">
        <f>+PEG!T117-Power!T510-'PSE&amp;G'!T196</f>
        <v>-15</v>
      </c>
      <c r="U55" s="348">
        <f>+PEG!U117-Power!U510-'PSE&amp;G'!U196</f>
        <v>-51</v>
      </c>
      <c r="V55" s="348">
        <f>+PEG!V117-Power!V510-'PSE&amp;G'!V196</f>
        <v>-41</v>
      </c>
      <c r="W55" s="405">
        <f>+PEG!W117-Power!W510-'PSE&amp;G'!W196</f>
        <v>-51</v>
      </c>
      <c r="X55" s="451">
        <f>SUM(T55:W55)</f>
        <v>-158</v>
      </c>
      <c r="Y55" s="406">
        <f>+PEG!Y117-Power!Y510-'PSE&amp;G'!Y196</f>
        <v>-9</v>
      </c>
      <c r="Z55" s="348">
        <f>+PEG!Z117-Power!Z510-'PSE&amp;G'!Z196</f>
        <v>-27</v>
      </c>
      <c r="AA55" s="342">
        <f>+PEG!AA117-Power!AA510-'PSE&amp;G'!AA196</f>
        <v>-19</v>
      </c>
      <c r="AB55" s="395">
        <f>+PEG!AB117-Power!AB510-'PSE&amp;G'!AB196</f>
        <v>28</v>
      </c>
      <c r="AC55" s="77">
        <f>SUM(Y55:AB55)</f>
        <v>-27</v>
      </c>
      <c r="AD55" s="406">
        <f>+PEG!AD117-Power!AD510-'PSE&amp;G'!AD196</f>
        <v>-2</v>
      </c>
      <c r="AE55" s="348">
        <f>+PEG!AE117-Power!AE510-'PSE&amp;G'!AE196</f>
        <v>-5</v>
      </c>
      <c r="AF55" s="348">
        <f>+PEG!AF117-Power!AF510-'PSE&amp;G'!AF196</f>
        <v>-8</v>
      </c>
      <c r="AG55" s="405">
        <f>+PEG!AG117-Power!AG510-'PSE&amp;G'!AG196</f>
        <v>-15</v>
      </c>
      <c r="AH55" s="451">
        <f>SUM(AD55:AG55)</f>
        <v>-30</v>
      </c>
      <c r="AI55" s="406">
        <f>+PEG!AI117-Power!AI510-'PSE&amp;G'!AI196</f>
        <v>-9</v>
      </c>
      <c r="AJ55" s="348">
        <f>+PEG!AJ117-Power!AJ510-'PSE&amp;G'!AJ196</f>
        <v>-17</v>
      </c>
      <c r="AK55" s="348">
        <f>+PEG!AK117-Power!AK510-'PSE&amp;G'!AK196</f>
        <v>-13</v>
      </c>
      <c r="AL55" s="405">
        <f>+PEG!AL117-Power!AL510-'PSE&amp;G'!AL196</f>
        <v>-15</v>
      </c>
      <c r="AM55" s="451">
        <f>SUM(AI55:AL55)</f>
        <v>-54</v>
      </c>
      <c r="AN55" s="406">
        <f>+PEG!AN117-Power!AN510-'PSE&amp;G'!AN196</f>
        <v>-8</v>
      </c>
      <c r="AO55" s="348">
        <f>+PEG!AO117-Power!AO510-'PSE&amp;G'!AO196</f>
        <v>-10</v>
      </c>
      <c r="AP55" s="348">
        <f>+PEG!AP117-Power!AP510-'PSE&amp;G'!AP196</f>
        <v>-9</v>
      </c>
      <c r="AQ55" s="405">
        <f>+PEG!AQ117-Power!AQ510-'PSE&amp;G'!AQ196</f>
        <v>-13</v>
      </c>
      <c r="AR55" s="451">
        <f>SUM(AN55:AQ55)</f>
        <v>-40</v>
      </c>
      <c r="AS55" s="406">
        <f>+PEG!AS117-Power!AS510-'PSE&amp;G'!AS196</f>
        <v>-7</v>
      </c>
      <c r="AT55" s="348">
        <f>+PEG!AT117-Power!AT510-'PSE&amp;G'!AT196</f>
        <v>-9</v>
      </c>
      <c r="AU55" s="348">
        <f>+PEG!AU117-Power!AU510-'PSE&amp;G'!AU196</f>
        <v>-9</v>
      </c>
      <c r="AV55" s="405">
        <f>+PEG!AV117-Power!AV510-'PSE&amp;G'!AV196</f>
        <v>-15</v>
      </c>
      <c r="AW55" s="451">
        <f>SUM(AS55:AV55)</f>
        <v>-40</v>
      </c>
      <c r="AX55" s="406">
        <f>+PEG!AX117-Power!AX510-'PSE&amp;G'!AX196</f>
        <v>-10</v>
      </c>
      <c r="AY55" s="348">
        <f>+PEG!AY117-Power!AY510-'PSE&amp;G'!AY196</f>
        <v>-10</v>
      </c>
      <c r="AZ55" s="348">
        <f>+PEG!AZ117-Power!AZ510-'PSE&amp;G'!AZ196</f>
        <v>0.83333333333337123</v>
      </c>
      <c r="BA55" s="405">
        <f>+PEG!BA117-Power!BA510-'PSE&amp;G'!BA196</f>
        <v>-20</v>
      </c>
      <c r="BB55" s="451">
        <f>SUM(AX55:BA55)</f>
        <v>-39.166666666666629</v>
      </c>
      <c r="BC55" s="406">
        <f>+PEG!BC117-Power!BC510-'PSE&amp;G'!BC196</f>
        <v>-7.5</v>
      </c>
      <c r="BD55" s="348">
        <f>+PEG!BD117-Power!BD510-'PSE&amp;G'!BD196</f>
        <v>-7.5</v>
      </c>
      <c r="BE55" s="348">
        <f>+PEG!BE117-Power!BE510-'PSE&amp;G'!BE196</f>
        <v>-7.5</v>
      </c>
      <c r="BF55" s="405">
        <f>+PEG!BF117-Power!BF510-'PSE&amp;G'!BF196</f>
        <v>-7.5</v>
      </c>
      <c r="BG55" s="451">
        <f>SUM(BC55:BF55)</f>
        <v>-30</v>
      </c>
      <c r="BH55" s="406">
        <f>+PEG!BH117-Power!BH510-'PSE&amp;G'!BH196</f>
        <v>-5</v>
      </c>
      <c r="BI55" s="348">
        <f>+PEG!BI117-Power!BI510-'PSE&amp;G'!BI196</f>
        <v>-5</v>
      </c>
      <c r="BJ55" s="348">
        <f>+PEG!BJ117-Power!BJ510-'PSE&amp;G'!BJ196</f>
        <v>-5</v>
      </c>
      <c r="BK55" s="405">
        <f>+PEG!BK117-Power!BK510-'PSE&amp;G'!BK196</f>
        <v>-5</v>
      </c>
      <c r="BL55" s="451">
        <f>SUM(BH55:BK55)</f>
        <v>-20</v>
      </c>
      <c r="BM55" s="406">
        <f>+PEG!BM117-Power!BM510-'PSE&amp;G'!BM196</f>
        <v>-8.75</v>
      </c>
      <c r="BN55" s="348">
        <f>+PEG!BN117-Power!BN510-'PSE&amp;G'!BN196</f>
        <v>-8.75</v>
      </c>
      <c r="BO55" s="348">
        <f>+PEG!BO117-Power!BO510-'PSE&amp;G'!BO196</f>
        <v>-8.75</v>
      </c>
      <c r="BP55" s="405">
        <f>+PEG!BP117-Power!BP510-'PSE&amp;G'!BP196</f>
        <v>-8.75</v>
      </c>
      <c r="BQ55" s="451">
        <f>SUM(BM55:BP55)</f>
        <v>-35</v>
      </c>
    </row>
    <row r="56" spans="3:69" s="2" customFormat="1">
      <c r="C56" s="2" t="s">
        <v>488</v>
      </c>
      <c r="E56" s="406">
        <f>+PEG!E118-Power!E511</f>
        <v>150</v>
      </c>
      <c r="F56" s="348">
        <f>+PEG!F118-Power!F511</f>
        <v>381</v>
      </c>
      <c r="G56" s="348">
        <f>+PEG!G118-Power!G511</f>
        <v>208</v>
      </c>
      <c r="H56" s="405">
        <f>+PEG!H118-Power!H511</f>
        <v>141</v>
      </c>
      <c r="I56" s="463">
        <f>SUM(E56:H56)</f>
        <v>880</v>
      </c>
      <c r="J56" s="406">
        <f>+PEG!J118-Power!J511</f>
        <v>106</v>
      </c>
      <c r="K56" s="348">
        <f>+PEG!K118-Power!K511</f>
        <v>55</v>
      </c>
      <c r="L56" s="348">
        <f>+PEG!L118-Power!L511</f>
        <v>266</v>
      </c>
      <c r="M56" s="405">
        <f>+PEG!M118-Power!M511</f>
        <v>69</v>
      </c>
      <c r="N56" s="463">
        <f>SUM(J56:M56)</f>
        <v>496</v>
      </c>
      <c r="O56" s="406">
        <f>+PEG!O118-Power!O511</f>
        <v>0</v>
      </c>
      <c r="P56" s="348">
        <f>+PEG!P118-Power!P511</f>
        <v>-4</v>
      </c>
      <c r="Q56" s="348">
        <f>+PEG!Q118-Power!Q511</f>
        <v>3</v>
      </c>
      <c r="R56" s="405">
        <f>+PEG!R118-Power!R511</f>
        <v>174</v>
      </c>
      <c r="S56" s="463">
        <f>SUM(O56:R56)</f>
        <v>173</v>
      </c>
      <c r="T56" s="406">
        <f>+PEG!T118-Power!T511</f>
        <v>-2</v>
      </c>
      <c r="U56" s="348">
        <f>+PEG!U118-Power!U511</f>
        <v>0</v>
      </c>
      <c r="V56" s="348">
        <f>+PEG!V118-Power!V511</f>
        <v>-2</v>
      </c>
      <c r="W56" s="405">
        <f>+PEG!W118-Power!W511</f>
        <v>56</v>
      </c>
      <c r="X56" s="463">
        <f>SUM(T56:W56)</f>
        <v>52</v>
      </c>
      <c r="Y56" s="406">
        <f>+PEG!Y118-Power!Y511</f>
        <v>-1</v>
      </c>
      <c r="Z56" s="348">
        <f>+PEG!Z118-Power!Z511</f>
        <v>10</v>
      </c>
      <c r="AA56" s="342">
        <f>+PEG!AA118-Power!AA511</f>
        <v>-2</v>
      </c>
      <c r="AB56" s="395">
        <f>+PEG!AB118-Power!AB511</f>
        <v>0</v>
      </c>
      <c r="AC56" s="77">
        <f>SUM(Y56:AB56)</f>
        <v>7</v>
      </c>
      <c r="AD56" s="406">
        <f>+PEG!AD118-Power!AD511</f>
        <v>0</v>
      </c>
      <c r="AE56" s="348">
        <f>+PEG!AE118-Power!AE511</f>
        <v>-1</v>
      </c>
      <c r="AF56" s="348">
        <f>+PEG!AF118-Power!AF511</f>
        <v>0</v>
      </c>
      <c r="AG56" s="405">
        <f>+PEG!AG118-Power!AG511</f>
        <v>-2</v>
      </c>
      <c r="AH56" s="463">
        <f>SUM(AD56:AG56)</f>
        <v>-3</v>
      </c>
      <c r="AI56" s="406">
        <f>+PEG!AI118-Power!AI511</f>
        <v>-15</v>
      </c>
      <c r="AJ56" s="348">
        <f>+PEG!AJ118-Power!AJ511</f>
        <v>-1</v>
      </c>
      <c r="AK56" s="348">
        <f>+PEG!AK118-Power!AK511</f>
        <v>-1</v>
      </c>
      <c r="AL56" s="405">
        <f>+PEG!AL118-Power!AL511</f>
        <v>-1</v>
      </c>
      <c r="AM56" s="463">
        <f>SUM(AI56:AL56)</f>
        <v>-18</v>
      </c>
      <c r="AN56" s="406">
        <f>+PEG!AN118-Power!AN511</f>
        <v>0</v>
      </c>
      <c r="AO56" s="348">
        <f>+PEG!AO118-Power!AO511</f>
        <v>-2</v>
      </c>
      <c r="AP56" s="348">
        <f>+PEG!AP118-Power!AP511</f>
        <v>-1</v>
      </c>
      <c r="AQ56" s="405">
        <f>+PEG!AQ118-Power!AQ511</f>
        <v>-2</v>
      </c>
      <c r="AR56" s="463">
        <f>SUM(AN56:AQ56)</f>
        <v>-5</v>
      </c>
      <c r="AS56" s="406">
        <f>+PEG!AS118-Power!AS511</f>
        <v>0</v>
      </c>
      <c r="AT56" s="348">
        <f>+PEG!AT118-Power!AT511</f>
        <v>-1</v>
      </c>
      <c r="AU56" s="348">
        <f>+PEG!AU118-Power!AU511</f>
        <v>-1</v>
      </c>
      <c r="AV56" s="405">
        <f>+PEG!AV118-Power!AV511</f>
        <v>-2</v>
      </c>
      <c r="AW56" s="463">
        <f>SUM(AS56:AV56)</f>
        <v>-4</v>
      </c>
      <c r="AX56" s="406">
        <f>+PEG!AX118-Power!AX511</f>
        <v>0</v>
      </c>
      <c r="AY56" s="348">
        <f>+PEG!AY118-Power!AY511</f>
        <v>0</v>
      </c>
      <c r="AZ56" s="348">
        <f>+PEG!AZ118-Power!AZ511</f>
        <v>0</v>
      </c>
      <c r="BA56" s="405">
        <f>+PEG!BA118-Power!BA511</f>
        <v>0</v>
      </c>
      <c r="BB56" s="463">
        <f>SUM(AX56:BA56)</f>
        <v>0</v>
      </c>
      <c r="BC56" s="406">
        <f>+PEG!BC118-Power!BC511</f>
        <v>0</v>
      </c>
      <c r="BD56" s="348">
        <f>+PEG!BD118-Power!BD511</f>
        <v>0</v>
      </c>
      <c r="BE56" s="348">
        <f>+PEG!BE118-Power!BE511</f>
        <v>0</v>
      </c>
      <c r="BF56" s="405">
        <f>+PEG!BF118-Power!BF511</f>
        <v>0</v>
      </c>
      <c r="BG56" s="463">
        <f>SUM(BC56:BF56)</f>
        <v>0</v>
      </c>
      <c r="BH56" s="406">
        <f>+PEG!BH118-Power!BH511</f>
        <v>0</v>
      </c>
      <c r="BI56" s="348">
        <f>+PEG!BI118-Power!BI511</f>
        <v>0</v>
      </c>
      <c r="BJ56" s="348">
        <f>+PEG!BJ118-Power!BJ511</f>
        <v>0</v>
      </c>
      <c r="BK56" s="405">
        <f>+PEG!BK118-Power!BK511</f>
        <v>0</v>
      </c>
      <c r="BL56" s="463">
        <f>SUM(BH56:BK56)</f>
        <v>0</v>
      </c>
      <c r="BM56" s="406">
        <f>+PEG!BM118-Power!BM511</f>
        <v>0</v>
      </c>
      <c r="BN56" s="348">
        <f>+PEG!BN118-Power!BN511</f>
        <v>0</v>
      </c>
      <c r="BO56" s="348">
        <f>+PEG!BO118-Power!BO511</f>
        <v>0</v>
      </c>
      <c r="BP56" s="405">
        <f>+PEG!BP118-Power!BP511</f>
        <v>0</v>
      </c>
      <c r="BQ56" s="463">
        <f>SUM(BM56:BP56)</f>
        <v>0</v>
      </c>
    </row>
    <row r="57" spans="3:69" s="2" customFormat="1">
      <c r="C57" s="2" t="s">
        <v>86</v>
      </c>
      <c r="E57" s="406">
        <f>+PEG!E119-Power!E512-'PSE&amp;G'!E197</f>
        <v>884</v>
      </c>
      <c r="F57" s="348">
        <f>+PEG!F119-Power!F512-'PSE&amp;G'!F197</f>
        <v>-820</v>
      </c>
      <c r="G57" s="348">
        <f>+PEG!G119-Power!G512-'PSE&amp;G'!G197</f>
        <v>-142</v>
      </c>
      <c r="H57" s="405">
        <f>+PEG!H119-Power!H512-'PSE&amp;G'!H197</f>
        <v>21</v>
      </c>
      <c r="I57" s="463">
        <f>SUM(E57:H57)</f>
        <v>-57</v>
      </c>
      <c r="J57" s="406">
        <f>+PEG!J119-Power!J512-'PSE&amp;G'!J197</f>
        <v>511</v>
      </c>
      <c r="K57" s="348">
        <f>+PEG!K119-Power!K512-'PSE&amp;G'!K197</f>
        <v>-234</v>
      </c>
      <c r="L57" s="348">
        <f>+PEG!L119-Power!L512-'PSE&amp;G'!L197</f>
        <v>32</v>
      </c>
      <c r="M57" s="405">
        <f>+PEG!M119-Power!M512-'PSE&amp;G'!M197</f>
        <v>89</v>
      </c>
      <c r="N57" s="463">
        <f>SUM(J57:M57)</f>
        <v>398</v>
      </c>
      <c r="O57" s="406">
        <f>+PEG!O119-Power!O512-'PSE&amp;G'!O197</f>
        <v>926</v>
      </c>
      <c r="P57" s="348">
        <f>+PEG!P119-Power!P512-'PSE&amp;G'!P197</f>
        <v>-712</v>
      </c>
      <c r="Q57" s="348">
        <f>+PEG!Q119-Power!Q512-'PSE&amp;G'!Q197</f>
        <v>962</v>
      </c>
      <c r="R57" s="405">
        <f>+PEG!R119-Power!R512-'PSE&amp;G'!R197</f>
        <v>-662</v>
      </c>
      <c r="S57" s="463">
        <f>SUM(O57:R57)</f>
        <v>514</v>
      </c>
      <c r="T57" s="406">
        <f>+PEG!T119-Power!T512-'PSE&amp;G'!T197</f>
        <v>130</v>
      </c>
      <c r="U57" s="348">
        <f>+PEG!U119-Power!U512-'PSE&amp;G'!U197</f>
        <v>-297</v>
      </c>
      <c r="V57" s="348">
        <f>+PEG!V119-Power!V512-'PSE&amp;G'!V197</f>
        <v>157</v>
      </c>
      <c r="W57" s="405">
        <f>+PEG!W119-Power!W512-'PSE&amp;G'!W197</f>
        <v>-316</v>
      </c>
      <c r="X57" s="463">
        <f>SUM(T57:W57)</f>
        <v>-326</v>
      </c>
      <c r="Y57" s="406">
        <f>+PEG!Y119-Power!Y512-'PSE&amp;G'!Y197</f>
        <v>176</v>
      </c>
      <c r="Z57" s="348">
        <f>+PEG!Z119-Power!Z512-'PSE&amp;G'!Z197</f>
        <v>-329</v>
      </c>
      <c r="AA57" s="342">
        <f>+PEG!AA119-Power!AA512-'PSE&amp;G'!AA197</f>
        <v>23</v>
      </c>
      <c r="AB57" s="395">
        <f>+PEG!AB119-Power!AB512-'PSE&amp;G'!AB197</f>
        <v>382</v>
      </c>
      <c r="AC57" s="77">
        <f>SUM(Y57:AB57)</f>
        <v>252</v>
      </c>
      <c r="AD57" s="406">
        <f>+PEG!AD119-Power!AD512-'PSE&amp;G'!AD197</f>
        <v>149</v>
      </c>
      <c r="AE57" s="348">
        <f>+PEG!AE119-Power!AE512-'PSE&amp;G'!AE197</f>
        <v>-192</v>
      </c>
      <c r="AF57" s="348">
        <f>+PEG!AF119-Power!AF512-'PSE&amp;G'!AF197</f>
        <v>-113</v>
      </c>
      <c r="AG57" s="405">
        <f>+PEG!AG119-Power!AG512-'PSE&amp;G'!AG197</f>
        <v>-24</v>
      </c>
      <c r="AH57" s="463">
        <f>SUM(AD57:AG57)</f>
        <v>-180</v>
      </c>
      <c r="AI57" s="406">
        <f>+PEG!AI119-Power!AI512-'PSE&amp;G'!AI197</f>
        <v>473</v>
      </c>
      <c r="AJ57" s="348">
        <f>+PEG!AJ119-Power!AJ512-'PSE&amp;G'!AJ197</f>
        <v>-97</v>
      </c>
      <c r="AK57" s="348">
        <f>+PEG!AK119-Power!AK512-'PSE&amp;G'!AK197</f>
        <v>-76</v>
      </c>
      <c r="AL57" s="405">
        <f>+PEG!AL119-Power!AL512-'PSE&amp;G'!AL197</f>
        <v>-498</v>
      </c>
      <c r="AM57" s="463">
        <f>SUM(AI57:AL57)</f>
        <v>-198</v>
      </c>
      <c r="AN57" s="406">
        <f>+PEG!AN119-Power!AN512-'PSE&amp;G'!AN197</f>
        <v>310</v>
      </c>
      <c r="AO57" s="348">
        <f>+PEG!AO119-Power!AO512-'PSE&amp;G'!AO197</f>
        <v>667</v>
      </c>
      <c r="AP57" s="348">
        <f>+PEG!AP119-Power!AP512-'PSE&amp;G'!AP197</f>
        <v>-820</v>
      </c>
      <c r="AQ57" s="405">
        <f>+PEG!AQ119-Power!AQ512-'PSE&amp;G'!AQ197</f>
        <v>-424</v>
      </c>
      <c r="AR57" s="463">
        <f>SUM(AN57:AQ57)</f>
        <v>-267</v>
      </c>
      <c r="AS57" s="406">
        <f>+PEG!AS119-Power!AS512-'PSE&amp;G'!AS197</f>
        <v>72</v>
      </c>
      <c r="AT57" s="348">
        <f>+PEG!AT119-Power!AT512-'PSE&amp;G'!AT197</f>
        <v>79</v>
      </c>
      <c r="AU57" s="348">
        <f>+PEG!AU119-Power!AU512-'PSE&amp;G'!AU197</f>
        <v>-230</v>
      </c>
      <c r="AV57" s="405">
        <f>+PEG!AV119-Power!AV512-'PSE&amp;G'!AV197</f>
        <v>2</v>
      </c>
      <c r="AW57" s="463">
        <f>SUM(AS57:AV57)</f>
        <v>-77</v>
      </c>
      <c r="AX57" s="406">
        <f>+PEG!AX119-Power!AX512-'PSE&amp;G'!AX197</f>
        <v>0</v>
      </c>
      <c r="AY57" s="348">
        <f>+PEG!AY119-Power!AY512-'PSE&amp;G'!AY197</f>
        <v>0</v>
      </c>
      <c r="AZ57" s="348">
        <f>+PEG!AZ119-Power!AZ512-'PSE&amp;G'!AZ197</f>
        <v>0</v>
      </c>
      <c r="BA57" s="405">
        <f>+PEG!BA119-Power!BA512-'PSE&amp;G'!BA197</f>
        <v>0</v>
      </c>
      <c r="BB57" s="463">
        <f>SUM(AX57:BA57)</f>
        <v>0</v>
      </c>
      <c r="BC57" s="406">
        <f>+PEG!BC119-Power!BC512-'PSE&amp;G'!BC197</f>
        <v>0</v>
      </c>
      <c r="BD57" s="348">
        <f>+PEG!BD119-Power!BD512-'PSE&amp;G'!BD197</f>
        <v>0</v>
      </c>
      <c r="BE57" s="348">
        <f>+PEG!BE119-Power!BE512-'PSE&amp;G'!BE197</f>
        <v>0</v>
      </c>
      <c r="BF57" s="405">
        <f>+PEG!BF119-Power!BF512-'PSE&amp;G'!BF197</f>
        <v>0</v>
      </c>
      <c r="BG57" s="463">
        <f>SUM(BC57:BF57)</f>
        <v>0</v>
      </c>
      <c r="BH57" s="406">
        <f>+PEG!BH119-Power!BH512-'PSE&amp;G'!BH197</f>
        <v>0</v>
      </c>
      <c r="BI57" s="348">
        <f>+PEG!BI119-Power!BI512-'PSE&amp;G'!BI197</f>
        <v>0</v>
      </c>
      <c r="BJ57" s="348">
        <f>+PEG!BJ119-Power!BJ512-'PSE&amp;G'!BJ197</f>
        <v>0</v>
      </c>
      <c r="BK57" s="405">
        <f>+PEG!BK119-Power!BK512-'PSE&amp;G'!BK197</f>
        <v>0</v>
      </c>
      <c r="BL57" s="463">
        <f>SUM(BH57:BK57)</f>
        <v>0</v>
      </c>
      <c r="BM57" s="406">
        <f>+PEG!BM119-Power!BM512-'PSE&amp;G'!BM197</f>
        <v>0</v>
      </c>
      <c r="BN57" s="348">
        <f>+PEG!BN119-Power!BN512-'PSE&amp;G'!BN197</f>
        <v>0</v>
      </c>
      <c r="BO57" s="348">
        <f>+PEG!BO119-Power!BO512-'PSE&amp;G'!BO197</f>
        <v>0</v>
      </c>
      <c r="BP57" s="405">
        <f>+PEG!BP119-Power!BP512-'PSE&amp;G'!BP197</f>
        <v>0</v>
      </c>
      <c r="BQ57" s="463">
        <f>SUM(BM57:BP57)</f>
        <v>0</v>
      </c>
    </row>
    <row r="58" spans="3:69" s="2" customFormat="1">
      <c r="C58" s="49" t="s">
        <v>87</v>
      </c>
      <c r="E58" s="390">
        <f>SUM(E55:E57)</f>
        <v>1034</v>
      </c>
      <c r="F58" s="340">
        <f t="shared" ref="F58:AH58" si="78">SUM(F55:F57)</f>
        <v>-447</v>
      </c>
      <c r="G58" s="340">
        <f t="shared" si="78"/>
        <v>58</v>
      </c>
      <c r="H58" s="391">
        <f t="shared" si="78"/>
        <v>108</v>
      </c>
      <c r="I58" s="464">
        <f>SUM(I55:I57)</f>
        <v>753</v>
      </c>
      <c r="J58" s="390">
        <f t="shared" si="78"/>
        <v>581</v>
      </c>
      <c r="K58" s="340">
        <f t="shared" si="78"/>
        <v>-196</v>
      </c>
      <c r="L58" s="340">
        <f t="shared" si="78"/>
        <v>284</v>
      </c>
      <c r="M58" s="391">
        <f t="shared" si="78"/>
        <v>147</v>
      </c>
      <c r="N58" s="464">
        <f t="shared" si="78"/>
        <v>816</v>
      </c>
      <c r="O58" s="390">
        <f t="shared" si="78"/>
        <v>923</v>
      </c>
      <c r="P58" s="340">
        <f t="shared" si="78"/>
        <v>-718</v>
      </c>
      <c r="Q58" s="340">
        <f t="shared" si="78"/>
        <v>960</v>
      </c>
      <c r="R58" s="391">
        <f t="shared" si="78"/>
        <v>-502</v>
      </c>
      <c r="S58" s="464">
        <f t="shared" si="78"/>
        <v>663</v>
      </c>
      <c r="T58" s="390">
        <f t="shared" si="78"/>
        <v>113</v>
      </c>
      <c r="U58" s="340">
        <f t="shared" si="78"/>
        <v>-348</v>
      </c>
      <c r="V58" s="340">
        <f t="shared" si="78"/>
        <v>114</v>
      </c>
      <c r="W58" s="391">
        <f>SUM(W55:W57)</f>
        <v>-311</v>
      </c>
      <c r="X58" s="464">
        <f>SUM(X55:X57)</f>
        <v>-432</v>
      </c>
      <c r="Y58" s="390">
        <f t="shared" si="78"/>
        <v>166</v>
      </c>
      <c r="Z58" s="340">
        <f t="shared" si="78"/>
        <v>-346</v>
      </c>
      <c r="AA58" s="343">
        <f t="shared" ref="AA58:AF58" si="79">SUM(AA55:AA57)</f>
        <v>2</v>
      </c>
      <c r="AB58" s="397">
        <f t="shared" si="79"/>
        <v>410</v>
      </c>
      <c r="AC58" s="297">
        <f t="shared" si="79"/>
        <v>232</v>
      </c>
      <c r="AD58" s="390">
        <f t="shared" si="79"/>
        <v>147</v>
      </c>
      <c r="AE58" s="340">
        <f t="shared" si="79"/>
        <v>-198</v>
      </c>
      <c r="AF58" s="340">
        <f t="shared" si="79"/>
        <v>-121</v>
      </c>
      <c r="AG58" s="391">
        <f t="shared" si="78"/>
        <v>-41</v>
      </c>
      <c r="AH58" s="464">
        <f t="shared" si="78"/>
        <v>-213</v>
      </c>
      <c r="AI58" s="390">
        <f t="shared" ref="AI58:AN58" si="80">SUM(AI55:AI57)</f>
        <v>449</v>
      </c>
      <c r="AJ58" s="340">
        <f t="shared" si="80"/>
        <v>-115</v>
      </c>
      <c r="AK58" s="340">
        <f t="shared" si="80"/>
        <v>-90</v>
      </c>
      <c r="AL58" s="391">
        <f t="shared" si="80"/>
        <v>-514</v>
      </c>
      <c r="AM58" s="464">
        <f t="shared" si="80"/>
        <v>-270</v>
      </c>
      <c r="AN58" s="390">
        <f t="shared" si="80"/>
        <v>302</v>
      </c>
      <c r="AO58" s="340">
        <f t="shared" ref="AO58:AT58" si="81">SUM(AO55:AO57)</f>
        <v>655</v>
      </c>
      <c r="AP58" s="340">
        <f t="shared" si="81"/>
        <v>-830</v>
      </c>
      <c r="AQ58" s="391">
        <f t="shared" si="81"/>
        <v>-439</v>
      </c>
      <c r="AR58" s="464">
        <f t="shared" si="81"/>
        <v>-312</v>
      </c>
      <c r="AS58" s="390">
        <f t="shared" si="81"/>
        <v>65</v>
      </c>
      <c r="AT58" s="340">
        <f t="shared" si="81"/>
        <v>69</v>
      </c>
      <c r="AU58" s="340">
        <f t="shared" ref="AU58:BB58" si="82">SUM(AU55:AU57)</f>
        <v>-240</v>
      </c>
      <c r="AV58" s="391">
        <f t="shared" si="82"/>
        <v>-15</v>
      </c>
      <c r="AW58" s="464">
        <f t="shared" si="82"/>
        <v>-121</v>
      </c>
      <c r="AX58" s="390">
        <f t="shared" si="82"/>
        <v>-10</v>
      </c>
      <c r="AY58" s="340">
        <f t="shared" si="82"/>
        <v>-10</v>
      </c>
      <c r="AZ58" s="340">
        <f t="shared" si="82"/>
        <v>0.83333333333337123</v>
      </c>
      <c r="BA58" s="391">
        <f t="shared" si="82"/>
        <v>-20</v>
      </c>
      <c r="BB58" s="464">
        <f t="shared" si="82"/>
        <v>-39.166666666666629</v>
      </c>
      <c r="BC58" s="390">
        <f t="shared" ref="BC58:BK58" si="83">SUM(BC55:BC57)</f>
        <v>-7.5</v>
      </c>
      <c r="BD58" s="340">
        <f t="shared" si="83"/>
        <v>-7.5</v>
      </c>
      <c r="BE58" s="340">
        <f t="shared" si="83"/>
        <v>-7.5</v>
      </c>
      <c r="BF58" s="391">
        <f t="shared" si="83"/>
        <v>-7.5</v>
      </c>
      <c r="BG58" s="464">
        <f>SUM(BG55:BG57)</f>
        <v>-30</v>
      </c>
      <c r="BH58" s="390">
        <f t="shared" si="83"/>
        <v>-5</v>
      </c>
      <c r="BI58" s="340">
        <f t="shared" si="83"/>
        <v>-5</v>
      </c>
      <c r="BJ58" s="340">
        <f t="shared" si="83"/>
        <v>-5</v>
      </c>
      <c r="BK58" s="391">
        <f t="shared" si="83"/>
        <v>-5</v>
      </c>
      <c r="BL58" s="464">
        <f t="shared" ref="BL58:BQ58" si="84">SUM(BL55:BL57)</f>
        <v>-20</v>
      </c>
      <c r="BM58" s="390">
        <f t="shared" si="84"/>
        <v>-8.75</v>
      </c>
      <c r="BN58" s="340">
        <f t="shared" si="84"/>
        <v>-8.75</v>
      </c>
      <c r="BO58" s="340">
        <f t="shared" si="84"/>
        <v>-8.75</v>
      </c>
      <c r="BP58" s="391">
        <f t="shared" si="84"/>
        <v>-8.75</v>
      </c>
      <c r="BQ58" s="464">
        <f t="shared" si="84"/>
        <v>-35</v>
      </c>
    </row>
    <row r="59" spans="3:69" s="2" customFormat="1">
      <c r="E59" s="509"/>
      <c r="F59" s="480"/>
      <c r="G59" s="480"/>
      <c r="H59" s="481"/>
      <c r="I59" s="463"/>
      <c r="J59" s="509"/>
      <c r="K59" s="480"/>
      <c r="L59" s="480"/>
      <c r="M59" s="481"/>
      <c r="N59" s="463"/>
      <c r="O59" s="509"/>
      <c r="P59" s="480"/>
      <c r="Q59" s="480"/>
      <c r="R59" s="481"/>
      <c r="S59" s="463"/>
      <c r="T59" s="509"/>
      <c r="U59" s="480"/>
      <c r="V59" s="480"/>
      <c r="W59" s="481"/>
      <c r="X59" s="463"/>
      <c r="Y59" s="509"/>
      <c r="Z59" s="480"/>
      <c r="AA59" s="342"/>
      <c r="AB59" s="395"/>
      <c r="AC59" s="77"/>
      <c r="AD59" s="509"/>
      <c r="AE59" s="480"/>
      <c r="AF59" s="480"/>
      <c r="AG59" s="481"/>
      <c r="AH59" s="463"/>
      <c r="AI59" s="509"/>
      <c r="AJ59" s="480"/>
      <c r="AK59" s="480"/>
      <c r="AL59" s="481"/>
      <c r="AM59" s="463"/>
      <c r="AN59" s="509"/>
      <c r="AO59" s="480"/>
      <c r="AP59" s="480"/>
      <c r="AQ59" s="481"/>
      <c r="AR59" s="463"/>
      <c r="AS59" s="509"/>
      <c r="AT59" s="480"/>
      <c r="AU59" s="480"/>
      <c r="AV59" s="481"/>
      <c r="AW59" s="463"/>
      <c r="AX59" s="509"/>
      <c r="AY59" s="480"/>
      <c r="AZ59" s="480"/>
      <c r="BA59" s="481"/>
      <c r="BB59" s="463"/>
      <c r="BC59" s="509"/>
      <c r="BD59" s="480"/>
      <c r="BE59" s="480"/>
      <c r="BF59" s="481"/>
      <c r="BG59" s="463"/>
      <c r="BH59" s="509"/>
      <c r="BI59" s="480"/>
      <c r="BJ59" s="480"/>
      <c r="BK59" s="481"/>
      <c r="BL59" s="463"/>
      <c r="BM59" s="509"/>
      <c r="BN59" s="480"/>
      <c r="BO59" s="480"/>
      <c r="BP59" s="481"/>
      <c r="BQ59" s="463"/>
    </row>
    <row r="60" spans="3:69" s="2" customFormat="1">
      <c r="C60" s="2" t="s">
        <v>320</v>
      </c>
      <c r="E60" s="406">
        <f>+PEG!E122-Power!E515-'PSE&amp;G'!E200</f>
        <v>0</v>
      </c>
      <c r="F60" s="348">
        <f>+PEG!F122-Power!F515-'PSE&amp;G'!F200</f>
        <v>0</v>
      </c>
      <c r="G60" s="348">
        <f>+PEG!G122-Power!G515-'PSE&amp;G'!G200</f>
        <v>0</v>
      </c>
      <c r="H60" s="405">
        <f>+PEG!H122-Power!H515-'PSE&amp;G'!H200</f>
        <v>0</v>
      </c>
      <c r="I60" s="463">
        <f t="shared" ref="I60:I66" si="85">SUM(E60:H60)</f>
        <v>0</v>
      </c>
      <c r="J60" s="406">
        <f>+PEG!J122-Power!J515-'PSE&amp;G'!J200</f>
        <v>0</v>
      </c>
      <c r="K60" s="348">
        <f>+PEG!K122-Power!K515-'PSE&amp;G'!K200</f>
        <v>0</v>
      </c>
      <c r="L60" s="348">
        <f>+PEG!L122-Power!L515-'PSE&amp;G'!L200</f>
        <v>0</v>
      </c>
      <c r="M60" s="405">
        <f>+PEG!M122-Power!M515-'PSE&amp;G'!M200</f>
        <v>20</v>
      </c>
      <c r="N60" s="463">
        <f t="shared" ref="N60:N66" si="86">SUM(J60:M60)</f>
        <v>20</v>
      </c>
      <c r="O60" s="406">
        <f>+PEG!O122-Power!O515-'PSE&amp;G'!O200</f>
        <v>0</v>
      </c>
      <c r="P60" s="348">
        <f>+PEG!P122-Power!P515-'PSE&amp;G'!P200</f>
        <v>0</v>
      </c>
      <c r="Q60" s="348">
        <f>+PEG!Q122-Power!Q515-'PSE&amp;G'!Q200</f>
        <v>0</v>
      </c>
      <c r="R60" s="405">
        <f>+PEG!R122-Power!R515-'PSE&amp;G'!R200</f>
        <v>0</v>
      </c>
      <c r="S60" s="463">
        <f t="shared" ref="S60:S66" si="87">SUM(O60:R60)</f>
        <v>0</v>
      </c>
      <c r="T60" s="406">
        <f>+PEG!T122-Power!T515-'PSE&amp;G'!T200</f>
        <v>0</v>
      </c>
      <c r="U60" s="348">
        <f>+PEG!U122-Power!U515-'PSE&amp;G'!U200</f>
        <v>0</v>
      </c>
      <c r="V60" s="348">
        <f>+PEG!V122-Power!V515-'PSE&amp;G'!V200</f>
        <v>0</v>
      </c>
      <c r="W60" s="405">
        <f>+PEG!W122-Power!W515-'PSE&amp;G'!W200</f>
        <v>0</v>
      </c>
      <c r="X60" s="463">
        <f t="shared" ref="X60:X66" si="88">SUM(T60:W60)</f>
        <v>0</v>
      </c>
      <c r="Y60" s="406">
        <f>+PEG!Y122-Power!Y515-'PSE&amp;G'!Y200</f>
        <v>0</v>
      </c>
      <c r="Z60" s="348">
        <f>+PEG!Z122-Power!Z515-'PSE&amp;G'!Z200</f>
        <v>0</v>
      </c>
      <c r="AA60" s="342">
        <f>+PEG!AA122-Power!AA515-'PSE&amp;G'!AA200</f>
        <v>0</v>
      </c>
      <c r="AB60" s="395">
        <f>+PEG!AB122-Power!AB515-'PSE&amp;G'!AB200</f>
        <v>0</v>
      </c>
      <c r="AC60" s="77">
        <f t="shared" ref="AC60:AC66" si="89">SUM(Y60:AB60)</f>
        <v>0</v>
      </c>
      <c r="AD60" s="406">
        <f>+PEG!AD122-Power!AD515-'PSE&amp;G'!AD200</f>
        <v>0</v>
      </c>
      <c r="AE60" s="348">
        <f>+PEG!AE122-Power!AE515-'PSE&amp;G'!AE200</f>
        <v>0</v>
      </c>
      <c r="AF60" s="348">
        <f>+PEG!AF122-Power!AF515-'PSE&amp;G'!AF200</f>
        <v>0</v>
      </c>
      <c r="AG60" s="405">
        <f>+PEG!AG122-Power!AG515-'PSE&amp;G'!AG200</f>
        <v>0</v>
      </c>
      <c r="AH60" s="463">
        <f t="shared" ref="AH60:AH66" si="90">SUM(AD60:AG60)</f>
        <v>0</v>
      </c>
      <c r="AI60" s="406">
        <f>+PEG!AI122-Power!AI515-'PSE&amp;G'!AI200</f>
        <v>0</v>
      </c>
      <c r="AJ60" s="348">
        <f>+PEG!AJ122-Power!AJ515-'PSE&amp;G'!AJ200</f>
        <v>0</v>
      </c>
      <c r="AK60" s="348">
        <f>+PEG!AK122-Power!AK515-'PSE&amp;G'!AK200</f>
        <v>0</v>
      </c>
      <c r="AL60" s="405">
        <f>+PEG!AL122-Power!AL515-'PSE&amp;G'!AL200</f>
        <v>500</v>
      </c>
      <c r="AM60" s="463">
        <f t="shared" ref="AM60:AM66" si="91">SUM(AI60:AL60)</f>
        <v>500</v>
      </c>
      <c r="AN60" s="406">
        <f>+PEG!AN122-Power!AN515-'PSE&amp;G'!AN200</f>
        <v>0</v>
      </c>
      <c r="AO60" s="348">
        <f>+PEG!AO122-Power!AO515-'PSE&amp;G'!AO200</f>
        <v>0</v>
      </c>
      <c r="AP60" s="348">
        <f>+PEG!AP122-Power!AP515-'PSE&amp;G'!AP200</f>
        <v>0</v>
      </c>
      <c r="AQ60" s="405">
        <f>+PEG!AQ122-Power!AQ515-'PSE&amp;G'!AQ200</f>
        <v>700</v>
      </c>
      <c r="AR60" s="463">
        <f t="shared" ref="AR60:AR66" si="92">SUM(AN60:AQ60)</f>
        <v>700</v>
      </c>
      <c r="AS60" s="406">
        <f>+PEG!AS122-Power!AS515-'PSE&amp;G'!AS200</f>
        <v>0</v>
      </c>
      <c r="AT60" s="348">
        <f>+PEG!AT122-Power!AT515-'PSE&amp;G'!AT200</f>
        <v>700</v>
      </c>
      <c r="AU60" s="348">
        <f>+PEG!AU122-Power!AU515-'PSE&amp;G'!AU200</f>
        <v>0</v>
      </c>
      <c r="AV60" s="405">
        <f>+PEG!AV122-Power!AV515-'PSE&amp;G'!AV200</f>
        <v>700</v>
      </c>
      <c r="AW60" s="463">
        <f t="shared" ref="AW60:AW66" si="93">SUM(AS60:AV60)</f>
        <v>1400</v>
      </c>
      <c r="AX60" s="406">
        <f>+PEG!AX122-Power!AX515-'PSE&amp;G'!AX200</f>
        <v>1000</v>
      </c>
      <c r="AY60" s="348">
        <f>+PEG!AY122-Power!AY515-'PSE&amp;G'!AY200</f>
        <v>0</v>
      </c>
      <c r="AZ60" s="348">
        <f>+PEG!AZ122-Power!AZ515-'PSE&amp;G'!AZ200</f>
        <v>0</v>
      </c>
      <c r="BA60" s="405">
        <f>+PEG!BA122-Power!BA515-'PSE&amp;G'!BA200</f>
        <v>0</v>
      </c>
      <c r="BB60" s="463">
        <f t="shared" ref="BB60:BB66" si="94">SUM(AX60:BA60)</f>
        <v>1000</v>
      </c>
      <c r="BC60" s="406">
        <f>+PEG!BC122-Power!BC515-'PSE&amp;G'!BC200</f>
        <v>0</v>
      </c>
      <c r="BD60" s="348">
        <f>+PEG!BD122-Power!BD515-'PSE&amp;G'!BD200</f>
        <v>0</v>
      </c>
      <c r="BE60" s="348">
        <f>+PEG!BE122-Power!BE515-'PSE&amp;G'!BE200</f>
        <v>1300</v>
      </c>
      <c r="BF60" s="405">
        <f>+PEG!BF122-Power!BF515-'PSE&amp;G'!BF200</f>
        <v>0</v>
      </c>
      <c r="BG60" s="463">
        <f t="shared" ref="BG60:BG66" si="95">SUM(BC60:BF60)</f>
        <v>1300</v>
      </c>
      <c r="BH60" s="406">
        <f>+PEG!BH122-Power!BH515-'PSE&amp;G'!BH200</f>
        <v>0</v>
      </c>
      <c r="BI60" s="348">
        <f>+PEG!BI122-Power!BI515-'PSE&amp;G'!BI200</f>
        <v>0</v>
      </c>
      <c r="BJ60" s="348">
        <f>+PEG!BJ122-Power!BJ515-'PSE&amp;G'!BJ200</f>
        <v>100</v>
      </c>
      <c r="BK60" s="405">
        <f>+PEG!BK122-Power!BK515-'PSE&amp;G'!BK200</f>
        <v>0</v>
      </c>
      <c r="BL60" s="463">
        <f t="shared" ref="BL60:BL66" si="96">SUM(BH60:BK60)</f>
        <v>100</v>
      </c>
      <c r="BM60" s="406">
        <f>+PEG!BM122-Power!BM515-'PSE&amp;G'!BM200</f>
        <v>0</v>
      </c>
      <c r="BN60" s="348">
        <f>+PEG!BN122-Power!BN515-'PSE&amp;G'!BN200</f>
        <v>0</v>
      </c>
      <c r="BO60" s="348">
        <f>+PEG!BO122-Power!BO515-'PSE&amp;G'!BO200</f>
        <v>500</v>
      </c>
      <c r="BP60" s="405">
        <f>+PEG!BP122-Power!BP515-'PSE&amp;G'!BP200</f>
        <v>0</v>
      </c>
      <c r="BQ60" s="463">
        <f t="shared" ref="BQ60:BQ66" si="97">SUM(BM60:BP60)</f>
        <v>500</v>
      </c>
    </row>
    <row r="61" spans="3:69" s="2" customFormat="1">
      <c r="C61" s="2" t="s">
        <v>329</v>
      </c>
      <c r="E61" s="406">
        <f>+PEG!E123-Power!E516-'PSE&amp;G'!E201</f>
        <v>-11</v>
      </c>
      <c r="F61" s="348">
        <f>+PEG!F123-Power!F516-'PSE&amp;G'!F201</f>
        <v>-2</v>
      </c>
      <c r="G61" s="348">
        <f>+PEG!G123-Power!G516-'PSE&amp;G'!G201</f>
        <v>-301</v>
      </c>
      <c r="H61" s="405">
        <f>+PEG!H123-Power!H516-'PSE&amp;G'!H201</f>
        <v>-51</v>
      </c>
      <c r="I61" s="463">
        <f t="shared" si="85"/>
        <v>-365</v>
      </c>
      <c r="J61" s="406">
        <f>+PEG!J123-Power!J516-'PSE&amp;G'!J201</f>
        <v>-1</v>
      </c>
      <c r="K61" s="348">
        <f>+PEG!K123-Power!K516-'PSE&amp;G'!K201</f>
        <v>-1</v>
      </c>
      <c r="L61" s="348">
        <f>+PEG!L123-Power!L516-'PSE&amp;G'!L201</f>
        <v>-14</v>
      </c>
      <c r="M61" s="405">
        <f>+PEG!M123-Power!M516-'PSE&amp;G'!M201</f>
        <v>-161</v>
      </c>
      <c r="N61" s="463">
        <f t="shared" si="86"/>
        <v>-177</v>
      </c>
      <c r="O61" s="406">
        <f>+PEG!O123-Power!O516-'PSE&amp;G'!O201</f>
        <v>-1</v>
      </c>
      <c r="P61" s="348">
        <f>+PEG!P123-Power!P516-'PSE&amp;G'!P201</f>
        <v>0</v>
      </c>
      <c r="Q61" s="348">
        <f>+PEG!Q123-Power!Q516-'PSE&amp;G'!Q201</f>
        <v>0</v>
      </c>
      <c r="R61" s="405">
        <f>+PEG!R123-Power!R516-'PSE&amp;G'!R201</f>
        <v>-17</v>
      </c>
      <c r="S61" s="463">
        <f t="shared" si="87"/>
        <v>-18</v>
      </c>
      <c r="T61" s="406">
        <f>+PEG!T123-Power!T516-'PSE&amp;G'!T201</f>
        <v>0</v>
      </c>
      <c r="U61" s="348">
        <f>+PEG!U123-Power!U516-'PSE&amp;G'!U201</f>
        <v>0</v>
      </c>
      <c r="V61" s="348">
        <f>+PEG!V123-Power!V516-'PSE&amp;G'!V201</f>
        <v>-1</v>
      </c>
      <c r="W61" s="405">
        <f>+PEG!W123-Power!W516-'PSE&amp;G'!W201</f>
        <v>0</v>
      </c>
      <c r="X61" s="463">
        <f t="shared" si="88"/>
        <v>-1</v>
      </c>
      <c r="Y61" s="406">
        <f>+PEG!Y123-Power!Y516-'PSE&amp;G'!Y201</f>
        <v>-51</v>
      </c>
      <c r="Z61" s="348">
        <f>+PEG!Z123-Power!Z516-'PSE&amp;G'!Z201</f>
        <v>51</v>
      </c>
      <c r="AA61" s="342">
        <f>+PEG!AA123-Power!AA516-'PSE&amp;G'!AA201</f>
        <v>0</v>
      </c>
      <c r="AB61" s="395">
        <f>+PEG!AB123-Power!AB516-'PSE&amp;G'!AB201</f>
        <v>0</v>
      </c>
      <c r="AC61" s="77">
        <f t="shared" si="89"/>
        <v>0</v>
      </c>
      <c r="AD61" s="406">
        <f>+PEG!AD123-Power!AD516-'PSE&amp;G'!AD201</f>
        <v>-54</v>
      </c>
      <c r="AE61" s="348">
        <f>+PEG!AE123-Power!AE516-'PSE&amp;G'!AE201</f>
        <v>-57</v>
      </c>
      <c r="AF61" s="348">
        <f>+PEG!AF123-Power!AF516-'PSE&amp;G'!AF201</f>
        <v>111</v>
      </c>
      <c r="AG61" s="405">
        <f>+PEG!AG123-Power!AG516-'PSE&amp;G'!AG201</f>
        <v>0</v>
      </c>
      <c r="AH61" s="463">
        <f t="shared" si="90"/>
        <v>0</v>
      </c>
      <c r="AI61" s="406">
        <f>+PEG!AI123-Power!AI516-'PSE&amp;G'!AI201</f>
        <v>0</v>
      </c>
      <c r="AJ61" s="348">
        <f>+PEG!AJ123-Power!AJ516-'PSE&amp;G'!AJ201</f>
        <v>0</v>
      </c>
      <c r="AK61" s="348">
        <f>+PEG!AK123-Power!AK516-'PSE&amp;G'!AK201</f>
        <v>0</v>
      </c>
      <c r="AL61" s="405">
        <f>+PEG!AL123-Power!AL516-'PSE&amp;G'!AL201</f>
        <v>0</v>
      </c>
      <c r="AM61" s="463">
        <f t="shared" si="91"/>
        <v>0</v>
      </c>
      <c r="AN61" s="406">
        <f>+PEG!AN123-Power!AN516-'PSE&amp;G'!AN201</f>
        <v>0</v>
      </c>
      <c r="AO61" s="348">
        <f>+PEG!AO123-Power!AO516-'PSE&amp;G'!AO201</f>
        <v>0</v>
      </c>
      <c r="AP61" s="348">
        <f>+PEG!AP123-Power!AP516-'PSE&amp;G'!AP201</f>
        <v>0</v>
      </c>
      <c r="AQ61" s="405">
        <f>+PEG!AQ123-Power!AQ516-'PSE&amp;G'!AQ201</f>
        <v>0</v>
      </c>
      <c r="AR61" s="463">
        <f t="shared" si="92"/>
        <v>0</v>
      </c>
      <c r="AS61" s="406">
        <f>+PEG!AS123-Power!AS516-'PSE&amp;G'!AS201</f>
        <v>0</v>
      </c>
      <c r="AT61" s="348">
        <f>+PEG!AT123-Power!AT516-'PSE&amp;G'!AT201</f>
        <v>0</v>
      </c>
      <c r="AU61" s="348">
        <f>+PEG!AU123-Power!AU516-'PSE&amp;G'!AU201</f>
        <v>0</v>
      </c>
      <c r="AV61" s="405">
        <f>+PEG!AV123-Power!AV516-'PSE&amp;G'!AV201</f>
        <v>-500</v>
      </c>
      <c r="AW61" s="463">
        <f t="shared" si="93"/>
        <v>-500</v>
      </c>
      <c r="AX61" s="406">
        <f>+PEG!AX123-Power!AX516-'PSE&amp;G'!AX201</f>
        <v>0</v>
      </c>
      <c r="AY61" s="348">
        <f>+PEG!AY123-Power!AY516-'PSE&amp;G'!AY201</f>
        <v>0</v>
      </c>
      <c r="AZ61" s="348">
        <f>+PEG!AZ123-Power!AZ516-'PSE&amp;G'!AZ201</f>
        <v>0</v>
      </c>
      <c r="BA61" s="405">
        <f>+PEG!BA123-Power!BA516-'PSE&amp;G'!BA201</f>
        <v>0</v>
      </c>
      <c r="BB61" s="463">
        <f t="shared" si="94"/>
        <v>0</v>
      </c>
      <c r="BC61" s="406">
        <f>+PEG!BC123-Power!BC516-'PSE&amp;G'!BC201</f>
        <v>0</v>
      </c>
      <c r="BD61" s="348">
        <f>+PEG!BD123-Power!BD516-'PSE&amp;G'!BD201</f>
        <v>-700</v>
      </c>
      <c r="BE61" s="348">
        <f>+PEG!BE123-Power!BE516-'PSE&amp;G'!BE201</f>
        <v>0</v>
      </c>
      <c r="BF61" s="405">
        <f>+PEG!BF123-Power!BF516-'PSE&amp;G'!BF201</f>
        <v>-400</v>
      </c>
      <c r="BG61" s="463">
        <f t="shared" si="95"/>
        <v>-1100</v>
      </c>
      <c r="BH61" s="406">
        <f>+PEG!BH123-Power!BH516-'PSE&amp;G'!BH201</f>
        <v>0</v>
      </c>
      <c r="BI61" s="348">
        <f>+PEG!BI123-Power!BI516-'PSE&amp;G'!BI201</f>
        <v>0</v>
      </c>
      <c r="BJ61" s="348">
        <f>+PEG!BJ123-Power!BJ516-'PSE&amp;G'!BJ201</f>
        <v>0</v>
      </c>
      <c r="BK61" s="405">
        <f>+PEG!BK123-Power!BK516-'PSE&amp;G'!BK201</f>
        <v>0</v>
      </c>
      <c r="BL61" s="463">
        <f t="shared" si="96"/>
        <v>0</v>
      </c>
      <c r="BM61" s="406">
        <f>+PEG!BM123-Power!BM516-'PSE&amp;G'!BM201</f>
        <v>0</v>
      </c>
      <c r="BN61" s="348">
        <f>+PEG!BN123-Power!BN516-'PSE&amp;G'!BN201</f>
        <v>0</v>
      </c>
      <c r="BO61" s="348">
        <f>+PEG!BO123-Power!BO516-'PSE&amp;G'!BO201</f>
        <v>0</v>
      </c>
      <c r="BP61" s="405">
        <f>+PEG!BP123-Power!BP516-'PSE&amp;G'!BP201</f>
        <v>-300</v>
      </c>
      <c r="BQ61" s="463">
        <f t="shared" si="97"/>
        <v>-300</v>
      </c>
    </row>
    <row r="62" spans="3:69" s="2" customFormat="1">
      <c r="C62" s="2" t="s">
        <v>330</v>
      </c>
      <c r="E62" s="406">
        <f>+PEG!E124-Power!E517-'PSE&amp;G'!E202</f>
        <v>0</v>
      </c>
      <c r="F62" s="348">
        <f>+PEG!F124-Power!F517-'PSE&amp;G'!F202</f>
        <v>0</v>
      </c>
      <c r="G62" s="348">
        <f>+PEG!G124-Power!G517-'PSE&amp;G'!G202</f>
        <v>105</v>
      </c>
      <c r="H62" s="405">
        <f>+PEG!H124-Power!H517-'PSE&amp;G'!H202</f>
        <v>231</v>
      </c>
      <c r="I62" s="463">
        <f t="shared" si="85"/>
        <v>336</v>
      </c>
      <c r="J62" s="406">
        <f>+PEG!J124-Power!J517-'PSE&amp;G'!J202</f>
        <v>-336</v>
      </c>
      <c r="K62" s="348">
        <f>+PEG!K124-Power!K517-'PSE&amp;G'!K202</f>
        <v>166</v>
      </c>
      <c r="L62" s="348">
        <f>+PEG!L124-Power!L517-'PSE&amp;G'!L202</f>
        <v>-166</v>
      </c>
      <c r="M62" s="405">
        <f>+PEG!M124-Power!M517-'PSE&amp;G'!M202</f>
        <v>64</v>
      </c>
      <c r="N62" s="463">
        <f t="shared" si="86"/>
        <v>-272</v>
      </c>
      <c r="O62" s="406">
        <f>+PEG!O124-Power!O517-'PSE&amp;G'!O202</f>
        <v>-64</v>
      </c>
      <c r="P62" s="348">
        <f>+PEG!P124-Power!P517-'PSE&amp;G'!P202</f>
        <v>0</v>
      </c>
      <c r="Q62" s="348">
        <f>+PEG!Q124-Power!Q517-'PSE&amp;G'!Q202</f>
        <v>0</v>
      </c>
      <c r="R62" s="405">
        <f>+PEG!R124-Power!R517-'PSE&amp;G'!R202</f>
        <v>0</v>
      </c>
      <c r="S62" s="463">
        <f t="shared" si="87"/>
        <v>-64</v>
      </c>
      <c r="T62" s="406">
        <f>+PEG!T124-Power!T517-'PSE&amp;G'!T202</f>
        <v>0</v>
      </c>
      <c r="U62" s="348">
        <f>+PEG!U124-Power!U517-'PSE&amp;G'!U202</f>
        <v>0</v>
      </c>
      <c r="V62" s="348">
        <f>+PEG!V124-Power!V517-'PSE&amp;G'!V202</f>
        <v>0</v>
      </c>
      <c r="W62" s="405">
        <f>+PEG!W124-Power!W517-'PSE&amp;G'!W202</f>
        <v>0</v>
      </c>
      <c r="X62" s="463">
        <f t="shared" si="88"/>
        <v>0</v>
      </c>
      <c r="Y62" s="406">
        <f>+PEG!Y124-Power!Y517-'PSE&amp;G'!Y202</f>
        <v>51</v>
      </c>
      <c r="Z62" s="348">
        <f>+PEG!Z124-Power!Z517-'PSE&amp;G'!Z202</f>
        <v>-51</v>
      </c>
      <c r="AA62" s="342">
        <f>+PEG!AA124-Power!AA517-'PSE&amp;G'!AA202</f>
        <v>0</v>
      </c>
      <c r="AB62" s="395">
        <f>+PEG!AB124-Power!AB517-'PSE&amp;G'!AB202</f>
        <v>0</v>
      </c>
      <c r="AC62" s="77">
        <f t="shared" si="89"/>
        <v>0</v>
      </c>
      <c r="AD62" s="406">
        <f>+PEG!AD124-Power!AD517-'PSE&amp;G'!AD202</f>
        <v>54</v>
      </c>
      <c r="AE62" s="348">
        <f>+PEG!AE124-Power!AE517-'PSE&amp;G'!AE202</f>
        <v>57</v>
      </c>
      <c r="AF62" s="348">
        <f>+PEG!AF124-Power!AF517-'PSE&amp;G'!AF202</f>
        <v>-111</v>
      </c>
      <c r="AG62" s="405">
        <f>+PEG!AG124-Power!AG517-'PSE&amp;G'!AG202</f>
        <v>0</v>
      </c>
      <c r="AH62" s="463">
        <f t="shared" si="90"/>
        <v>0</v>
      </c>
      <c r="AI62" s="406">
        <f>+PEG!AI124-Power!AI517-'PSE&amp;G'!AI202</f>
        <v>0</v>
      </c>
      <c r="AJ62" s="348">
        <f>+PEG!AJ124-Power!AJ517-'PSE&amp;G'!AJ202</f>
        <v>0</v>
      </c>
      <c r="AK62" s="348">
        <f>+PEG!AK124-Power!AK517-'PSE&amp;G'!AK202</f>
        <v>0</v>
      </c>
      <c r="AL62" s="405">
        <f>+PEG!AL124-Power!AL517-'PSE&amp;G'!AL202</f>
        <v>211</v>
      </c>
      <c r="AM62" s="463">
        <f t="shared" si="91"/>
        <v>211</v>
      </c>
      <c r="AN62" s="406">
        <f>+PEG!AN124-Power!AN517-'PSE&amp;G'!AN202</f>
        <v>-199</v>
      </c>
      <c r="AO62" s="348">
        <f>+PEG!AO124-Power!AO517-'PSE&amp;G'!AO202</f>
        <v>-12</v>
      </c>
      <c r="AP62" s="348">
        <f>+PEG!AP124-Power!AP517-'PSE&amp;G'!AP202</f>
        <v>255</v>
      </c>
      <c r="AQ62" s="405">
        <f>+PEG!AQ124-Power!AQ517-'PSE&amp;G'!AQ202</f>
        <v>133</v>
      </c>
      <c r="AR62" s="463">
        <f t="shared" si="92"/>
        <v>177</v>
      </c>
      <c r="AS62" s="406">
        <f>+PEG!AS124-Power!AS517-'PSE&amp;G'!AS202</f>
        <v>-73</v>
      </c>
      <c r="AT62" s="348">
        <f>+PEG!AT124-Power!AT517-'PSE&amp;G'!AT202</f>
        <v>-315</v>
      </c>
      <c r="AU62" s="348">
        <f>+PEG!AU124-Power!AU517-'PSE&amp;G'!AU202</f>
        <v>202</v>
      </c>
      <c r="AV62" s="405">
        <f>+PEG!AV124-Power!AV517-'PSE&amp;G'!AV202</f>
        <v>59</v>
      </c>
      <c r="AW62" s="463">
        <f t="shared" si="93"/>
        <v>-127</v>
      </c>
      <c r="AX62" s="406">
        <f>+PEG!AX124-Power!AX517-'PSE&amp;G'!AX202</f>
        <v>0</v>
      </c>
      <c r="AY62" s="348">
        <f>+PEG!AY124-Power!AY517-'PSE&amp;G'!AY202</f>
        <v>0</v>
      </c>
      <c r="AZ62" s="348">
        <f>+PEG!AZ124-Power!AZ517-'PSE&amp;G'!AZ202</f>
        <v>0</v>
      </c>
      <c r="BA62" s="405">
        <f>+PEG!BA124-Power!BA517-'PSE&amp;G'!BA202</f>
        <v>0</v>
      </c>
      <c r="BB62" s="463">
        <f t="shared" si="94"/>
        <v>0</v>
      </c>
      <c r="BC62" s="406">
        <f>+PEG!BC124-Power!BC517-'PSE&amp;G'!BC202</f>
        <v>0</v>
      </c>
      <c r="BD62" s="348">
        <f>+PEG!BD124-Power!BD517-'PSE&amp;G'!BD202</f>
        <v>0</v>
      </c>
      <c r="BE62" s="348">
        <f>+PEG!BE124-Power!BE517-'PSE&amp;G'!BE202</f>
        <v>0</v>
      </c>
      <c r="BF62" s="405">
        <f>+PEG!BF124-Power!BF517-'PSE&amp;G'!BF202</f>
        <v>0</v>
      </c>
      <c r="BG62" s="463">
        <f t="shared" si="95"/>
        <v>0</v>
      </c>
      <c r="BH62" s="406">
        <f>+PEG!BH124-Power!BH517-'PSE&amp;G'!BH202</f>
        <v>0</v>
      </c>
      <c r="BI62" s="348">
        <f>+PEG!BI124-Power!BI517-'PSE&amp;G'!BI202</f>
        <v>0</v>
      </c>
      <c r="BJ62" s="348">
        <f>+PEG!BJ124-Power!BJ517-'PSE&amp;G'!BJ202</f>
        <v>0</v>
      </c>
      <c r="BK62" s="405">
        <f>+PEG!BK124-Power!BK517-'PSE&amp;G'!BK202</f>
        <v>0</v>
      </c>
      <c r="BL62" s="463">
        <f t="shared" si="96"/>
        <v>0</v>
      </c>
      <c r="BM62" s="406">
        <f>+PEG!BM124-Power!BM517-'PSE&amp;G'!BM202</f>
        <v>0</v>
      </c>
      <c r="BN62" s="348">
        <f>+PEG!BN124-Power!BN517-'PSE&amp;G'!BN202</f>
        <v>0</v>
      </c>
      <c r="BO62" s="348">
        <f>+PEG!BO124-Power!BO517-'PSE&amp;G'!BO202</f>
        <v>0</v>
      </c>
      <c r="BP62" s="405">
        <f>+PEG!BP124-Power!BP517-'PSE&amp;G'!BP202</f>
        <v>0</v>
      </c>
      <c r="BQ62" s="463">
        <f t="shared" si="97"/>
        <v>0</v>
      </c>
    </row>
    <row r="63" spans="3:69" s="2" customFormat="1">
      <c r="C63" s="2" t="s">
        <v>321</v>
      </c>
      <c r="E63" s="406">
        <f>+PEG!E125-Power!E518-'PSE&amp;G'!E203</f>
        <v>0</v>
      </c>
      <c r="F63" s="348">
        <f>+PEG!F125-Power!F518-'PSE&amp;G'!F203</f>
        <v>0</v>
      </c>
      <c r="G63" s="348">
        <f>+PEG!G125-Power!G518-'PSE&amp;G'!G203</f>
        <v>0</v>
      </c>
      <c r="H63" s="405">
        <f>+PEG!H125-Power!H518-'PSE&amp;G'!H203</f>
        <v>0</v>
      </c>
      <c r="I63" s="463">
        <f t="shared" si="85"/>
        <v>0</v>
      </c>
      <c r="J63" s="406">
        <f>+PEG!J125-Power!J518-'PSE&amp;G'!J203</f>
        <v>0</v>
      </c>
      <c r="K63" s="348">
        <f>+PEG!K125-Power!K518-'PSE&amp;G'!K203</f>
        <v>0</v>
      </c>
      <c r="L63" s="348">
        <f>+PEG!L125-Power!L518-'PSE&amp;G'!L203</f>
        <v>0</v>
      </c>
      <c r="M63" s="405">
        <f>+PEG!M125-Power!M518-'PSE&amp;G'!M203</f>
        <v>0</v>
      </c>
      <c r="N63" s="463">
        <f t="shared" si="86"/>
        <v>0</v>
      </c>
      <c r="O63" s="406">
        <f>+PEG!O125-Power!O518-'PSE&amp;G'!O203</f>
        <v>0</v>
      </c>
      <c r="P63" s="348">
        <f>+PEG!P125-Power!P518-'PSE&amp;G'!P203</f>
        <v>0</v>
      </c>
      <c r="Q63" s="348">
        <f>+PEG!Q125-Power!Q518-'PSE&amp;G'!Q203</f>
        <v>0</v>
      </c>
      <c r="R63" s="405">
        <f>+PEG!R125-Power!R518-'PSE&amp;G'!R203</f>
        <v>0</v>
      </c>
      <c r="S63" s="463">
        <f t="shared" si="87"/>
        <v>0</v>
      </c>
      <c r="T63" s="406">
        <f>+PEG!T125-Power!T518-'PSE&amp;G'!T203</f>
        <v>0</v>
      </c>
      <c r="U63" s="348">
        <f>+PEG!U125-Power!U518-'PSE&amp;G'!U203</f>
        <v>0</v>
      </c>
      <c r="V63" s="348">
        <f>+PEG!V125-Power!V518-'PSE&amp;G'!V203</f>
        <v>0</v>
      </c>
      <c r="W63" s="405">
        <f>+PEG!W125-Power!W518-'PSE&amp;G'!W203</f>
        <v>0</v>
      </c>
      <c r="X63" s="463">
        <f t="shared" si="88"/>
        <v>0</v>
      </c>
      <c r="Y63" s="406">
        <f>+PEG!Y125-Power!Y518-'PSE&amp;G'!Y203</f>
        <v>0</v>
      </c>
      <c r="Z63" s="348">
        <f>+PEG!Z125-Power!Z518-'PSE&amp;G'!Z203</f>
        <v>0</v>
      </c>
      <c r="AA63" s="342">
        <f>+PEG!AA125-Power!AA518-'PSE&amp;G'!AA203</f>
        <v>0</v>
      </c>
      <c r="AB63" s="395">
        <f>+PEG!AB125-Power!AB518-'PSE&amp;G'!AB203</f>
        <v>0</v>
      </c>
      <c r="AC63" s="77">
        <f t="shared" si="89"/>
        <v>0</v>
      </c>
      <c r="AD63" s="406">
        <f>+PEG!AD125-Power!AD518-'PSE&amp;G'!AD203</f>
        <v>0</v>
      </c>
      <c r="AE63" s="348">
        <f>+PEG!AE125-Power!AE518-'PSE&amp;G'!AE203</f>
        <v>0</v>
      </c>
      <c r="AF63" s="348">
        <f>+PEG!AF125-Power!AF518-'PSE&amp;G'!AF203</f>
        <v>0</v>
      </c>
      <c r="AG63" s="405">
        <f>+PEG!AG125-Power!AG518-'PSE&amp;G'!AG203</f>
        <v>0</v>
      </c>
      <c r="AH63" s="463">
        <f t="shared" si="90"/>
        <v>0</v>
      </c>
      <c r="AI63" s="406">
        <f>+PEG!AI125-Power!AI518-'PSE&amp;G'!AI203</f>
        <v>0</v>
      </c>
      <c r="AJ63" s="348">
        <f>+PEG!AJ125-Power!AJ518-'PSE&amp;G'!AJ203</f>
        <v>0</v>
      </c>
      <c r="AK63" s="348">
        <f>+PEG!AK125-Power!AK518-'PSE&amp;G'!AK203</f>
        <v>0</v>
      </c>
      <c r="AL63" s="405">
        <f>+PEG!AL125-Power!AL518-'PSE&amp;G'!AL203</f>
        <v>0</v>
      </c>
      <c r="AM63" s="463">
        <f t="shared" si="91"/>
        <v>0</v>
      </c>
      <c r="AN63" s="406">
        <f>+PEG!AN125-Power!AN518-'PSE&amp;G'!AN203</f>
        <v>0</v>
      </c>
      <c r="AO63" s="348">
        <f>+PEG!AO125-Power!AO518-'PSE&amp;G'!AO203</f>
        <v>0</v>
      </c>
      <c r="AP63" s="348">
        <f>+PEG!AP125-Power!AP518-'PSE&amp;G'!AP203</f>
        <v>0</v>
      </c>
      <c r="AQ63" s="405">
        <f>+PEG!AQ125-Power!AQ518-'PSE&amp;G'!AQ203</f>
        <v>0</v>
      </c>
      <c r="AR63" s="463">
        <f t="shared" si="92"/>
        <v>0</v>
      </c>
      <c r="AS63" s="406">
        <f>+PEG!AS125-Power!AS518-'PSE&amp;G'!AS203</f>
        <v>0</v>
      </c>
      <c r="AT63" s="348">
        <f>+PEG!AT125-Power!AT518-'PSE&amp;G'!AT203</f>
        <v>0</v>
      </c>
      <c r="AU63" s="348">
        <f>+PEG!AU125-Power!AU518-'PSE&amp;G'!AU203</f>
        <v>-150</v>
      </c>
      <c r="AV63" s="405">
        <f>+PEG!AV125-Power!AV518-'PSE&amp;G'!AV203</f>
        <v>150</v>
      </c>
      <c r="AW63" s="463">
        <f t="shared" si="93"/>
        <v>0</v>
      </c>
      <c r="AX63" s="406">
        <f>+PEG!AX125-Power!AX518-'PSE&amp;G'!AX203</f>
        <v>0</v>
      </c>
      <c r="AY63" s="348">
        <f>+PEG!AY125-Power!AY518-'PSE&amp;G'!AY203</f>
        <v>0</v>
      </c>
      <c r="AZ63" s="348">
        <f>+PEG!AZ125-Power!AZ518-'PSE&amp;G'!AZ203</f>
        <v>0</v>
      </c>
      <c r="BA63" s="405">
        <f>+PEG!BA125-Power!BA518-'PSE&amp;G'!BA203</f>
        <v>0</v>
      </c>
      <c r="BB63" s="463">
        <f t="shared" si="94"/>
        <v>0</v>
      </c>
      <c r="BC63" s="406">
        <f>+PEG!BC125-Power!BC518-'PSE&amp;G'!BC203</f>
        <v>0</v>
      </c>
      <c r="BD63" s="348">
        <f>+PEG!BD125-Power!BD518-'PSE&amp;G'!BD203</f>
        <v>0</v>
      </c>
      <c r="BE63" s="348">
        <f>+PEG!BE125-Power!BE518-'PSE&amp;G'!BE203</f>
        <v>0</v>
      </c>
      <c r="BF63" s="405">
        <f>+PEG!BF125-Power!BF518-'PSE&amp;G'!BF203</f>
        <v>0</v>
      </c>
      <c r="BG63" s="463">
        <f t="shared" si="95"/>
        <v>0</v>
      </c>
      <c r="BH63" s="406">
        <f>+PEG!BH125-Power!BH518-'PSE&amp;G'!BH203</f>
        <v>0</v>
      </c>
      <c r="BI63" s="348">
        <f>+PEG!BI125-Power!BI518-'PSE&amp;G'!BI203</f>
        <v>0</v>
      </c>
      <c r="BJ63" s="348">
        <f>+PEG!BJ125-Power!BJ518-'PSE&amp;G'!BJ203</f>
        <v>0</v>
      </c>
      <c r="BK63" s="405">
        <f>+PEG!BK125-Power!BK518-'PSE&amp;G'!BK203</f>
        <v>0</v>
      </c>
      <c r="BL63" s="463">
        <f t="shared" si="96"/>
        <v>0</v>
      </c>
      <c r="BM63" s="406">
        <f>+PEG!BM125-Power!BM518-'PSE&amp;G'!BM203</f>
        <v>0</v>
      </c>
      <c r="BN63" s="348">
        <f>+PEG!BN125-Power!BN518-'PSE&amp;G'!BN203</f>
        <v>0</v>
      </c>
      <c r="BO63" s="348">
        <f>+PEG!BO125-Power!BO518-'PSE&amp;G'!BO203</f>
        <v>0</v>
      </c>
      <c r="BP63" s="405">
        <f>+PEG!BP125-Power!BP518-'PSE&amp;G'!BP203</f>
        <v>0</v>
      </c>
      <c r="BQ63" s="463">
        <f t="shared" si="97"/>
        <v>0</v>
      </c>
    </row>
    <row r="64" spans="3:69" s="2" customFormat="1">
      <c r="C64" s="2" t="s">
        <v>126</v>
      </c>
      <c r="E64" s="406">
        <f>+PEG!E126-Power!E519-'PSE&amp;G'!E204</f>
        <v>103</v>
      </c>
      <c r="F64" s="348">
        <f>+PEG!F126-Power!F519-'PSE&amp;G'!F204</f>
        <v>106</v>
      </c>
      <c r="G64" s="348">
        <f>+PEG!G126-Power!G519-'PSE&amp;G'!G204</f>
        <v>130</v>
      </c>
      <c r="H64" s="405">
        <f>+PEG!H126-Power!H519-'PSE&amp;G'!H204</f>
        <v>121</v>
      </c>
      <c r="I64" s="463">
        <f t="shared" si="85"/>
        <v>460</v>
      </c>
      <c r="J64" s="406">
        <f>+PEG!J126-Power!J519-'PSE&amp;G'!J204</f>
        <v>176</v>
      </c>
      <c r="K64" s="348">
        <f>+PEG!K126-Power!K519-'PSE&amp;G'!K204</f>
        <v>175</v>
      </c>
      <c r="L64" s="348">
        <f>+PEG!L126-Power!L519-'PSE&amp;G'!L204</f>
        <v>350</v>
      </c>
      <c r="M64" s="405">
        <f>+PEG!M126-Power!M519-'PSE&amp;G'!M204</f>
        <v>-2</v>
      </c>
      <c r="N64" s="463">
        <f t="shared" si="86"/>
        <v>699</v>
      </c>
      <c r="O64" s="406">
        <f>+PEG!O126-Power!O519-'PSE&amp;G'!O204</f>
        <v>175</v>
      </c>
      <c r="P64" s="348">
        <f>+PEG!P126-Power!P519-'PSE&amp;G'!P204</f>
        <v>175</v>
      </c>
      <c r="Q64" s="348">
        <f>+PEG!Q126-Power!Q519-'PSE&amp;G'!Q204</f>
        <v>0</v>
      </c>
      <c r="R64" s="405">
        <f>+PEG!R126-Power!R519-'PSE&amp;G'!R204</f>
        <v>450</v>
      </c>
      <c r="S64" s="463">
        <f t="shared" si="87"/>
        <v>800</v>
      </c>
      <c r="T64" s="406">
        <f>+PEG!T126-Power!T519-'PSE&amp;G'!T204</f>
        <v>300</v>
      </c>
      <c r="U64" s="348">
        <f>+PEG!U126-Power!U519-'PSE&amp;G'!U204</f>
        <v>300</v>
      </c>
      <c r="V64" s="348">
        <f>+PEG!V126-Power!V519-'PSE&amp;G'!V204</f>
        <v>0</v>
      </c>
      <c r="W64" s="405">
        <f>+PEG!W126-Power!W519-'PSE&amp;G'!W204</f>
        <v>0</v>
      </c>
      <c r="X64" s="463">
        <f t="shared" si="88"/>
        <v>600</v>
      </c>
      <c r="Y64" s="406">
        <f>+PEG!Y126-Power!Y519-'PSE&amp;G'!Y204</f>
        <v>150</v>
      </c>
      <c r="Z64" s="348">
        <f>+PEG!Z126-Power!Z519-'PSE&amp;G'!Z204</f>
        <v>250</v>
      </c>
      <c r="AA64" s="342">
        <f>+PEG!AA126-Power!AA519-'PSE&amp;G'!AA204</f>
        <v>190</v>
      </c>
      <c r="AB64" s="395">
        <f>+PEG!AB126-Power!AB519-'PSE&amp;G'!AB204</f>
        <v>-9</v>
      </c>
      <c r="AC64" s="77">
        <f t="shared" si="89"/>
        <v>581</v>
      </c>
      <c r="AD64" s="406">
        <f>+PEG!AD126-Power!AD519-'PSE&amp;G'!AD204</f>
        <v>200</v>
      </c>
      <c r="AE64" s="348">
        <f>+PEG!AE126-Power!AE519-'PSE&amp;G'!AE204</f>
        <v>200</v>
      </c>
      <c r="AF64" s="348">
        <f>+PEG!AF126-Power!AF519-'PSE&amp;G'!AF204</f>
        <v>200</v>
      </c>
      <c r="AG64" s="405">
        <f>+PEG!AG126-Power!AG519-'PSE&amp;G'!AG204</f>
        <v>120</v>
      </c>
      <c r="AH64" s="463">
        <f t="shared" si="90"/>
        <v>720</v>
      </c>
      <c r="AI64" s="406">
        <f>+PEG!AI126-Power!AI519-'PSE&amp;G'!AI204</f>
        <v>200</v>
      </c>
      <c r="AJ64" s="348">
        <f>+PEG!AJ126-Power!AJ519-'PSE&amp;G'!AJ204</f>
        <v>200</v>
      </c>
      <c r="AK64" s="348">
        <f>+PEG!AK126-Power!AK519-'PSE&amp;G'!AK204</f>
        <v>0</v>
      </c>
      <c r="AL64" s="405">
        <f>+PEG!AL126-Power!AL519-'PSE&amp;G'!AL204</f>
        <v>0</v>
      </c>
      <c r="AM64" s="463">
        <f t="shared" si="91"/>
        <v>400</v>
      </c>
      <c r="AN64" s="406">
        <f>+PEG!AN126-Power!AN519-'PSE&amp;G'!AN204</f>
        <v>0</v>
      </c>
      <c r="AO64" s="348">
        <f>+PEG!AO126-Power!AO519-'PSE&amp;G'!AO204</f>
        <v>0</v>
      </c>
      <c r="AP64" s="348">
        <f>+PEG!AP126-Power!AP519-'PSE&amp;G'!AP204</f>
        <v>250</v>
      </c>
      <c r="AQ64" s="405">
        <f>+PEG!AQ126-Power!AQ519-'PSE&amp;G'!AQ204</f>
        <v>-250</v>
      </c>
      <c r="AR64" s="463">
        <f t="shared" si="92"/>
        <v>0</v>
      </c>
      <c r="AS64" s="406">
        <f>+PEG!AS126-Power!AS519-'PSE&amp;G'!AS204</f>
        <v>175</v>
      </c>
      <c r="AT64" s="348">
        <f>+PEG!AT126-Power!AT519-'PSE&amp;G'!AT204</f>
        <v>0</v>
      </c>
      <c r="AU64" s="348">
        <f>+PEG!AU126-Power!AU519-'PSE&amp;G'!AU204</f>
        <v>175</v>
      </c>
      <c r="AV64" s="405">
        <f>+PEG!AV126-Power!AV519-'PSE&amp;G'!AV204</f>
        <v>-150</v>
      </c>
      <c r="AW64" s="463">
        <f t="shared" si="93"/>
        <v>200</v>
      </c>
      <c r="AX64" s="406">
        <f>+PEG!AX126-Power!AX519-'PSE&amp;G'!AX204</f>
        <v>150</v>
      </c>
      <c r="AY64" s="348">
        <f>+PEG!AY126-Power!AY519-'PSE&amp;G'!AY204</f>
        <v>150</v>
      </c>
      <c r="AZ64" s="348">
        <f>+PEG!AZ126-Power!AZ519-'PSE&amp;G'!AZ204</f>
        <v>8.3333333333333339</v>
      </c>
      <c r="BA64" s="405">
        <f>+PEG!BA126-Power!BA519-'PSE&amp;G'!BA204</f>
        <v>300</v>
      </c>
      <c r="BB64" s="463">
        <f t="shared" si="94"/>
        <v>608.33333333333326</v>
      </c>
      <c r="BC64" s="406">
        <f>+PEG!BC126-Power!BC519-'PSE&amp;G'!BC204</f>
        <v>175</v>
      </c>
      <c r="BD64" s="348">
        <f>+PEG!BD126-Power!BD519-'PSE&amp;G'!BD204</f>
        <v>175</v>
      </c>
      <c r="BE64" s="348">
        <f>+PEG!BE126-Power!BE519-'PSE&amp;G'!BE204</f>
        <v>175</v>
      </c>
      <c r="BF64" s="405">
        <f>+PEG!BF126-Power!BF519-'PSE&amp;G'!BF204</f>
        <v>175</v>
      </c>
      <c r="BG64" s="463">
        <f t="shared" si="95"/>
        <v>700</v>
      </c>
      <c r="BH64" s="406">
        <f>+PEG!BH126-Power!BH519-'PSE&amp;G'!BH204</f>
        <v>112.5</v>
      </c>
      <c r="BI64" s="348">
        <f>+PEG!BI126-Power!BI519-'PSE&amp;G'!BI204</f>
        <v>112.5</v>
      </c>
      <c r="BJ64" s="348">
        <f>+PEG!BJ126-Power!BJ519-'PSE&amp;G'!BJ204</f>
        <v>112.5</v>
      </c>
      <c r="BK64" s="405">
        <f>+PEG!BK126-Power!BK519-'PSE&amp;G'!BK204</f>
        <v>112.5</v>
      </c>
      <c r="BL64" s="463">
        <f t="shared" si="96"/>
        <v>450</v>
      </c>
      <c r="BM64" s="406">
        <f>+PEG!BM126-Power!BM519-'PSE&amp;G'!BM204</f>
        <v>212.5</v>
      </c>
      <c r="BN64" s="348">
        <f>+PEG!BN126-Power!BN519-'PSE&amp;G'!BN204</f>
        <v>212.5</v>
      </c>
      <c r="BO64" s="348">
        <f>+PEG!BO126-Power!BO519-'PSE&amp;G'!BO204</f>
        <v>212.5</v>
      </c>
      <c r="BP64" s="405">
        <f>+PEG!BP126-Power!BP519-'PSE&amp;G'!BP204</f>
        <v>212.5</v>
      </c>
      <c r="BQ64" s="463">
        <f t="shared" si="97"/>
        <v>850</v>
      </c>
    </row>
    <row r="65" spans="3:69" s="2" customFormat="1">
      <c r="C65" s="2" t="s">
        <v>323</v>
      </c>
      <c r="E65" s="406">
        <f>+PEG!E127</f>
        <v>-168</v>
      </c>
      <c r="F65" s="348">
        <f>+PEG!F127</f>
        <v>-168</v>
      </c>
      <c r="G65" s="348">
        <f>+PEG!G127</f>
        <v>-169</v>
      </c>
      <c r="H65" s="405">
        <f>+PEG!H127</f>
        <v>-168</v>
      </c>
      <c r="I65" s="463">
        <f>SUM(E65:H65)</f>
        <v>-673</v>
      </c>
      <c r="J65" s="406">
        <f>+PEG!J127</f>
        <v>-173</v>
      </c>
      <c r="K65" s="348">
        <f>+PEG!K127</f>
        <v>-174</v>
      </c>
      <c r="L65" s="348">
        <f>+PEG!L127</f>
        <v>-173</v>
      </c>
      <c r="M65" s="405">
        <f>+PEG!M127</f>
        <v>-173</v>
      </c>
      <c r="N65" s="463">
        <f t="shared" si="86"/>
        <v>-693</v>
      </c>
      <c r="O65" s="406">
        <f>+PEG!O127</f>
        <v>-173</v>
      </c>
      <c r="P65" s="348">
        <f>+PEG!P127</f>
        <v>-174</v>
      </c>
      <c r="Q65" s="348">
        <f>+PEG!Q127</f>
        <v>-173</v>
      </c>
      <c r="R65" s="405">
        <f>+PEG!R127</f>
        <v>-173</v>
      </c>
      <c r="S65" s="463">
        <f t="shared" si="87"/>
        <v>-693</v>
      </c>
      <c r="T65" s="406">
        <f>+PEG!T127</f>
        <v>-179</v>
      </c>
      <c r="U65" s="348">
        <f>+PEG!U127</f>
        <v>-180</v>
      </c>
      <c r="V65" s="348">
        <f>+PEG!V127</f>
        <v>-179</v>
      </c>
      <c r="W65" s="405">
        <f>+PEG!W127</f>
        <v>-180</v>
      </c>
      <c r="X65" s="463">
        <f t="shared" si="88"/>
        <v>-718</v>
      </c>
      <c r="Y65" s="406">
        <f>+PEG!Y127</f>
        <v>-182</v>
      </c>
      <c r="Z65" s="348">
        <f>+PEG!Z127</f>
        <v>-182</v>
      </c>
      <c r="AA65" s="342">
        <f>+PEG!AA127</f>
        <v>-182</v>
      </c>
      <c r="AB65" s="395">
        <f>+PEG!AB127</f>
        <v>-182</v>
      </c>
      <c r="AC65" s="77">
        <f t="shared" si="89"/>
        <v>-728</v>
      </c>
      <c r="AD65" s="406">
        <f>+PEG!AD127</f>
        <v>-187</v>
      </c>
      <c r="AE65" s="348">
        <f>+PEG!AE127</f>
        <v>-187</v>
      </c>
      <c r="AF65" s="348">
        <f>+PEG!AF127</f>
        <v>-187</v>
      </c>
      <c r="AG65" s="405">
        <f>+PEG!AG127</f>
        <v>-187</v>
      </c>
      <c r="AH65" s="463">
        <f t="shared" si="90"/>
        <v>-748</v>
      </c>
      <c r="AI65" s="406">
        <f>+PEG!AI127</f>
        <v>-197</v>
      </c>
      <c r="AJ65" s="348">
        <f>+PEG!AJ127</f>
        <v>-197</v>
      </c>
      <c r="AK65" s="348">
        <f>+PEG!AK127</f>
        <v>-198</v>
      </c>
      <c r="AL65" s="405">
        <f>+PEG!AL127</f>
        <v>-197</v>
      </c>
      <c r="AM65" s="463">
        <f t="shared" si="91"/>
        <v>-789</v>
      </c>
      <c r="AN65" s="406">
        <f>+PEG!AN127</f>
        <v>-207</v>
      </c>
      <c r="AO65" s="348">
        <f>+PEG!AO127</f>
        <v>-208</v>
      </c>
      <c r="AP65" s="348">
        <f>+PEG!AP127</f>
        <v>-207</v>
      </c>
      <c r="AQ65" s="405">
        <f>+PEG!AQ127</f>
        <v>-208</v>
      </c>
      <c r="AR65" s="463">
        <f t="shared" si="92"/>
        <v>-830</v>
      </c>
      <c r="AS65" s="406">
        <f>+PEG!AS127</f>
        <v>-218</v>
      </c>
      <c r="AT65" s="348">
        <f>+PEG!AT127</f>
        <v>-217</v>
      </c>
      <c r="AU65" s="348">
        <f>+PEG!AU127</f>
        <v>-217</v>
      </c>
      <c r="AV65" s="405">
        <f>+PEG!AV127</f>
        <v>-218</v>
      </c>
      <c r="AW65" s="463">
        <f t="shared" si="93"/>
        <v>-870</v>
      </c>
      <c r="AX65" s="406">
        <f>+PEG!AX127</f>
        <v>-226.92174999999997</v>
      </c>
      <c r="AY65" s="348">
        <f>+PEG!AY127</f>
        <v>-226.92174999999997</v>
      </c>
      <c r="AZ65" s="348">
        <f>+PEG!AZ127</f>
        <v>-226.92174999999997</v>
      </c>
      <c r="BA65" s="405">
        <f>+PEG!BA127</f>
        <v>-226.92174999999997</v>
      </c>
      <c r="BB65" s="463">
        <f t="shared" si="94"/>
        <v>-907.6869999999999</v>
      </c>
      <c r="BC65" s="406">
        <f>+PEG!BC127</f>
        <v>-237.13322874999997</v>
      </c>
      <c r="BD65" s="348">
        <f>+PEG!BD127</f>
        <v>-237.13322874999997</v>
      </c>
      <c r="BE65" s="348">
        <f>+PEG!BE127</f>
        <v>-237.13322874999997</v>
      </c>
      <c r="BF65" s="405">
        <f>+PEG!BF127</f>
        <v>-237.13322874999997</v>
      </c>
      <c r="BG65" s="463">
        <f t="shared" si="95"/>
        <v>-948.53291499999989</v>
      </c>
      <c r="BH65" s="406">
        <f>+PEG!BH127</f>
        <v>-247.80422404374997</v>
      </c>
      <c r="BI65" s="348">
        <f>+PEG!BI127</f>
        <v>-247.80422404374997</v>
      </c>
      <c r="BJ65" s="348">
        <f>+PEG!BJ127</f>
        <v>-247.80422404374997</v>
      </c>
      <c r="BK65" s="405">
        <f>+PEG!BK127</f>
        <v>-247.80422404374997</v>
      </c>
      <c r="BL65" s="463">
        <f t="shared" si="96"/>
        <v>-991.21689617499987</v>
      </c>
      <c r="BM65" s="406">
        <f>+PEG!BM127</f>
        <v>-258.95541412571868</v>
      </c>
      <c r="BN65" s="348">
        <f>+PEG!BN127</f>
        <v>-258.95541412571868</v>
      </c>
      <c r="BO65" s="348">
        <f>+PEG!BO127</f>
        <v>-258.95541412571868</v>
      </c>
      <c r="BP65" s="405">
        <f>+PEG!BP127</f>
        <v>-258.95541412571868</v>
      </c>
      <c r="BQ65" s="463">
        <f t="shared" si="97"/>
        <v>-1035.8216565028747</v>
      </c>
    </row>
    <row r="66" spans="3:69" s="2" customFormat="1">
      <c r="C66" s="2" t="s">
        <v>199</v>
      </c>
      <c r="E66" s="406">
        <f>+PEG!E128-Power!E520-'PSE&amp;G'!E205</f>
        <v>-2</v>
      </c>
      <c r="F66" s="480">
        <f>+PEG!F128-Power!F520-'PSE&amp;G'!F205</f>
        <v>-2</v>
      </c>
      <c r="G66" s="480">
        <f>+PEG!G128-Power!G520-'PSE&amp;G'!G205</f>
        <v>101</v>
      </c>
      <c r="H66" s="481">
        <f>+PEG!H128-Power!H520-'PSE&amp;G'!H205</f>
        <v>8</v>
      </c>
      <c r="I66" s="463">
        <f t="shared" si="85"/>
        <v>105</v>
      </c>
      <c r="J66" s="406">
        <f>+PEG!J128-Power!J520-'PSE&amp;G'!J205</f>
        <v>-4</v>
      </c>
      <c r="K66" s="480">
        <f>+PEG!K128-Power!K520-'PSE&amp;G'!K205</f>
        <v>-16</v>
      </c>
      <c r="L66" s="480">
        <f>+PEG!L128-Power!L520-'PSE&amp;G'!L205</f>
        <v>11</v>
      </c>
      <c r="M66" s="481">
        <f>+PEG!M128-Power!M520-'PSE&amp;G'!M205</f>
        <v>7</v>
      </c>
      <c r="N66" s="463">
        <f t="shared" si="86"/>
        <v>-2</v>
      </c>
      <c r="O66" s="406">
        <f>+PEG!O128-Power!O520-'PSE&amp;G'!O205</f>
        <v>-4</v>
      </c>
      <c r="P66" s="480">
        <f>+PEG!P128-Power!P520-'PSE&amp;G'!P205</f>
        <v>-14</v>
      </c>
      <c r="Q66" s="480">
        <f>+PEG!Q128-Power!Q520-'PSE&amp;G'!Q205</f>
        <v>0</v>
      </c>
      <c r="R66" s="481">
        <f>+PEG!R128-Power!R520-'PSE&amp;G'!R205</f>
        <v>16</v>
      </c>
      <c r="S66" s="463">
        <f t="shared" si="87"/>
        <v>-2</v>
      </c>
      <c r="T66" s="406">
        <f>+PEG!T128-Power!T520-'PSE&amp;G'!T205</f>
        <v>-13</v>
      </c>
      <c r="U66" s="480">
        <f>+PEG!U128-Power!U520-'PSE&amp;G'!U205</f>
        <v>2</v>
      </c>
      <c r="V66" s="480">
        <f>+PEG!V128-Power!V520-'PSE&amp;G'!V205</f>
        <v>-2</v>
      </c>
      <c r="W66" s="481">
        <f>+PEG!W128-Power!W520-'PSE&amp;G'!W205</f>
        <v>-11</v>
      </c>
      <c r="X66" s="463">
        <f t="shared" si="88"/>
        <v>-24</v>
      </c>
      <c r="Y66" s="406">
        <f>+PEG!Y128-Power!Y520-'PSE&amp;G'!Y205</f>
        <v>-13</v>
      </c>
      <c r="Z66" s="480">
        <f>+PEG!Z128-Power!Z520-'PSE&amp;G'!Z205</f>
        <v>-26</v>
      </c>
      <c r="AA66" s="342">
        <f>+PEG!AA128-Power!AA520-'PSE&amp;G'!AA205</f>
        <v>1</v>
      </c>
      <c r="AB66" s="395">
        <f>+PEG!AB128-Power!AB520-'PSE&amp;G'!AB205</f>
        <v>0</v>
      </c>
      <c r="AC66" s="77">
        <f t="shared" si="89"/>
        <v>-38</v>
      </c>
      <c r="AD66" s="406">
        <f>+PEG!AD128-Power!AD520-'PSE&amp;G'!AD205</f>
        <v>-24</v>
      </c>
      <c r="AE66" s="480">
        <f>+PEG!AE128-Power!AE520-'PSE&amp;G'!AE205</f>
        <v>-10</v>
      </c>
      <c r="AF66" s="480">
        <f>+PEG!AF128-Power!AF520-'PSE&amp;G'!AF205</f>
        <v>1</v>
      </c>
      <c r="AG66" s="481">
        <f>+PEG!AG128-Power!AG520-'PSE&amp;G'!AG205</f>
        <v>-14</v>
      </c>
      <c r="AH66" s="463">
        <f t="shared" si="90"/>
        <v>-47</v>
      </c>
      <c r="AI66" s="406">
        <f>+PEG!AI128-Power!AI520-'PSE&amp;G'!AI205</f>
        <v>-39</v>
      </c>
      <c r="AJ66" s="480">
        <f>+PEG!AJ128-Power!AJ520-'PSE&amp;G'!AJ205</f>
        <v>2</v>
      </c>
      <c r="AK66" s="480">
        <f>+PEG!AK128-Power!AK520-'PSE&amp;G'!AK205</f>
        <v>-8</v>
      </c>
      <c r="AL66" s="481">
        <f>+PEG!AL128-Power!AL520-'PSE&amp;G'!AL205</f>
        <v>6</v>
      </c>
      <c r="AM66" s="463">
        <f t="shared" si="91"/>
        <v>-39</v>
      </c>
      <c r="AN66" s="406">
        <f>+PEG!AN128-Power!AN520-'PSE&amp;G'!AN205</f>
        <v>-45</v>
      </c>
      <c r="AO66" s="480">
        <f>+PEG!AO128-Power!AO520-'PSE&amp;G'!AO205</f>
        <v>-3</v>
      </c>
      <c r="AP66" s="480">
        <f>+PEG!AP128-Power!AP520-'PSE&amp;G'!AP205</f>
        <v>-3</v>
      </c>
      <c r="AQ66" s="481">
        <f>+PEG!AQ128-Power!AQ520-'PSE&amp;G'!AQ205</f>
        <v>-8</v>
      </c>
      <c r="AR66" s="463">
        <f t="shared" si="92"/>
        <v>-59</v>
      </c>
      <c r="AS66" s="406">
        <f>+PEG!AS128-Power!AS520-'PSE&amp;G'!AS205</f>
        <v>-51</v>
      </c>
      <c r="AT66" s="480">
        <f>+PEG!AT128-Power!AT520-'PSE&amp;G'!AT205</f>
        <v>-2</v>
      </c>
      <c r="AU66" s="480">
        <f>+PEG!AU128-Power!AU520-'PSE&amp;G'!AU205</f>
        <v>0</v>
      </c>
      <c r="AV66" s="481">
        <f>+PEG!AV128-Power!AV520-'PSE&amp;G'!AV205</f>
        <v>-8</v>
      </c>
      <c r="AW66" s="463">
        <f t="shared" si="93"/>
        <v>-61</v>
      </c>
      <c r="AX66" s="406">
        <f>+PEG!AX128-Power!AX520-'PSE&amp;G'!AX205</f>
        <v>0</v>
      </c>
      <c r="AY66" s="480">
        <f>+PEG!AY128-Power!AY520-'PSE&amp;G'!AY205</f>
        <v>0</v>
      </c>
      <c r="AZ66" s="480">
        <f>+PEG!AZ128-Power!AZ520-'PSE&amp;G'!AZ205</f>
        <v>0</v>
      </c>
      <c r="BA66" s="481">
        <f>+PEG!BA128-Power!BA520-'PSE&amp;G'!BA205</f>
        <v>0</v>
      </c>
      <c r="BB66" s="463">
        <f t="shared" si="94"/>
        <v>0</v>
      </c>
      <c r="BC66" s="406">
        <f>+PEG!BC128-Power!BC520-'PSE&amp;G'!BC205</f>
        <v>0</v>
      </c>
      <c r="BD66" s="480">
        <f>+PEG!BD128-Power!BD520-'PSE&amp;G'!BD205</f>
        <v>0</v>
      </c>
      <c r="BE66" s="480">
        <f>+PEG!BE128-Power!BE520-'PSE&amp;G'!BE205</f>
        <v>0</v>
      </c>
      <c r="BF66" s="481">
        <f>+PEG!BF128-Power!BF520-'PSE&amp;G'!BF205</f>
        <v>0</v>
      </c>
      <c r="BG66" s="463">
        <f t="shared" si="95"/>
        <v>0</v>
      </c>
      <c r="BH66" s="406">
        <f>+PEG!BH128-Power!BH520-'PSE&amp;G'!BH205</f>
        <v>0</v>
      </c>
      <c r="BI66" s="480">
        <f>+PEG!BI128-Power!BI520-'PSE&amp;G'!BI205</f>
        <v>0</v>
      </c>
      <c r="BJ66" s="480">
        <f>+PEG!BJ128-Power!BJ520-'PSE&amp;G'!BJ205</f>
        <v>0</v>
      </c>
      <c r="BK66" s="481">
        <f>+PEG!BK128-Power!BK520-'PSE&amp;G'!BK205</f>
        <v>0</v>
      </c>
      <c r="BL66" s="463">
        <f t="shared" si="96"/>
        <v>0</v>
      </c>
      <c r="BM66" s="406">
        <f>+PEG!BM128-Power!BM520-'PSE&amp;G'!BM205</f>
        <v>0</v>
      </c>
      <c r="BN66" s="480">
        <f>+PEG!BN128-Power!BN520-'PSE&amp;G'!BN205</f>
        <v>0</v>
      </c>
      <c r="BO66" s="480">
        <f>+PEG!BO128-Power!BO520-'PSE&amp;G'!BO205</f>
        <v>0</v>
      </c>
      <c r="BP66" s="481">
        <f>+PEG!BP128-Power!BP520-'PSE&amp;G'!BP205</f>
        <v>0</v>
      </c>
      <c r="BQ66" s="463">
        <f t="shared" si="97"/>
        <v>0</v>
      </c>
    </row>
    <row r="67" spans="3:69" s="2" customFormat="1">
      <c r="C67" s="49" t="s">
        <v>200</v>
      </c>
      <c r="E67" s="390">
        <f t="shared" ref="E67:AH67" si="98">SUM(E60:E66)</f>
        <v>-78</v>
      </c>
      <c r="F67" s="340">
        <f t="shared" si="98"/>
        <v>-66</v>
      </c>
      <c r="G67" s="340">
        <f t="shared" si="98"/>
        <v>-134</v>
      </c>
      <c r="H67" s="391">
        <f t="shared" si="98"/>
        <v>141</v>
      </c>
      <c r="I67" s="464">
        <f t="shared" si="98"/>
        <v>-137</v>
      </c>
      <c r="J67" s="390">
        <f t="shared" si="98"/>
        <v>-338</v>
      </c>
      <c r="K67" s="340">
        <f t="shared" si="98"/>
        <v>150</v>
      </c>
      <c r="L67" s="340">
        <f t="shared" si="98"/>
        <v>8</v>
      </c>
      <c r="M67" s="391">
        <f t="shared" si="98"/>
        <v>-245</v>
      </c>
      <c r="N67" s="464">
        <f t="shared" si="98"/>
        <v>-425</v>
      </c>
      <c r="O67" s="390">
        <f t="shared" si="98"/>
        <v>-67</v>
      </c>
      <c r="P67" s="340">
        <f t="shared" si="98"/>
        <v>-13</v>
      </c>
      <c r="Q67" s="340">
        <f t="shared" si="98"/>
        <v>-173</v>
      </c>
      <c r="R67" s="391">
        <f t="shared" si="98"/>
        <v>276</v>
      </c>
      <c r="S67" s="464">
        <f t="shared" si="98"/>
        <v>23</v>
      </c>
      <c r="T67" s="390">
        <f t="shared" si="98"/>
        <v>108</v>
      </c>
      <c r="U67" s="340">
        <f t="shared" si="98"/>
        <v>122</v>
      </c>
      <c r="V67" s="340">
        <f t="shared" si="98"/>
        <v>-182</v>
      </c>
      <c r="W67" s="391">
        <f>SUM(W60:W66)</f>
        <v>-191</v>
      </c>
      <c r="X67" s="464">
        <f>SUM(X60:X66)</f>
        <v>-143</v>
      </c>
      <c r="Y67" s="390">
        <f t="shared" si="98"/>
        <v>-45</v>
      </c>
      <c r="Z67" s="340">
        <f t="shared" si="98"/>
        <v>42</v>
      </c>
      <c r="AA67" s="343">
        <f t="shared" ref="AA67:AF67" si="99">SUM(AA60:AA66)</f>
        <v>9</v>
      </c>
      <c r="AB67" s="397">
        <f t="shared" si="99"/>
        <v>-191</v>
      </c>
      <c r="AC67" s="297">
        <f t="shared" si="99"/>
        <v>-185</v>
      </c>
      <c r="AD67" s="390">
        <f t="shared" si="99"/>
        <v>-11</v>
      </c>
      <c r="AE67" s="340">
        <f t="shared" si="99"/>
        <v>3</v>
      </c>
      <c r="AF67" s="340">
        <f t="shared" si="99"/>
        <v>14</v>
      </c>
      <c r="AG67" s="391">
        <f t="shared" si="98"/>
        <v>-81</v>
      </c>
      <c r="AH67" s="464">
        <f t="shared" si="98"/>
        <v>-75</v>
      </c>
      <c r="AI67" s="390">
        <f t="shared" ref="AI67:AN67" si="100">SUM(AI60:AI66)</f>
        <v>-36</v>
      </c>
      <c r="AJ67" s="340">
        <f t="shared" si="100"/>
        <v>5</v>
      </c>
      <c r="AK67" s="340">
        <f t="shared" si="100"/>
        <v>-206</v>
      </c>
      <c r="AL67" s="391">
        <f t="shared" si="100"/>
        <v>520</v>
      </c>
      <c r="AM67" s="464">
        <f t="shared" si="100"/>
        <v>283</v>
      </c>
      <c r="AN67" s="390">
        <f t="shared" si="100"/>
        <v>-451</v>
      </c>
      <c r="AO67" s="340">
        <f t="shared" ref="AO67:AT67" si="101">SUM(AO60:AO66)</f>
        <v>-223</v>
      </c>
      <c r="AP67" s="340">
        <f t="shared" si="101"/>
        <v>295</v>
      </c>
      <c r="AQ67" s="391">
        <f t="shared" si="101"/>
        <v>367</v>
      </c>
      <c r="AR67" s="464">
        <f t="shared" si="101"/>
        <v>-12</v>
      </c>
      <c r="AS67" s="390">
        <f t="shared" si="101"/>
        <v>-167</v>
      </c>
      <c r="AT67" s="340">
        <f t="shared" si="101"/>
        <v>166</v>
      </c>
      <c r="AU67" s="340">
        <f t="shared" ref="AU67:BB67" si="102">SUM(AU60:AU66)</f>
        <v>10</v>
      </c>
      <c r="AV67" s="391">
        <f t="shared" si="102"/>
        <v>33</v>
      </c>
      <c r="AW67" s="464">
        <f t="shared" si="102"/>
        <v>42</v>
      </c>
      <c r="AX67" s="390">
        <f t="shared" si="102"/>
        <v>923.07825000000003</v>
      </c>
      <c r="AY67" s="340">
        <f t="shared" si="102"/>
        <v>-76.921749999999975</v>
      </c>
      <c r="AZ67" s="340">
        <f t="shared" si="102"/>
        <v>-218.58841666666663</v>
      </c>
      <c r="BA67" s="391">
        <f t="shared" si="102"/>
        <v>73.078250000000025</v>
      </c>
      <c r="BB67" s="464">
        <f t="shared" si="102"/>
        <v>700.64633333333336</v>
      </c>
      <c r="BC67" s="390">
        <f t="shared" ref="BC67:BK67" si="103">SUM(BC60:BC66)</f>
        <v>-62.133228749999972</v>
      </c>
      <c r="BD67" s="340">
        <f t="shared" si="103"/>
        <v>-762.13322874999994</v>
      </c>
      <c r="BE67" s="340">
        <f t="shared" si="103"/>
        <v>1237.8667712500001</v>
      </c>
      <c r="BF67" s="391">
        <f t="shared" si="103"/>
        <v>-462.13322874999994</v>
      </c>
      <c r="BG67" s="464">
        <f t="shared" si="103"/>
        <v>-48.532914999999889</v>
      </c>
      <c r="BH67" s="390">
        <f t="shared" si="103"/>
        <v>-135.30422404374997</v>
      </c>
      <c r="BI67" s="340">
        <f t="shared" si="103"/>
        <v>-135.30422404374997</v>
      </c>
      <c r="BJ67" s="340">
        <f t="shared" si="103"/>
        <v>-35.304224043749969</v>
      </c>
      <c r="BK67" s="391">
        <f t="shared" si="103"/>
        <v>-135.30422404374997</v>
      </c>
      <c r="BL67" s="464">
        <f t="shared" ref="BL67:BQ67" si="104">SUM(BL60:BL66)</f>
        <v>-441.21689617499987</v>
      </c>
      <c r="BM67" s="390">
        <f t="shared" si="104"/>
        <v>-46.455414125718676</v>
      </c>
      <c r="BN67" s="340">
        <f t="shared" si="104"/>
        <v>-46.455414125718676</v>
      </c>
      <c r="BO67" s="340">
        <f t="shared" si="104"/>
        <v>453.54458587428132</v>
      </c>
      <c r="BP67" s="391">
        <f t="shared" si="104"/>
        <v>-346.45541412571868</v>
      </c>
      <c r="BQ67" s="464">
        <f t="shared" si="104"/>
        <v>14.178343497125297</v>
      </c>
    </row>
    <row r="68" spans="3:69" s="2" customFormat="1">
      <c r="E68" s="509"/>
      <c r="F68" s="480"/>
      <c r="G68" s="480"/>
      <c r="H68" s="481"/>
      <c r="I68" s="463"/>
      <c r="J68" s="509"/>
      <c r="K68" s="480"/>
      <c r="L68" s="480"/>
      <c r="M68" s="481"/>
      <c r="N68" s="463"/>
      <c r="O68" s="509"/>
      <c r="P68" s="480"/>
      <c r="Q68" s="480"/>
      <c r="R68" s="481"/>
      <c r="S68" s="463"/>
      <c r="T68" s="509"/>
      <c r="U68" s="480"/>
      <c r="V68" s="480"/>
      <c r="W68" s="481"/>
      <c r="X68" s="463"/>
      <c r="Y68" s="509"/>
      <c r="Z68" s="480"/>
      <c r="AA68" s="342"/>
      <c r="AB68" s="395"/>
      <c r="AC68" s="77"/>
      <c r="AD68" s="509"/>
      <c r="AE68" s="480"/>
      <c r="AF68" s="480"/>
      <c r="AG68" s="481"/>
      <c r="AH68" s="463"/>
      <c r="AI68" s="509"/>
      <c r="AJ68" s="480"/>
      <c r="AK68" s="480"/>
      <c r="AL68" s="481"/>
      <c r="AM68" s="463"/>
      <c r="AN68" s="509"/>
      <c r="AO68" s="480"/>
      <c r="AP68" s="480"/>
      <c r="AQ68" s="481"/>
      <c r="AR68" s="463"/>
      <c r="AS68" s="509"/>
      <c r="AT68" s="480"/>
      <c r="AU68" s="480"/>
      <c r="AV68" s="481"/>
      <c r="AW68" s="463"/>
      <c r="AX68" s="509"/>
      <c r="AY68" s="480"/>
      <c r="AZ68" s="480"/>
      <c r="BA68" s="481"/>
      <c r="BB68" s="463"/>
      <c r="BC68" s="509"/>
      <c r="BD68" s="480"/>
      <c r="BE68" s="480"/>
      <c r="BF68" s="481"/>
      <c r="BG68" s="463"/>
      <c r="BH68" s="509"/>
      <c r="BI68" s="480"/>
      <c r="BJ68" s="480"/>
      <c r="BK68" s="481"/>
      <c r="BL68" s="463"/>
      <c r="BM68" s="509"/>
      <c r="BN68" s="480"/>
      <c r="BO68" s="480"/>
      <c r="BP68" s="481"/>
      <c r="BQ68" s="463"/>
    </row>
    <row r="69" spans="3:69" s="2" customFormat="1">
      <c r="C69" s="49" t="s">
        <v>201</v>
      </c>
      <c r="E69" s="396">
        <f t="shared" ref="E69:AJ69" si="105">E53+E58+E67</f>
        <v>889</v>
      </c>
      <c r="F69" s="343">
        <f t="shared" si="105"/>
        <v>-747</v>
      </c>
      <c r="G69" s="343">
        <f t="shared" si="105"/>
        <v>-285</v>
      </c>
      <c r="H69" s="397">
        <f t="shared" si="105"/>
        <v>-1</v>
      </c>
      <c r="I69" s="297">
        <f t="shared" si="105"/>
        <v>-144</v>
      </c>
      <c r="J69" s="396">
        <f t="shared" si="105"/>
        <v>207</v>
      </c>
      <c r="K69" s="343">
        <f t="shared" si="105"/>
        <v>-223</v>
      </c>
      <c r="L69" s="343">
        <f t="shared" si="105"/>
        <v>161</v>
      </c>
      <c r="M69" s="397">
        <f t="shared" si="105"/>
        <v>-167</v>
      </c>
      <c r="N69" s="297">
        <f t="shared" si="105"/>
        <v>-22</v>
      </c>
      <c r="O69" s="396">
        <f t="shared" si="105"/>
        <v>838</v>
      </c>
      <c r="P69" s="343">
        <f t="shared" si="105"/>
        <v>-743</v>
      </c>
      <c r="Q69" s="343">
        <f t="shared" si="105"/>
        <v>867</v>
      </c>
      <c r="R69" s="397">
        <f t="shared" si="105"/>
        <v>-307</v>
      </c>
      <c r="S69" s="297">
        <f t="shared" si="105"/>
        <v>655</v>
      </c>
      <c r="T69" s="396">
        <f>T53+T58+T67</f>
        <v>212</v>
      </c>
      <c r="U69" s="343">
        <f t="shared" si="105"/>
        <v>-150</v>
      </c>
      <c r="V69" s="343">
        <f t="shared" si="105"/>
        <v>-37</v>
      </c>
      <c r="W69" s="397">
        <f>W53+W58+W67</f>
        <v>-448</v>
      </c>
      <c r="X69" s="297">
        <f>X53+X58+X67</f>
        <v>-423</v>
      </c>
      <c r="Y69" s="396">
        <f t="shared" si="105"/>
        <v>97</v>
      </c>
      <c r="Z69" s="343">
        <f t="shared" ref="Z69:AE69" si="106">Z53+Z58+Z67</f>
        <v>-212</v>
      </c>
      <c r="AA69" s="343">
        <f t="shared" si="106"/>
        <v>45</v>
      </c>
      <c r="AB69" s="397">
        <f t="shared" si="106"/>
        <v>283</v>
      </c>
      <c r="AC69" s="297">
        <f t="shared" si="106"/>
        <v>213</v>
      </c>
      <c r="AD69" s="396">
        <f t="shared" si="106"/>
        <v>-1</v>
      </c>
      <c r="AE69" s="343">
        <f t="shared" si="106"/>
        <v>-161</v>
      </c>
      <c r="AF69" s="343">
        <f>AF53+AF58+AF67</f>
        <v>79</v>
      </c>
      <c r="AG69" s="397">
        <f t="shared" si="105"/>
        <v>-303</v>
      </c>
      <c r="AH69" s="297">
        <f t="shared" si="105"/>
        <v>-386</v>
      </c>
      <c r="AI69" s="396">
        <f t="shared" si="105"/>
        <v>565</v>
      </c>
      <c r="AJ69" s="343">
        <f t="shared" si="105"/>
        <v>-229</v>
      </c>
      <c r="AK69" s="343">
        <f t="shared" ref="AK69:AP69" si="107">AK53+AK58+AK67</f>
        <v>-177</v>
      </c>
      <c r="AL69" s="397">
        <f t="shared" si="107"/>
        <v>-58</v>
      </c>
      <c r="AM69" s="297">
        <f t="shared" si="107"/>
        <v>101</v>
      </c>
      <c r="AN69" s="396">
        <f t="shared" si="107"/>
        <v>-166</v>
      </c>
      <c r="AO69" s="343">
        <f t="shared" si="107"/>
        <v>446</v>
      </c>
      <c r="AP69" s="343">
        <f t="shared" si="107"/>
        <v>-432</v>
      </c>
      <c r="AQ69" s="397">
        <f>AQ53+AQ58+AQ67</f>
        <v>-10</v>
      </c>
      <c r="AR69" s="297">
        <f>AR53+AR58+AR67</f>
        <v>-162</v>
      </c>
      <c r="AS69" s="396">
        <f>AS53+AS58+AS67</f>
        <v>0</v>
      </c>
      <c r="AT69" s="343">
        <f>AT53+AT58+AT67</f>
        <v>187</v>
      </c>
      <c r="AU69" s="343">
        <f>AU53+AU58+AU67</f>
        <v>-192</v>
      </c>
      <c r="AV69" s="397">
        <f t="shared" ref="AV69:BB69" si="108">AV53+AV58+AV67</f>
        <v>22</v>
      </c>
      <c r="AW69" s="297">
        <f t="shared" si="108"/>
        <v>17</v>
      </c>
      <c r="AX69" s="396">
        <f t="shared" si="108"/>
        <v>931.24509772150509</v>
      </c>
      <c r="AY69" s="343">
        <f t="shared" si="108"/>
        <v>-74.830022609169788</v>
      </c>
      <c r="AZ69" s="343">
        <f t="shared" si="108"/>
        <v>-200.92270071545667</v>
      </c>
      <c r="BA69" s="397">
        <f t="shared" si="108"/>
        <v>45.517157301050219</v>
      </c>
      <c r="BB69" s="297">
        <f t="shared" si="108"/>
        <v>701.00953169792876</v>
      </c>
      <c r="BC69" s="396">
        <f t="shared" ref="BC69:BL69" si="109">BC53+BC58+BC67</f>
        <v>-45.100077078313603</v>
      </c>
      <c r="BD69" s="343">
        <f t="shared" si="109"/>
        <v>-746.26421733361053</v>
      </c>
      <c r="BE69" s="343">
        <f t="shared" si="109"/>
        <v>1240.3548240576895</v>
      </c>
      <c r="BF69" s="397">
        <f t="shared" si="109"/>
        <v>-476.48265671279262</v>
      </c>
      <c r="BG69" s="297">
        <f t="shared" si="109"/>
        <v>-27.492127067027297</v>
      </c>
      <c r="BH69" s="396">
        <f t="shared" si="109"/>
        <v>-124.12754936847773</v>
      </c>
      <c r="BI69" s="343">
        <f t="shared" si="109"/>
        <v>-125.77113539995293</v>
      </c>
      <c r="BJ69" s="343">
        <f t="shared" si="109"/>
        <v>-30.240618741356286</v>
      </c>
      <c r="BK69" s="397">
        <f t="shared" si="109"/>
        <v>-147.77121579390507</v>
      </c>
      <c r="BL69" s="297">
        <f t="shared" si="109"/>
        <v>-427.91051930369201</v>
      </c>
      <c r="BM69" s="396">
        <f>BM53+BM58+BM67</f>
        <v>-45.257268752677305</v>
      </c>
      <c r="BN69" s="343">
        <f>BN53+BN58+BN67</f>
        <v>-40.506911558126774</v>
      </c>
      <c r="BO69" s="343">
        <f>BO53+BO58+BO67</f>
        <v>452.25585418976874</v>
      </c>
      <c r="BP69" s="397">
        <f>BP53+BP58+BP67</f>
        <v>-346.91240207389251</v>
      </c>
      <c r="BQ69" s="297">
        <f>BQ53+BQ58+BQ67</f>
        <v>19.579271805072153</v>
      </c>
    </row>
    <row r="70" spans="3:69" s="2" customFormat="1">
      <c r="E70" s="360"/>
      <c r="F70" s="20"/>
      <c r="G70" s="20"/>
      <c r="H70" s="361"/>
      <c r="I70" s="296"/>
      <c r="J70" s="392"/>
      <c r="K70" s="341"/>
      <c r="L70" s="341"/>
      <c r="M70" s="393"/>
      <c r="N70" s="296"/>
      <c r="O70" s="392"/>
      <c r="P70" s="341"/>
      <c r="Q70" s="341"/>
      <c r="R70" s="393"/>
      <c r="S70" s="296"/>
      <c r="T70" s="392"/>
      <c r="U70" s="341"/>
      <c r="V70" s="341"/>
      <c r="W70" s="393"/>
      <c r="X70" s="296"/>
      <c r="Y70" s="392"/>
      <c r="Z70" s="341"/>
      <c r="AA70" s="341"/>
      <c r="AB70" s="393"/>
      <c r="AC70" s="296"/>
      <c r="AD70" s="392"/>
      <c r="AE70" s="341"/>
      <c r="AF70" s="341"/>
      <c r="AG70" s="393"/>
      <c r="AH70" s="296"/>
      <c r="AI70" s="392"/>
      <c r="AJ70" s="341"/>
      <c r="AK70" s="341"/>
      <c r="AL70" s="393"/>
      <c r="AM70" s="296"/>
      <c r="AN70" s="392"/>
      <c r="AO70" s="341"/>
      <c r="AP70" s="341"/>
      <c r="AQ70" s="393"/>
      <c r="AR70" s="296"/>
      <c r="AS70" s="392"/>
      <c r="AT70" s="341"/>
      <c r="AU70" s="341"/>
      <c r="AV70" s="393"/>
      <c r="AW70" s="296"/>
      <c r="AX70" s="392"/>
      <c r="AY70" s="341"/>
      <c r="AZ70" s="341"/>
      <c r="BA70" s="393"/>
      <c r="BB70" s="296"/>
      <c r="BC70" s="392"/>
      <c r="BD70" s="341"/>
      <c r="BE70" s="341"/>
      <c r="BF70" s="393"/>
      <c r="BG70" s="296"/>
      <c r="BH70" s="392"/>
      <c r="BI70" s="341"/>
      <c r="BJ70" s="341"/>
      <c r="BK70" s="393"/>
      <c r="BL70" s="296"/>
      <c r="BM70" s="392"/>
      <c r="BN70" s="341"/>
      <c r="BO70" s="341"/>
      <c r="BP70" s="393"/>
      <c r="BQ70" s="296"/>
    </row>
    <row r="71" spans="3:69" s="2" customFormat="1">
      <c r="C71" s="295"/>
      <c r="E71" s="386"/>
      <c r="F71" s="316"/>
      <c r="G71" s="316"/>
      <c r="H71" s="387"/>
      <c r="I71" s="296"/>
      <c r="J71" s="394"/>
      <c r="K71" s="342"/>
      <c r="L71" s="342"/>
      <c r="M71" s="395"/>
      <c r="N71" s="296"/>
      <c r="O71" s="394"/>
      <c r="P71" s="342"/>
      <c r="Q71" s="342"/>
      <c r="R71" s="395"/>
      <c r="S71" s="296"/>
      <c r="T71" s="394"/>
      <c r="U71" s="342"/>
      <c r="V71" s="342"/>
      <c r="W71" s="395"/>
      <c r="X71" s="296"/>
      <c r="Y71" s="394"/>
      <c r="Z71" s="342"/>
      <c r="AA71" s="342"/>
      <c r="AB71" s="395"/>
      <c r="AC71" s="296"/>
      <c r="AD71" s="394"/>
      <c r="AE71" s="342"/>
      <c r="AF71" s="342"/>
      <c r="AG71" s="395"/>
      <c r="AH71" s="296"/>
      <c r="AI71" s="394"/>
      <c r="AJ71" s="342"/>
      <c r="AK71" s="342"/>
      <c r="AL71" s="395"/>
      <c r="AM71" s="296"/>
      <c r="AN71" s="394"/>
      <c r="AO71" s="342"/>
      <c r="AP71" s="342"/>
      <c r="AQ71" s="395"/>
      <c r="AR71" s="296"/>
      <c r="AS71" s="394"/>
      <c r="AT71" s="342"/>
      <c r="AU71" s="342"/>
      <c r="AV71" s="395"/>
      <c r="AW71" s="296"/>
      <c r="AX71" s="394"/>
      <c r="AY71" s="342"/>
      <c r="AZ71" s="342"/>
      <c r="BA71" s="395"/>
      <c r="BB71" s="296"/>
      <c r="BC71" s="394"/>
      <c r="BD71" s="342"/>
      <c r="BE71" s="342"/>
      <c r="BF71" s="395"/>
      <c r="BG71" s="296"/>
      <c r="BH71" s="394"/>
      <c r="BI71" s="342"/>
      <c r="BJ71" s="342"/>
      <c r="BK71" s="395"/>
      <c r="BL71" s="296"/>
      <c r="BM71" s="394"/>
      <c r="BN71" s="342"/>
      <c r="BO71" s="342"/>
      <c r="BP71" s="395"/>
      <c r="BQ71" s="296"/>
    </row>
    <row r="72" spans="3:69" s="2" customFormat="1">
      <c r="E72" s="360"/>
      <c r="F72" s="20"/>
      <c r="G72" s="20"/>
      <c r="H72" s="361"/>
      <c r="J72" s="360"/>
      <c r="K72" s="20"/>
      <c r="L72" s="20"/>
      <c r="M72" s="361"/>
      <c r="O72" s="360"/>
      <c r="P72" s="20"/>
      <c r="Q72" s="20"/>
      <c r="R72" s="361"/>
      <c r="T72" s="360"/>
      <c r="U72" s="20"/>
      <c r="V72" s="20"/>
      <c r="W72" s="361"/>
      <c r="Y72" s="360"/>
      <c r="Z72" s="20"/>
      <c r="AA72" s="20"/>
      <c r="AB72" s="361"/>
      <c r="AD72" s="360"/>
      <c r="AE72" s="20"/>
      <c r="AF72" s="20"/>
      <c r="AG72" s="361"/>
      <c r="AI72" s="360"/>
      <c r="AJ72" s="20"/>
      <c r="AK72" s="20"/>
      <c r="AL72" s="361"/>
      <c r="AN72" s="360"/>
      <c r="AO72" s="20"/>
      <c r="AP72" s="20"/>
      <c r="AQ72" s="361"/>
      <c r="AS72" s="360"/>
      <c r="AT72" s="20"/>
      <c r="AU72" s="20"/>
      <c r="AV72" s="361"/>
      <c r="AX72" s="360"/>
      <c r="AY72" s="20"/>
      <c r="AZ72" s="20"/>
      <c r="BA72" s="361"/>
      <c r="BC72" s="360"/>
      <c r="BD72" s="20"/>
      <c r="BE72" s="20"/>
      <c r="BF72" s="361"/>
      <c r="BH72" s="360"/>
      <c r="BI72" s="20"/>
      <c r="BJ72" s="20"/>
      <c r="BK72" s="361"/>
      <c r="BM72" s="360"/>
      <c r="BN72" s="20"/>
      <c r="BO72" s="20"/>
      <c r="BP72" s="361"/>
    </row>
    <row r="73" spans="3:69" s="2" customFormat="1">
      <c r="E73" s="365"/>
      <c r="F73" s="6"/>
      <c r="G73" s="6"/>
      <c r="H73" s="366"/>
      <c r="J73" s="365"/>
      <c r="K73" s="6"/>
      <c r="L73" s="6"/>
      <c r="M73" s="366"/>
      <c r="O73" s="365"/>
      <c r="P73" s="6"/>
      <c r="Q73" s="6"/>
      <c r="R73" s="366"/>
      <c r="T73" s="365"/>
      <c r="U73" s="6"/>
      <c r="V73" s="6"/>
      <c r="W73" s="366"/>
      <c r="Y73" s="365"/>
      <c r="Z73" s="6"/>
      <c r="AA73" s="6"/>
      <c r="AB73" s="366"/>
      <c r="AD73" s="365"/>
      <c r="AE73" s="6"/>
      <c r="AF73" s="6"/>
      <c r="AG73" s="366"/>
      <c r="AI73" s="365"/>
      <c r="AJ73" s="6"/>
      <c r="AK73" s="6"/>
      <c r="AL73" s="366"/>
      <c r="AN73" s="365"/>
      <c r="AO73" s="6"/>
      <c r="AP73" s="6"/>
      <c r="AQ73" s="366"/>
      <c r="AS73" s="365"/>
      <c r="AT73" s="6"/>
      <c r="AU73" s="6"/>
      <c r="AV73" s="366"/>
      <c r="AX73" s="365"/>
      <c r="AY73" s="6"/>
      <c r="AZ73" s="6"/>
      <c r="BA73" s="366"/>
      <c r="BC73" s="365"/>
      <c r="BD73" s="6"/>
      <c r="BE73" s="6"/>
      <c r="BF73" s="366"/>
      <c r="BH73" s="365"/>
      <c r="BI73" s="6"/>
      <c r="BJ73" s="6"/>
      <c r="BK73" s="366"/>
      <c r="BM73" s="365"/>
      <c r="BN73" s="6"/>
      <c r="BO73" s="6"/>
      <c r="BP73" s="366"/>
    </row>
    <row r="74" spans="3:69" s="2" customFormat="1">
      <c r="E74" s="365"/>
      <c r="F74" s="6"/>
      <c r="G74" s="6"/>
      <c r="H74" s="366"/>
      <c r="J74" s="365"/>
      <c r="K74" s="6"/>
      <c r="L74" s="6"/>
      <c r="M74" s="366"/>
      <c r="O74" s="365"/>
      <c r="P74" s="6"/>
      <c r="Q74" s="6"/>
      <c r="R74" s="366"/>
      <c r="T74" s="365"/>
      <c r="U74" s="6"/>
      <c r="V74" s="6"/>
      <c r="W74" s="366"/>
      <c r="Y74" s="365"/>
      <c r="Z74" s="6"/>
      <c r="AA74" s="6"/>
      <c r="AB74" s="366"/>
      <c r="AD74" s="365"/>
      <c r="AE74" s="6"/>
      <c r="AF74" s="6"/>
      <c r="AG74" s="366"/>
      <c r="AI74" s="365"/>
      <c r="AJ74" s="6"/>
      <c r="AK74" s="6"/>
      <c r="AL74" s="366"/>
      <c r="AN74" s="365"/>
      <c r="AO74" s="6"/>
      <c r="AP74" s="6"/>
      <c r="AQ74" s="366"/>
      <c r="AS74" s="365"/>
      <c r="AT74" s="6"/>
      <c r="AU74" s="6"/>
      <c r="AV74" s="366"/>
      <c r="AX74" s="365"/>
      <c r="AY74" s="6"/>
      <c r="AZ74" s="6"/>
      <c r="BA74" s="366"/>
      <c r="BC74" s="365"/>
      <c r="BD74" s="6"/>
      <c r="BE74" s="6"/>
      <c r="BF74" s="366"/>
      <c r="BH74" s="365"/>
      <c r="BI74" s="6"/>
      <c r="BJ74" s="6"/>
      <c r="BK74" s="366"/>
      <c r="BM74" s="365"/>
      <c r="BN74" s="6"/>
      <c r="BO74" s="6"/>
      <c r="BP74" s="366"/>
    </row>
    <row r="75" spans="3:69" s="2" customFormat="1">
      <c r="E75" s="365"/>
      <c r="F75" s="6"/>
      <c r="G75" s="6"/>
      <c r="H75" s="366"/>
      <c r="J75" s="365"/>
      <c r="K75" s="6"/>
      <c r="L75" s="6"/>
      <c r="M75" s="366"/>
      <c r="O75" s="365"/>
      <c r="P75" s="6"/>
      <c r="Q75" s="6"/>
      <c r="R75" s="366"/>
      <c r="T75" s="365"/>
      <c r="U75" s="6"/>
      <c r="V75" s="6"/>
      <c r="W75" s="366"/>
      <c r="Y75" s="365"/>
      <c r="Z75" s="6"/>
      <c r="AA75" s="6"/>
      <c r="AB75" s="366"/>
      <c r="AD75" s="365"/>
      <c r="AE75" s="6"/>
      <c r="AF75" s="6"/>
      <c r="AG75" s="366"/>
      <c r="AI75" s="365"/>
      <c r="AJ75" s="6"/>
      <c r="AK75" s="6"/>
      <c r="AL75" s="366"/>
      <c r="AN75" s="365"/>
      <c r="AO75" s="6"/>
      <c r="AP75" s="6"/>
      <c r="AQ75" s="366"/>
      <c r="AS75" s="365"/>
      <c r="AT75" s="6"/>
      <c r="AU75" s="6"/>
      <c r="AV75" s="366"/>
      <c r="AX75" s="365"/>
      <c r="AY75" s="6"/>
      <c r="AZ75" s="6"/>
      <c r="BA75" s="366"/>
      <c r="BC75" s="365"/>
      <c r="BD75" s="6"/>
      <c r="BE75" s="6"/>
      <c r="BF75" s="366"/>
      <c r="BH75" s="365"/>
      <c r="BI75" s="6"/>
      <c r="BJ75" s="6"/>
      <c r="BK75" s="366"/>
      <c r="BM75" s="365"/>
      <c r="BN75" s="6"/>
      <c r="BO75" s="6"/>
      <c r="BP75" s="366"/>
    </row>
    <row r="76" spans="3:69" s="2" customFormat="1">
      <c r="E76" s="365"/>
      <c r="F76" s="6"/>
      <c r="G76" s="6"/>
      <c r="H76" s="366"/>
      <c r="J76" s="365"/>
      <c r="K76" s="6"/>
      <c r="L76" s="6"/>
      <c r="M76" s="366"/>
      <c r="O76" s="365"/>
      <c r="P76" s="6"/>
      <c r="Q76" s="6"/>
      <c r="R76" s="366"/>
      <c r="T76" s="365"/>
      <c r="U76" s="6"/>
      <c r="V76" s="6"/>
      <c r="W76" s="366"/>
      <c r="Y76" s="365"/>
      <c r="Z76" s="6"/>
      <c r="AA76" s="6"/>
      <c r="AB76" s="366"/>
      <c r="AD76" s="365"/>
      <c r="AE76" s="6"/>
      <c r="AF76" s="6"/>
      <c r="AG76" s="366"/>
      <c r="AI76" s="365"/>
      <c r="AJ76" s="6"/>
      <c r="AK76" s="6"/>
      <c r="AL76" s="366"/>
      <c r="AN76" s="365"/>
      <c r="AO76" s="6"/>
      <c r="AP76" s="6"/>
      <c r="AQ76" s="366"/>
      <c r="AS76" s="365"/>
      <c r="AT76" s="6"/>
      <c r="AU76" s="6"/>
      <c r="AV76" s="366"/>
      <c r="AX76" s="365"/>
      <c r="AY76" s="6"/>
      <c r="AZ76" s="6"/>
      <c r="BA76" s="366"/>
      <c r="BC76" s="365"/>
      <c r="BD76" s="6"/>
      <c r="BE76" s="6"/>
      <c r="BF76" s="366"/>
      <c r="BH76" s="365"/>
      <c r="BI76" s="6"/>
      <c r="BJ76" s="6"/>
      <c r="BK76" s="366"/>
      <c r="BM76" s="365"/>
      <c r="BN76" s="6"/>
      <c r="BO76" s="6"/>
      <c r="BP76" s="366"/>
    </row>
    <row r="77" spans="3:69" s="2" customFormat="1">
      <c r="E77" s="365"/>
      <c r="F77" s="6"/>
      <c r="G77" s="6"/>
      <c r="H77" s="366"/>
      <c r="J77" s="365"/>
      <c r="K77" s="6"/>
      <c r="L77" s="6"/>
      <c r="M77" s="366"/>
      <c r="O77" s="365"/>
      <c r="P77" s="6"/>
      <c r="Q77" s="6"/>
      <c r="R77" s="366"/>
      <c r="T77" s="365"/>
      <c r="U77" s="6"/>
      <c r="V77" s="6"/>
      <c r="W77" s="366"/>
      <c r="Y77" s="365"/>
      <c r="Z77" s="6"/>
      <c r="AA77" s="6"/>
      <c r="AB77" s="366"/>
      <c r="AD77" s="365"/>
      <c r="AE77" s="6"/>
      <c r="AF77" s="6"/>
      <c r="AG77" s="366"/>
      <c r="AI77" s="365"/>
      <c r="AJ77" s="6"/>
      <c r="AK77" s="6"/>
      <c r="AL77" s="366"/>
      <c r="AN77" s="365"/>
      <c r="AO77" s="6"/>
      <c r="AP77" s="6"/>
      <c r="AQ77" s="366"/>
      <c r="AS77" s="365"/>
      <c r="AT77" s="6"/>
      <c r="AU77" s="6"/>
      <c r="AV77" s="366"/>
      <c r="AX77" s="365"/>
      <c r="AY77" s="6"/>
      <c r="AZ77" s="6"/>
      <c r="BA77" s="366"/>
      <c r="BC77" s="365"/>
      <c r="BD77" s="6"/>
      <c r="BE77" s="6"/>
      <c r="BF77" s="366"/>
      <c r="BH77" s="365"/>
      <c r="BI77" s="6"/>
      <c r="BJ77" s="6"/>
      <c r="BK77" s="366"/>
      <c r="BM77" s="365"/>
      <c r="BN77" s="6"/>
      <c r="BO77" s="6"/>
      <c r="BP77" s="366"/>
    </row>
    <row r="78" spans="3:69" s="2" customFormat="1">
      <c r="E78" s="365"/>
      <c r="F78" s="6"/>
      <c r="G78" s="6"/>
      <c r="H78" s="366"/>
      <c r="J78" s="365"/>
      <c r="K78" s="6"/>
      <c r="L78" s="6"/>
      <c r="M78" s="366"/>
      <c r="O78" s="365"/>
      <c r="P78" s="6"/>
      <c r="Q78" s="6"/>
      <c r="R78" s="366"/>
      <c r="T78" s="365"/>
      <c r="U78" s="6"/>
      <c r="V78" s="6"/>
      <c r="W78" s="366"/>
      <c r="Y78" s="365"/>
      <c r="Z78" s="6"/>
      <c r="AA78" s="6"/>
      <c r="AB78" s="366"/>
      <c r="AD78" s="365"/>
      <c r="AE78" s="6"/>
      <c r="AF78" s="6"/>
      <c r="AG78" s="366"/>
      <c r="AI78" s="365"/>
      <c r="AJ78" s="6"/>
      <c r="AK78" s="6"/>
      <c r="AL78" s="366"/>
      <c r="AN78" s="365"/>
      <c r="AO78" s="6"/>
      <c r="AP78" s="6"/>
      <c r="AQ78" s="366"/>
      <c r="AS78" s="365"/>
      <c r="AT78" s="6"/>
      <c r="AU78" s="6"/>
      <c r="AV78" s="366"/>
      <c r="AX78" s="365"/>
      <c r="AY78" s="6"/>
      <c r="AZ78" s="6"/>
      <c r="BA78" s="366"/>
      <c r="BC78" s="365"/>
      <c r="BD78" s="6"/>
      <c r="BE78" s="6"/>
      <c r="BF78" s="366"/>
      <c r="BH78" s="365"/>
      <c r="BI78" s="6"/>
      <c r="BJ78" s="6"/>
      <c r="BK78" s="366"/>
      <c r="BM78" s="365"/>
      <c r="BN78" s="6"/>
      <c r="BO78" s="6"/>
      <c r="BP78" s="366"/>
    </row>
    <row r="79" spans="3:69" s="2" customFormat="1">
      <c r="E79" s="365"/>
      <c r="F79" s="6"/>
      <c r="G79" s="6"/>
      <c r="H79" s="366"/>
      <c r="J79" s="365"/>
      <c r="K79" s="6"/>
      <c r="L79" s="6"/>
      <c r="M79" s="366"/>
      <c r="O79" s="365"/>
      <c r="P79" s="6"/>
      <c r="Q79" s="6"/>
      <c r="R79" s="366"/>
      <c r="T79" s="365"/>
      <c r="U79" s="6"/>
      <c r="V79" s="6"/>
      <c r="W79" s="366"/>
      <c r="Y79" s="365"/>
      <c r="Z79" s="6"/>
      <c r="AA79" s="6"/>
      <c r="AB79" s="366"/>
      <c r="AD79" s="365"/>
      <c r="AE79" s="6"/>
      <c r="AF79" s="6"/>
      <c r="AG79" s="366"/>
      <c r="AI79" s="365"/>
      <c r="AJ79" s="6"/>
      <c r="AK79" s="6"/>
      <c r="AL79" s="366"/>
      <c r="AN79" s="365"/>
      <c r="AO79" s="6"/>
      <c r="AP79" s="6"/>
      <c r="AQ79" s="366"/>
      <c r="AS79" s="365"/>
      <c r="AT79" s="6"/>
      <c r="AU79" s="6"/>
      <c r="AV79" s="366"/>
      <c r="AX79" s="365"/>
      <c r="AY79" s="6"/>
      <c r="AZ79" s="6"/>
      <c r="BA79" s="366"/>
      <c r="BC79" s="365"/>
      <c r="BD79" s="6"/>
      <c r="BE79" s="6"/>
      <c r="BF79" s="366"/>
      <c r="BH79" s="365"/>
      <c r="BI79" s="6"/>
      <c r="BJ79" s="6"/>
      <c r="BK79" s="366"/>
      <c r="BM79" s="365"/>
      <c r="BN79" s="6"/>
      <c r="BO79" s="6"/>
      <c r="BP79" s="366"/>
    </row>
    <row r="80" spans="3:69" s="2" customFormat="1">
      <c r="E80" s="365"/>
      <c r="F80" s="6"/>
      <c r="G80" s="6"/>
      <c r="H80" s="366"/>
      <c r="J80" s="365"/>
      <c r="K80" s="6"/>
      <c r="L80" s="6"/>
      <c r="M80" s="366"/>
      <c r="O80" s="365"/>
      <c r="P80" s="6"/>
      <c r="Q80" s="6"/>
      <c r="R80" s="366"/>
      <c r="T80" s="365"/>
      <c r="U80" s="6"/>
      <c r="V80" s="6"/>
      <c r="W80" s="366"/>
      <c r="Y80" s="365"/>
      <c r="Z80" s="6"/>
      <c r="AA80" s="6"/>
      <c r="AB80" s="366"/>
      <c r="AD80" s="365"/>
      <c r="AE80" s="6"/>
      <c r="AF80" s="6"/>
      <c r="AG80" s="366"/>
      <c r="AI80" s="365"/>
      <c r="AJ80" s="6"/>
      <c r="AK80" s="6"/>
      <c r="AL80" s="366"/>
      <c r="AN80" s="365"/>
      <c r="AO80" s="6"/>
      <c r="AP80" s="6"/>
      <c r="AQ80" s="366"/>
      <c r="AS80" s="365"/>
      <c r="AT80" s="6"/>
      <c r="AU80" s="6"/>
      <c r="AV80" s="366"/>
      <c r="AX80" s="365"/>
      <c r="AY80" s="6"/>
      <c r="AZ80" s="6"/>
      <c r="BA80" s="366"/>
      <c r="BC80" s="365"/>
      <c r="BD80" s="6"/>
      <c r="BE80" s="6"/>
      <c r="BF80" s="366"/>
      <c r="BH80" s="365"/>
      <c r="BI80" s="6"/>
      <c r="BJ80" s="6"/>
      <c r="BK80" s="366"/>
      <c r="BM80" s="365"/>
      <c r="BN80" s="6"/>
      <c r="BO80" s="6"/>
      <c r="BP80" s="366"/>
    </row>
    <row r="81" spans="5:68" s="2" customFormat="1">
      <c r="E81" s="365"/>
      <c r="F81" s="6"/>
      <c r="G81" s="6"/>
      <c r="H81" s="366"/>
      <c r="J81" s="365"/>
      <c r="K81" s="6"/>
      <c r="L81" s="6"/>
      <c r="M81" s="366"/>
      <c r="O81" s="365"/>
      <c r="P81" s="6"/>
      <c r="Q81" s="6"/>
      <c r="R81" s="366"/>
      <c r="T81" s="365"/>
      <c r="U81" s="6"/>
      <c r="V81" s="6"/>
      <c r="W81" s="366"/>
      <c r="Y81" s="365"/>
      <c r="Z81" s="6"/>
      <c r="AA81" s="6"/>
      <c r="AB81" s="366"/>
      <c r="AD81" s="365"/>
      <c r="AE81" s="6"/>
      <c r="AF81" s="6"/>
      <c r="AG81" s="366"/>
      <c r="AI81" s="365"/>
      <c r="AJ81" s="6"/>
      <c r="AK81" s="6"/>
      <c r="AL81" s="366"/>
      <c r="AN81" s="365"/>
      <c r="AO81" s="6"/>
      <c r="AP81" s="6"/>
      <c r="AQ81" s="366"/>
      <c r="AS81" s="365"/>
      <c r="AT81" s="6"/>
      <c r="AU81" s="6"/>
      <c r="AV81" s="366"/>
      <c r="AX81" s="365"/>
      <c r="AY81" s="6"/>
      <c r="AZ81" s="6"/>
      <c r="BA81" s="366"/>
      <c r="BC81" s="365"/>
      <c r="BD81" s="6"/>
      <c r="BE81" s="6"/>
      <c r="BF81" s="366"/>
      <c r="BH81" s="365"/>
      <c r="BI81" s="6"/>
      <c r="BJ81" s="6"/>
      <c r="BK81" s="366"/>
      <c r="BM81" s="365"/>
      <c r="BN81" s="6"/>
      <c r="BO81" s="6"/>
      <c r="BP81" s="366"/>
    </row>
    <row r="82" spans="5:68" s="2" customFormat="1">
      <c r="E82" s="365"/>
      <c r="F82" s="6"/>
      <c r="G82" s="6"/>
      <c r="H82" s="366"/>
      <c r="J82" s="365"/>
      <c r="K82" s="6"/>
      <c r="L82" s="6"/>
      <c r="M82" s="366"/>
      <c r="O82" s="365"/>
      <c r="P82" s="6"/>
      <c r="Q82" s="6"/>
      <c r="R82" s="366"/>
      <c r="T82" s="365"/>
      <c r="U82" s="6"/>
      <c r="V82" s="6"/>
      <c r="W82" s="366"/>
      <c r="Y82" s="365"/>
      <c r="Z82" s="6"/>
      <c r="AA82" s="6"/>
      <c r="AB82" s="366"/>
      <c r="AD82" s="365"/>
      <c r="AE82" s="6"/>
      <c r="AF82" s="6"/>
      <c r="AG82" s="366"/>
      <c r="AI82" s="365"/>
      <c r="AJ82" s="6"/>
      <c r="AK82" s="6"/>
      <c r="AL82" s="366"/>
      <c r="AN82" s="365"/>
      <c r="AO82" s="6"/>
      <c r="AP82" s="6"/>
      <c r="AQ82" s="366"/>
      <c r="AS82" s="365"/>
      <c r="AT82" s="6"/>
      <c r="AU82" s="6"/>
      <c r="AV82" s="366"/>
      <c r="AX82" s="365"/>
      <c r="AY82" s="6"/>
      <c r="AZ82" s="6"/>
      <c r="BA82" s="366"/>
      <c r="BC82" s="365"/>
      <c r="BD82" s="6"/>
      <c r="BE82" s="6"/>
      <c r="BF82" s="366"/>
      <c r="BH82" s="365"/>
      <c r="BI82" s="6"/>
      <c r="BJ82" s="6"/>
      <c r="BK82" s="366"/>
      <c r="BM82" s="365"/>
      <c r="BN82" s="6"/>
      <c r="BO82" s="6"/>
      <c r="BP82" s="366"/>
    </row>
    <row r="83" spans="5:68" s="2" customFormat="1">
      <c r="E83" s="365"/>
      <c r="F83" s="6"/>
      <c r="G83" s="6"/>
      <c r="H83" s="366"/>
      <c r="J83" s="365"/>
      <c r="K83" s="6"/>
      <c r="L83" s="6"/>
      <c r="M83" s="366"/>
      <c r="O83" s="365"/>
      <c r="P83" s="6"/>
      <c r="Q83" s="6"/>
      <c r="R83" s="366"/>
      <c r="T83" s="365"/>
      <c r="U83" s="6"/>
      <c r="V83" s="6"/>
      <c r="W83" s="366"/>
      <c r="Y83" s="365"/>
      <c r="Z83" s="6"/>
      <c r="AA83" s="6"/>
      <c r="AB83" s="366"/>
      <c r="AD83" s="365"/>
      <c r="AE83" s="6"/>
      <c r="AF83" s="6"/>
      <c r="AG83" s="366"/>
      <c r="AI83" s="365"/>
      <c r="AJ83" s="6"/>
      <c r="AK83" s="6"/>
      <c r="AL83" s="366"/>
      <c r="AN83" s="365"/>
      <c r="AO83" s="6"/>
      <c r="AP83" s="6"/>
      <c r="AQ83" s="366"/>
      <c r="AS83" s="365"/>
      <c r="AT83" s="6"/>
      <c r="AU83" s="6"/>
      <c r="AV83" s="366"/>
      <c r="AX83" s="365"/>
      <c r="AY83" s="6"/>
      <c r="AZ83" s="6"/>
      <c r="BA83" s="366"/>
      <c r="BC83" s="365"/>
      <c r="BD83" s="6"/>
      <c r="BE83" s="6"/>
      <c r="BF83" s="366"/>
      <c r="BH83" s="365"/>
      <c r="BI83" s="6"/>
      <c r="BJ83" s="6"/>
      <c r="BK83" s="366"/>
      <c r="BM83" s="365"/>
      <c r="BN83" s="6"/>
      <c r="BO83" s="6"/>
      <c r="BP83" s="366"/>
    </row>
    <row r="84" spans="5:68" s="2" customFormat="1">
      <c r="E84" s="365"/>
      <c r="F84" s="6"/>
      <c r="G84" s="6"/>
      <c r="H84" s="366"/>
      <c r="J84" s="365"/>
      <c r="K84" s="6"/>
      <c r="L84" s="6"/>
      <c r="M84" s="366"/>
      <c r="O84" s="365"/>
      <c r="P84" s="6"/>
      <c r="Q84" s="6"/>
      <c r="R84" s="366"/>
      <c r="T84" s="365"/>
      <c r="U84" s="6"/>
      <c r="V84" s="6"/>
      <c r="W84" s="366"/>
      <c r="Y84" s="365"/>
      <c r="Z84" s="6"/>
      <c r="AA84" s="6"/>
      <c r="AB84" s="366"/>
      <c r="AD84" s="365"/>
      <c r="AE84" s="6"/>
      <c r="AF84" s="6"/>
      <c r="AG84" s="366"/>
      <c r="AI84" s="365"/>
      <c r="AJ84" s="6"/>
      <c r="AK84" s="6"/>
      <c r="AL84" s="366"/>
      <c r="AN84" s="365"/>
      <c r="AO84" s="6"/>
      <c r="AP84" s="6"/>
      <c r="AQ84" s="366"/>
      <c r="AS84" s="365"/>
      <c r="AT84" s="6"/>
      <c r="AU84" s="6"/>
      <c r="AV84" s="366"/>
      <c r="AX84" s="365"/>
      <c r="AY84" s="6"/>
      <c r="AZ84" s="6"/>
      <c r="BA84" s="366"/>
      <c r="BC84" s="365"/>
      <c r="BD84" s="6"/>
      <c r="BE84" s="6"/>
      <c r="BF84" s="366"/>
      <c r="BH84" s="365"/>
      <c r="BI84" s="6"/>
      <c r="BJ84" s="6"/>
      <c r="BK84" s="366"/>
      <c r="BM84" s="365"/>
      <c r="BN84" s="6"/>
      <c r="BO84" s="6"/>
      <c r="BP84" s="366"/>
    </row>
    <row r="85" spans="5:68" s="2" customFormat="1">
      <c r="E85" s="365"/>
      <c r="F85" s="6"/>
      <c r="G85" s="6"/>
      <c r="H85" s="366"/>
      <c r="J85" s="365"/>
      <c r="K85" s="6"/>
      <c r="L85" s="6"/>
      <c r="M85" s="366"/>
      <c r="O85" s="365"/>
      <c r="P85" s="6"/>
      <c r="Q85" s="6"/>
      <c r="R85" s="366"/>
      <c r="T85" s="365"/>
      <c r="U85" s="6"/>
      <c r="V85" s="6"/>
      <c r="W85" s="366"/>
      <c r="Y85" s="365"/>
      <c r="Z85" s="6"/>
      <c r="AA85" s="6"/>
      <c r="AB85" s="366"/>
      <c r="AD85" s="365"/>
      <c r="AE85" s="6"/>
      <c r="AF85" s="6"/>
      <c r="AG85" s="366"/>
      <c r="AI85" s="365"/>
      <c r="AJ85" s="6"/>
      <c r="AK85" s="6"/>
      <c r="AL85" s="366"/>
      <c r="AN85" s="365"/>
      <c r="AO85" s="6"/>
      <c r="AP85" s="6"/>
      <c r="AQ85" s="366"/>
      <c r="AS85" s="365"/>
      <c r="AT85" s="6"/>
      <c r="AU85" s="6"/>
      <c r="AV85" s="366"/>
      <c r="AX85" s="365"/>
      <c r="AY85" s="6"/>
      <c r="AZ85" s="6"/>
      <c r="BA85" s="366"/>
      <c r="BC85" s="365"/>
      <c r="BD85" s="6"/>
      <c r="BE85" s="6"/>
      <c r="BF85" s="366"/>
      <c r="BH85" s="365"/>
      <c r="BI85" s="6"/>
      <c r="BJ85" s="6"/>
      <c r="BK85" s="366"/>
      <c r="BM85" s="365"/>
      <c r="BN85" s="6"/>
      <c r="BO85" s="6"/>
      <c r="BP85" s="366"/>
    </row>
    <row r="86" spans="5:68" s="2" customFormat="1">
      <c r="E86" s="365"/>
      <c r="F86" s="6"/>
      <c r="G86" s="6"/>
      <c r="H86" s="366"/>
      <c r="J86" s="365"/>
      <c r="K86" s="6"/>
      <c r="L86" s="6"/>
      <c r="M86" s="366"/>
      <c r="O86" s="365"/>
      <c r="P86" s="6"/>
      <c r="Q86" s="6"/>
      <c r="R86" s="366"/>
      <c r="T86" s="365"/>
      <c r="U86" s="6"/>
      <c r="V86" s="6"/>
      <c r="W86" s="366"/>
      <c r="Y86" s="365"/>
      <c r="Z86" s="6"/>
      <c r="AA86" s="6"/>
      <c r="AB86" s="366"/>
      <c r="AD86" s="365"/>
      <c r="AE86" s="6"/>
      <c r="AF86" s="6"/>
      <c r="AG86" s="366"/>
      <c r="AI86" s="365"/>
      <c r="AJ86" s="6"/>
      <c r="AK86" s="6"/>
      <c r="AL86" s="366"/>
      <c r="AN86" s="365"/>
      <c r="AO86" s="6"/>
      <c r="AP86" s="6"/>
      <c r="AQ86" s="366"/>
      <c r="AS86" s="365"/>
      <c r="AT86" s="6"/>
      <c r="AU86" s="6"/>
      <c r="AV86" s="366"/>
      <c r="AX86" s="365"/>
      <c r="AY86" s="6"/>
      <c r="AZ86" s="6"/>
      <c r="BA86" s="366"/>
      <c r="BC86" s="365"/>
      <c r="BD86" s="6"/>
      <c r="BE86" s="6"/>
      <c r="BF86" s="366"/>
      <c r="BH86" s="365"/>
      <c r="BI86" s="6"/>
      <c r="BJ86" s="6"/>
      <c r="BK86" s="366"/>
      <c r="BM86" s="365"/>
      <c r="BN86" s="6"/>
      <c r="BO86" s="6"/>
      <c r="BP86" s="366"/>
    </row>
    <row r="87" spans="5:68" s="2" customFormat="1">
      <c r="E87" s="365"/>
      <c r="F87" s="6"/>
      <c r="G87" s="6"/>
      <c r="H87" s="366"/>
      <c r="J87" s="365"/>
      <c r="K87" s="6"/>
      <c r="L87" s="6"/>
      <c r="M87" s="366"/>
      <c r="O87" s="365"/>
      <c r="P87" s="6"/>
      <c r="Q87" s="6"/>
      <c r="R87" s="366"/>
      <c r="T87" s="365"/>
      <c r="U87" s="6"/>
      <c r="V87" s="6"/>
      <c r="W87" s="366"/>
      <c r="Y87" s="365"/>
      <c r="Z87" s="6"/>
      <c r="AA87" s="6"/>
      <c r="AB87" s="366"/>
      <c r="AD87" s="365"/>
      <c r="AE87" s="6"/>
      <c r="AF87" s="6"/>
      <c r="AG87" s="366"/>
      <c r="AI87" s="365"/>
      <c r="AJ87" s="6"/>
      <c r="AK87" s="6"/>
      <c r="AL87" s="366"/>
      <c r="AN87" s="365"/>
      <c r="AO87" s="6"/>
      <c r="AP87" s="6"/>
      <c r="AQ87" s="366"/>
      <c r="AS87" s="365"/>
      <c r="AT87" s="6"/>
      <c r="AU87" s="6"/>
      <c r="AV87" s="366"/>
      <c r="AX87" s="365"/>
      <c r="AY87" s="6"/>
      <c r="AZ87" s="6"/>
      <c r="BA87" s="366"/>
      <c r="BC87" s="365"/>
      <c r="BD87" s="6"/>
      <c r="BE87" s="6"/>
      <c r="BF87" s="366"/>
      <c r="BH87" s="365"/>
      <c r="BI87" s="6"/>
      <c r="BJ87" s="6"/>
      <c r="BK87" s="366"/>
      <c r="BM87" s="365"/>
      <c r="BN87" s="6"/>
      <c r="BO87" s="6"/>
      <c r="BP87" s="366"/>
    </row>
    <row r="88" spans="5:68" s="2" customFormat="1">
      <c r="E88" s="365"/>
      <c r="F88" s="6"/>
      <c r="G88" s="6"/>
      <c r="H88" s="366"/>
      <c r="J88" s="365"/>
      <c r="K88" s="6"/>
      <c r="L88" s="6"/>
      <c r="M88" s="366"/>
      <c r="O88" s="365"/>
      <c r="P88" s="6"/>
      <c r="Q88" s="6"/>
      <c r="R88" s="366"/>
      <c r="T88" s="365"/>
      <c r="U88" s="6"/>
      <c r="V88" s="6"/>
      <c r="W88" s="366"/>
      <c r="Y88" s="365"/>
      <c r="Z88" s="6"/>
      <c r="AA88" s="6"/>
      <c r="AB88" s="366"/>
      <c r="AD88" s="365"/>
      <c r="AE88" s="6"/>
      <c r="AF88" s="6"/>
      <c r="AG88" s="366"/>
      <c r="AI88" s="365"/>
      <c r="AJ88" s="6"/>
      <c r="AK88" s="6"/>
      <c r="AL88" s="366"/>
      <c r="AN88" s="365"/>
      <c r="AO88" s="6"/>
      <c r="AP88" s="6"/>
      <c r="AQ88" s="366"/>
      <c r="AS88" s="365"/>
      <c r="AT88" s="6"/>
      <c r="AU88" s="6"/>
      <c r="AV88" s="366"/>
      <c r="AX88" s="365"/>
      <c r="AY88" s="6"/>
      <c r="AZ88" s="6"/>
      <c r="BA88" s="366"/>
      <c r="BC88" s="365"/>
      <c r="BD88" s="6"/>
      <c r="BE88" s="6"/>
      <c r="BF88" s="366"/>
      <c r="BH88" s="365"/>
      <c r="BI88" s="6"/>
      <c r="BJ88" s="6"/>
      <c r="BK88" s="366"/>
      <c r="BM88" s="365"/>
      <c r="BN88" s="6"/>
      <c r="BO88" s="6"/>
      <c r="BP88" s="366"/>
    </row>
    <row r="89" spans="5:68" s="2" customFormat="1">
      <c r="E89" s="365"/>
      <c r="F89" s="6"/>
      <c r="G89" s="6"/>
      <c r="H89" s="366"/>
      <c r="J89" s="365"/>
      <c r="K89" s="6"/>
      <c r="L89" s="6"/>
      <c r="M89" s="366"/>
      <c r="O89" s="365"/>
      <c r="P89" s="6"/>
      <c r="Q89" s="6"/>
      <c r="R89" s="366"/>
      <c r="T89" s="365"/>
      <c r="U89" s="6"/>
      <c r="V89" s="6"/>
      <c r="W89" s="366"/>
      <c r="Y89" s="365"/>
      <c r="Z89" s="6"/>
      <c r="AA89" s="6"/>
      <c r="AB89" s="366"/>
      <c r="AD89" s="365"/>
      <c r="AE89" s="6"/>
      <c r="AF89" s="6"/>
      <c r="AG89" s="366"/>
      <c r="AI89" s="365"/>
      <c r="AJ89" s="6"/>
      <c r="AK89" s="6"/>
      <c r="AL89" s="366"/>
      <c r="AN89" s="365"/>
      <c r="AO89" s="6"/>
      <c r="AP89" s="6"/>
      <c r="AQ89" s="366"/>
      <c r="AS89" s="365"/>
      <c r="AT89" s="6"/>
      <c r="AU89" s="6"/>
      <c r="AV89" s="366"/>
      <c r="AX89" s="365"/>
      <c r="AY89" s="6"/>
      <c r="AZ89" s="6"/>
      <c r="BA89" s="366"/>
      <c r="BC89" s="365"/>
      <c r="BD89" s="6"/>
      <c r="BE89" s="6"/>
      <c r="BF89" s="366"/>
      <c r="BH89" s="365"/>
      <c r="BI89" s="6"/>
      <c r="BJ89" s="6"/>
      <c r="BK89" s="366"/>
      <c r="BM89" s="365"/>
      <c r="BN89" s="6"/>
      <c r="BO89" s="6"/>
      <c r="BP89" s="366"/>
    </row>
    <row r="90" spans="5:68" s="2" customFormat="1">
      <c r="E90" s="365"/>
      <c r="F90" s="6"/>
      <c r="G90" s="6"/>
      <c r="H90" s="366"/>
      <c r="J90" s="365"/>
      <c r="K90" s="6"/>
      <c r="L90" s="6"/>
      <c r="M90" s="366"/>
      <c r="O90" s="365"/>
      <c r="P90" s="6"/>
      <c r="Q90" s="6"/>
      <c r="R90" s="366"/>
      <c r="T90" s="365"/>
      <c r="U90" s="6"/>
      <c r="V90" s="6"/>
      <c r="W90" s="366"/>
      <c r="Y90" s="365"/>
      <c r="Z90" s="6"/>
      <c r="AA90" s="6"/>
      <c r="AB90" s="366"/>
      <c r="AD90" s="365"/>
      <c r="AE90" s="6"/>
      <c r="AF90" s="6"/>
      <c r="AG90" s="366"/>
      <c r="AI90" s="365"/>
      <c r="AJ90" s="6"/>
      <c r="AK90" s="6"/>
      <c r="AL90" s="366"/>
      <c r="AN90" s="365"/>
      <c r="AO90" s="6"/>
      <c r="AP90" s="6"/>
      <c r="AQ90" s="366"/>
      <c r="AS90" s="365"/>
      <c r="AT90" s="6"/>
      <c r="AU90" s="6"/>
      <c r="AV90" s="366"/>
      <c r="AX90" s="365"/>
      <c r="AY90" s="6"/>
      <c r="AZ90" s="6"/>
      <c r="BA90" s="366"/>
      <c r="BC90" s="365"/>
      <c r="BD90" s="6"/>
      <c r="BE90" s="6"/>
      <c r="BF90" s="366"/>
      <c r="BH90" s="365"/>
      <c r="BI90" s="6"/>
      <c r="BJ90" s="6"/>
      <c r="BK90" s="366"/>
      <c r="BM90" s="365"/>
      <c r="BN90" s="6"/>
      <c r="BO90" s="6"/>
      <c r="BP90" s="366"/>
    </row>
    <row r="91" spans="5:68" s="2" customFormat="1">
      <c r="E91" s="365"/>
      <c r="F91" s="6"/>
      <c r="G91" s="6"/>
      <c r="H91" s="366"/>
      <c r="J91" s="365"/>
      <c r="K91" s="6"/>
      <c r="L91" s="6"/>
      <c r="M91" s="366"/>
      <c r="O91" s="365"/>
      <c r="P91" s="6"/>
      <c r="Q91" s="6"/>
      <c r="R91" s="366"/>
      <c r="T91" s="365"/>
      <c r="U91" s="6"/>
      <c r="V91" s="6"/>
      <c r="W91" s="366"/>
      <c r="Y91" s="365"/>
      <c r="Z91" s="6"/>
      <c r="AA91" s="6"/>
      <c r="AB91" s="366"/>
      <c r="AD91" s="365"/>
      <c r="AE91" s="6"/>
      <c r="AF91" s="6"/>
      <c r="AG91" s="366"/>
      <c r="AI91" s="365"/>
      <c r="AJ91" s="6"/>
      <c r="AK91" s="6"/>
      <c r="AL91" s="366"/>
      <c r="AN91" s="365"/>
      <c r="AO91" s="6"/>
      <c r="AP91" s="6"/>
      <c r="AQ91" s="366"/>
      <c r="AS91" s="365"/>
      <c r="AT91" s="6"/>
      <c r="AU91" s="6"/>
      <c r="AV91" s="366"/>
      <c r="AX91" s="365"/>
      <c r="AY91" s="6"/>
      <c r="AZ91" s="6"/>
      <c r="BA91" s="366"/>
      <c r="BC91" s="365"/>
      <c r="BD91" s="6"/>
      <c r="BE91" s="6"/>
      <c r="BF91" s="366"/>
      <c r="BH91" s="365"/>
      <c r="BI91" s="6"/>
      <c r="BJ91" s="6"/>
      <c r="BK91" s="366"/>
      <c r="BM91" s="365"/>
      <c r="BN91" s="6"/>
      <c r="BO91" s="6"/>
      <c r="BP91" s="366"/>
    </row>
    <row r="92" spans="5:68" s="2" customFormat="1">
      <c r="E92" s="365"/>
      <c r="F92" s="6"/>
      <c r="G92" s="6"/>
      <c r="H92" s="366"/>
      <c r="J92" s="365"/>
      <c r="K92" s="6"/>
      <c r="L92" s="6"/>
      <c r="M92" s="366"/>
      <c r="O92" s="365"/>
      <c r="P92" s="6"/>
      <c r="Q92" s="6"/>
      <c r="R92" s="366"/>
      <c r="T92" s="365"/>
      <c r="U92" s="6"/>
      <c r="V92" s="6"/>
      <c r="W92" s="366"/>
      <c r="Y92" s="365"/>
      <c r="Z92" s="6"/>
      <c r="AA92" s="6"/>
      <c r="AB92" s="366"/>
      <c r="AD92" s="365"/>
      <c r="AE92" s="6"/>
      <c r="AF92" s="6"/>
      <c r="AG92" s="366"/>
      <c r="AI92" s="365"/>
      <c r="AJ92" s="6"/>
      <c r="AK92" s="6"/>
      <c r="AL92" s="366"/>
      <c r="AN92" s="365"/>
      <c r="AO92" s="6"/>
      <c r="AP92" s="6"/>
      <c r="AQ92" s="366"/>
      <c r="AS92" s="365"/>
      <c r="AT92" s="6"/>
      <c r="AU92" s="6"/>
      <c r="AV92" s="366"/>
      <c r="AX92" s="365"/>
      <c r="AY92" s="6"/>
      <c r="AZ92" s="6"/>
      <c r="BA92" s="366"/>
      <c r="BC92" s="365"/>
      <c r="BD92" s="6"/>
      <c r="BE92" s="6"/>
      <c r="BF92" s="366"/>
      <c r="BH92" s="365"/>
      <c r="BI92" s="6"/>
      <c r="BJ92" s="6"/>
      <c r="BK92" s="366"/>
      <c r="BM92" s="365"/>
      <c r="BN92" s="6"/>
      <c r="BO92" s="6"/>
      <c r="BP92" s="366"/>
    </row>
    <row r="93" spans="5:68" s="2" customFormat="1">
      <c r="E93" s="365"/>
      <c r="F93" s="6"/>
      <c r="G93" s="6"/>
      <c r="H93" s="366"/>
      <c r="J93" s="365"/>
      <c r="K93" s="6"/>
      <c r="L93" s="6"/>
      <c r="M93" s="366"/>
      <c r="O93" s="365"/>
      <c r="P93" s="6"/>
      <c r="Q93" s="6"/>
      <c r="R93" s="366"/>
      <c r="T93" s="365"/>
      <c r="U93" s="6"/>
      <c r="V93" s="6"/>
      <c r="W93" s="366"/>
      <c r="Y93" s="365"/>
      <c r="Z93" s="6"/>
      <c r="AA93" s="6"/>
      <c r="AB93" s="366"/>
      <c r="AD93" s="365"/>
      <c r="AE93" s="6"/>
      <c r="AF93" s="6"/>
      <c r="AG93" s="366"/>
      <c r="AI93" s="365"/>
      <c r="AJ93" s="6"/>
      <c r="AK93" s="6"/>
      <c r="AL93" s="366"/>
      <c r="AN93" s="365"/>
      <c r="AO93" s="6"/>
      <c r="AP93" s="6"/>
      <c r="AQ93" s="366"/>
      <c r="AS93" s="365"/>
      <c r="AT93" s="6"/>
      <c r="AU93" s="6"/>
      <c r="AV93" s="366"/>
      <c r="AX93" s="365"/>
      <c r="AY93" s="6"/>
      <c r="AZ93" s="6"/>
      <c r="BA93" s="366"/>
      <c r="BC93" s="365"/>
      <c r="BD93" s="6"/>
      <c r="BE93" s="6"/>
      <c r="BF93" s="366"/>
      <c r="BH93" s="365"/>
      <c r="BI93" s="6"/>
      <c r="BJ93" s="6"/>
      <c r="BK93" s="366"/>
      <c r="BM93" s="365"/>
      <c r="BN93" s="6"/>
      <c r="BO93" s="6"/>
      <c r="BP93" s="366"/>
    </row>
    <row r="94" spans="5:68" s="2" customFormat="1">
      <c r="E94" s="365"/>
      <c r="F94" s="6"/>
      <c r="G94" s="6"/>
      <c r="H94" s="366"/>
      <c r="J94" s="365"/>
      <c r="K94" s="6"/>
      <c r="L94" s="6"/>
      <c r="M94" s="366"/>
      <c r="O94" s="365"/>
      <c r="P94" s="6"/>
      <c r="Q94" s="6"/>
      <c r="R94" s="366"/>
      <c r="T94" s="365"/>
      <c r="U94" s="6"/>
      <c r="V94" s="6"/>
      <c r="W94" s="366"/>
      <c r="Y94" s="365"/>
      <c r="Z94" s="6"/>
      <c r="AA94" s="6"/>
      <c r="AB94" s="366"/>
      <c r="AD94" s="365"/>
      <c r="AE94" s="6"/>
      <c r="AF94" s="6"/>
      <c r="AG94" s="366"/>
      <c r="AI94" s="365"/>
      <c r="AJ94" s="6"/>
      <c r="AK94" s="6"/>
      <c r="AL94" s="366"/>
      <c r="AN94" s="365"/>
      <c r="AO94" s="6"/>
      <c r="AP94" s="6"/>
      <c r="AQ94" s="366"/>
      <c r="AS94" s="365"/>
      <c r="AT94" s="6"/>
      <c r="AU94" s="6"/>
      <c r="AV94" s="366"/>
      <c r="AX94" s="365"/>
      <c r="AY94" s="6"/>
      <c r="AZ94" s="6"/>
      <c r="BA94" s="366"/>
      <c r="BC94" s="365"/>
      <c r="BD94" s="6"/>
      <c r="BE94" s="6"/>
      <c r="BF94" s="366"/>
      <c r="BH94" s="365"/>
      <c r="BI94" s="6"/>
      <c r="BJ94" s="6"/>
      <c r="BK94" s="366"/>
      <c r="BM94" s="365"/>
      <c r="BN94" s="6"/>
      <c r="BO94" s="6"/>
      <c r="BP94" s="366"/>
    </row>
    <row r="95" spans="5:68" s="2" customFormat="1">
      <c r="E95" s="365"/>
      <c r="F95" s="6"/>
      <c r="G95" s="6"/>
      <c r="H95" s="366"/>
      <c r="J95" s="365"/>
      <c r="K95" s="6"/>
      <c r="L95" s="6"/>
      <c r="M95" s="366"/>
      <c r="O95" s="365"/>
      <c r="P95" s="6"/>
      <c r="Q95" s="6"/>
      <c r="R95" s="366"/>
      <c r="T95" s="365"/>
      <c r="U95" s="6"/>
      <c r="V95" s="6"/>
      <c r="W95" s="366"/>
      <c r="Y95" s="365"/>
      <c r="Z95" s="6"/>
      <c r="AA95" s="6"/>
      <c r="AB95" s="366"/>
      <c r="AD95" s="365"/>
      <c r="AE95" s="6"/>
      <c r="AF95" s="6"/>
      <c r="AG95" s="366"/>
      <c r="AI95" s="365"/>
      <c r="AJ95" s="6"/>
      <c r="AK95" s="6"/>
      <c r="AL95" s="366"/>
      <c r="AN95" s="365"/>
      <c r="AO95" s="6"/>
      <c r="AP95" s="6"/>
      <c r="AQ95" s="366"/>
      <c r="AS95" s="365"/>
      <c r="AT95" s="6"/>
      <c r="AU95" s="6"/>
      <c r="AV95" s="366"/>
      <c r="AX95" s="365"/>
      <c r="AY95" s="6"/>
      <c r="AZ95" s="6"/>
      <c r="BA95" s="366"/>
      <c r="BC95" s="365"/>
      <c r="BD95" s="6"/>
      <c r="BE95" s="6"/>
      <c r="BF95" s="366"/>
      <c r="BH95" s="365"/>
      <c r="BI95" s="6"/>
      <c r="BJ95" s="6"/>
      <c r="BK95" s="366"/>
      <c r="BM95" s="365"/>
      <c r="BN95" s="6"/>
      <c r="BO95" s="6"/>
      <c r="BP95" s="366"/>
    </row>
    <row r="96" spans="5:68" s="2" customFormat="1">
      <c r="E96" s="365"/>
      <c r="F96" s="6"/>
      <c r="G96" s="6"/>
      <c r="H96" s="366"/>
      <c r="J96" s="365"/>
      <c r="K96" s="6"/>
      <c r="L96" s="6"/>
      <c r="M96" s="366"/>
      <c r="O96" s="365"/>
      <c r="P96" s="6"/>
      <c r="Q96" s="6"/>
      <c r="R96" s="366"/>
      <c r="T96" s="365"/>
      <c r="U96" s="6"/>
      <c r="V96" s="6"/>
      <c r="W96" s="366"/>
      <c r="Y96" s="365"/>
      <c r="Z96" s="6"/>
      <c r="AA96" s="6"/>
      <c r="AB96" s="366"/>
      <c r="AD96" s="365"/>
      <c r="AE96" s="6"/>
      <c r="AF96" s="6"/>
      <c r="AG96" s="366"/>
      <c r="AI96" s="365"/>
      <c r="AJ96" s="6"/>
      <c r="AK96" s="6"/>
      <c r="AL96" s="366"/>
      <c r="AN96" s="365"/>
      <c r="AO96" s="6"/>
      <c r="AP96" s="6"/>
      <c r="AQ96" s="366"/>
      <c r="AS96" s="365"/>
      <c r="AT96" s="6"/>
      <c r="AU96" s="6"/>
      <c r="AV96" s="366"/>
      <c r="AX96" s="365"/>
      <c r="AY96" s="6"/>
      <c r="AZ96" s="6"/>
      <c r="BA96" s="366"/>
      <c r="BC96" s="365"/>
      <c r="BD96" s="6"/>
      <c r="BE96" s="6"/>
      <c r="BF96" s="366"/>
      <c r="BH96" s="365"/>
      <c r="BI96" s="6"/>
      <c r="BJ96" s="6"/>
      <c r="BK96" s="366"/>
      <c r="BM96" s="365"/>
      <c r="BN96" s="6"/>
      <c r="BO96" s="6"/>
      <c r="BP96" s="366"/>
    </row>
    <row r="97" spans="5:68" s="2" customFormat="1">
      <c r="E97" s="365"/>
      <c r="F97" s="6"/>
      <c r="G97" s="6"/>
      <c r="H97" s="366"/>
      <c r="J97" s="365"/>
      <c r="K97" s="6"/>
      <c r="L97" s="6"/>
      <c r="M97" s="366"/>
      <c r="O97" s="365"/>
      <c r="P97" s="6"/>
      <c r="Q97" s="6"/>
      <c r="R97" s="366"/>
      <c r="T97" s="365"/>
      <c r="U97" s="6"/>
      <c r="V97" s="6"/>
      <c r="W97" s="366"/>
      <c r="Y97" s="365"/>
      <c r="Z97" s="6"/>
      <c r="AA97" s="6"/>
      <c r="AB97" s="366"/>
      <c r="AD97" s="365"/>
      <c r="AE97" s="6"/>
      <c r="AF97" s="6"/>
      <c r="AG97" s="366"/>
      <c r="AI97" s="365"/>
      <c r="AJ97" s="6"/>
      <c r="AK97" s="6"/>
      <c r="AL97" s="366"/>
      <c r="AN97" s="365"/>
      <c r="AO97" s="6"/>
      <c r="AP97" s="6"/>
      <c r="AQ97" s="366"/>
      <c r="AS97" s="365"/>
      <c r="AT97" s="6"/>
      <c r="AU97" s="6"/>
      <c r="AV97" s="366"/>
      <c r="AX97" s="365"/>
      <c r="AY97" s="6"/>
      <c r="AZ97" s="6"/>
      <c r="BA97" s="366"/>
      <c r="BC97" s="365"/>
      <c r="BD97" s="6"/>
      <c r="BE97" s="6"/>
      <c r="BF97" s="366"/>
      <c r="BH97" s="365"/>
      <c r="BI97" s="6"/>
      <c r="BJ97" s="6"/>
      <c r="BK97" s="366"/>
      <c r="BM97" s="365"/>
      <c r="BN97" s="6"/>
      <c r="BO97" s="6"/>
      <c r="BP97" s="366"/>
    </row>
    <row r="98" spans="5:68" s="2" customFormat="1">
      <c r="E98" s="365"/>
      <c r="F98" s="6"/>
      <c r="G98" s="6"/>
      <c r="H98" s="366"/>
      <c r="J98" s="365"/>
      <c r="K98" s="6"/>
      <c r="L98" s="6"/>
      <c r="M98" s="366"/>
      <c r="O98" s="365"/>
      <c r="P98" s="6"/>
      <c r="Q98" s="6"/>
      <c r="R98" s="366"/>
      <c r="T98" s="365"/>
      <c r="U98" s="6"/>
      <c r="V98" s="6"/>
      <c r="W98" s="366"/>
      <c r="Y98" s="365"/>
      <c r="Z98" s="6"/>
      <c r="AA98" s="6"/>
      <c r="AB98" s="366"/>
      <c r="AD98" s="365"/>
      <c r="AE98" s="6"/>
      <c r="AF98" s="6"/>
      <c r="AG98" s="366"/>
      <c r="AI98" s="365"/>
      <c r="AJ98" s="6"/>
      <c r="AK98" s="6"/>
      <c r="AL98" s="366"/>
      <c r="AN98" s="365"/>
      <c r="AO98" s="6"/>
      <c r="AP98" s="6"/>
      <c r="AQ98" s="366"/>
      <c r="AS98" s="365"/>
      <c r="AT98" s="6"/>
      <c r="AU98" s="6"/>
      <c r="AV98" s="366"/>
      <c r="AX98" s="365"/>
      <c r="AY98" s="6"/>
      <c r="AZ98" s="6"/>
      <c r="BA98" s="366"/>
      <c r="BC98" s="365"/>
      <c r="BD98" s="6"/>
      <c r="BE98" s="6"/>
      <c r="BF98" s="366"/>
      <c r="BH98" s="365"/>
      <c r="BI98" s="6"/>
      <c r="BJ98" s="6"/>
      <c r="BK98" s="366"/>
      <c r="BM98" s="365"/>
      <c r="BN98" s="6"/>
      <c r="BO98" s="6"/>
      <c r="BP98" s="366"/>
    </row>
    <row r="99" spans="5:68" s="2" customFormat="1">
      <c r="E99" s="365"/>
      <c r="F99" s="6"/>
      <c r="G99" s="6"/>
      <c r="H99" s="366"/>
      <c r="J99" s="365"/>
      <c r="K99" s="6"/>
      <c r="L99" s="6"/>
      <c r="M99" s="366"/>
      <c r="O99" s="365"/>
      <c r="P99" s="6"/>
      <c r="Q99" s="6"/>
      <c r="R99" s="366"/>
      <c r="T99" s="365"/>
      <c r="U99" s="6"/>
      <c r="V99" s="6"/>
      <c r="W99" s="366"/>
      <c r="Y99" s="365"/>
      <c r="Z99" s="6"/>
      <c r="AA99" s="6"/>
      <c r="AB99" s="366"/>
      <c r="AD99" s="365"/>
      <c r="AE99" s="6"/>
      <c r="AF99" s="6"/>
      <c r="AG99" s="366"/>
      <c r="AI99" s="365"/>
      <c r="AJ99" s="6"/>
      <c r="AK99" s="6"/>
      <c r="AL99" s="366"/>
      <c r="AN99" s="365"/>
      <c r="AO99" s="6"/>
      <c r="AP99" s="6"/>
      <c r="AQ99" s="366"/>
      <c r="AS99" s="365"/>
      <c r="AT99" s="6"/>
      <c r="AU99" s="6"/>
      <c r="AV99" s="366"/>
      <c r="AX99" s="365"/>
      <c r="AY99" s="6"/>
      <c r="AZ99" s="6"/>
      <c r="BA99" s="366"/>
      <c r="BC99" s="365"/>
      <c r="BD99" s="6"/>
      <c r="BE99" s="6"/>
      <c r="BF99" s="366"/>
      <c r="BH99" s="365"/>
      <c r="BI99" s="6"/>
      <c r="BJ99" s="6"/>
      <c r="BK99" s="366"/>
      <c r="BM99" s="365"/>
      <c r="BN99" s="6"/>
      <c r="BO99" s="6"/>
      <c r="BP99" s="366"/>
    </row>
    <row r="100" spans="5:68" s="2" customFormat="1">
      <c r="E100" s="365"/>
      <c r="F100" s="6"/>
      <c r="G100" s="6"/>
      <c r="H100" s="366"/>
      <c r="J100" s="365"/>
      <c r="K100" s="6"/>
      <c r="L100" s="6"/>
      <c r="M100" s="366"/>
      <c r="O100" s="365"/>
      <c r="P100" s="6"/>
      <c r="Q100" s="6"/>
      <c r="R100" s="366"/>
      <c r="T100" s="365"/>
      <c r="U100" s="6"/>
      <c r="V100" s="6"/>
      <c r="W100" s="366"/>
      <c r="Y100" s="365"/>
      <c r="Z100" s="6"/>
      <c r="AA100" s="6"/>
      <c r="AB100" s="366"/>
      <c r="AD100" s="365"/>
      <c r="AE100" s="6"/>
      <c r="AF100" s="6"/>
      <c r="AG100" s="366"/>
      <c r="AI100" s="365"/>
      <c r="AJ100" s="6"/>
      <c r="AK100" s="6"/>
      <c r="AL100" s="366"/>
      <c r="AN100" s="365"/>
      <c r="AO100" s="6"/>
      <c r="AP100" s="6"/>
      <c r="AQ100" s="366"/>
      <c r="AS100" s="365"/>
      <c r="AT100" s="6"/>
      <c r="AU100" s="6"/>
      <c r="AV100" s="366"/>
      <c r="AX100" s="365"/>
      <c r="AY100" s="6"/>
      <c r="AZ100" s="6"/>
      <c r="BA100" s="366"/>
      <c r="BC100" s="365"/>
      <c r="BD100" s="6"/>
      <c r="BE100" s="6"/>
      <c r="BF100" s="366"/>
      <c r="BH100" s="365"/>
      <c r="BI100" s="6"/>
      <c r="BJ100" s="6"/>
      <c r="BK100" s="366"/>
      <c r="BM100" s="365"/>
      <c r="BN100" s="6"/>
      <c r="BO100" s="6"/>
      <c r="BP100" s="366"/>
    </row>
    <row r="101" spans="5:68" s="2" customFormat="1">
      <c r="E101" s="365"/>
      <c r="F101" s="6"/>
      <c r="G101" s="6"/>
      <c r="H101" s="366"/>
      <c r="J101" s="365"/>
      <c r="K101" s="6"/>
      <c r="L101" s="6"/>
      <c r="M101" s="366"/>
      <c r="O101" s="365"/>
      <c r="P101" s="6"/>
      <c r="Q101" s="6"/>
      <c r="R101" s="366"/>
      <c r="T101" s="365"/>
      <c r="U101" s="6"/>
      <c r="V101" s="6"/>
      <c r="W101" s="366"/>
      <c r="Y101" s="365"/>
      <c r="Z101" s="6"/>
      <c r="AA101" s="6"/>
      <c r="AB101" s="366"/>
      <c r="AD101" s="365"/>
      <c r="AE101" s="6"/>
      <c r="AF101" s="6"/>
      <c r="AG101" s="366"/>
      <c r="AI101" s="365"/>
      <c r="AJ101" s="6"/>
      <c r="AK101" s="6"/>
      <c r="AL101" s="366"/>
      <c r="AN101" s="365"/>
      <c r="AO101" s="6"/>
      <c r="AP101" s="6"/>
      <c r="AQ101" s="366"/>
      <c r="AS101" s="365"/>
      <c r="AT101" s="6"/>
      <c r="AU101" s="6"/>
      <c r="AV101" s="366"/>
      <c r="AX101" s="365"/>
      <c r="AY101" s="6"/>
      <c r="AZ101" s="6"/>
      <c r="BA101" s="366"/>
      <c r="BC101" s="365"/>
      <c r="BD101" s="6"/>
      <c r="BE101" s="6"/>
      <c r="BF101" s="366"/>
      <c r="BH101" s="365"/>
      <c r="BI101" s="6"/>
      <c r="BJ101" s="6"/>
      <c r="BK101" s="366"/>
      <c r="BM101" s="365"/>
      <c r="BN101" s="6"/>
      <c r="BO101" s="6"/>
      <c r="BP101" s="366"/>
    </row>
    <row r="102" spans="5:68" s="2" customFormat="1">
      <c r="E102" s="365"/>
      <c r="F102" s="6"/>
      <c r="G102" s="6"/>
      <c r="H102" s="366"/>
      <c r="J102" s="365"/>
      <c r="K102" s="6"/>
      <c r="L102" s="6"/>
      <c r="M102" s="366"/>
      <c r="O102" s="365"/>
      <c r="P102" s="6"/>
      <c r="Q102" s="6"/>
      <c r="R102" s="366"/>
      <c r="T102" s="365"/>
      <c r="U102" s="6"/>
      <c r="V102" s="6"/>
      <c r="W102" s="366"/>
      <c r="Y102" s="365"/>
      <c r="Z102" s="6"/>
      <c r="AA102" s="6"/>
      <c r="AB102" s="366"/>
      <c r="AD102" s="365"/>
      <c r="AE102" s="6"/>
      <c r="AF102" s="6"/>
      <c r="AG102" s="366"/>
      <c r="AI102" s="365"/>
      <c r="AJ102" s="6"/>
      <c r="AK102" s="6"/>
      <c r="AL102" s="366"/>
      <c r="AN102" s="365"/>
      <c r="AO102" s="6"/>
      <c r="AP102" s="6"/>
      <c r="AQ102" s="366"/>
      <c r="AS102" s="365"/>
      <c r="AT102" s="6"/>
      <c r="AU102" s="6"/>
      <c r="AV102" s="366"/>
      <c r="AX102" s="365"/>
      <c r="AY102" s="6"/>
      <c r="AZ102" s="6"/>
      <c r="BA102" s="366"/>
      <c r="BC102" s="365"/>
      <c r="BD102" s="6"/>
      <c r="BE102" s="6"/>
      <c r="BF102" s="366"/>
      <c r="BH102" s="365"/>
      <c r="BI102" s="6"/>
      <c r="BJ102" s="6"/>
      <c r="BK102" s="366"/>
      <c r="BM102" s="365"/>
      <c r="BN102" s="6"/>
      <c r="BO102" s="6"/>
      <c r="BP102" s="366"/>
    </row>
    <row r="103" spans="5:68" s="2" customFormat="1">
      <c r="E103" s="365"/>
      <c r="F103" s="6"/>
      <c r="G103" s="6"/>
      <c r="H103" s="366"/>
      <c r="J103" s="365"/>
      <c r="K103" s="6"/>
      <c r="L103" s="6"/>
      <c r="M103" s="366"/>
      <c r="O103" s="365"/>
      <c r="P103" s="6"/>
      <c r="Q103" s="6"/>
      <c r="R103" s="366"/>
      <c r="T103" s="365"/>
      <c r="U103" s="6"/>
      <c r="V103" s="6"/>
      <c r="W103" s="366"/>
      <c r="Y103" s="365"/>
      <c r="Z103" s="6"/>
      <c r="AA103" s="6"/>
      <c r="AB103" s="366"/>
      <c r="AD103" s="365"/>
      <c r="AE103" s="6"/>
      <c r="AF103" s="6"/>
      <c r="AG103" s="366"/>
      <c r="AI103" s="365"/>
      <c r="AJ103" s="6"/>
      <c r="AK103" s="6"/>
      <c r="AL103" s="366"/>
      <c r="AN103" s="365"/>
      <c r="AO103" s="6"/>
      <c r="AP103" s="6"/>
      <c r="AQ103" s="366"/>
      <c r="AS103" s="365"/>
      <c r="AT103" s="6"/>
      <c r="AU103" s="6"/>
      <c r="AV103" s="366"/>
      <c r="AX103" s="365"/>
      <c r="AY103" s="6"/>
      <c r="AZ103" s="6"/>
      <c r="BA103" s="366"/>
      <c r="BC103" s="365"/>
      <c r="BD103" s="6"/>
      <c r="BE103" s="6"/>
      <c r="BF103" s="366"/>
      <c r="BH103" s="365"/>
      <c r="BI103" s="6"/>
      <c r="BJ103" s="6"/>
      <c r="BK103" s="366"/>
      <c r="BM103" s="365"/>
      <c r="BN103" s="6"/>
      <c r="BO103" s="6"/>
      <c r="BP103" s="366"/>
    </row>
    <row r="104" spans="5:68" s="2" customFormat="1">
      <c r="E104" s="365"/>
      <c r="F104" s="6"/>
      <c r="G104" s="6"/>
      <c r="H104" s="366"/>
      <c r="J104" s="365"/>
      <c r="K104" s="6"/>
      <c r="L104" s="6"/>
      <c r="M104" s="366"/>
      <c r="O104" s="365"/>
      <c r="P104" s="6"/>
      <c r="Q104" s="6"/>
      <c r="R104" s="366"/>
      <c r="T104" s="365"/>
      <c r="U104" s="6"/>
      <c r="V104" s="6"/>
      <c r="W104" s="366"/>
      <c r="Y104" s="365"/>
      <c r="Z104" s="6"/>
      <c r="AA104" s="6"/>
      <c r="AB104" s="366"/>
      <c r="AD104" s="365"/>
      <c r="AE104" s="6"/>
      <c r="AF104" s="6"/>
      <c r="AG104" s="366"/>
      <c r="AI104" s="365"/>
      <c r="AJ104" s="6"/>
      <c r="AK104" s="6"/>
      <c r="AL104" s="366"/>
      <c r="AN104" s="365"/>
      <c r="AO104" s="6"/>
      <c r="AP104" s="6"/>
      <c r="AQ104" s="366"/>
      <c r="AS104" s="365"/>
      <c r="AT104" s="6"/>
      <c r="AU104" s="6"/>
      <c r="AV104" s="366"/>
      <c r="AX104" s="365"/>
      <c r="AY104" s="6"/>
      <c r="AZ104" s="6"/>
      <c r="BA104" s="366"/>
      <c r="BC104" s="365"/>
      <c r="BD104" s="6"/>
      <c r="BE104" s="6"/>
      <c r="BF104" s="366"/>
      <c r="BH104" s="365"/>
      <c r="BI104" s="6"/>
      <c r="BJ104" s="6"/>
      <c r="BK104" s="366"/>
      <c r="BM104" s="365"/>
      <c r="BN104" s="6"/>
      <c r="BO104" s="6"/>
      <c r="BP104" s="366"/>
    </row>
    <row r="105" spans="5:68" s="2" customFormat="1">
      <c r="E105" s="365"/>
      <c r="F105" s="6"/>
      <c r="G105" s="6"/>
      <c r="H105" s="366"/>
      <c r="J105" s="365"/>
      <c r="K105" s="6"/>
      <c r="L105" s="6"/>
      <c r="M105" s="366"/>
      <c r="O105" s="365"/>
      <c r="P105" s="6"/>
      <c r="Q105" s="6"/>
      <c r="R105" s="366"/>
      <c r="T105" s="365"/>
      <c r="U105" s="6"/>
      <c r="V105" s="6"/>
      <c r="W105" s="366"/>
      <c r="Y105" s="365"/>
      <c r="Z105" s="6"/>
      <c r="AA105" s="6"/>
      <c r="AB105" s="366"/>
      <c r="AD105" s="365"/>
      <c r="AE105" s="6"/>
      <c r="AF105" s="6"/>
      <c r="AG105" s="366"/>
      <c r="AI105" s="365"/>
      <c r="AJ105" s="6"/>
      <c r="AK105" s="6"/>
      <c r="AL105" s="366"/>
      <c r="AN105" s="365"/>
      <c r="AO105" s="6"/>
      <c r="AP105" s="6"/>
      <c r="AQ105" s="366"/>
      <c r="AS105" s="365"/>
      <c r="AT105" s="6"/>
      <c r="AU105" s="6"/>
      <c r="AV105" s="366"/>
      <c r="AX105" s="365"/>
      <c r="AY105" s="6"/>
      <c r="AZ105" s="6"/>
      <c r="BA105" s="366"/>
      <c r="BC105" s="365"/>
      <c r="BD105" s="6"/>
      <c r="BE105" s="6"/>
      <c r="BF105" s="366"/>
      <c r="BH105" s="365"/>
      <c r="BI105" s="6"/>
      <c r="BJ105" s="6"/>
      <c r="BK105" s="366"/>
      <c r="BM105" s="365"/>
      <c r="BN105" s="6"/>
      <c r="BO105" s="6"/>
      <c r="BP105" s="366"/>
    </row>
    <row r="106" spans="5:68" s="2" customFormat="1">
      <c r="E106" s="365"/>
      <c r="F106" s="6"/>
      <c r="G106" s="6"/>
      <c r="H106" s="366"/>
      <c r="J106" s="365"/>
      <c r="K106" s="6"/>
      <c r="L106" s="6"/>
      <c r="M106" s="366"/>
      <c r="O106" s="365"/>
      <c r="P106" s="6"/>
      <c r="Q106" s="6"/>
      <c r="R106" s="366"/>
      <c r="T106" s="365"/>
      <c r="U106" s="6"/>
      <c r="V106" s="6"/>
      <c r="W106" s="366"/>
      <c r="Y106" s="365"/>
      <c r="Z106" s="6"/>
      <c r="AA106" s="6"/>
      <c r="AB106" s="366"/>
      <c r="AD106" s="365"/>
      <c r="AE106" s="6"/>
      <c r="AF106" s="6"/>
      <c r="AG106" s="366"/>
      <c r="AI106" s="365"/>
      <c r="AJ106" s="6"/>
      <c r="AK106" s="6"/>
      <c r="AL106" s="366"/>
      <c r="AN106" s="365"/>
      <c r="AO106" s="6"/>
      <c r="AP106" s="6"/>
      <c r="AQ106" s="366"/>
      <c r="AS106" s="365"/>
      <c r="AT106" s="6"/>
      <c r="AU106" s="6"/>
      <c r="AV106" s="366"/>
      <c r="AX106" s="365"/>
      <c r="AY106" s="6"/>
      <c r="AZ106" s="6"/>
      <c r="BA106" s="366"/>
      <c r="BC106" s="365"/>
      <c r="BD106" s="6"/>
      <c r="BE106" s="6"/>
      <c r="BF106" s="366"/>
      <c r="BH106" s="365"/>
      <c r="BI106" s="6"/>
      <c r="BJ106" s="6"/>
      <c r="BK106" s="366"/>
      <c r="BM106" s="365"/>
      <c r="BN106" s="6"/>
      <c r="BO106" s="6"/>
      <c r="BP106" s="366"/>
    </row>
    <row r="107" spans="5:68" s="2" customFormat="1">
      <c r="E107" s="365"/>
      <c r="F107" s="6"/>
      <c r="G107" s="6"/>
      <c r="H107" s="366"/>
      <c r="J107" s="365"/>
      <c r="K107" s="6"/>
      <c r="L107" s="6"/>
      <c r="M107" s="366"/>
      <c r="O107" s="365"/>
      <c r="P107" s="6"/>
      <c r="Q107" s="6"/>
      <c r="R107" s="366"/>
      <c r="T107" s="365"/>
      <c r="U107" s="6"/>
      <c r="V107" s="6"/>
      <c r="W107" s="366"/>
      <c r="Y107" s="365"/>
      <c r="Z107" s="6"/>
      <c r="AA107" s="6"/>
      <c r="AB107" s="366"/>
      <c r="AD107" s="365"/>
      <c r="AE107" s="6"/>
      <c r="AF107" s="6"/>
      <c r="AG107" s="366"/>
      <c r="AI107" s="365"/>
      <c r="AJ107" s="6"/>
      <c r="AK107" s="6"/>
      <c r="AL107" s="366"/>
      <c r="AN107" s="365"/>
      <c r="AO107" s="6"/>
      <c r="AP107" s="6"/>
      <c r="AQ107" s="366"/>
      <c r="AS107" s="365"/>
      <c r="AT107" s="6"/>
      <c r="AU107" s="6"/>
      <c r="AV107" s="366"/>
      <c r="AX107" s="365"/>
      <c r="AY107" s="6"/>
      <c r="AZ107" s="6"/>
      <c r="BA107" s="366"/>
      <c r="BC107" s="365"/>
      <c r="BD107" s="6"/>
      <c r="BE107" s="6"/>
      <c r="BF107" s="366"/>
      <c r="BH107" s="365"/>
      <c r="BI107" s="6"/>
      <c r="BJ107" s="6"/>
      <c r="BK107" s="366"/>
      <c r="BM107" s="365"/>
      <c r="BN107" s="6"/>
      <c r="BO107" s="6"/>
      <c r="BP107" s="366"/>
    </row>
    <row r="108" spans="5:68" s="2" customFormat="1">
      <c r="E108" s="365"/>
      <c r="F108" s="6"/>
      <c r="G108" s="6"/>
      <c r="H108" s="366"/>
      <c r="J108" s="365"/>
      <c r="K108" s="6"/>
      <c r="L108" s="6"/>
      <c r="M108" s="366"/>
      <c r="O108" s="365"/>
      <c r="P108" s="6"/>
      <c r="Q108" s="6"/>
      <c r="R108" s="366"/>
      <c r="T108" s="365"/>
      <c r="U108" s="6"/>
      <c r="V108" s="6"/>
      <c r="W108" s="366"/>
      <c r="Y108" s="365"/>
      <c r="Z108" s="6"/>
      <c r="AA108" s="6"/>
      <c r="AB108" s="366"/>
      <c r="AD108" s="365"/>
      <c r="AE108" s="6"/>
      <c r="AF108" s="6"/>
      <c r="AG108" s="366"/>
      <c r="AI108" s="365"/>
      <c r="AJ108" s="6"/>
      <c r="AK108" s="6"/>
      <c r="AL108" s="366"/>
      <c r="AN108" s="365"/>
      <c r="AO108" s="6"/>
      <c r="AP108" s="6"/>
      <c r="AQ108" s="366"/>
      <c r="AS108" s="365"/>
      <c r="AT108" s="6"/>
      <c r="AU108" s="6"/>
      <c r="AV108" s="366"/>
      <c r="AX108" s="365"/>
      <c r="AY108" s="6"/>
      <c r="AZ108" s="6"/>
      <c r="BA108" s="366"/>
      <c r="BC108" s="365"/>
      <c r="BD108" s="6"/>
      <c r="BE108" s="6"/>
      <c r="BF108" s="366"/>
      <c r="BH108" s="365"/>
      <c r="BI108" s="6"/>
      <c r="BJ108" s="6"/>
      <c r="BK108" s="366"/>
      <c r="BM108" s="365"/>
      <c r="BN108" s="6"/>
      <c r="BO108" s="6"/>
      <c r="BP108" s="366"/>
    </row>
    <row r="109" spans="5:68" s="2" customFormat="1">
      <c r="E109" s="365"/>
      <c r="F109" s="6"/>
      <c r="G109" s="6"/>
      <c r="H109" s="366"/>
      <c r="J109" s="365"/>
      <c r="K109" s="6"/>
      <c r="L109" s="6"/>
      <c r="M109" s="366"/>
      <c r="O109" s="365"/>
      <c r="P109" s="6"/>
      <c r="Q109" s="6"/>
      <c r="R109" s="366"/>
      <c r="T109" s="365"/>
      <c r="U109" s="6"/>
      <c r="V109" s="6"/>
      <c r="W109" s="366"/>
      <c r="Y109" s="365"/>
      <c r="Z109" s="6"/>
      <c r="AA109" s="6"/>
      <c r="AB109" s="366"/>
      <c r="AD109" s="365"/>
      <c r="AE109" s="6"/>
      <c r="AF109" s="6"/>
      <c r="AG109" s="366"/>
      <c r="AI109" s="365"/>
      <c r="AJ109" s="6"/>
      <c r="AK109" s="6"/>
      <c r="AL109" s="366"/>
      <c r="AN109" s="365"/>
      <c r="AO109" s="6"/>
      <c r="AP109" s="6"/>
      <c r="AQ109" s="366"/>
      <c r="AS109" s="365"/>
      <c r="AT109" s="6"/>
      <c r="AU109" s="6"/>
      <c r="AV109" s="366"/>
      <c r="AX109" s="365"/>
      <c r="AY109" s="6"/>
      <c r="AZ109" s="6"/>
      <c r="BA109" s="366"/>
      <c r="BC109" s="365"/>
      <c r="BD109" s="6"/>
      <c r="BE109" s="6"/>
      <c r="BF109" s="366"/>
      <c r="BH109" s="365"/>
      <c r="BI109" s="6"/>
      <c r="BJ109" s="6"/>
      <c r="BK109" s="366"/>
      <c r="BM109" s="365"/>
      <c r="BN109" s="6"/>
      <c r="BO109" s="6"/>
      <c r="BP109" s="366"/>
    </row>
    <row r="110" spans="5:68" s="2" customFormat="1">
      <c r="E110" s="365"/>
      <c r="F110" s="6"/>
      <c r="G110" s="6"/>
      <c r="H110" s="366"/>
      <c r="J110" s="365"/>
      <c r="K110" s="6"/>
      <c r="L110" s="6"/>
      <c r="M110" s="366"/>
      <c r="O110" s="365"/>
      <c r="P110" s="6"/>
      <c r="Q110" s="6"/>
      <c r="R110" s="366"/>
      <c r="T110" s="365"/>
      <c r="U110" s="6"/>
      <c r="V110" s="6"/>
      <c r="W110" s="366"/>
      <c r="Y110" s="365"/>
      <c r="Z110" s="6"/>
      <c r="AA110" s="6"/>
      <c r="AB110" s="366"/>
      <c r="AD110" s="365"/>
      <c r="AE110" s="6"/>
      <c r="AF110" s="6"/>
      <c r="AG110" s="366"/>
      <c r="AI110" s="365"/>
      <c r="AJ110" s="6"/>
      <c r="AK110" s="6"/>
      <c r="AL110" s="366"/>
      <c r="AN110" s="365"/>
      <c r="AO110" s="6"/>
      <c r="AP110" s="6"/>
      <c r="AQ110" s="366"/>
      <c r="AS110" s="365"/>
      <c r="AT110" s="6"/>
      <c r="AU110" s="6"/>
      <c r="AV110" s="366"/>
      <c r="AX110" s="365"/>
      <c r="AY110" s="6"/>
      <c r="AZ110" s="6"/>
      <c r="BA110" s="366"/>
      <c r="BC110" s="365"/>
      <c r="BD110" s="6"/>
      <c r="BE110" s="6"/>
      <c r="BF110" s="366"/>
      <c r="BH110" s="365"/>
      <c r="BI110" s="6"/>
      <c r="BJ110" s="6"/>
      <c r="BK110" s="366"/>
      <c r="BM110" s="365"/>
      <c r="BN110" s="6"/>
      <c r="BO110" s="6"/>
      <c r="BP110" s="366"/>
    </row>
    <row r="111" spans="5:68" s="2" customFormat="1">
      <c r="E111" s="365"/>
      <c r="F111" s="6"/>
      <c r="G111" s="6"/>
      <c r="H111" s="366"/>
      <c r="J111" s="365"/>
      <c r="K111" s="6"/>
      <c r="L111" s="6"/>
      <c r="M111" s="366"/>
      <c r="O111" s="365"/>
      <c r="P111" s="6"/>
      <c r="Q111" s="6"/>
      <c r="R111" s="366"/>
      <c r="T111" s="365"/>
      <c r="U111" s="6"/>
      <c r="V111" s="6"/>
      <c r="W111" s="366"/>
      <c r="Y111" s="365"/>
      <c r="Z111" s="6"/>
      <c r="AA111" s="6"/>
      <c r="AB111" s="366"/>
      <c r="AD111" s="365"/>
      <c r="AE111" s="6"/>
      <c r="AF111" s="6"/>
      <c r="AG111" s="366"/>
      <c r="AI111" s="365"/>
      <c r="AJ111" s="6"/>
      <c r="AK111" s="6"/>
      <c r="AL111" s="366"/>
      <c r="AN111" s="365"/>
      <c r="AO111" s="6"/>
      <c r="AP111" s="6"/>
      <c r="AQ111" s="366"/>
      <c r="AS111" s="365"/>
      <c r="AT111" s="6"/>
      <c r="AU111" s="6"/>
      <c r="AV111" s="366"/>
      <c r="AX111" s="365"/>
      <c r="AY111" s="6"/>
      <c r="AZ111" s="6"/>
      <c r="BA111" s="366"/>
      <c r="BC111" s="365"/>
      <c r="BD111" s="6"/>
      <c r="BE111" s="6"/>
      <c r="BF111" s="366"/>
      <c r="BH111" s="365"/>
      <c r="BI111" s="6"/>
      <c r="BJ111" s="6"/>
      <c r="BK111" s="366"/>
      <c r="BM111" s="365"/>
      <c r="BN111" s="6"/>
      <c r="BO111" s="6"/>
      <c r="BP111" s="366"/>
    </row>
    <row r="112" spans="5:68" s="2" customFormat="1">
      <c r="E112" s="365"/>
      <c r="F112" s="6"/>
      <c r="G112" s="6"/>
      <c r="H112" s="366"/>
      <c r="J112" s="365"/>
      <c r="K112" s="6"/>
      <c r="L112" s="6"/>
      <c r="M112" s="366"/>
      <c r="O112" s="365"/>
      <c r="P112" s="6"/>
      <c r="Q112" s="6"/>
      <c r="R112" s="366"/>
      <c r="T112" s="365"/>
      <c r="U112" s="6"/>
      <c r="V112" s="6"/>
      <c r="W112" s="366"/>
      <c r="Y112" s="365"/>
      <c r="Z112" s="6"/>
      <c r="AA112" s="6"/>
      <c r="AB112" s="366"/>
      <c r="AD112" s="365"/>
      <c r="AE112" s="6"/>
      <c r="AF112" s="6"/>
      <c r="AG112" s="366"/>
      <c r="AI112" s="365"/>
      <c r="AJ112" s="6"/>
      <c r="AK112" s="6"/>
      <c r="AL112" s="366"/>
      <c r="AN112" s="365"/>
      <c r="AO112" s="6"/>
      <c r="AP112" s="6"/>
      <c r="AQ112" s="366"/>
      <c r="AS112" s="365"/>
      <c r="AT112" s="6"/>
      <c r="AU112" s="6"/>
      <c r="AV112" s="366"/>
      <c r="AX112" s="365"/>
      <c r="AY112" s="6"/>
      <c r="AZ112" s="6"/>
      <c r="BA112" s="366"/>
      <c r="BC112" s="365"/>
      <c r="BD112" s="6"/>
      <c r="BE112" s="6"/>
      <c r="BF112" s="366"/>
      <c r="BH112" s="365"/>
      <c r="BI112" s="6"/>
      <c r="BJ112" s="6"/>
      <c r="BK112" s="366"/>
      <c r="BM112" s="365"/>
      <c r="BN112" s="6"/>
      <c r="BO112" s="6"/>
      <c r="BP112" s="366"/>
    </row>
    <row r="113" spans="5:68" s="2" customFormat="1">
      <c r="E113" s="365"/>
      <c r="F113" s="6"/>
      <c r="G113" s="6"/>
      <c r="H113" s="366"/>
      <c r="J113" s="365"/>
      <c r="K113" s="6"/>
      <c r="L113" s="6"/>
      <c r="M113" s="366"/>
      <c r="O113" s="365"/>
      <c r="P113" s="6"/>
      <c r="Q113" s="6"/>
      <c r="R113" s="366"/>
      <c r="T113" s="365"/>
      <c r="U113" s="6"/>
      <c r="V113" s="6"/>
      <c r="W113" s="366"/>
      <c r="Y113" s="365"/>
      <c r="Z113" s="6"/>
      <c r="AA113" s="6"/>
      <c r="AB113" s="366"/>
      <c r="AD113" s="365"/>
      <c r="AE113" s="6"/>
      <c r="AF113" s="6"/>
      <c r="AG113" s="366"/>
      <c r="AI113" s="365"/>
      <c r="AJ113" s="6"/>
      <c r="AK113" s="6"/>
      <c r="AL113" s="366"/>
      <c r="AN113" s="365"/>
      <c r="AO113" s="6"/>
      <c r="AP113" s="6"/>
      <c r="AQ113" s="366"/>
      <c r="AS113" s="365"/>
      <c r="AT113" s="6"/>
      <c r="AU113" s="6"/>
      <c r="AV113" s="366"/>
      <c r="AX113" s="365"/>
      <c r="AY113" s="6"/>
      <c r="AZ113" s="6"/>
      <c r="BA113" s="366"/>
      <c r="BC113" s="365"/>
      <c r="BD113" s="6"/>
      <c r="BE113" s="6"/>
      <c r="BF113" s="366"/>
      <c r="BH113" s="365"/>
      <c r="BI113" s="6"/>
      <c r="BJ113" s="6"/>
      <c r="BK113" s="366"/>
      <c r="BM113" s="365"/>
      <c r="BN113" s="6"/>
      <c r="BO113" s="6"/>
      <c r="BP113" s="366"/>
    </row>
    <row r="114" spans="5:68" s="2" customFormat="1">
      <c r="E114" s="365"/>
      <c r="F114" s="6"/>
      <c r="G114" s="6"/>
      <c r="H114" s="366"/>
      <c r="J114" s="365"/>
      <c r="K114" s="6"/>
      <c r="L114" s="6"/>
      <c r="M114" s="366"/>
      <c r="O114" s="365"/>
      <c r="P114" s="6"/>
      <c r="Q114" s="6"/>
      <c r="R114" s="366"/>
      <c r="T114" s="365"/>
      <c r="U114" s="6"/>
      <c r="V114" s="6"/>
      <c r="W114" s="366"/>
      <c r="Y114" s="365"/>
      <c r="Z114" s="6"/>
      <c r="AA114" s="6"/>
      <c r="AB114" s="366"/>
      <c r="AD114" s="365"/>
      <c r="AE114" s="6"/>
      <c r="AF114" s="6"/>
      <c r="AG114" s="366"/>
      <c r="AI114" s="365"/>
      <c r="AJ114" s="6"/>
      <c r="AK114" s="6"/>
      <c r="AL114" s="366"/>
      <c r="AN114" s="365"/>
      <c r="AO114" s="6"/>
      <c r="AP114" s="6"/>
      <c r="AQ114" s="366"/>
      <c r="AS114" s="365"/>
      <c r="AT114" s="6"/>
      <c r="AU114" s="6"/>
      <c r="AV114" s="366"/>
      <c r="AX114" s="365"/>
      <c r="AY114" s="6"/>
      <c r="AZ114" s="6"/>
      <c r="BA114" s="366"/>
      <c r="BC114" s="365"/>
      <c r="BD114" s="6"/>
      <c r="BE114" s="6"/>
      <c r="BF114" s="366"/>
      <c r="BH114" s="365"/>
      <c r="BI114" s="6"/>
      <c r="BJ114" s="6"/>
      <c r="BK114" s="366"/>
      <c r="BM114" s="365"/>
      <c r="BN114" s="6"/>
      <c r="BO114" s="6"/>
      <c r="BP114" s="366"/>
    </row>
    <row r="115" spans="5:68" s="2" customFormat="1">
      <c r="E115" s="365"/>
      <c r="F115" s="6"/>
      <c r="G115" s="6"/>
      <c r="H115" s="366"/>
      <c r="J115" s="365"/>
      <c r="K115" s="6"/>
      <c r="L115" s="6"/>
      <c r="M115" s="366"/>
      <c r="O115" s="365"/>
      <c r="P115" s="6"/>
      <c r="Q115" s="6"/>
      <c r="R115" s="366"/>
      <c r="T115" s="365"/>
      <c r="U115" s="6"/>
      <c r="V115" s="6"/>
      <c r="W115" s="366"/>
      <c r="Y115" s="365"/>
      <c r="Z115" s="6"/>
      <c r="AA115" s="6"/>
      <c r="AB115" s="366"/>
      <c r="AD115" s="365"/>
      <c r="AE115" s="6"/>
      <c r="AF115" s="6"/>
      <c r="AG115" s="366"/>
      <c r="AI115" s="365"/>
      <c r="AJ115" s="6"/>
      <c r="AK115" s="6"/>
      <c r="AL115" s="366"/>
      <c r="AN115" s="365"/>
      <c r="AO115" s="6"/>
      <c r="AP115" s="6"/>
      <c r="AQ115" s="366"/>
      <c r="AS115" s="365"/>
      <c r="AT115" s="6"/>
      <c r="AU115" s="6"/>
      <c r="AV115" s="366"/>
      <c r="AX115" s="365"/>
      <c r="AY115" s="6"/>
      <c r="AZ115" s="6"/>
      <c r="BA115" s="366"/>
      <c r="BC115" s="365"/>
      <c r="BD115" s="6"/>
      <c r="BE115" s="6"/>
      <c r="BF115" s="366"/>
      <c r="BH115" s="365"/>
      <c r="BI115" s="6"/>
      <c r="BJ115" s="6"/>
      <c r="BK115" s="366"/>
      <c r="BM115" s="365"/>
      <c r="BN115" s="6"/>
      <c r="BO115" s="6"/>
      <c r="BP115" s="366"/>
    </row>
    <row r="116" spans="5:68" s="2" customFormat="1">
      <c r="E116" s="365"/>
      <c r="F116" s="6"/>
      <c r="G116" s="6"/>
      <c r="H116" s="366"/>
      <c r="J116" s="365"/>
      <c r="K116" s="6"/>
      <c r="L116" s="6"/>
      <c r="M116" s="366"/>
      <c r="O116" s="365"/>
      <c r="P116" s="6"/>
      <c r="Q116" s="6"/>
      <c r="R116" s="366"/>
      <c r="T116" s="365"/>
      <c r="U116" s="6"/>
      <c r="V116" s="6"/>
      <c r="W116" s="366"/>
      <c r="Y116" s="365"/>
      <c r="Z116" s="6"/>
      <c r="AA116" s="6"/>
      <c r="AB116" s="366"/>
      <c r="AD116" s="365"/>
      <c r="AE116" s="6"/>
      <c r="AF116" s="6"/>
      <c r="AG116" s="366"/>
      <c r="AI116" s="365"/>
      <c r="AJ116" s="6"/>
      <c r="AK116" s="6"/>
      <c r="AL116" s="366"/>
      <c r="AN116" s="365"/>
      <c r="AO116" s="6"/>
      <c r="AP116" s="6"/>
      <c r="AQ116" s="366"/>
      <c r="AS116" s="365"/>
      <c r="AT116" s="6"/>
      <c r="AU116" s="6"/>
      <c r="AV116" s="366"/>
      <c r="AX116" s="365"/>
      <c r="AY116" s="6"/>
      <c r="AZ116" s="6"/>
      <c r="BA116" s="366"/>
      <c r="BC116" s="365"/>
      <c r="BD116" s="6"/>
      <c r="BE116" s="6"/>
      <c r="BF116" s="366"/>
      <c r="BH116" s="365"/>
      <c r="BI116" s="6"/>
      <c r="BJ116" s="6"/>
      <c r="BK116" s="366"/>
      <c r="BM116" s="365"/>
      <c r="BN116" s="6"/>
      <c r="BO116" s="6"/>
      <c r="BP116" s="366"/>
    </row>
    <row r="117" spans="5:68" s="2" customFormat="1">
      <c r="E117" s="365"/>
      <c r="F117" s="6"/>
      <c r="G117" s="6"/>
      <c r="H117" s="366"/>
      <c r="J117" s="365"/>
      <c r="K117" s="6"/>
      <c r="L117" s="6"/>
      <c r="M117" s="366"/>
      <c r="O117" s="365"/>
      <c r="P117" s="6"/>
      <c r="Q117" s="6"/>
      <c r="R117" s="366"/>
      <c r="T117" s="365"/>
      <c r="U117" s="6"/>
      <c r="V117" s="6"/>
      <c r="W117" s="366"/>
      <c r="Y117" s="365"/>
      <c r="Z117" s="6"/>
      <c r="AA117" s="6"/>
      <c r="AB117" s="366"/>
      <c r="AD117" s="365"/>
      <c r="AE117" s="6"/>
      <c r="AF117" s="6"/>
      <c r="AG117" s="366"/>
      <c r="AI117" s="365"/>
      <c r="AJ117" s="6"/>
      <c r="AK117" s="6"/>
      <c r="AL117" s="366"/>
      <c r="AN117" s="365"/>
      <c r="AO117" s="6"/>
      <c r="AP117" s="6"/>
      <c r="AQ117" s="366"/>
      <c r="AS117" s="365"/>
      <c r="AT117" s="6"/>
      <c r="AU117" s="6"/>
      <c r="AV117" s="366"/>
      <c r="AX117" s="365"/>
      <c r="AY117" s="6"/>
      <c r="AZ117" s="6"/>
      <c r="BA117" s="366"/>
      <c r="BC117" s="365"/>
      <c r="BD117" s="6"/>
      <c r="BE117" s="6"/>
      <c r="BF117" s="366"/>
      <c r="BH117" s="365"/>
      <c r="BI117" s="6"/>
      <c r="BJ117" s="6"/>
      <c r="BK117" s="366"/>
      <c r="BM117" s="365"/>
      <c r="BN117" s="6"/>
      <c r="BO117" s="6"/>
      <c r="BP117" s="366"/>
    </row>
    <row r="118" spans="5:68" s="2" customFormat="1">
      <c r="E118" s="365"/>
      <c r="F118" s="6"/>
      <c r="G118" s="6"/>
      <c r="H118" s="366"/>
      <c r="J118" s="365"/>
      <c r="K118" s="6"/>
      <c r="L118" s="6"/>
      <c r="M118" s="366"/>
      <c r="O118" s="365"/>
      <c r="P118" s="6"/>
      <c r="Q118" s="6"/>
      <c r="R118" s="366"/>
      <c r="T118" s="365"/>
      <c r="U118" s="6"/>
      <c r="V118" s="6"/>
      <c r="W118" s="366"/>
      <c r="Y118" s="365"/>
      <c r="Z118" s="6"/>
      <c r="AA118" s="6"/>
      <c r="AB118" s="366"/>
      <c r="AD118" s="365"/>
      <c r="AE118" s="6"/>
      <c r="AF118" s="6"/>
      <c r="AG118" s="366"/>
      <c r="AI118" s="365"/>
      <c r="AJ118" s="6"/>
      <c r="AK118" s="6"/>
      <c r="AL118" s="366"/>
      <c r="AN118" s="365"/>
      <c r="AO118" s="6"/>
      <c r="AP118" s="6"/>
      <c r="AQ118" s="366"/>
      <c r="AS118" s="365"/>
      <c r="AT118" s="6"/>
      <c r="AU118" s="6"/>
      <c r="AV118" s="366"/>
      <c r="AX118" s="365"/>
      <c r="AY118" s="6"/>
      <c r="AZ118" s="6"/>
      <c r="BA118" s="366"/>
      <c r="BC118" s="365"/>
      <c r="BD118" s="6"/>
      <c r="BE118" s="6"/>
      <c r="BF118" s="366"/>
      <c r="BH118" s="365"/>
      <c r="BI118" s="6"/>
      <c r="BJ118" s="6"/>
      <c r="BK118" s="366"/>
      <c r="BM118" s="365"/>
      <c r="BN118" s="6"/>
      <c r="BO118" s="6"/>
      <c r="BP118" s="366"/>
    </row>
    <row r="119" spans="5:68" s="2" customFormat="1">
      <c r="E119" s="365"/>
      <c r="F119" s="6"/>
      <c r="G119" s="6"/>
      <c r="H119" s="366"/>
      <c r="J119" s="365"/>
      <c r="K119" s="6"/>
      <c r="L119" s="6"/>
      <c r="M119" s="366"/>
      <c r="O119" s="365"/>
      <c r="P119" s="6"/>
      <c r="Q119" s="6"/>
      <c r="R119" s="366"/>
      <c r="T119" s="365"/>
      <c r="U119" s="6"/>
      <c r="V119" s="6"/>
      <c r="W119" s="366"/>
      <c r="Y119" s="365"/>
      <c r="Z119" s="6"/>
      <c r="AA119" s="6"/>
      <c r="AB119" s="366"/>
      <c r="AD119" s="365"/>
      <c r="AE119" s="6"/>
      <c r="AF119" s="6"/>
      <c r="AG119" s="366"/>
      <c r="AI119" s="365"/>
      <c r="AJ119" s="6"/>
      <c r="AK119" s="6"/>
      <c r="AL119" s="366"/>
      <c r="AN119" s="365"/>
      <c r="AO119" s="6"/>
      <c r="AP119" s="6"/>
      <c r="AQ119" s="366"/>
      <c r="AS119" s="365"/>
      <c r="AT119" s="6"/>
      <c r="AU119" s="6"/>
      <c r="AV119" s="366"/>
      <c r="AX119" s="365"/>
      <c r="AY119" s="6"/>
      <c r="AZ119" s="6"/>
      <c r="BA119" s="366"/>
      <c r="BC119" s="365"/>
      <c r="BD119" s="6"/>
      <c r="BE119" s="6"/>
      <c r="BF119" s="366"/>
      <c r="BH119" s="365"/>
      <c r="BI119" s="6"/>
      <c r="BJ119" s="6"/>
      <c r="BK119" s="366"/>
      <c r="BM119" s="365"/>
      <c r="BN119" s="6"/>
      <c r="BO119" s="6"/>
      <c r="BP119" s="366"/>
    </row>
    <row r="120" spans="5:68" s="2" customFormat="1">
      <c r="E120" s="365"/>
      <c r="F120" s="6"/>
      <c r="G120" s="6"/>
      <c r="H120" s="366"/>
      <c r="J120" s="365"/>
      <c r="K120" s="6"/>
      <c r="L120" s="6"/>
      <c r="M120" s="366"/>
      <c r="O120" s="365"/>
      <c r="P120" s="6"/>
      <c r="Q120" s="6"/>
      <c r="R120" s="366"/>
      <c r="T120" s="365"/>
      <c r="U120" s="6"/>
      <c r="V120" s="6"/>
      <c r="W120" s="366"/>
      <c r="Y120" s="365"/>
      <c r="Z120" s="6"/>
      <c r="AA120" s="6"/>
      <c r="AB120" s="366"/>
      <c r="AD120" s="365"/>
      <c r="AE120" s="6"/>
      <c r="AF120" s="6"/>
      <c r="AG120" s="366"/>
      <c r="AI120" s="365"/>
      <c r="AJ120" s="6"/>
      <c r="AK120" s="6"/>
      <c r="AL120" s="366"/>
      <c r="AN120" s="365"/>
      <c r="AO120" s="6"/>
      <c r="AP120" s="6"/>
      <c r="AQ120" s="366"/>
      <c r="AS120" s="365"/>
      <c r="AT120" s="6"/>
      <c r="AU120" s="6"/>
      <c r="AV120" s="366"/>
      <c r="AX120" s="365"/>
      <c r="AY120" s="6"/>
      <c r="AZ120" s="6"/>
      <c r="BA120" s="366"/>
      <c r="BC120" s="365"/>
      <c r="BD120" s="6"/>
      <c r="BE120" s="6"/>
      <c r="BF120" s="366"/>
      <c r="BH120" s="365"/>
      <c r="BI120" s="6"/>
      <c r="BJ120" s="6"/>
      <c r="BK120" s="366"/>
      <c r="BM120" s="365"/>
      <c r="BN120" s="6"/>
      <c r="BO120" s="6"/>
      <c r="BP120" s="366"/>
    </row>
    <row r="121" spans="5:68" s="2" customFormat="1">
      <c r="E121" s="365"/>
      <c r="F121" s="6"/>
      <c r="G121" s="6"/>
      <c r="H121" s="366"/>
      <c r="J121" s="365"/>
      <c r="K121" s="6"/>
      <c r="L121" s="6"/>
      <c r="M121" s="366"/>
      <c r="O121" s="365"/>
      <c r="P121" s="6"/>
      <c r="Q121" s="6"/>
      <c r="R121" s="366"/>
      <c r="T121" s="365"/>
      <c r="U121" s="6"/>
      <c r="V121" s="6"/>
      <c r="W121" s="366"/>
      <c r="Y121" s="365"/>
      <c r="Z121" s="6"/>
      <c r="AA121" s="6"/>
      <c r="AB121" s="366"/>
      <c r="AD121" s="365"/>
      <c r="AE121" s="6"/>
      <c r="AF121" s="6"/>
      <c r="AG121" s="366"/>
      <c r="AI121" s="365"/>
      <c r="AJ121" s="6"/>
      <c r="AK121" s="6"/>
      <c r="AL121" s="366"/>
      <c r="AN121" s="365"/>
      <c r="AO121" s="6"/>
      <c r="AP121" s="6"/>
      <c r="AQ121" s="366"/>
      <c r="AS121" s="365"/>
      <c r="AT121" s="6"/>
      <c r="AU121" s="6"/>
      <c r="AV121" s="366"/>
      <c r="AX121" s="365"/>
      <c r="AY121" s="6"/>
      <c r="AZ121" s="6"/>
      <c r="BA121" s="366"/>
      <c r="BC121" s="365"/>
      <c r="BD121" s="6"/>
      <c r="BE121" s="6"/>
      <c r="BF121" s="366"/>
      <c r="BH121" s="365"/>
      <c r="BI121" s="6"/>
      <c r="BJ121" s="6"/>
      <c r="BK121" s="366"/>
      <c r="BM121" s="365"/>
      <c r="BN121" s="6"/>
      <c r="BO121" s="6"/>
      <c r="BP121" s="366"/>
    </row>
    <row r="122" spans="5:68" s="2" customFormat="1">
      <c r="E122" s="365"/>
      <c r="F122" s="6"/>
      <c r="G122" s="6"/>
      <c r="H122" s="366"/>
      <c r="J122" s="365"/>
      <c r="K122" s="6"/>
      <c r="L122" s="6"/>
      <c r="M122" s="366"/>
      <c r="O122" s="365"/>
      <c r="P122" s="6"/>
      <c r="Q122" s="6"/>
      <c r="R122" s="366"/>
      <c r="T122" s="365"/>
      <c r="U122" s="6"/>
      <c r="V122" s="6"/>
      <c r="W122" s="366"/>
      <c r="Y122" s="365"/>
      <c r="Z122" s="6"/>
      <c r="AA122" s="6"/>
      <c r="AB122" s="366"/>
      <c r="AD122" s="365"/>
      <c r="AE122" s="6"/>
      <c r="AF122" s="6"/>
      <c r="AG122" s="366"/>
      <c r="AI122" s="365"/>
      <c r="AJ122" s="6"/>
      <c r="AK122" s="6"/>
      <c r="AL122" s="366"/>
      <c r="AN122" s="365"/>
      <c r="AO122" s="6"/>
      <c r="AP122" s="6"/>
      <c r="AQ122" s="366"/>
      <c r="AS122" s="365"/>
      <c r="AT122" s="6"/>
      <c r="AU122" s="6"/>
      <c r="AV122" s="366"/>
      <c r="AX122" s="365"/>
      <c r="AY122" s="6"/>
      <c r="AZ122" s="6"/>
      <c r="BA122" s="366"/>
      <c r="BC122" s="365"/>
      <c r="BD122" s="6"/>
      <c r="BE122" s="6"/>
      <c r="BF122" s="366"/>
      <c r="BH122" s="365"/>
      <c r="BI122" s="6"/>
      <c r="BJ122" s="6"/>
      <c r="BK122" s="366"/>
      <c r="BM122" s="365"/>
      <c r="BN122" s="6"/>
      <c r="BO122" s="6"/>
      <c r="BP122" s="366"/>
    </row>
    <row r="123" spans="5:68" s="2" customFormat="1">
      <c r="E123" s="365"/>
      <c r="F123" s="6"/>
      <c r="G123" s="6"/>
      <c r="H123" s="366"/>
      <c r="J123" s="365"/>
      <c r="K123" s="6"/>
      <c r="L123" s="6"/>
      <c r="M123" s="366"/>
      <c r="O123" s="365"/>
      <c r="P123" s="6"/>
      <c r="Q123" s="6"/>
      <c r="R123" s="366"/>
      <c r="T123" s="365"/>
      <c r="U123" s="6"/>
      <c r="V123" s="6"/>
      <c r="W123" s="366"/>
      <c r="Y123" s="365"/>
      <c r="Z123" s="6"/>
      <c r="AA123" s="6"/>
      <c r="AB123" s="366"/>
      <c r="AD123" s="365"/>
      <c r="AE123" s="6"/>
      <c r="AF123" s="6"/>
      <c r="AG123" s="366"/>
      <c r="AI123" s="365"/>
      <c r="AJ123" s="6"/>
      <c r="AK123" s="6"/>
      <c r="AL123" s="366"/>
      <c r="AN123" s="365"/>
      <c r="AO123" s="6"/>
      <c r="AP123" s="6"/>
      <c r="AQ123" s="366"/>
      <c r="AS123" s="365"/>
      <c r="AT123" s="6"/>
      <c r="AU123" s="6"/>
      <c r="AV123" s="366"/>
      <c r="AX123" s="365"/>
      <c r="AY123" s="6"/>
      <c r="AZ123" s="6"/>
      <c r="BA123" s="366"/>
      <c r="BC123" s="365"/>
      <c r="BD123" s="6"/>
      <c r="BE123" s="6"/>
      <c r="BF123" s="366"/>
      <c r="BH123" s="365"/>
      <c r="BI123" s="6"/>
      <c r="BJ123" s="6"/>
      <c r="BK123" s="366"/>
      <c r="BM123" s="365"/>
      <c r="BN123" s="6"/>
      <c r="BO123" s="6"/>
      <c r="BP123" s="366"/>
    </row>
    <row r="124" spans="5:68" s="2" customFormat="1">
      <c r="E124" s="365"/>
      <c r="F124" s="6"/>
      <c r="G124" s="6"/>
      <c r="H124" s="366"/>
      <c r="J124" s="365"/>
      <c r="K124" s="6"/>
      <c r="L124" s="6"/>
      <c r="M124" s="366"/>
      <c r="O124" s="365"/>
      <c r="P124" s="6"/>
      <c r="Q124" s="6"/>
      <c r="R124" s="366"/>
      <c r="T124" s="365"/>
      <c r="U124" s="6"/>
      <c r="V124" s="6"/>
      <c r="W124" s="366"/>
      <c r="Y124" s="365"/>
      <c r="Z124" s="6"/>
      <c r="AA124" s="6"/>
      <c r="AB124" s="366"/>
      <c r="AD124" s="365"/>
      <c r="AE124" s="6"/>
      <c r="AF124" s="6"/>
      <c r="AG124" s="366"/>
      <c r="AI124" s="365"/>
      <c r="AJ124" s="6"/>
      <c r="AK124" s="6"/>
      <c r="AL124" s="366"/>
      <c r="AN124" s="365"/>
      <c r="AO124" s="6"/>
      <c r="AP124" s="6"/>
      <c r="AQ124" s="366"/>
      <c r="AS124" s="365"/>
      <c r="AT124" s="6"/>
      <c r="AU124" s="6"/>
      <c r="AV124" s="366"/>
      <c r="AX124" s="365"/>
      <c r="AY124" s="6"/>
      <c r="AZ124" s="6"/>
      <c r="BA124" s="366"/>
      <c r="BC124" s="365"/>
      <c r="BD124" s="6"/>
      <c r="BE124" s="6"/>
      <c r="BF124" s="366"/>
      <c r="BH124" s="365"/>
      <c r="BI124" s="6"/>
      <c r="BJ124" s="6"/>
      <c r="BK124" s="366"/>
      <c r="BM124" s="365"/>
      <c r="BN124" s="6"/>
      <c r="BO124" s="6"/>
      <c r="BP124" s="366"/>
    </row>
    <row r="125" spans="5:68" s="2" customFormat="1">
      <c r="E125" s="365"/>
      <c r="F125" s="6"/>
      <c r="G125" s="6"/>
      <c r="H125" s="366"/>
      <c r="J125" s="365"/>
      <c r="K125" s="6"/>
      <c r="L125" s="6"/>
      <c r="M125" s="366"/>
      <c r="O125" s="365"/>
      <c r="P125" s="6"/>
      <c r="Q125" s="6"/>
      <c r="R125" s="366"/>
      <c r="T125" s="365"/>
      <c r="U125" s="6"/>
      <c r="V125" s="6"/>
      <c r="W125" s="366"/>
      <c r="Y125" s="365"/>
      <c r="Z125" s="6"/>
      <c r="AA125" s="6"/>
      <c r="AB125" s="366"/>
      <c r="AD125" s="365"/>
      <c r="AE125" s="6"/>
      <c r="AF125" s="6"/>
      <c r="AG125" s="366"/>
      <c r="AI125" s="365"/>
      <c r="AJ125" s="6"/>
      <c r="AK125" s="6"/>
      <c r="AL125" s="366"/>
      <c r="AN125" s="365"/>
      <c r="AO125" s="6"/>
      <c r="AP125" s="6"/>
      <c r="AQ125" s="366"/>
      <c r="AS125" s="365"/>
      <c r="AT125" s="6"/>
      <c r="AU125" s="6"/>
      <c r="AV125" s="366"/>
      <c r="AX125" s="365"/>
      <c r="AY125" s="6"/>
      <c r="AZ125" s="6"/>
      <c r="BA125" s="366"/>
      <c r="BC125" s="365"/>
      <c r="BD125" s="6"/>
      <c r="BE125" s="6"/>
      <c r="BF125" s="366"/>
      <c r="BH125" s="365"/>
      <c r="BI125" s="6"/>
      <c r="BJ125" s="6"/>
      <c r="BK125" s="366"/>
      <c r="BM125" s="365"/>
      <c r="BN125" s="6"/>
      <c r="BO125" s="6"/>
      <c r="BP125" s="366"/>
    </row>
    <row r="126" spans="5:68" s="2" customFormat="1">
      <c r="E126" s="365"/>
      <c r="F126" s="6"/>
      <c r="G126" s="6"/>
      <c r="H126" s="366"/>
      <c r="J126" s="365"/>
      <c r="K126" s="6"/>
      <c r="L126" s="6"/>
      <c r="M126" s="366"/>
      <c r="O126" s="365"/>
      <c r="P126" s="6"/>
      <c r="Q126" s="6"/>
      <c r="R126" s="366"/>
      <c r="T126" s="365"/>
      <c r="U126" s="6"/>
      <c r="V126" s="6"/>
      <c r="W126" s="366"/>
      <c r="Y126" s="365"/>
      <c r="Z126" s="6"/>
      <c r="AA126" s="6"/>
      <c r="AB126" s="366"/>
      <c r="AD126" s="365"/>
      <c r="AE126" s="6"/>
      <c r="AF126" s="6"/>
      <c r="AG126" s="366"/>
      <c r="AI126" s="365"/>
      <c r="AJ126" s="6"/>
      <c r="AK126" s="6"/>
      <c r="AL126" s="366"/>
      <c r="AN126" s="365"/>
      <c r="AO126" s="6"/>
      <c r="AP126" s="6"/>
      <c r="AQ126" s="366"/>
      <c r="AS126" s="365"/>
      <c r="AT126" s="6"/>
      <c r="AU126" s="6"/>
      <c r="AV126" s="366"/>
      <c r="AX126" s="365"/>
      <c r="AY126" s="6"/>
      <c r="AZ126" s="6"/>
      <c r="BA126" s="366"/>
      <c r="BC126" s="365"/>
      <c r="BD126" s="6"/>
      <c r="BE126" s="6"/>
      <c r="BF126" s="366"/>
      <c r="BH126" s="365"/>
      <c r="BI126" s="6"/>
      <c r="BJ126" s="6"/>
      <c r="BK126" s="366"/>
      <c r="BM126" s="365"/>
      <c r="BN126" s="6"/>
      <c r="BO126" s="6"/>
      <c r="BP126" s="366"/>
    </row>
    <row r="127" spans="5:68" s="2" customFormat="1">
      <c r="E127" s="365"/>
      <c r="F127" s="6"/>
      <c r="G127" s="6"/>
      <c r="H127" s="366"/>
      <c r="J127" s="365"/>
      <c r="K127" s="6"/>
      <c r="L127" s="6"/>
      <c r="M127" s="366"/>
      <c r="O127" s="365"/>
      <c r="P127" s="6"/>
      <c r="Q127" s="6"/>
      <c r="R127" s="366"/>
      <c r="T127" s="365"/>
      <c r="U127" s="6"/>
      <c r="V127" s="6"/>
      <c r="W127" s="366"/>
      <c r="Y127" s="365"/>
      <c r="Z127" s="6"/>
      <c r="AA127" s="6"/>
      <c r="AB127" s="366"/>
      <c r="AD127" s="365"/>
      <c r="AE127" s="6"/>
      <c r="AF127" s="6"/>
      <c r="AG127" s="366"/>
      <c r="AI127" s="365"/>
      <c r="AJ127" s="6"/>
      <c r="AK127" s="6"/>
      <c r="AL127" s="366"/>
      <c r="AN127" s="365"/>
      <c r="AO127" s="6"/>
      <c r="AP127" s="6"/>
      <c r="AQ127" s="366"/>
      <c r="AS127" s="365"/>
      <c r="AT127" s="6"/>
      <c r="AU127" s="6"/>
      <c r="AV127" s="366"/>
      <c r="AX127" s="365"/>
      <c r="AY127" s="6"/>
      <c r="AZ127" s="6"/>
      <c r="BA127" s="366"/>
      <c r="BC127" s="365"/>
      <c r="BD127" s="6"/>
      <c r="BE127" s="6"/>
      <c r="BF127" s="366"/>
      <c r="BH127" s="365"/>
      <c r="BI127" s="6"/>
      <c r="BJ127" s="6"/>
      <c r="BK127" s="366"/>
      <c r="BM127" s="365"/>
      <c r="BN127" s="6"/>
      <c r="BO127" s="6"/>
      <c r="BP127" s="366"/>
    </row>
    <row r="128" spans="5:68" s="2" customFormat="1">
      <c r="E128" s="365"/>
      <c r="F128" s="6"/>
      <c r="G128" s="6"/>
      <c r="H128" s="366"/>
      <c r="J128" s="365"/>
      <c r="K128" s="6"/>
      <c r="L128" s="6"/>
      <c r="M128" s="366"/>
      <c r="O128" s="365"/>
      <c r="P128" s="6"/>
      <c r="Q128" s="6"/>
      <c r="R128" s="366"/>
      <c r="T128" s="365"/>
      <c r="U128" s="6"/>
      <c r="V128" s="6"/>
      <c r="W128" s="366"/>
      <c r="Y128" s="365"/>
      <c r="Z128" s="6"/>
      <c r="AA128" s="6"/>
      <c r="AB128" s="366"/>
      <c r="AD128" s="365"/>
      <c r="AE128" s="6"/>
      <c r="AF128" s="6"/>
      <c r="AG128" s="366"/>
      <c r="AI128" s="365"/>
      <c r="AJ128" s="6"/>
      <c r="AK128" s="6"/>
      <c r="AL128" s="366"/>
      <c r="AN128" s="365"/>
      <c r="AO128" s="6"/>
      <c r="AP128" s="6"/>
      <c r="AQ128" s="366"/>
      <c r="AS128" s="365"/>
      <c r="AT128" s="6"/>
      <c r="AU128" s="6"/>
      <c r="AV128" s="366"/>
      <c r="AX128" s="365"/>
      <c r="AY128" s="6"/>
      <c r="AZ128" s="6"/>
      <c r="BA128" s="366"/>
      <c r="BC128" s="365"/>
      <c r="BD128" s="6"/>
      <c r="BE128" s="6"/>
      <c r="BF128" s="366"/>
      <c r="BH128" s="365"/>
      <c r="BI128" s="6"/>
      <c r="BJ128" s="6"/>
      <c r="BK128" s="366"/>
      <c r="BM128" s="365"/>
      <c r="BN128" s="6"/>
      <c r="BO128" s="6"/>
      <c r="BP128" s="366"/>
    </row>
    <row r="129" spans="5:68" s="2" customFormat="1">
      <c r="E129" s="365"/>
      <c r="F129" s="6"/>
      <c r="G129" s="6"/>
      <c r="H129" s="366"/>
      <c r="J129" s="365"/>
      <c r="K129" s="6"/>
      <c r="L129" s="6"/>
      <c r="M129" s="366"/>
      <c r="O129" s="365"/>
      <c r="P129" s="6"/>
      <c r="Q129" s="6"/>
      <c r="R129" s="366"/>
      <c r="T129" s="365"/>
      <c r="U129" s="6"/>
      <c r="V129" s="6"/>
      <c r="W129" s="366"/>
      <c r="Y129" s="365"/>
      <c r="Z129" s="6"/>
      <c r="AA129" s="6"/>
      <c r="AB129" s="366"/>
      <c r="AD129" s="365"/>
      <c r="AE129" s="6"/>
      <c r="AF129" s="6"/>
      <c r="AG129" s="366"/>
      <c r="AI129" s="365"/>
      <c r="AJ129" s="6"/>
      <c r="AK129" s="6"/>
      <c r="AL129" s="366"/>
      <c r="AN129" s="365"/>
      <c r="AO129" s="6"/>
      <c r="AP129" s="6"/>
      <c r="AQ129" s="366"/>
      <c r="AS129" s="365"/>
      <c r="AT129" s="6"/>
      <c r="AU129" s="6"/>
      <c r="AV129" s="366"/>
      <c r="AX129" s="365"/>
      <c r="AY129" s="6"/>
      <c r="AZ129" s="6"/>
      <c r="BA129" s="366"/>
      <c r="BC129" s="365"/>
      <c r="BD129" s="6"/>
      <c r="BE129" s="6"/>
      <c r="BF129" s="366"/>
      <c r="BH129" s="365"/>
      <c r="BI129" s="6"/>
      <c r="BJ129" s="6"/>
      <c r="BK129" s="366"/>
      <c r="BM129" s="365"/>
      <c r="BN129" s="6"/>
      <c r="BO129" s="6"/>
      <c r="BP129" s="366"/>
    </row>
    <row r="130" spans="5:68" s="2" customFormat="1">
      <c r="E130" s="365"/>
      <c r="F130" s="6"/>
      <c r="G130" s="6"/>
      <c r="H130" s="366"/>
      <c r="J130" s="365"/>
      <c r="K130" s="6"/>
      <c r="L130" s="6"/>
      <c r="M130" s="366"/>
      <c r="O130" s="365"/>
      <c r="P130" s="6"/>
      <c r="Q130" s="6"/>
      <c r="R130" s="366"/>
      <c r="T130" s="365"/>
      <c r="U130" s="6"/>
      <c r="V130" s="6"/>
      <c r="W130" s="366"/>
      <c r="Y130" s="365"/>
      <c r="Z130" s="6"/>
      <c r="AA130" s="6"/>
      <c r="AB130" s="366"/>
      <c r="AD130" s="365"/>
      <c r="AE130" s="6"/>
      <c r="AF130" s="6"/>
      <c r="AG130" s="366"/>
      <c r="AI130" s="365"/>
      <c r="AJ130" s="6"/>
      <c r="AK130" s="6"/>
      <c r="AL130" s="366"/>
      <c r="AN130" s="365"/>
      <c r="AO130" s="6"/>
      <c r="AP130" s="6"/>
      <c r="AQ130" s="366"/>
      <c r="AS130" s="365"/>
      <c r="AT130" s="6"/>
      <c r="AU130" s="6"/>
      <c r="AV130" s="366"/>
      <c r="AX130" s="365"/>
      <c r="AY130" s="6"/>
      <c r="AZ130" s="6"/>
      <c r="BA130" s="366"/>
      <c r="BC130" s="365"/>
      <c r="BD130" s="6"/>
      <c r="BE130" s="6"/>
      <c r="BF130" s="366"/>
      <c r="BH130" s="365"/>
      <c r="BI130" s="6"/>
      <c r="BJ130" s="6"/>
      <c r="BK130" s="366"/>
      <c r="BM130" s="365"/>
      <c r="BN130" s="6"/>
      <c r="BO130" s="6"/>
      <c r="BP130" s="366"/>
    </row>
    <row r="131" spans="5:68" s="2" customFormat="1">
      <c r="E131" s="365"/>
      <c r="F131" s="6"/>
      <c r="G131" s="6"/>
      <c r="H131" s="366"/>
      <c r="J131" s="365"/>
      <c r="K131" s="6"/>
      <c r="L131" s="6"/>
      <c r="M131" s="366"/>
      <c r="O131" s="365"/>
      <c r="P131" s="6"/>
      <c r="Q131" s="6"/>
      <c r="R131" s="366"/>
      <c r="T131" s="365"/>
      <c r="U131" s="6"/>
      <c r="V131" s="6"/>
      <c r="W131" s="366"/>
      <c r="Y131" s="365"/>
      <c r="Z131" s="6"/>
      <c r="AA131" s="6"/>
      <c r="AB131" s="366"/>
      <c r="AD131" s="365"/>
      <c r="AE131" s="6"/>
      <c r="AF131" s="6"/>
      <c r="AG131" s="366"/>
      <c r="AI131" s="365"/>
      <c r="AJ131" s="6"/>
      <c r="AK131" s="6"/>
      <c r="AL131" s="366"/>
      <c r="AN131" s="365"/>
      <c r="AO131" s="6"/>
      <c r="AP131" s="6"/>
      <c r="AQ131" s="366"/>
      <c r="AS131" s="365"/>
      <c r="AT131" s="6"/>
      <c r="AU131" s="6"/>
      <c r="AV131" s="366"/>
      <c r="AX131" s="365"/>
      <c r="AY131" s="6"/>
      <c r="AZ131" s="6"/>
      <c r="BA131" s="366"/>
      <c r="BC131" s="365"/>
      <c r="BD131" s="6"/>
      <c r="BE131" s="6"/>
      <c r="BF131" s="366"/>
      <c r="BH131" s="365"/>
      <c r="BI131" s="6"/>
      <c r="BJ131" s="6"/>
      <c r="BK131" s="366"/>
      <c r="BM131" s="365"/>
      <c r="BN131" s="6"/>
      <c r="BO131" s="6"/>
      <c r="BP131" s="366"/>
    </row>
    <row r="132" spans="5:68" s="2" customFormat="1">
      <c r="E132" s="365"/>
      <c r="F132" s="6"/>
      <c r="G132" s="6"/>
      <c r="H132" s="366"/>
      <c r="J132" s="365"/>
      <c r="K132" s="6"/>
      <c r="L132" s="6"/>
      <c r="M132" s="366"/>
      <c r="O132" s="365"/>
      <c r="P132" s="6"/>
      <c r="Q132" s="6"/>
      <c r="R132" s="366"/>
      <c r="T132" s="365"/>
      <c r="U132" s="6"/>
      <c r="V132" s="6"/>
      <c r="W132" s="366"/>
      <c r="Y132" s="365"/>
      <c r="Z132" s="6"/>
      <c r="AA132" s="6"/>
      <c r="AB132" s="366"/>
      <c r="AD132" s="365"/>
      <c r="AE132" s="6"/>
      <c r="AF132" s="6"/>
      <c r="AG132" s="366"/>
      <c r="AI132" s="365"/>
      <c r="AJ132" s="6"/>
      <c r="AK132" s="6"/>
      <c r="AL132" s="366"/>
      <c r="AN132" s="365"/>
      <c r="AO132" s="6"/>
      <c r="AP132" s="6"/>
      <c r="AQ132" s="366"/>
      <c r="AS132" s="365"/>
      <c r="AT132" s="6"/>
      <c r="AU132" s="6"/>
      <c r="AV132" s="366"/>
      <c r="AX132" s="365"/>
      <c r="AY132" s="6"/>
      <c r="AZ132" s="6"/>
      <c r="BA132" s="366"/>
      <c r="BC132" s="365"/>
      <c r="BD132" s="6"/>
      <c r="BE132" s="6"/>
      <c r="BF132" s="366"/>
      <c r="BH132" s="365"/>
      <c r="BI132" s="6"/>
      <c r="BJ132" s="6"/>
      <c r="BK132" s="366"/>
      <c r="BM132" s="365"/>
      <c r="BN132" s="6"/>
      <c r="BO132" s="6"/>
      <c r="BP132" s="366"/>
    </row>
    <row r="133" spans="5:68" s="2" customFormat="1">
      <c r="E133" s="365"/>
      <c r="F133" s="6"/>
      <c r="G133" s="6"/>
      <c r="H133" s="366"/>
      <c r="J133" s="365"/>
      <c r="K133" s="6"/>
      <c r="L133" s="6"/>
      <c r="M133" s="366"/>
      <c r="O133" s="365"/>
      <c r="P133" s="6"/>
      <c r="Q133" s="6"/>
      <c r="R133" s="366"/>
      <c r="T133" s="365"/>
      <c r="U133" s="6"/>
      <c r="V133" s="6"/>
      <c r="W133" s="366"/>
      <c r="Y133" s="365"/>
      <c r="Z133" s="6"/>
      <c r="AA133" s="6"/>
      <c r="AB133" s="366"/>
      <c r="AD133" s="365"/>
      <c r="AE133" s="6"/>
      <c r="AF133" s="6"/>
      <c r="AG133" s="366"/>
      <c r="AI133" s="365"/>
      <c r="AJ133" s="6"/>
      <c r="AK133" s="6"/>
      <c r="AL133" s="366"/>
      <c r="AN133" s="365"/>
      <c r="AO133" s="6"/>
      <c r="AP133" s="6"/>
      <c r="AQ133" s="366"/>
      <c r="AS133" s="365"/>
      <c r="AT133" s="6"/>
      <c r="AU133" s="6"/>
      <c r="AV133" s="366"/>
      <c r="AX133" s="365"/>
      <c r="AY133" s="6"/>
      <c r="AZ133" s="6"/>
      <c r="BA133" s="366"/>
      <c r="BC133" s="365"/>
      <c r="BD133" s="6"/>
      <c r="BE133" s="6"/>
      <c r="BF133" s="366"/>
      <c r="BH133" s="365"/>
      <c r="BI133" s="6"/>
      <c r="BJ133" s="6"/>
      <c r="BK133" s="366"/>
      <c r="BM133" s="365"/>
      <c r="BN133" s="6"/>
      <c r="BO133" s="6"/>
      <c r="BP133" s="366"/>
    </row>
    <row r="134" spans="5:68" s="2" customFormat="1">
      <c r="E134" s="365"/>
      <c r="F134" s="6"/>
      <c r="G134" s="6"/>
      <c r="H134" s="366"/>
      <c r="J134" s="365"/>
      <c r="K134" s="6"/>
      <c r="L134" s="6"/>
      <c r="M134" s="366"/>
      <c r="O134" s="365"/>
      <c r="P134" s="6"/>
      <c r="Q134" s="6"/>
      <c r="R134" s="366"/>
      <c r="T134" s="365"/>
      <c r="U134" s="6"/>
      <c r="V134" s="6"/>
      <c r="W134" s="366"/>
      <c r="Y134" s="365"/>
      <c r="Z134" s="6"/>
      <c r="AA134" s="6"/>
      <c r="AB134" s="366"/>
      <c r="AD134" s="365"/>
      <c r="AE134" s="6"/>
      <c r="AF134" s="6"/>
      <c r="AG134" s="366"/>
      <c r="AI134" s="365"/>
      <c r="AJ134" s="6"/>
      <c r="AK134" s="6"/>
      <c r="AL134" s="366"/>
      <c r="AN134" s="365"/>
      <c r="AO134" s="6"/>
      <c r="AP134" s="6"/>
      <c r="AQ134" s="366"/>
      <c r="AS134" s="365"/>
      <c r="AT134" s="6"/>
      <c r="AU134" s="6"/>
      <c r="AV134" s="366"/>
      <c r="AX134" s="365"/>
      <c r="AY134" s="6"/>
      <c r="AZ134" s="6"/>
      <c r="BA134" s="366"/>
      <c r="BC134" s="365"/>
      <c r="BD134" s="6"/>
      <c r="BE134" s="6"/>
      <c r="BF134" s="366"/>
      <c r="BH134" s="365"/>
      <c r="BI134" s="6"/>
      <c r="BJ134" s="6"/>
      <c r="BK134" s="366"/>
      <c r="BM134" s="365"/>
      <c r="BN134" s="6"/>
      <c r="BO134" s="6"/>
      <c r="BP134" s="366"/>
    </row>
    <row r="135" spans="5:68" s="2" customFormat="1">
      <c r="E135" s="365"/>
      <c r="F135" s="6"/>
      <c r="G135" s="6"/>
      <c r="H135" s="366"/>
      <c r="J135" s="365"/>
      <c r="K135" s="6"/>
      <c r="L135" s="6"/>
      <c r="M135" s="366"/>
      <c r="O135" s="365"/>
      <c r="P135" s="6"/>
      <c r="Q135" s="6"/>
      <c r="R135" s="366"/>
      <c r="T135" s="365"/>
      <c r="U135" s="6"/>
      <c r="V135" s="6"/>
      <c r="W135" s="366"/>
      <c r="Y135" s="365"/>
      <c r="Z135" s="6"/>
      <c r="AA135" s="6"/>
      <c r="AB135" s="366"/>
      <c r="AD135" s="365"/>
      <c r="AE135" s="6"/>
      <c r="AF135" s="6"/>
      <c r="AG135" s="366"/>
      <c r="AI135" s="365"/>
      <c r="AJ135" s="6"/>
      <c r="AK135" s="6"/>
      <c r="AL135" s="366"/>
      <c r="AN135" s="365"/>
      <c r="AO135" s="6"/>
      <c r="AP135" s="6"/>
      <c r="AQ135" s="366"/>
      <c r="AS135" s="365"/>
      <c r="AT135" s="6"/>
      <c r="AU135" s="6"/>
      <c r="AV135" s="366"/>
      <c r="AX135" s="365"/>
      <c r="AY135" s="6"/>
      <c r="AZ135" s="6"/>
      <c r="BA135" s="366"/>
      <c r="BC135" s="365"/>
      <c r="BD135" s="6"/>
      <c r="BE135" s="6"/>
      <c r="BF135" s="366"/>
      <c r="BH135" s="365"/>
      <c r="BI135" s="6"/>
      <c r="BJ135" s="6"/>
      <c r="BK135" s="366"/>
      <c r="BM135" s="365"/>
      <c r="BN135" s="6"/>
      <c r="BO135" s="6"/>
      <c r="BP135" s="366"/>
    </row>
    <row r="136" spans="5:68" s="2" customFormat="1">
      <c r="E136" s="365"/>
      <c r="F136" s="6"/>
      <c r="G136" s="6"/>
      <c r="H136" s="366"/>
      <c r="J136" s="365"/>
      <c r="K136" s="6"/>
      <c r="L136" s="6"/>
      <c r="M136" s="366"/>
      <c r="O136" s="365"/>
      <c r="P136" s="6"/>
      <c r="Q136" s="6"/>
      <c r="R136" s="366"/>
      <c r="T136" s="365"/>
      <c r="U136" s="6"/>
      <c r="V136" s="6"/>
      <c r="W136" s="366"/>
      <c r="Y136" s="365"/>
      <c r="Z136" s="6"/>
      <c r="AA136" s="6"/>
      <c r="AB136" s="366"/>
      <c r="AD136" s="365"/>
      <c r="AE136" s="6"/>
      <c r="AF136" s="6"/>
      <c r="AG136" s="366"/>
      <c r="AI136" s="365"/>
      <c r="AJ136" s="6"/>
      <c r="AK136" s="6"/>
      <c r="AL136" s="366"/>
      <c r="AN136" s="365"/>
      <c r="AO136" s="6"/>
      <c r="AP136" s="6"/>
      <c r="AQ136" s="366"/>
      <c r="AS136" s="365"/>
      <c r="AT136" s="6"/>
      <c r="AU136" s="6"/>
      <c r="AV136" s="366"/>
      <c r="AX136" s="365"/>
      <c r="AY136" s="6"/>
      <c r="AZ136" s="6"/>
      <c r="BA136" s="366"/>
      <c r="BC136" s="365"/>
      <c r="BD136" s="6"/>
      <c r="BE136" s="6"/>
      <c r="BF136" s="366"/>
      <c r="BH136" s="365"/>
      <c r="BI136" s="6"/>
      <c r="BJ136" s="6"/>
      <c r="BK136" s="366"/>
      <c r="BM136" s="365"/>
      <c r="BN136" s="6"/>
      <c r="BO136" s="6"/>
      <c r="BP136" s="366"/>
    </row>
    <row r="137" spans="5:68" s="2" customFormat="1">
      <c r="E137" s="365"/>
      <c r="F137" s="6"/>
      <c r="G137" s="6"/>
      <c r="H137" s="366"/>
      <c r="J137" s="365"/>
      <c r="K137" s="6"/>
      <c r="L137" s="6"/>
      <c r="M137" s="366"/>
      <c r="O137" s="365"/>
      <c r="P137" s="6"/>
      <c r="Q137" s="6"/>
      <c r="R137" s="366"/>
      <c r="T137" s="365"/>
      <c r="U137" s="6"/>
      <c r="V137" s="6"/>
      <c r="W137" s="366"/>
      <c r="Y137" s="365"/>
      <c r="Z137" s="6"/>
      <c r="AA137" s="6"/>
      <c r="AB137" s="366"/>
      <c r="AD137" s="365"/>
      <c r="AE137" s="6"/>
      <c r="AF137" s="6"/>
      <c r="AG137" s="366"/>
      <c r="AI137" s="365"/>
      <c r="AJ137" s="6"/>
      <c r="AK137" s="6"/>
      <c r="AL137" s="366"/>
      <c r="AN137" s="365"/>
      <c r="AO137" s="6"/>
      <c r="AP137" s="6"/>
      <c r="AQ137" s="366"/>
      <c r="AS137" s="365"/>
      <c r="AT137" s="6"/>
      <c r="AU137" s="6"/>
      <c r="AV137" s="366"/>
      <c r="AX137" s="365"/>
      <c r="AY137" s="6"/>
      <c r="AZ137" s="6"/>
      <c r="BA137" s="366"/>
      <c r="BC137" s="365"/>
      <c r="BD137" s="6"/>
      <c r="BE137" s="6"/>
      <c r="BF137" s="366"/>
      <c r="BH137" s="365"/>
      <c r="BI137" s="6"/>
      <c r="BJ137" s="6"/>
      <c r="BK137" s="366"/>
      <c r="BM137" s="365"/>
      <c r="BN137" s="6"/>
      <c r="BO137" s="6"/>
      <c r="BP137" s="366"/>
    </row>
    <row r="138" spans="5:68" s="2" customFormat="1">
      <c r="E138" s="365"/>
      <c r="F138" s="6"/>
      <c r="G138" s="6"/>
      <c r="H138" s="366"/>
      <c r="J138" s="365"/>
      <c r="K138" s="6"/>
      <c r="L138" s="6"/>
      <c r="M138" s="366"/>
      <c r="O138" s="365"/>
      <c r="P138" s="6"/>
      <c r="Q138" s="6"/>
      <c r="R138" s="366"/>
      <c r="T138" s="365"/>
      <c r="U138" s="6"/>
      <c r="V138" s="6"/>
      <c r="W138" s="366"/>
      <c r="Y138" s="365"/>
      <c r="Z138" s="6"/>
      <c r="AA138" s="6"/>
      <c r="AB138" s="366"/>
      <c r="AD138" s="365"/>
      <c r="AE138" s="6"/>
      <c r="AF138" s="6"/>
      <c r="AG138" s="366"/>
      <c r="AI138" s="365"/>
      <c r="AJ138" s="6"/>
      <c r="AK138" s="6"/>
      <c r="AL138" s="366"/>
      <c r="AN138" s="365"/>
      <c r="AO138" s="6"/>
      <c r="AP138" s="6"/>
      <c r="AQ138" s="366"/>
      <c r="AS138" s="365"/>
      <c r="AT138" s="6"/>
      <c r="AU138" s="6"/>
      <c r="AV138" s="366"/>
      <c r="AX138" s="365"/>
      <c r="AY138" s="6"/>
      <c r="AZ138" s="6"/>
      <c r="BA138" s="366"/>
      <c r="BC138" s="365"/>
      <c r="BD138" s="6"/>
      <c r="BE138" s="6"/>
      <c r="BF138" s="366"/>
      <c r="BH138" s="365"/>
      <c r="BI138" s="6"/>
      <c r="BJ138" s="6"/>
      <c r="BK138" s="366"/>
      <c r="BM138" s="365"/>
      <c r="BN138" s="6"/>
      <c r="BO138" s="6"/>
      <c r="BP138" s="366"/>
    </row>
    <row r="139" spans="5:68" s="2" customFormat="1">
      <c r="E139" s="365"/>
      <c r="F139" s="6"/>
      <c r="G139" s="6"/>
      <c r="H139" s="366"/>
      <c r="J139" s="365"/>
      <c r="K139" s="6"/>
      <c r="L139" s="6"/>
      <c r="M139" s="366"/>
      <c r="O139" s="365"/>
      <c r="P139" s="6"/>
      <c r="Q139" s="6"/>
      <c r="R139" s="366"/>
      <c r="T139" s="365"/>
      <c r="U139" s="6"/>
      <c r="V139" s="6"/>
      <c r="W139" s="366"/>
      <c r="Y139" s="365"/>
      <c r="Z139" s="6"/>
      <c r="AA139" s="6"/>
      <c r="AB139" s="366"/>
      <c r="AD139" s="365"/>
      <c r="AE139" s="6"/>
      <c r="AF139" s="6"/>
      <c r="AG139" s="366"/>
      <c r="AI139" s="365"/>
      <c r="AJ139" s="6"/>
      <c r="AK139" s="6"/>
      <c r="AL139" s="366"/>
      <c r="AN139" s="365"/>
      <c r="AO139" s="6"/>
      <c r="AP139" s="6"/>
      <c r="AQ139" s="366"/>
      <c r="AS139" s="365"/>
      <c r="AT139" s="6"/>
      <c r="AU139" s="6"/>
      <c r="AV139" s="366"/>
      <c r="AX139" s="365"/>
      <c r="AY139" s="6"/>
      <c r="AZ139" s="6"/>
      <c r="BA139" s="366"/>
      <c r="BC139" s="365"/>
      <c r="BD139" s="6"/>
      <c r="BE139" s="6"/>
      <c r="BF139" s="366"/>
      <c r="BH139" s="365"/>
      <c r="BI139" s="6"/>
      <c r="BJ139" s="6"/>
      <c r="BK139" s="366"/>
      <c r="BM139" s="365"/>
      <c r="BN139" s="6"/>
      <c r="BO139" s="6"/>
      <c r="BP139" s="366"/>
    </row>
    <row r="140" spans="5:68" s="2" customFormat="1">
      <c r="E140" s="365"/>
      <c r="F140" s="6"/>
      <c r="G140" s="6"/>
      <c r="H140" s="366"/>
      <c r="J140" s="365"/>
      <c r="K140" s="6"/>
      <c r="L140" s="6"/>
      <c r="M140" s="366"/>
      <c r="O140" s="365"/>
      <c r="P140" s="6"/>
      <c r="Q140" s="6"/>
      <c r="R140" s="366"/>
      <c r="T140" s="365"/>
      <c r="U140" s="6"/>
      <c r="V140" s="6"/>
      <c r="W140" s="366"/>
      <c r="Y140" s="365"/>
      <c r="Z140" s="6"/>
      <c r="AA140" s="6"/>
      <c r="AB140" s="366"/>
      <c r="AD140" s="365"/>
      <c r="AE140" s="6"/>
      <c r="AF140" s="6"/>
      <c r="AG140" s="366"/>
      <c r="AI140" s="365"/>
      <c r="AJ140" s="6"/>
      <c r="AK140" s="6"/>
      <c r="AL140" s="366"/>
      <c r="AN140" s="365"/>
      <c r="AO140" s="6"/>
      <c r="AP140" s="6"/>
      <c r="AQ140" s="366"/>
      <c r="AS140" s="365"/>
      <c r="AT140" s="6"/>
      <c r="AU140" s="6"/>
      <c r="AV140" s="366"/>
      <c r="AX140" s="365"/>
      <c r="AY140" s="6"/>
      <c r="AZ140" s="6"/>
      <c r="BA140" s="366"/>
      <c r="BC140" s="365"/>
      <c r="BD140" s="6"/>
      <c r="BE140" s="6"/>
      <c r="BF140" s="366"/>
      <c r="BH140" s="365"/>
      <c r="BI140" s="6"/>
      <c r="BJ140" s="6"/>
      <c r="BK140" s="366"/>
      <c r="BM140" s="365"/>
      <c r="BN140" s="6"/>
      <c r="BO140" s="6"/>
      <c r="BP140" s="366"/>
    </row>
    <row r="141" spans="5:68" s="2" customFormat="1">
      <c r="E141" s="365"/>
      <c r="F141" s="6"/>
      <c r="G141" s="6"/>
      <c r="H141" s="366"/>
      <c r="J141" s="365"/>
      <c r="K141" s="6"/>
      <c r="L141" s="6"/>
      <c r="M141" s="366"/>
      <c r="O141" s="365"/>
      <c r="P141" s="6"/>
      <c r="Q141" s="6"/>
      <c r="R141" s="366"/>
      <c r="T141" s="365"/>
      <c r="U141" s="6"/>
      <c r="V141" s="6"/>
      <c r="W141" s="366"/>
      <c r="Y141" s="365"/>
      <c r="Z141" s="6"/>
      <c r="AA141" s="6"/>
      <c r="AB141" s="366"/>
      <c r="AD141" s="365"/>
      <c r="AE141" s="6"/>
      <c r="AF141" s="6"/>
      <c r="AG141" s="366"/>
      <c r="AI141" s="365"/>
      <c r="AJ141" s="6"/>
      <c r="AK141" s="6"/>
      <c r="AL141" s="366"/>
      <c r="AN141" s="365"/>
      <c r="AO141" s="6"/>
      <c r="AP141" s="6"/>
      <c r="AQ141" s="366"/>
      <c r="AS141" s="365"/>
      <c r="AT141" s="6"/>
      <c r="AU141" s="6"/>
      <c r="AV141" s="366"/>
      <c r="AX141" s="365"/>
      <c r="AY141" s="6"/>
      <c r="AZ141" s="6"/>
      <c r="BA141" s="366"/>
      <c r="BC141" s="365"/>
      <c r="BD141" s="6"/>
      <c r="BE141" s="6"/>
      <c r="BF141" s="366"/>
      <c r="BH141" s="365"/>
      <c r="BI141" s="6"/>
      <c r="BJ141" s="6"/>
      <c r="BK141" s="366"/>
      <c r="BM141" s="365"/>
      <c r="BN141" s="6"/>
      <c r="BO141" s="6"/>
      <c r="BP141" s="366"/>
    </row>
    <row r="142" spans="5:68" s="2" customFormat="1">
      <c r="E142" s="365"/>
      <c r="F142" s="6"/>
      <c r="G142" s="6"/>
      <c r="H142" s="366"/>
      <c r="J142" s="365"/>
      <c r="K142" s="6"/>
      <c r="L142" s="6"/>
      <c r="M142" s="366"/>
      <c r="O142" s="365"/>
      <c r="P142" s="6"/>
      <c r="Q142" s="6"/>
      <c r="R142" s="366"/>
      <c r="T142" s="365"/>
      <c r="U142" s="6"/>
      <c r="V142" s="6"/>
      <c r="W142" s="366"/>
      <c r="Y142" s="365"/>
      <c r="Z142" s="6"/>
      <c r="AA142" s="6"/>
      <c r="AB142" s="366"/>
      <c r="AD142" s="365"/>
      <c r="AE142" s="6"/>
      <c r="AF142" s="6"/>
      <c r="AG142" s="366"/>
      <c r="AI142" s="365"/>
      <c r="AJ142" s="6"/>
      <c r="AK142" s="6"/>
      <c r="AL142" s="366"/>
      <c r="AN142" s="365"/>
      <c r="AO142" s="6"/>
      <c r="AP142" s="6"/>
      <c r="AQ142" s="366"/>
      <c r="AS142" s="365"/>
      <c r="AT142" s="6"/>
      <c r="AU142" s="6"/>
      <c r="AV142" s="366"/>
      <c r="AX142" s="365"/>
      <c r="AY142" s="6"/>
      <c r="AZ142" s="6"/>
      <c r="BA142" s="366"/>
      <c r="BC142" s="365"/>
      <c r="BD142" s="6"/>
      <c r="BE142" s="6"/>
      <c r="BF142" s="366"/>
      <c r="BH142" s="365"/>
      <c r="BI142" s="6"/>
      <c r="BJ142" s="6"/>
      <c r="BK142" s="366"/>
      <c r="BM142" s="365"/>
      <c r="BN142" s="6"/>
      <c r="BO142" s="6"/>
      <c r="BP142" s="366"/>
    </row>
    <row r="143" spans="5:68" s="2" customFormat="1">
      <c r="E143" s="365"/>
      <c r="F143" s="6"/>
      <c r="G143" s="6"/>
      <c r="H143" s="366"/>
      <c r="J143" s="365"/>
      <c r="K143" s="6"/>
      <c r="L143" s="6"/>
      <c r="M143" s="366"/>
      <c r="O143" s="365"/>
      <c r="P143" s="6"/>
      <c r="Q143" s="6"/>
      <c r="R143" s="366"/>
      <c r="T143" s="365"/>
      <c r="U143" s="6"/>
      <c r="V143" s="6"/>
      <c r="W143" s="366"/>
      <c r="Y143" s="365"/>
      <c r="Z143" s="6"/>
      <c r="AA143" s="6"/>
      <c r="AB143" s="366"/>
      <c r="AD143" s="365"/>
      <c r="AE143" s="6"/>
      <c r="AF143" s="6"/>
      <c r="AG143" s="366"/>
      <c r="AI143" s="365"/>
      <c r="AJ143" s="6"/>
      <c r="AK143" s="6"/>
      <c r="AL143" s="366"/>
      <c r="AN143" s="365"/>
      <c r="AO143" s="6"/>
      <c r="AP143" s="6"/>
      <c r="AQ143" s="366"/>
      <c r="AS143" s="365"/>
      <c r="AT143" s="6"/>
      <c r="AU143" s="6"/>
      <c r="AV143" s="366"/>
      <c r="AX143" s="365"/>
      <c r="AY143" s="6"/>
      <c r="AZ143" s="6"/>
      <c r="BA143" s="366"/>
      <c r="BC143" s="365"/>
      <c r="BD143" s="6"/>
      <c r="BE143" s="6"/>
      <c r="BF143" s="366"/>
      <c r="BH143" s="365"/>
      <c r="BI143" s="6"/>
      <c r="BJ143" s="6"/>
      <c r="BK143" s="366"/>
      <c r="BM143" s="365"/>
      <c r="BN143" s="6"/>
      <c r="BO143" s="6"/>
      <c r="BP143" s="366"/>
    </row>
    <row r="144" spans="5:68" s="2" customFormat="1">
      <c r="E144" s="365"/>
      <c r="F144" s="6"/>
      <c r="G144" s="6"/>
      <c r="H144" s="366"/>
      <c r="J144" s="365"/>
      <c r="K144" s="6"/>
      <c r="L144" s="6"/>
      <c r="M144" s="366"/>
      <c r="O144" s="365"/>
      <c r="P144" s="6"/>
      <c r="Q144" s="6"/>
      <c r="R144" s="366"/>
      <c r="T144" s="365"/>
      <c r="U144" s="6"/>
      <c r="V144" s="6"/>
      <c r="W144" s="366"/>
      <c r="Y144" s="365"/>
      <c r="Z144" s="6"/>
      <c r="AA144" s="6"/>
      <c r="AB144" s="366"/>
      <c r="AD144" s="365"/>
      <c r="AE144" s="6"/>
      <c r="AF144" s="6"/>
      <c r="AG144" s="366"/>
      <c r="AI144" s="365"/>
      <c r="AJ144" s="6"/>
      <c r="AK144" s="6"/>
      <c r="AL144" s="366"/>
      <c r="AN144" s="365"/>
      <c r="AO144" s="6"/>
      <c r="AP144" s="6"/>
      <c r="AQ144" s="366"/>
      <c r="AS144" s="365"/>
      <c r="AT144" s="6"/>
      <c r="AU144" s="6"/>
      <c r="AV144" s="366"/>
      <c r="AX144" s="365"/>
      <c r="AY144" s="6"/>
      <c r="AZ144" s="6"/>
      <c r="BA144" s="366"/>
      <c r="BC144" s="365"/>
      <c r="BD144" s="6"/>
      <c r="BE144" s="6"/>
      <c r="BF144" s="366"/>
      <c r="BH144" s="365"/>
      <c r="BI144" s="6"/>
      <c r="BJ144" s="6"/>
      <c r="BK144" s="366"/>
      <c r="BM144" s="365"/>
      <c r="BN144" s="6"/>
      <c r="BO144" s="6"/>
      <c r="BP144" s="366"/>
    </row>
    <row r="145" spans="5:68" s="2" customFormat="1">
      <c r="E145" s="365"/>
      <c r="F145" s="6"/>
      <c r="G145" s="6"/>
      <c r="H145" s="366"/>
      <c r="J145" s="365"/>
      <c r="K145" s="6"/>
      <c r="L145" s="6"/>
      <c r="M145" s="366"/>
      <c r="O145" s="365"/>
      <c r="P145" s="6"/>
      <c r="Q145" s="6"/>
      <c r="R145" s="366"/>
      <c r="T145" s="365"/>
      <c r="U145" s="6"/>
      <c r="V145" s="6"/>
      <c r="W145" s="366"/>
      <c r="Y145" s="365"/>
      <c r="Z145" s="6"/>
      <c r="AA145" s="6"/>
      <c r="AB145" s="366"/>
      <c r="AD145" s="365"/>
      <c r="AE145" s="6"/>
      <c r="AF145" s="6"/>
      <c r="AG145" s="366"/>
      <c r="AI145" s="365"/>
      <c r="AJ145" s="6"/>
      <c r="AK145" s="6"/>
      <c r="AL145" s="366"/>
      <c r="AN145" s="365"/>
      <c r="AO145" s="6"/>
      <c r="AP145" s="6"/>
      <c r="AQ145" s="366"/>
      <c r="AS145" s="365"/>
      <c r="AT145" s="6"/>
      <c r="AU145" s="6"/>
      <c r="AV145" s="366"/>
      <c r="AX145" s="365"/>
      <c r="AY145" s="6"/>
      <c r="AZ145" s="6"/>
      <c r="BA145" s="366"/>
      <c r="BC145" s="365"/>
      <c r="BD145" s="6"/>
      <c r="BE145" s="6"/>
      <c r="BF145" s="366"/>
      <c r="BH145" s="365"/>
      <c r="BI145" s="6"/>
      <c r="BJ145" s="6"/>
      <c r="BK145" s="366"/>
      <c r="BM145" s="365"/>
      <c r="BN145" s="6"/>
      <c r="BO145" s="6"/>
      <c r="BP145" s="366"/>
    </row>
    <row r="146" spans="5:68" s="2" customFormat="1">
      <c r="E146" s="365"/>
      <c r="F146" s="6"/>
      <c r="G146" s="6"/>
      <c r="H146" s="366"/>
      <c r="J146" s="365"/>
      <c r="K146" s="6"/>
      <c r="L146" s="6"/>
      <c r="M146" s="366"/>
      <c r="O146" s="365"/>
      <c r="P146" s="6"/>
      <c r="Q146" s="6"/>
      <c r="R146" s="366"/>
      <c r="T146" s="365"/>
      <c r="U146" s="6"/>
      <c r="V146" s="6"/>
      <c r="W146" s="366"/>
      <c r="Y146" s="365"/>
      <c r="Z146" s="6"/>
      <c r="AA146" s="6"/>
      <c r="AB146" s="366"/>
      <c r="AD146" s="365"/>
      <c r="AE146" s="6"/>
      <c r="AF146" s="6"/>
      <c r="AG146" s="366"/>
      <c r="AI146" s="365"/>
      <c r="AJ146" s="6"/>
      <c r="AK146" s="6"/>
      <c r="AL146" s="366"/>
      <c r="AN146" s="365"/>
      <c r="AO146" s="6"/>
      <c r="AP146" s="6"/>
      <c r="AQ146" s="366"/>
      <c r="AS146" s="365"/>
      <c r="AT146" s="6"/>
      <c r="AU146" s="6"/>
      <c r="AV146" s="366"/>
      <c r="AX146" s="365"/>
      <c r="AY146" s="6"/>
      <c r="AZ146" s="6"/>
      <c r="BA146" s="366"/>
      <c r="BC146" s="365"/>
      <c r="BD146" s="6"/>
      <c r="BE146" s="6"/>
      <c r="BF146" s="366"/>
      <c r="BH146" s="365"/>
      <c r="BI146" s="6"/>
      <c r="BJ146" s="6"/>
      <c r="BK146" s="366"/>
      <c r="BM146" s="365"/>
      <c r="BN146" s="6"/>
      <c r="BO146" s="6"/>
      <c r="BP146" s="366"/>
    </row>
    <row r="147" spans="5:68" s="2" customFormat="1">
      <c r="E147" s="365"/>
      <c r="F147" s="6"/>
      <c r="G147" s="6"/>
      <c r="H147" s="366"/>
      <c r="J147" s="365"/>
      <c r="K147" s="6"/>
      <c r="L147" s="6"/>
      <c r="M147" s="366"/>
      <c r="O147" s="365"/>
      <c r="P147" s="6"/>
      <c r="Q147" s="6"/>
      <c r="R147" s="366"/>
      <c r="T147" s="365"/>
      <c r="U147" s="6"/>
      <c r="V147" s="6"/>
      <c r="W147" s="366"/>
      <c r="Y147" s="365"/>
      <c r="Z147" s="6"/>
      <c r="AA147" s="6"/>
      <c r="AB147" s="366"/>
      <c r="AD147" s="365"/>
      <c r="AE147" s="6"/>
      <c r="AF147" s="6"/>
      <c r="AG147" s="366"/>
      <c r="AI147" s="365"/>
      <c r="AJ147" s="6"/>
      <c r="AK147" s="6"/>
      <c r="AL147" s="366"/>
      <c r="AN147" s="365"/>
      <c r="AO147" s="6"/>
      <c r="AP147" s="6"/>
      <c r="AQ147" s="366"/>
      <c r="AS147" s="365"/>
      <c r="AT147" s="6"/>
      <c r="AU147" s="6"/>
      <c r="AV147" s="366"/>
      <c r="AX147" s="365"/>
      <c r="AY147" s="6"/>
      <c r="AZ147" s="6"/>
      <c r="BA147" s="366"/>
      <c r="BC147" s="365"/>
      <c r="BD147" s="6"/>
      <c r="BE147" s="6"/>
      <c r="BF147" s="366"/>
      <c r="BH147" s="365"/>
      <c r="BI147" s="6"/>
      <c r="BJ147" s="6"/>
      <c r="BK147" s="366"/>
      <c r="BM147" s="365"/>
      <c r="BN147" s="6"/>
      <c r="BO147" s="6"/>
      <c r="BP147" s="366"/>
    </row>
    <row r="148" spans="5:68" s="2" customFormat="1">
      <c r="E148" s="365"/>
      <c r="F148" s="6"/>
      <c r="G148" s="6"/>
      <c r="H148" s="366"/>
      <c r="J148" s="365"/>
      <c r="K148" s="6"/>
      <c r="L148" s="6"/>
      <c r="M148" s="366"/>
      <c r="O148" s="365"/>
      <c r="P148" s="6"/>
      <c r="Q148" s="6"/>
      <c r="R148" s="366"/>
      <c r="T148" s="365"/>
      <c r="U148" s="6"/>
      <c r="V148" s="6"/>
      <c r="W148" s="366"/>
      <c r="Y148" s="365"/>
      <c r="Z148" s="6"/>
      <c r="AA148" s="6"/>
      <c r="AB148" s="366"/>
      <c r="AD148" s="365"/>
      <c r="AE148" s="6"/>
      <c r="AF148" s="6"/>
      <c r="AG148" s="366"/>
      <c r="AI148" s="365"/>
      <c r="AJ148" s="6"/>
      <c r="AK148" s="6"/>
      <c r="AL148" s="366"/>
      <c r="AN148" s="365"/>
      <c r="AO148" s="6"/>
      <c r="AP148" s="6"/>
      <c r="AQ148" s="366"/>
      <c r="AS148" s="365"/>
      <c r="AT148" s="6"/>
      <c r="AU148" s="6"/>
      <c r="AV148" s="366"/>
      <c r="AX148" s="365"/>
      <c r="AY148" s="6"/>
      <c r="AZ148" s="6"/>
      <c r="BA148" s="366"/>
      <c r="BC148" s="365"/>
      <c r="BD148" s="6"/>
      <c r="BE148" s="6"/>
      <c r="BF148" s="366"/>
      <c r="BH148" s="365"/>
      <c r="BI148" s="6"/>
      <c r="BJ148" s="6"/>
      <c r="BK148" s="366"/>
      <c r="BM148" s="365"/>
      <c r="BN148" s="6"/>
      <c r="BO148" s="6"/>
      <c r="BP148" s="366"/>
    </row>
    <row r="149" spans="5:68" s="2" customFormat="1">
      <c r="E149" s="365"/>
      <c r="F149" s="6"/>
      <c r="G149" s="6"/>
      <c r="H149" s="366"/>
      <c r="J149" s="365"/>
      <c r="K149" s="6"/>
      <c r="L149" s="6"/>
      <c r="M149" s="366"/>
      <c r="O149" s="365"/>
      <c r="P149" s="6"/>
      <c r="Q149" s="6"/>
      <c r="R149" s="366"/>
      <c r="T149" s="365"/>
      <c r="U149" s="6"/>
      <c r="V149" s="6"/>
      <c r="W149" s="366"/>
      <c r="Y149" s="365"/>
      <c r="Z149" s="6"/>
      <c r="AA149" s="6"/>
      <c r="AB149" s="366"/>
      <c r="AD149" s="365"/>
      <c r="AE149" s="6"/>
      <c r="AF149" s="6"/>
      <c r="AG149" s="366"/>
      <c r="AI149" s="365"/>
      <c r="AJ149" s="6"/>
      <c r="AK149" s="6"/>
      <c r="AL149" s="366"/>
      <c r="AN149" s="365"/>
      <c r="AO149" s="6"/>
      <c r="AP149" s="6"/>
      <c r="AQ149" s="366"/>
      <c r="AS149" s="365"/>
      <c r="AT149" s="6"/>
      <c r="AU149" s="6"/>
      <c r="AV149" s="366"/>
      <c r="AX149" s="365"/>
      <c r="AY149" s="6"/>
      <c r="AZ149" s="6"/>
      <c r="BA149" s="366"/>
      <c r="BC149" s="365"/>
      <c r="BD149" s="6"/>
      <c r="BE149" s="6"/>
      <c r="BF149" s="366"/>
      <c r="BH149" s="365"/>
      <c r="BI149" s="6"/>
      <c r="BJ149" s="6"/>
      <c r="BK149" s="366"/>
      <c r="BM149" s="365"/>
      <c r="BN149" s="6"/>
      <c r="BO149" s="6"/>
      <c r="BP149" s="366"/>
    </row>
    <row r="150" spans="5:68" s="2" customFormat="1">
      <c r="E150" s="365"/>
      <c r="F150" s="6"/>
      <c r="G150" s="6"/>
      <c r="H150" s="366"/>
      <c r="J150" s="365"/>
      <c r="K150" s="6"/>
      <c r="L150" s="6"/>
      <c r="M150" s="366"/>
      <c r="O150" s="365"/>
      <c r="P150" s="6"/>
      <c r="Q150" s="6"/>
      <c r="R150" s="366"/>
      <c r="T150" s="365"/>
      <c r="U150" s="6"/>
      <c r="V150" s="6"/>
      <c r="W150" s="366"/>
      <c r="Y150" s="365"/>
      <c r="Z150" s="6"/>
      <c r="AA150" s="6"/>
      <c r="AB150" s="366"/>
      <c r="AD150" s="365"/>
      <c r="AE150" s="6"/>
      <c r="AF150" s="6"/>
      <c r="AG150" s="366"/>
      <c r="AI150" s="365"/>
      <c r="AJ150" s="6"/>
      <c r="AK150" s="6"/>
      <c r="AL150" s="366"/>
      <c r="AN150" s="365"/>
      <c r="AO150" s="6"/>
      <c r="AP150" s="6"/>
      <c r="AQ150" s="366"/>
      <c r="AS150" s="365"/>
      <c r="AT150" s="6"/>
      <c r="AU150" s="6"/>
      <c r="AV150" s="366"/>
      <c r="AX150" s="365"/>
      <c r="AY150" s="6"/>
      <c r="AZ150" s="6"/>
      <c r="BA150" s="366"/>
      <c r="BC150" s="365"/>
      <c r="BD150" s="6"/>
      <c r="BE150" s="6"/>
      <c r="BF150" s="366"/>
      <c r="BH150" s="365"/>
      <c r="BI150" s="6"/>
      <c r="BJ150" s="6"/>
      <c r="BK150" s="366"/>
      <c r="BM150" s="365"/>
      <c r="BN150" s="6"/>
      <c r="BO150" s="6"/>
      <c r="BP150" s="366"/>
    </row>
    <row r="151" spans="5:68" s="2" customFormat="1">
      <c r="E151" s="365"/>
      <c r="F151" s="6"/>
      <c r="G151" s="6"/>
      <c r="H151" s="366"/>
      <c r="J151" s="365"/>
      <c r="K151" s="6"/>
      <c r="L151" s="6"/>
      <c r="M151" s="366"/>
      <c r="O151" s="365"/>
      <c r="P151" s="6"/>
      <c r="Q151" s="6"/>
      <c r="R151" s="366"/>
      <c r="T151" s="365"/>
      <c r="U151" s="6"/>
      <c r="V151" s="6"/>
      <c r="W151" s="366"/>
      <c r="Y151" s="365"/>
      <c r="Z151" s="6"/>
      <c r="AA151" s="6"/>
      <c r="AB151" s="366"/>
      <c r="AD151" s="365"/>
      <c r="AE151" s="6"/>
      <c r="AF151" s="6"/>
      <c r="AG151" s="366"/>
      <c r="AI151" s="365"/>
      <c r="AJ151" s="6"/>
      <c r="AK151" s="6"/>
      <c r="AL151" s="366"/>
      <c r="AN151" s="365"/>
      <c r="AO151" s="6"/>
      <c r="AP151" s="6"/>
      <c r="AQ151" s="366"/>
      <c r="AS151" s="365"/>
      <c r="AT151" s="6"/>
      <c r="AU151" s="6"/>
      <c r="AV151" s="366"/>
      <c r="AX151" s="365"/>
      <c r="AY151" s="6"/>
      <c r="AZ151" s="6"/>
      <c r="BA151" s="366"/>
      <c r="BC151" s="365"/>
      <c r="BD151" s="6"/>
      <c r="BE151" s="6"/>
      <c r="BF151" s="366"/>
      <c r="BH151" s="365"/>
      <c r="BI151" s="6"/>
      <c r="BJ151" s="6"/>
      <c r="BK151" s="366"/>
      <c r="BM151" s="365"/>
      <c r="BN151" s="6"/>
      <c r="BO151" s="6"/>
      <c r="BP151" s="366"/>
    </row>
    <row r="152" spans="5:68" s="2" customFormat="1">
      <c r="E152" s="365"/>
      <c r="F152" s="6"/>
      <c r="G152" s="6"/>
      <c r="H152" s="366"/>
      <c r="J152" s="365"/>
      <c r="K152" s="6"/>
      <c r="L152" s="6"/>
      <c r="M152" s="366"/>
      <c r="O152" s="365"/>
      <c r="P152" s="6"/>
      <c r="Q152" s="6"/>
      <c r="R152" s="366"/>
      <c r="T152" s="365"/>
      <c r="U152" s="6"/>
      <c r="V152" s="6"/>
      <c r="W152" s="366"/>
      <c r="Y152" s="365"/>
      <c r="Z152" s="6"/>
      <c r="AA152" s="6"/>
      <c r="AB152" s="366"/>
      <c r="AD152" s="365"/>
      <c r="AE152" s="6"/>
      <c r="AF152" s="6"/>
      <c r="AG152" s="366"/>
      <c r="AI152" s="365"/>
      <c r="AJ152" s="6"/>
      <c r="AK152" s="6"/>
      <c r="AL152" s="366"/>
      <c r="AN152" s="365"/>
      <c r="AO152" s="6"/>
      <c r="AP152" s="6"/>
      <c r="AQ152" s="366"/>
      <c r="AS152" s="365"/>
      <c r="AT152" s="6"/>
      <c r="AU152" s="6"/>
      <c r="AV152" s="366"/>
      <c r="AX152" s="365"/>
      <c r="AY152" s="6"/>
      <c r="AZ152" s="6"/>
      <c r="BA152" s="366"/>
      <c r="BC152" s="365"/>
      <c r="BD152" s="6"/>
      <c r="BE152" s="6"/>
      <c r="BF152" s="366"/>
      <c r="BH152" s="365"/>
      <c r="BI152" s="6"/>
      <c r="BJ152" s="6"/>
      <c r="BK152" s="366"/>
      <c r="BM152" s="365"/>
      <c r="BN152" s="6"/>
      <c r="BO152" s="6"/>
      <c r="BP152" s="366"/>
    </row>
    <row r="153" spans="5:68" s="2" customFormat="1">
      <c r="E153" s="365"/>
      <c r="F153" s="6"/>
      <c r="G153" s="6"/>
      <c r="H153" s="366"/>
      <c r="J153" s="365"/>
      <c r="K153" s="6"/>
      <c r="L153" s="6"/>
      <c r="M153" s="366"/>
      <c r="O153" s="365"/>
      <c r="P153" s="6"/>
      <c r="Q153" s="6"/>
      <c r="R153" s="366"/>
      <c r="T153" s="365"/>
      <c r="U153" s="6"/>
      <c r="V153" s="6"/>
      <c r="W153" s="366"/>
      <c r="Y153" s="365"/>
      <c r="Z153" s="6"/>
      <c r="AA153" s="6"/>
      <c r="AB153" s="366"/>
      <c r="AD153" s="365"/>
      <c r="AE153" s="6"/>
      <c r="AF153" s="6"/>
      <c r="AG153" s="366"/>
      <c r="AI153" s="365"/>
      <c r="AJ153" s="6"/>
      <c r="AK153" s="6"/>
      <c r="AL153" s="366"/>
      <c r="AN153" s="365"/>
      <c r="AO153" s="6"/>
      <c r="AP153" s="6"/>
      <c r="AQ153" s="366"/>
      <c r="AS153" s="365"/>
      <c r="AT153" s="6"/>
      <c r="AU153" s="6"/>
      <c r="AV153" s="366"/>
      <c r="AX153" s="365"/>
      <c r="AY153" s="6"/>
      <c r="AZ153" s="6"/>
      <c r="BA153" s="366"/>
      <c r="BC153" s="365"/>
      <c r="BD153" s="6"/>
      <c r="BE153" s="6"/>
      <c r="BF153" s="366"/>
      <c r="BH153" s="365"/>
      <c r="BI153" s="6"/>
      <c r="BJ153" s="6"/>
      <c r="BK153" s="366"/>
      <c r="BM153" s="365"/>
      <c r="BN153" s="6"/>
      <c r="BO153" s="6"/>
      <c r="BP153" s="366"/>
    </row>
    <row r="154" spans="5:68" s="2" customFormat="1">
      <c r="E154" s="365"/>
      <c r="F154" s="6"/>
      <c r="G154" s="6"/>
      <c r="H154" s="366"/>
      <c r="J154" s="365"/>
      <c r="K154" s="6"/>
      <c r="L154" s="6"/>
      <c r="M154" s="366"/>
      <c r="O154" s="365"/>
      <c r="P154" s="6"/>
      <c r="Q154" s="6"/>
      <c r="R154" s="366"/>
      <c r="T154" s="365"/>
      <c r="U154" s="6"/>
      <c r="V154" s="6"/>
      <c r="W154" s="366"/>
      <c r="Y154" s="365"/>
      <c r="Z154" s="6"/>
      <c r="AA154" s="6"/>
      <c r="AB154" s="366"/>
      <c r="AD154" s="365"/>
      <c r="AE154" s="6"/>
      <c r="AF154" s="6"/>
      <c r="AG154" s="366"/>
      <c r="AI154" s="365"/>
      <c r="AJ154" s="6"/>
      <c r="AK154" s="6"/>
      <c r="AL154" s="366"/>
      <c r="AN154" s="365"/>
      <c r="AO154" s="6"/>
      <c r="AP154" s="6"/>
      <c r="AQ154" s="366"/>
      <c r="AS154" s="365"/>
      <c r="AT154" s="6"/>
      <c r="AU154" s="6"/>
      <c r="AV154" s="366"/>
      <c r="AX154" s="365"/>
      <c r="AY154" s="6"/>
      <c r="AZ154" s="6"/>
      <c r="BA154" s="366"/>
      <c r="BC154" s="365"/>
      <c r="BD154" s="6"/>
      <c r="BE154" s="6"/>
      <c r="BF154" s="366"/>
      <c r="BH154" s="365"/>
      <c r="BI154" s="6"/>
      <c r="BJ154" s="6"/>
      <c r="BK154" s="366"/>
      <c r="BM154" s="365"/>
      <c r="BN154" s="6"/>
      <c r="BO154" s="6"/>
      <c r="BP154" s="366"/>
    </row>
    <row r="155" spans="5:68" s="2" customFormat="1">
      <c r="E155" s="365"/>
      <c r="F155" s="6"/>
      <c r="G155" s="6"/>
      <c r="H155" s="366"/>
      <c r="J155" s="365"/>
      <c r="K155" s="6"/>
      <c r="L155" s="6"/>
      <c r="M155" s="366"/>
      <c r="O155" s="365"/>
      <c r="P155" s="6"/>
      <c r="Q155" s="6"/>
      <c r="R155" s="366"/>
      <c r="T155" s="365"/>
      <c r="U155" s="6"/>
      <c r="V155" s="6"/>
      <c r="W155" s="366"/>
      <c r="Y155" s="365"/>
      <c r="Z155" s="6"/>
      <c r="AA155" s="6"/>
      <c r="AB155" s="366"/>
      <c r="AD155" s="365"/>
      <c r="AE155" s="6"/>
      <c r="AF155" s="6"/>
      <c r="AG155" s="366"/>
      <c r="AI155" s="365"/>
      <c r="AJ155" s="6"/>
      <c r="AK155" s="6"/>
      <c r="AL155" s="366"/>
      <c r="AN155" s="365"/>
      <c r="AO155" s="6"/>
      <c r="AP155" s="6"/>
      <c r="AQ155" s="366"/>
      <c r="AS155" s="365"/>
      <c r="AT155" s="6"/>
      <c r="AU155" s="6"/>
      <c r="AV155" s="366"/>
      <c r="AX155" s="365"/>
      <c r="AY155" s="6"/>
      <c r="AZ155" s="6"/>
      <c r="BA155" s="366"/>
      <c r="BC155" s="365"/>
      <c r="BD155" s="6"/>
      <c r="BE155" s="6"/>
      <c r="BF155" s="366"/>
      <c r="BH155" s="365"/>
      <c r="BI155" s="6"/>
      <c r="BJ155" s="6"/>
      <c r="BK155" s="366"/>
      <c r="BM155" s="365"/>
      <c r="BN155" s="6"/>
      <c r="BO155" s="6"/>
      <c r="BP155" s="366"/>
    </row>
    <row r="156" spans="5:68" s="2" customFormat="1">
      <c r="E156" s="365"/>
      <c r="F156" s="6"/>
      <c r="G156" s="6"/>
      <c r="H156" s="366"/>
      <c r="J156" s="365"/>
      <c r="K156" s="6"/>
      <c r="L156" s="6"/>
      <c r="M156" s="366"/>
      <c r="O156" s="365"/>
      <c r="P156" s="6"/>
      <c r="Q156" s="6"/>
      <c r="R156" s="366"/>
      <c r="T156" s="365"/>
      <c r="U156" s="6"/>
      <c r="V156" s="6"/>
      <c r="W156" s="366"/>
      <c r="Y156" s="365"/>
      <c r="Z156" s="6"/>
      <c r="AA156" s="6"/>
      <c r="AB156" s="366"/>
      <c r="AD156" s="365"/>
      <c r="AE156" s="6"/>
      <c r="AF156" s="6"/>
      <c r="AG156" s="366"/>
      <c r="AI156" s="365"/>
      <c r="AJ156" s="6"/>
      <c r="AK156" s="6"/>
      <c r="AL156" s="366"/>
      <c r="AN156" s="365"/>
      <c r="AO156" s="6"/>
      <c r="AP156" s="6"/>
      <c r="AQ156" s="366"/>
      <c r="AS156" s="365"/>
      <c r="AT156" s="6"/>
      <c r="AU156" s="6"/>
      <c r="AV156" s="366"/>
      <c r="AX156" s="365"/>
      <c r="AY156" s="6"/>
      <c r="AZ156" s="6"/>
      <c r="BA156" s="366"/>
      <c r="BC156" s="365"/>
      <c r="BD156" s="6"/>
      <c r="BE156" s="6"/>
      <c r="BF156" s="366"/>
      <c r="BH156" s="365"/>
      <c r="BI156" s="6"/>
      <c r="BJ156" s="6"/>
      <c r="BK156" s="366"/>
      <c r="BM156" s="365"/>
      <c r="BN156" s="6"/>
      <c r="BO156" s="6"/>
      <c r="BP156" s="366"/>
    </row>
    <row r="157" spans="5:68" s="2" customFormat="1">
      <c r="E157" s="365"/>
      <c r="F157" s="6"/>
      <c r="G157" s="6"/>
      <c r="H157" s="366"/>
      <c r="J157" s="365"/>
      <c r="K157" s="6"/>
      <c r="L157" s="6"/>
      <c r="M157" s="366"/>
      <c r="O157" s="365"/>
      <c r="P157" s="6"/>
      <c r="Q157" s="6"/>
      <c r="R157" s="366"/>
      <c r="T157" s="365"/>
      <c r="U157" s="6"/>
      <c r="V157" s="6"/>
      <c r="W157" s="366"/>
      <c r="Y157" s="365"/>
      <c r="Z157" s="6"/>
      <c r="AA157" s="6"/>
      <c r="AB157" s="366"/>
      <c r="AD157" s="365"/>
      <c r="AE157" s="6"/>
      <c r="AF157" s="6"/>
      <c r="AG157" s="366"/>
      <c r="AI157" s="365"/>
      <c r="AJ157" s="6"/>
      <c r="AK157" s="6"/>
      <c r="AL157" s="366"/>
      <c r="AN157" s="365"/>
      <c r="AO157" s="6"/>
      <c r="AP157" s="6"/>
      <c r="AQ157" s="366"/>
      <c r="AS157" s="365"/>
      <c r="AT157" s="6"/>
      <c r="AU157" s="6"/>
      <c r="AV157" s="366"/>
      <c r="AX157" s="365"/>
      <c r="AY157" s="6"/>
      <c r="AZ157" s="6"/>
      <c r="BA157" s="366"/>
      <c r="BC157" s="365"/>
      <c r="BD157" s="6"/>
      <c r="BE157" s="6"/>
      <c r="BF157" s="366"/>
      <c r="BH157" s="365"/>
      <c r="BI157" s="6"/>
      <c r="BJ157" s="6"/>
      <c r="BK157" s="366"/>
      <c r="BM157" s="365"/>
      <c r="BN157" s="6"/>
      <c r="BO157" s="6"/>
      <c r="BP157" s="366"/>
    </row>
    <row r="158" spans="5:68" s="2" customFormat="1">
      <c r="E158" s="365"/>
      <c r="F158" s="6"/>
      <c r="G158" s="6"/>
      <c r="H158" s="366"/>
      <c r="J158" s="365"/>
      <c r="K158" s="6"/>
      <c r="L158" s="6"/>
      <c r="M158" s="366"/>
      <c r="O158" s="365"/>
      <c r="P158" s="6"/>
      <c r="Q158" s="6"/>
      <c r="R158" s="366"/>
      <c r="T158" s="365"/>
      <c r="U158" s="6"/>
      <c r="V158" s="6"/>
      <c r="W158" s="366"/>
      <c r="Y158" s="365"/>
      <c r="Z158" s="6"/>
      <c r="AA158" s="6"/>
      <c r="AB158" s="366"/>
      <c r="AD158" s="365"/>
      <c r="AE158" s="6"/>
      <c r="AF158" s="6"/>
      <c r="AG158" s="366"/>
      <c r="AI158" s="365"/>
      <c r="AJ158" s="6"/>
      <c r="AK158" s="6"/>
      <c r="AL158" s="366"/>
      <c r="AN158" s="365"/>
      <c r="AO158" s="6"/>
      <c r="AP158" s="6"/>
      <c r="AQ158" s="366"/>
      <c r="AS158" s="365"/>
      <c r="AT158" s="6"/>
      <c r="AU158" s="6"/>
      <c r="AV158" s="366"/>
      <c r="AX158" s="365"/>
      <c r="AY158" s="6"/>
      <c r="AZ158" s="6"/>
      <c r="BA158" s="366"/>
      <c r="BC158" s="365"/>
      <c r="BD158" s="6"/>
      <c r="BE158" s="6"/>
      <c r="BF158" s="366"/>
      <c r="BH158" s="365"/>
      <c r="BI158" s="6"/>
      <c r="BJ158" s="6"/>
      <c r="BK158" s="366"/>
      <c r="BM158" s="365"/>
      <c r="BN158" s="6"/>
      <c r="BO158" s="6"/>
      <c r="BP158" s="366"/>
    </row>
    <row r="159" spans="5:68" s="2" customFormat="1">
      <c r="E159" s="365"/>
      <c r="F159" s="6"/>
      <c r="G159" s="6"/>
      <c r="H159" s="366"/>
      <c r="J159" s="365"/>
      <c r="K159" s="6"/>
      <c r="L159" s="6"/>
      <c r="M159" s="366"/>
      <c r="O159" s="365"/>
      <c r="P159" s="6"/>
      <c r="Q159" s="6"/>
      <c r="R159" s="366"/>
      <c r="T159" s="365"/>
      <c r="U159" s="6"/>
      <c r="V159" s="6"/>
      <c r="W159" s="366"/>
      <c r="Y159" s="365"/>
      <c r="Z159" s="6"/>
      <c r="AA159" s="6"/>
      <c r="AB159" s="366"/>
      <c r="AD159" s="365"/>
      <c r="AE159" s="6"/>
      <c r="AF159" s="6"/>
      <c r="AG159" s="366"/>
      <c r="AI159" s="365"/>
      <c r="AJ159" s="6"/>
      <c r="AK159" s="6"/>
      <c r="AL159" s="366"/>
      <c r="AN159" s="365"/>
      <c r="AO159" s="6"/>
      <c r="AP159" s="6"/>
      <c r="AQ159" s="366"/>
      <c r="AS159" s="365"/>
      <c r="AT159" s="6"/>
      <c r="AU159" s="6"/>
      <c r="AV159" s="366"/>
      <c r="AX159" s="365"/>
      <c r="AY159" s="6"/>
      <c r="AZ159" s="6"/>
      <c r="BA159" s="366"/>
      <c r="BC159" s="365"/>
      <c r="BD159" s="6"/>
      <c r="BE159" s="6"/>
      <c r="BF159" s="366"/>
      <c r="BH159" s="365"/>
      <c r="BI159" s="6"/>
      <c r="BJ159" s="6"/>
      <c r="BK159" s="366"/>
      <c r="BM159" s="365"/>
      <c r="BN159" s="6"/>
      <c r="BO159" s="6"/>
      <c r="BP159" s="366"/>
    </row>
    <row r="160" spans="5:68" s="2" customFormat="1">
      <c r="E160" s="365"/>
      <c r="F160" s="6"/>
      <c r="G160" s="6"/>
      <c r="H160" s="366"/>
      <c r="J160" s="365"/>
      <c r="K160" s="6"/>
      <c r="L160" s="6"/>
      <c r="M160" s="366"/>
      <c r="O160" s="365"/>
      <c r="P160" s="6"/>
      <c r="Q160" s="6"/>
      <c r="R160" s="366"/>
      <c r="T160" s="365"/>
      <c r="U160" s="6"/>
      <c r="V160" s="6"/>
      <c r="W160" s="366"/>
      <c r="Y160" s="365"/>
      <c r="Z160" s="6"/>
      <c r="AA160" s="6"/>
      <c r="AB160" s="366"/>
      <c r="AD160" s="365"/>
      <c r="AE160" s="6"/>
      <c r="AF160" s="6"/>
      <c r="AG160" s="366"/>
      <c r="AI160" s="365"/>
      <c r="AJ160" s="6"/>
      <c r="AK160" s="6"/>
      <c r="AL160" s="366"/>
      <c r="AN160" s="365"/>
      <c r="AO160" s="6"/>
      <c r="AP160" s="6"/>
      <c r="AQ160" s="366"/>
      <c r="AS160" s="365"/>
      <c r="AT160" s="6"/>
      <c r="AU160" s="6"/>
      <c r="AV160" s="366"/>
      <c r="AX160" s="365"/>
      <c r="AY160" s="6"/>
      <c r="AZ160" s="6"/>
      <c r="BA160" s="366"/>
      <c r="BC160" s="365"/>
      <c r="BD160" s="6"/>
      <c r="BE160" s="6"/>
      <c r="BF160" s="366"/>
      <c r="BH160" s="365"/>
      <c r="BI160" s="6"/>
      <c r="BJ160" s="6"/>
      <c r="BK160" s="366"/>
      <c r="BM160" s="365"/>
      <c r="BN160" s="6"/>
      <c r="BO160" s="6"/>
      <c r="BP160" s="366"/>
    </row>
    <row r="161" spans="5:68" s="2" customFormat="1">
      <c r="E161" s="365"/>
      <c r="F161" s="6"/>
      <c r="G161" s="6"/>
      <c r="H161" s="366"/>
      <c r="J161" s="365"/>
      <c r="K161" s="6"/>
      <c r="L161" s="6"/>
      <c r="M161" s="366"/>
      <c r="O161" s="365"/>
      <c r="P161" s="6"/>
      <c r="Q161" s="6"/>
      <c r="R161" s="366"/>
      <c r="T161" s="365"/>
      <c r="U161" s="6"/>
      <c r="V161" s="6"/>
      <c r="W161" s="366"/>
      <c r="Y161" s="365"/>
      <c r="Z161" s="6"/>
      <c r="AA161" s="6"/>
      <c r="AB161" s="366"/>
      <c r="AD161" s="365"/>
      <c r="AE161" s="6"/>
      <c r="AF161" s="6"/>
      <c r="AG161" s="366"/>
      <c r="AI161" s="365"/>
      <c r="AJ161" s="6"/>
      <c r="AK161" s="6"/>
      <c r="AL161" s="366"/>
      <c r="AN161" s="365"/>
      <c r="AO161" s="6"/>
      <c r="AP161" s="6"/>
      <c r="AQ161" s="366"/>
      <c r="AS161" s="365"/>
      <c r="AT161" s="6"/>
      <c r="AU161" s="6"/>
      <c r="AV161" s="366"/>
      <c r="AX161" s="365"/>
      <c r="AY161" s="6"/>
      <c r="AZ161" s="6"/>
      <c r="BA161" s="366"/>
      <c r="BC161" s="365"/>
      <c r="BD161" s="6"/>
      <c r="BE161" s="6"/>
      <c r="BF161" s="366"/>
      <c r="BH161" s="365"/>
      <c r="BI161" s="6"/>
      <c r="BJ161" s="6"/>
      <c r="BK161" s="366"/>
      <c r="BM161" s="365"/>
      <c r="BN161" s="6"/>
      <c r="BO161" s="6"/>
      <c r="BP161" s="366"/>
    </row>
    <row r="162" spans="5:68" s="2" customFormat="1">
      <c r="E162" s="365"/>
      <c r="F162" s="6"/>
      <c r="G162" s="6"/>
      <c r="H162" s="366"/>
      <c r="J162" s="365"/>
      <c r="K162" s="6"/>
      <c r="L162" s="6"/>
      <c r="M162" s="366"/>
      <c r="O162" s="365"/>
      <c r="P162" s="6"/>
      <c r="Q162" s="6"/>
      <c r="R162" s="366"/>
      <c r="T162" s="365"/>
      <c r="U162" s="6"/>
      <c r="V162" s="6"/>
      <c r="W162" s="366"/>
      <c r="Y162" s="365"/>
      <c r="Z162" s="6"/>
      <c r="AA162" s="6"/>
      <c r="AB162" s="366"/>
      <c r="AD162" s="365"/>
      <c r="AE162" s="6"/>
      <c r="AF162" s="6"/>
      <c r="AG162" s="366"/>
      <c r="AI162" s="365"/>
      <c r="AJ162" s="6"/>
      <c r="AK162" s="6"/>
      <c r="AL162" s="366"/>
      <c r="AN162" s="365"/>
      <c r="AO162" s="6"/>
      <c r="AP162" s="6"/>
      <c r="AQ162" s="366"/>
      <c r="AS162" s="365"/>
      <c r="AT162" s="6"/>
      <c r="AU162" s="6"/>
      <c r="AV162" s="366"/>
      <c r="AX162" s="365"/>
      <c r="AY162" s="6"/>
      <c r="AZ162" s="6"/>
      <c r="BA162" s="366"/>
      <c r="BC162" s="365"/>
      <c r="BD162" s="6"/>
      <c r="BE162" s="6"/>
      <c r="BF162" s="366"/>
      <c r="BH162" s="365"/>
      <c r="BI162" s="6"/>
      <c r="BJ162" s="6"/>
      <c r="BK162" s="366"/>
      <c r="BM162" s="365"/>
      <c r="BN162" s="6"/>
      <c r="BO162" s="6"/>
      <c r="BP162" s="366"/>
    </row>
    <row r="163" spans="5:68" s="2" customFormat="1">
      <c r="E163" s="365"/>
      <c r="F163" s="6"/>
      <c r="G163" s="6"/>
      <c r="H163" s="366"/>
      <c r="J163" s="365"/>
      <c r="K163" s="6"/>
      <c r="L163" s="6"/>
      <c r="M163" s="366"/>
      <c r="O163" s="365"/>
      <c r="P163" s="6"/>
      <c r="Q163" s="6"/>
      <c r="R163" s="366"/>
      <c r="T163" s="365"/>
      <c r="U163" s="6"/>
      <c r="V163" s="6"/>
      <c r="W163" s="366"/>
      <c r="Y163" s="365"/>
      <c r="Z163" s="6"/>
      <c r="AA163" s="6"/>
      <c r="AB163" s="366"/>
      <c r="AD163" s="365"/>
      <c r="AE163" s="6"/>
      <c r="AF163" s="6"/>
      <c r="AG163" s="366"/>
      <c r="AI163" s="365"/>
      <c r="AJ163" s="6"/>
      <c r="AK163" s="6"/>
      <c r="AL163" s="366"/>
      <c r="AN163" s="365"/>
      <c r="AO163" s="6"/>
      <c r="AP163" s="6"/>
      <c r="AQ163" s="366"/>
      <c r="AS163" s="365"/>
      <c r="AT163" s="6"/>
      <c r="AU163" s="6"/>
      <c r="AV163" s="366"/>
      <c r="AX163" s="365"/>
      <c r="AY163" s="6"/>
      <c r="AZ163" s="6"/>
      <c r="BA163" s="366"/>
      <c r="BC163" s="365"/>
      <c r="BD163" s="6"/>
      <c r="BE163" s="6"/>
      <c r="BF163" s="366"/>
      <c r="BH163" s="365"/>
      <c r="BI163" s="6"/>
      <c r="BJ163" s="6"/>
      <c r="BK163" s="366"/>
      <c r="BM163" s="365"/>
      <c r="BN163" s="6"/>
      <c r="BO163" s="6"/>
      <c r="BP163" s="366"/>
    </row>
    <row r="164" spans="5:68" s="2" customFormat="1">
      <c r="E164" s="365"/>
      <c r="F164" s="6"/>
      <c r="G164" s="6"/>
      <c r="H164" s="366"/>
      <c r="J164" s="365"/>
      <c r="K164" s="6"/>
      <c r="L164" s="6"/>
      <c r="M164" s="366"/>
      <c r="O164" s="365"/>
      <c r="P164" s="6"/>
      <c r="Q164" s="6"/>
      <c r="R164" s="366"/>
      <c r="T164" s="365"/>
      <c r="U164" s="6"/>
      <c r="V164" s="6"/>
      <c r="W164" s="366"/>
      <c r="Y164" s="365"/>
      <c r="Z164" s="6"/>
      <c r="AA164" s="6"/>
      <c r="AB164" s="366"/>
      <c r="AD164" s="365"/>
      <c r="AE164" s="6"/>
      <c r="AF164" s="6"/>
      <c r="AG164" s="366"/>
      <c r="AI164" s="365"/>
      <c r="AJ164" s="6"/>
      <c r="AK164" s="6"/>
      <c r="AL164" s="366"/>
      <c r="AN164" s="365"/>
      <c r="AO164" s="6"/>
      <c r="AP164" s="6"/>
      <c r="AQ164" s="366"/>
      <c r="AS164" s="365"/>
      <c r="AT164" s="6"/>
      <c r="AU164" s="6"/>
      <c r="AV164" s="366"/>
      <c r="AX164" s="365"/>
      <c r="AY164" s="6"/>
      <c r="AZ164" s="6"/>
      <c r="BA164" s="366"/>
      <c r="BC164" s="365"/>
      <c r="BD164" s="6"/>
      <c r="BE164" s="6"/>
      <c r="BF164" s="366"/>
      <c r="BH164" s="365"/>
      <c r="BI164" s="6"/>
      <c r="BJ164" s="6"/>
      <c r="BK164" s="366"/>
      <c r="BM164" s="365"/>
      <c r="BN164" s="6"/>
      <c r="BO164" s="6"/>
      <c r="BP164" s="366"/>
    </row>
    <row r="165" spans="5:68" s="2" customFormat="1">
      <c r="E165" s="365"/>
      <c r="F165" s="6"/>
      <c r="G165" s="6"/>
      <c r="H165" s="366"/>
      <c r="J165" s="365"/>
      <c r="K165" s="6"/>
      <c r="L165" s="6"/>
      <c r="M165" s="366"/>
      <c r="O165" s="365"/>
      <c r="P165" s="6"/>
      <c r="Q165" s="6"/>
      <c r="R165" s="366"/>
      <c r="T165" s="365"/>
      <c r="U165" s="6"/>
      <c r="V165" s="6"/>
      <c r="W165" s="366"/>
      <c r="Y165" s="365"/>
      <c r="Z165" s="6"/>
      <c r="AA165" s="6"/>
      <c r="AB165" s="366"/>
      <c r="AD165" s="365"/>
      <c r="AE165" s="6"/>
      <c r="AF165" s="6"/>
      <c r="AG165" s="366"/>
      <c r="AI165" s="365"/>
      <c r="AJ165" s="6"/>
      <c r="AK165" s="6"/>
      <c r="AL165" s="366"/>
      <c r="AN165" s="365"/>
      <c r="AO165" s="6"/>
      <c r="AP165" s="6"/>
      <c r="AQ165" s="366"/>
      <c r="AS165" s="365"/>
      <c r="AT165" s="6"/>
      <c r="AU165" s="6"/>
      <c r="AV165" s="366"/>
      <c r="AX165" s="365"/>
      <c r="AY165" s="6"/>
      <c r="AZ165" s="6"/>
      <c r="BA165" s="366"/>
      <c r="BC165" s="365"/>
      <c r="BD165" s="6"/>
      <c r="BE165" s="6"/>
      <c r="BF165" s="366"/>
      <c r="BH165" s="365"/>
      <c r="BI165" s="6"/>
      <c r="BJ165" s="6"/>
      <c r="BK165" s="366"/>
      <c r="BM165" s="365"/>
      <c r="BN165" s="6"/>
      <c r="BO165" s="6"/>
      <c r="BP165" s="366"/>
    </row>
    <row r="166" spans="5:68" s="2" customFormat="1">
      <c r="E166" s="365"/>
      <c r="F166" s="6"/>
      <c r="G166" s="6"/>
      <c r="H166" s="366"/>
      <c r="J166" s="365"/>
      <c r="K166" s="6"/>
      <c r="L166" s="6"/>
      <c r="M166" s="366"/>
      <c r="O166" s="365"/>
      <c r="P166" s="6"/>
      <c r="Q166" s="6"/>
      <c r="R166" s="366"/>
      <c r="T166" s="365"/>
      <c r="U166" s="6"/>
      <c r="V166" s="6"/>
      <c r="W166" s="366"/>
      <c r="Y166" s="365"/>
      <c r="Z166" s="6"/>
      <c r="AA166" s="6"/>
      <c r="AB166" s="366"/>
      <c r="AD166" s="365"/>
      <c r="AE166" s="6"/>
      <c r="AF166" s="6"/>
      <c r="AG166" s="366"/>
      <c r="AI166" s="365"/>
      <c r="AJ166" s="6"/>
      <c r="AK166" s="6"/>
      <c r="AL166" s="366"/>
      <c r="AN166" s="365"/>
      <c r="AO166" s="6"/>
      <c r="AP166" s="6"/>
      <c r="AQ166" s="366"/>
      <c r="AS166" s="365"/>
      <c r="AT166" s="6"/>
      <c r="AU166" s="6"/>
      <c r="AV166" s="366"/>
      <c r="AX166" s="365"/>
      <c r="AY166" s="6"/>
      <c r="AZ166" s="6"/>
      <c r="BA166" s="366"/>
      <c r="BC166" s="365"/>
      <c r="BD166" s="6"/>
      <c r="BE166" s="6"/>
      <c r="BF166" s="366"/>
      <c r="BH166" s="365"/>
      <c r="BI166" s="6"/>
      <c r="BJ166" s="6"/>
      <c r="BK166" s="366"/>
      <c r="BM166" s="365"/>
      <c r="BN166" s="6"/>
      <c r="BO166" s="6"/>
      <c r="BP166" s="366"/>
    </row>
    <row r="167" spans="5:68" s="2" customFormat="1">
      <c r="E167" s="365"/>
      <c r="F167" s="6"/>
      <c r="G167" s="6"/>
      <c r="H167" s="366"/>
      <c r="J167" s="365"/>
      <c r="K167" s="6"/>
      <c r="L167" s="6"/>
      <c r="M167" s="366"/>
      <c r="O167" s="365"/>
      <c r="P167" s="6"/>
      <c r="Q167" s="6"/>
      <c r="R167" s="366"/>
      <c r="T167" s="365"/>
      <c r="U167" s="6"/>
      <c r="V167" s="6"/>
      <c r="W167" s="366"/>
      <c r="Y167" s="365"/>
      <c r="Z167" s="6"/>
      <c r="AA167" s="6"/>
      <c r="AB167" s="366"/>
      <c r="AD167" s="365"/>
      <c r="AE167" s="6"/>
      <c r="AF167" s="6"/>
      <c r="AG167" s="366"/>
      <c r="AI167" s="365"/>
      <c r="AJ167" s="6"/>
      <c r="AK167" s="6"/>
      <c r="AL167" s="366"/>
      <c r="AN167" s="365"/>
      <c r="AO167" s="6"/>
      <c r="AP167" s="6"/>
      <c r="AQ167" s="366"/>
      <c r="AS167" s="365"/>
      <c r="AT167" s="6"/>
      <c r="AU167" s="6"/>
      <c r="AV167" s="366"/>
      <c r="AX167" s="365"/>
      <c r="AY167" s="6"/>
      <c r="AZ167" s="6"/>
      <c r="BA167" s="366"/>
      <c r="BC167" s="365"/>
      <c r="BD167" s="6"/>
      <c r="BE167" s="6"/>
      <c r="BF167" s="366"/>
      <c r="BH167" s="365"/>
      <c r="BI167" s="6"/>
      <c r="BJ167" s="6"/>
      <c r="BK167" s="366"/>
      <c r="BM167" s="365"/>
      <c r="BN167" s="6"/>
      <c r="BO167" s="6"/>
      <c r="BP167" s="366"/>
    </row>
    <row r="168" spans="5:68" s="2" customFormat="1">
      <c r="E168" s="365"/>
      <c r="F168" s="6"/>
      <c r="G168" s="6"/>
      <c r="H168" s="366"/>
      <c r="J168" s="365"/>
      <c r="K168" s="6"/>
      <c r="L168" s="6"/>
      <c r="M168" s="366"/>
      <c r="O168" s="365"/>
      <c r="P168" s="6"/>
      <c r="Q168" s="6"/>
      <c r="R168" s="366"/>
      <c r="T168" s="365"/>
      <c r="U168" s="6"/>
      <c r="V168" s="6"/>
      <c r="W168" s="366"/>
      <c r="Y168" s="365"/>
      <c r="Z168" s="6"/>
      <c r="AA168" s="6"/>
      <c r="AB168" s="366"/>
      <c r="AD168" s="365"/>
      <c r="AE168" s="6"/>
      <c r="AF168" s="6"/>
      <c r="AG168" s="366"/>
      <c r="AI168" s="365"/>
      <c r="AJ168" s="6"/>
      <c r="AK168" s="6"/>
      <c r="AL168" s="366"/>
      <c r="AN168" s="365"/>
      <c r="AO168" s="6"/>
      <c r="AP168" s="6"/>
      <c r="AQ168" s="366"/>
      <c r="AS168" s="365"/>
      <c r="AT168" s="6"/>
      <c r="AU168" s="6"/>
      <c r="AV168" s="366"/>
      <c r="AX168" s="365"/>
      <c r="AY168" s="6"/>
      <c r="AZ168" s="6"/>
      <c r="BA168" s="366"/>
      <c r="BC168" s="365"/>
      <c r="BD168" s="6"/>
      <c r="BE168" s="6"/>
      <c r="BF168" s="366"/>
      <c r="BH168" s="365"/>
      <c r="BI168" s="6"/>
      <c r="BJ168" s="6"/>
      <c r="BK168" s="366"/>
      <c r="BM168" s="365"/>
      <c r="BN168" s="6"/>
      <c r="BO168" s="6"/>
      <c r="BP168" s="366"/>
    </row>
    <row r="169" spans="5:68" s="2" customFormat="1">
      <c r="E169" s="365"/>
      <c r="F169" s="6"/>
      <c r="G169" s="6"/>
      <c r="H169" s="366"/>
      <c r="J169" s="365"/>
      <c r="K169" s="6"/>
      <c r="L169" s="6"/>
      <c r="M169" s="366"/>
      <c r="O169" s="365"/>
      <c r="P169" s="6"/>
      <c r="Q169" s="6"/>
      <c r="R169" s="366"/>
      <c r="T169" s="365"/>
      <c r="U169" s="6"/>
      <c r="V169" s="6"/>
      <c r="W169" s="366"/>
      <c r="Y169" s="365"/>
      <c r="Z169" s="6"/>
      <c r="AA169" s="6"/>
      <c r="AB169" s="366"/>
      <c r="AD169" s="365"/>
      <c r="AE169" s="6"/>
      <c r="AF169" s="6"/>
      <c r="AG169" s="366"/>
      <c r="AI169" s="365"/>
      <c r="AJ169" s="6"/>
      <c r="AK169" s="6"/>
      <c r="AL169" s="366"/>
      <c r="AN169" s="365"/>
      <c r="AO169" s="6"/>
      <c r="AP169" s="6"/>
      <c r="AQ169" s="366"/>
      <c r="AS169" s="365"/>
      <c r="AT169" s="6"/>
      <c r="AU169" s="6"/>
      <c r="AV169" s="366"/>
      <c r="AX169" s="365"/>
      <c r="AY169" s="6"/>
      <c r="AZ169" s="6"/>
      <c r="BA169" s="366"/>
      <c r="BC169" s="365"/>
      <c r="BD169" s="6"/>
      <c r="BE169" s="6"/>
      <c r="BF169" s="366"/>
      <c r="BH169" s="365"/>
      <c r="BI169" s="6"/>
      <c r="BJ169" s="6"/>
      <c r="BK169" s="366"/>
      <c r="BM169" s="365"/>
      <c r="BN169" s="6"/>
      <c r="BO169" s="6"/>
      <c r="BP169" s="366"/>
    </row>
    <row r="170" spans="5:68" s="2" customFormat="1">
      <c r="E170" s="365"/>
      <c r="F170" s="6"/>
      <c r="G170" s="6"/>
      <c r="H170" s="366"/>
      <c r="J170" s="365"/>
      <c r="K170" s="6"/>
      <c r="L170" s="6"/>
      <c r="M170" s="366"/>
      <c r="O170" s="365"/>
      <c r="P170" s="6"/>
      <c r="Q170" s="6"/>
      <c r="R170" s="366"/>
      <c r="T170" s="365"/>
      <c r="U170" s="6"/>
      <c r="V170" s="6"/>
      <c r="W170" s="366"/>
      <c r="Y170" s="365"/>
      <c r="Z170" s="6"/>
      <c r="AA170" s="6"/>
      <c r="AB170" s="366"/>
      <c r="AD170" s="365"/>
      <c r="AE170" s="6"/>
      <c r="AF170" s="6"/>
      <c r="AG170" s="366"/>
      <c r="AI170" s="365"/>
      <c r="AJ170" s="6"/>
      <c r="AK170" s="6"/>
      <c r="AL170" s="366"/>
      <c r="AN170" s="365"/>
      <c r="AO170" s="6"/>
      <c r="AP170" s="6"/>
      <c r="AQ170" s="366"/>
      <c r="AS170" s="365"/>
      <c r="AT170" s="6"/>
      <c r="AU170" s="6"/>
      <c r="AV170" s="366"/>
      <c r="AX170" s="365"/>
      <c r="AY170" s="6"/>
      <c r="AZ170" s="6"/>
      <c r="BA170" s="366"/>
      <c r="BC170" s="365"/>
      <c r="BD170" s="6"/>
      <c r="BE170" s="6"/>
      <c r="BF170" s="366"/>
      <c r="BH170" s="365"/>
      <c r="BI170" s="6"/>
      <c r="BJ170" s="6"/>
      <c r="BK170" s="366"/>
      <c r="BM170" s="365"/>
      <c r="BN170" s="6"/>
      <c r="BO170" s="6"/>
      <c r="BP170" s="366"/>
    </row>
    <row r="171" spans="5:68" s="2" customFormat="1">
      <c r="E171" s="365"/>
      <c r="F171" s="6"/>
      <c r="G171" s="6"/>
      <c r="H171" s="366"/>
      <c r="J171" s="365"/>
      <c r="K171" s="6"/>
      <c r="L171" s="6"/>
      <c r="M171" s="366"/>
      <c r="O171" s="365"/>
      <c r="P171" s="6"/>
      <c r="Q171" s="6"/>
      <c r="R171" s="366"/>
      <c r="T171" s="365"/>
      <c r="U171" s="6"/>
      <c r="V171" s="6"/>
      <c r="W171" s="366"/>
      <c r="Y171" s="365"/>
      <c r="Z171" s="6"/>
      <c r="AA171" s="6"/>
      <c r="AB171" s="366"/>
      <c r="AD171" s="365"/>
      <c r="AE171" s="6"/>
      <c r="AF171" s="6"/>
      <c r="AG171" s="366"/>
      <c r="AI171" s="365"/>
      <c r="AJ171" s="6"/>
      <c r="AK171" s="6"/>
      <c r="AL171" s="366"/>
      <c r="AN171" s="365"/>
      <c r="AO171" s="6"/>
      <c r="AP171" s="6"/>
      <c r="AQ171" s="366"/>
      <c r="AS171" s="365"/>
      <c r="AT171" s="6"/>
      <c r="AU171" s="6"/>
      <c r="AV171" s="366"/>
      <c r="AX171" s="365"/>
      <c r="AY171" s="6"/>
      <c r="AZ171" s="6"/>
      <c r="BA171" s="366"/>
      <c r="BC171" s="365"/>
      <c r="BD171" s="6"/>
      <c r="BE171" s="6"/>
      <c r="BF171" s="366"/>
      <c r="BH171" s="365"/>
      <c r="BI171" s="6"/>
      <c r="BJ171" s="6"/>
      <c r="BK171" s="366"/>
      <c r="BM171" s="365"/>
      <c r="BN171" s="6"/>
      <c r="BO171" s="6"/>
      <c r="BP171" s="366"/>
    </row>
    <row r="172" spans="5:68" s="2" customFormat="1">
      <c r="E172" s="365"/>
      <c r="F172" s="6"/>
      <c r="G172" s="6"/>
      <c r="H172" s="366"/>
      <c r="J172" s="365"/>
      <c r="K172" s="6"/>
      <c r="L172" s="6"/>
      <c r="M172" s="366"/>
      <c r="O172" s="365"/>
      <c r="P172" s="6"/>
      <c r="Q172" s="6"/>
      <c r="R172" s="366"/>
      <c r="T172" s="365"/>
      <c r="U172" s="6"/>
      <c r="V172" s="6"/>
      <c r="W172" s="366"/>
      <c r="Y172" s="365"/>
      <c r="Z172" s="6"/>
      <c r="AA172" s="6"/>
      <c r="AB172" s="366"/>
      <c r="AD172" s="365"/>
      <c r="AE172" s="6"/>
      <c r="AF172" s="6"/>
      <c r="AG172" s="366"/>
      <c r="AI172" s="365"/>
      <c r="AJ172" s="6"/>
      <c r="AK172" s="6"/>
      <c r="AL172" s="366"/>
      <c r="AN172" s="365"/>
      <c r="AO172" s="6"/>
      <c r="AP172" s="6"/>
      <c r="AQ172" s="366"/>
      <c r="AS172" s="365"/>
      <c r="AT172" s="6"/>
      <c r="AU172" s="6"/>
      <c r="AV172" s="366"/>
      <c r="AX172" s="365"/>
      <c r="AY172" s="6"/>
      <c r="AZ172" s="6"/>
      <c r="BA172" s="366"/>
      <c r="BC172" s="365"/>
      <c r="BD172" s="6"/>
      <c r="BE172" s="6"/>
      <c r="BF172" s="366"/>
      <c r="BH172" s="365"/>
      <c r="BI172" s="6"/>
      <c r="BJ172" s="6"/>
      <c r="BK172" s="366"/>
      <c r="BM172" s="365"/>
      <c r="BN172" s="6"/>
      <c r="BO172" s="6"/>
      <c r="BP172" s="366"/>
    </row>
    <row r="173" spans="5:68" s="2" customFormat="1">
      <c r="E173" s="365"/>
      <c r="F173" s="6"/>
      <c r="G173" s="6"/>
      <c r="H173" s="366"/>
      <c r="J173" s="365"/>
      <c r="K173" s="6"/>
      <c r="L173" s="6"/>
      <c r="M173" s="366"/>
      <c r="O173" s="365"/>
      <c r="P173" s="6"/>
      <c r="Q173" s="6"/>
      <c r="R173" s="366"/>
      <c r="T173" s="365"/>
      <c r="U173" s="6"/>
      <c r="V173" s="6"/>
      <c r="W173" s="366"/>
      <c r="Y173" s="365"/>
      <c r="Z173" s="6"/>
      <c r="AA173" s="6"/>
      <c r="AB173" s="366"/>
      <c r="AD173" s="365"/>
      <c r="AE173" s="6"/>
      <c r="AF173" s="6"/>
      <c r="AG173" s="366"/>
      <c r="AI173" s="365"/>
      <c r="AJ173" s="6"/>
      <c r="AK173" s="6"/>
      <c r="AL173" s="366"/>
      <c r="AN173" s="365"/>
      <c r="AO173" s="6"/>
      <c r="AP173" s="6"/>
      <c r="AQ173" s="366"/>
      <c r="AS173" s="365"/>
      <c r="AT173" s="6"/>
      <c r="AU173" s="6"/>
      <c r="AV173" s="366"/>
      <c r="AX173" s="365"/>
      <c r="AY173" s="6"/>
      <c r="AZ173" s="6"/>
      <c r="BA173" s="366"/>
      <c r="BC173" s="365"/>
      <c r="BD173" s="6"/>
      <c r="BE173" s="6"/>
      <c r="BF173" s="366"/>
      <c r="BH173" s="365"/>
      <c r="BI173" s="6"/>
      <c r="BJ173" s="6"/>
      <c r="BK173" s="366"/>
      <c r="BM173" s="365"/>
      <c r="BN173" s="6"/>
      <c r="BO173" s="6"/>
      <c r="BP173" s="366"/>
    </row>
    <row r="174" spans="5:68" s="2" customFormat="1">
      <c r="E174" s="365"/>
      <c r="F174" s="6"/>
      <c r="G174" s="6"/>
      <c r="H174" s="366"/>
      <c r="J174" s="365"/>
      <c r="K174" s="6"/>
      <c r="L174" s="6"/>
      <c r="M174" s="366"/>
      <c r="O174" s="365"/>
      <c r="P174" s="6"/>
      <c r="Q174" s="6"/>
      <c r="R174" s="366"/>
      <c r="T174" s="365"/>
      <c r="U174" s="6"/>
      <c r="V174" s="6"/>
      <c r="W174" s="366"/>
      <c r="Y174" s="365"/>
      <c r="Z174" s="6"/>
      <c r="AA174" s="6"/>
      <c r="AB174" s="366"/>
      <c r="AD174" s="365"/>
      <c r="AE174" s="6"/>
      <c r="AF174" s="6"/>
      <c r="AG174" s="366"/>
      <c r="AI174" s="365"/>
      <c r="AJ174" s="6"/>
      <c r="AK174" s="6"/>
      <c r="AL174" s="366"/>
      <c r="AN174" s="365"/>
      <c r="AO174" s="6"/>
      <c r="AP174" s="6"/>
      <c r="AQ174" s="366"/>
      <c r="AS174" s="365"/>
      <c r="AT174" s="6"/>
      <c r="AU174" s="6"/>
      <c r="AV174" s="366"/>
      <c r="AX174" s="365"/>
      <c r="AY174" s="6"/>
      <c r="AZ174" s="6"/>
      <c r="BA174" s="366"/>
      <c r="BC174" s="365"/>
      <c r="BD174" s="6"/>
      <c r="BE174" s="6"/>
      <c r="BF174" s="366"/>
      <c r="BH174" s="365"/>
      <c r="BI174" s="6"/>
      <c r="BJ174" s="6"/>
      <c r="BK174" s="366"/>
      <c r="BM174" s="365"/>
      <c r="BN174" s="6"/>
      <c r="BO174" s="6"/>
      <c r="BP174" s="366"/>
    </row>
    <row r="175" spans="5:68" s="2" customFormat="1">
      <c r="E175" s="365"/>
      <c r="F175" s="6"/>
      <c r="G175" s="6"/>
      <c r="H175" s="366"/>
      <c r="J175" s="365"/>
      <c r="K175" s="6"/>
      <c r="L175" s="6"/>
      <c r="M175" s="366"/>
      <c r="O175" s="365"/>
      <c r="P175" s="6"/>
      <c r="Q175" s="6"/>
      <c r="R175" s="366"/>
      <c r="T175" s="365"/>
      <c r="U175" s="6"/>
      <c r="V175" s="6"/>
      <c r="W175" s="366"/>
      <c r="Y175" s="365"/>
      <c r="Z175" s="6"/>
      <c r="AA175" s="6"/>
      <c r="AB175" s="366"/>
      <c r="AD175" s="365"/>
      <c r="AE175" s="6"/>
      <c r="AF175" s="6"/>
      <c r="AG175" s="366"/>
      <c r="AI175" s="365"/>
      <c r="AJ175" s="6"/>
      <c r="AK175" s="6"/>
      <c r="AL175" s="366"/>
      <c r="AN175" s="365"/>
      <c r="AO175" s="6"/>
      <c r="AP175" s="6"/>
      <c r="AQ175" s="366"/>
      <c r="AS175" s="365"/>
      <c r="AT175" s="6"/>
      <c r="AU175" s="6"/>
      <c r="AV175" s="366"/>
      <c r="AX175" s="365"/>
      <c r="AY175" s="6"/>
      <c r="AZ175" s="6"/>
      <c r="BA175" s="366"/>
      <c r="BC175" s="365"/>
      <c r="BD175" s="6"/>
      <c r="BE175" s="6"/>
      <c r="BF175" s="366"/>
      <c r="BH175" s="365"/>
      <c r="BI175" s="6"/>
      <c r="BJ175" s="6"/>
      <c r="BK175" s="366"/>
      <c r="BM175" s="365"/>
      <c r="BN175" s="6"/>
      <c r="BO175" s="6"/>
      <c r="BP175" s="366"/>
    </row>
    <row r="176" spans="5:68" s="2" customFormat="1">
      <c r="E176" s="365"/>
      <c r="F176" s="6"/>
      <c r="G176" s="6"/>
      <c r="H176" s="366"/>
      <c r="J176" s="365"/>
      <c r="K176" s="6"/>
      <c r="L176" s="6"/>
      <c r="M176" s="366"/>
      <c r="O176" s="365"/>
      <c r="P176" s="6"/>
      <c r="Q176" s="6"/>
      <c r="R176" s="366"/>
      <c r="T176" s="365"/>
      <c r="U176" s="6"/>
      <c r="V176" s="6"/>
      <c r="W176" s="366"/>
      <c r="Y176" s="365"/>
      <c r="Z176" s="6"/>
      <c r="AA176" s="6"/>
      <c r="AB176" s="366"/>
      <c r="AD176" s="365"/>
      <c r="AE176" s="6"/>
      <c r="AF176" s="6"/>
      <c r="AG176" s="366"/>
      <c r="AI176" s="365"/>
      <c r="AJ176" s="6"/>
      <c r="AK176" s="6"/>
      <c r="AL176" s="366"/>
      <c r="AN176" s="365"/>
      <c r="AO176" s="6"/>
      <c r="AP176" s="6"/>
      <c r="AQ176" s="366"/>
      <c r="AS176" s="365"/>
      <c r="AT176" s="6"/>
      <c r="AU176" s="6"/>
      <c r="AV176" s="366"/>
      <c r="AX176" s="365"/>
      <c r="AY176" s="6"/>
      <c r="AZ176" s="6"/>
      <c r="BA176" s="366"/>
      <c r="BC176" s="365"/>
      <c r="BD176" s="6"/>
      <c r="BE176" s="6"/>
      <c r="BF176" s="366"/>
      <c r="BH176" s="365"/>
      <c r="BI176" s="6"/>
      <c r="BJ176" s="6"/>
      <c r="BK176" s="366"/>
      <c r="BM176" s="365"/>
      <c r="BN176" s="6"/>
      <c r="BO176" s="6"/>
      <c r="BP176" s="366"/>
    </row>
    <row r="177" spans="5:68" s="2" customFormat="1">
      <c r="E177" s="365"/>
      <c r="F177" s="6"/>
      <c r="G177" s="6"/>
      <c r="H177" s="366"/>
      <c r="J177" s="365"/>
      <c r="K177" s="6"/>
      <c r="L177" s="6"/>
      <c r="M177" s="366"/>
      <c r="O177" s="365"/>
      <c r="P177" s="6"/>
      <c r="Q177" s="6"/>
      <c r="R177" s="366"/>
      <c r="T177" s="365"/>
      <c r="U177" s="6"/>
      <c r="V177" s="6"/>
      <c r="W177" s="366"/>
      <c r="Y177" s="365"/>
      <c r="Z177" s="6"/>
      <c r="AA177" s="6"/>
      <c r="AB177" s="366"/>
      <c r="AD177" s="365"/>
      <c r="AE177" s="6"/>
      <c r="AF177" s="6"/>
      <c r="AG177" s="366"/>
      <c r="AI177" s="365"/>
      <c r="AJ177" s="6"/>
      <c r="AK177" s="6"/>
      <c r="AL177" s="366"/>
      <c r="AN177" s="365"/>
      <c r="AO177" s="6"/>
      <c r="AP177" s="6"/>
      <c r="AQ177" s="366"/>
      <c r="AS177" s="365"/>
      <c r="AT177" s="6"/>
      <c r="AU177" s="6"/>
      <c r="AV177" s="366"/>
      <c r="AX177" s="365"/>
      <c r="AY177" s="6"/>
      <c r="AZ177" s="6"/>
      <c r="BA177" s="366"/>
      <c r="BC177" s="365"/>
      <c r="BD177" s="6"/>
      <c r="BE177" s="6"/>
      <c r="BF177" s="366"/>
      <c r="BH177" s="365"/>
      <c r="BI177" s="6"/>
      <c r="BJ177" s="6"/>
      <c r="BK177" s="366"/>
      <c r="BM177" s="365"/>
      <c r="BN177" s="6"/>
      <c r="BO177" s="6"/>
      <c r="BP177" s="366"/>
    </row>
    <row r="178" spans="5:68" s="2" customFormat="1">
      <c r="E178" s="365"/>
      <c r="F178" s="6"/>
      <c r="G178" s="6"/>
      <c r="H178" s="366"/>
      <c r="J178" s="365"/>
      <c r="K178" s="6"/>
      <c r="L178" s="6"/>
      <c r="M178" s="366"/>
      <c r="O178" s="365"/>
      <c r="P178" s="6"/>
      <c r="Q178" s="6"/>
      <c r="R178" s="366"/>
      <c r="T178" s="365"/>
      <c r="U178" s="6"/>
      <c r="V178" s="6"/>
      <c r="W178" s="366"/>
      <c r="Y178" s="365"/>
      <c r="Z178" s="6"/>
      <c r="AA178" s="6"/>
      <c r="AB178" s="366"/>
      <c r="AD178" s="365"/>
      <c r="AE178" s="6"/>
      <c r="AF178" s="6"/>
      <c r="AG178" s="366"/>
      <c r="AI178" s="365"/>
      <c r="AJ178" s="6"/>
      <c r="AK178" s="6"/>
      <c r="AL178" s="366"/>
      <c r="AN178" s="365"/>
      <c r="AO178" s="6"/>
      <c r="AP178" s="6"/>
      <c r="AQ178" s="366"/>
      <c r="AS178" s="365"/>
      <c r="AT178" s="6"/>
      <c r="AU178" s="6"/>
      <c r="AV178" s="366"/>
      <c r="AX178" s="365"/>
      <c r="AY178" s="6"/>
      <c r="AZ178" s="6"/>
      <c r="BA178" s="366"/>
      <c r="BC178" s="365"/>
      <c r="BD178" s="6"/>
      <c r="BE178" s="6"/>
      <c r="BF178" s="366"/>
      <c r="BH178" s="365"/>
      <c r="BI178" s="6"/>
      <c r="BJ178" s="6"/>
      <c r="BK178" s="366"/>
      <c r="BM178" s="365"/>
      <c r="BN178" s="6"/>
      <c r="BO178" s="6"/>
      <c r="BP178" s="366"/>
    </row>
    <row r="179" spans="5:68" s="2" customFormat="1">
      <c r="E179" s="365"/>
      <c r="F179" s="6"/>
      <c r="G179" s="6"/>
      <c r="H179" s="366"/>
      <c r="J179" s="365"/>
      <c r="K179" s="6"/>
      <c r="L179" s="6"/>
      <c r="M179" s="366"/>
      <c r="O179" s="365"/>
      <c r="P179" s="6"/>
      <c r="Q179" s="6"/>
      <c r="R179" s="366"/>
      <c r="T179" s="365"/>
      <c r="U179" s="6"/>
      <c r="V179" s="6"/>
      <c r="W179" s="366"/>
      <c r="Y179" s="365"/>
      <c r="Z179" s="6"/>
      <c r="AA179" s="6"/>
      <c r="AB179" s="366"/>
      <c r="AD179" s="365"/>
      <c r="AE179" s="6"/>
      <c r="AF179" s="6"/>
      <c r="AG179" s="366"/>
      <c r="AI179" s="365"/>
      <c r="AJ179" s="6"/>
      <c r="AK179" s="6"/>
      <c r="AL179" s="366"/>
      <c r="AN179" s="365"/>
      <c r="AO179" s="6"/>
      <c r="AP179" s="6"/>
      <c r="AQ179" s="366"/>
      <c r="AS179" s="365"/>
      <c r="AT179" s="6"/>
      <c r="AU179" s="6"/>
      <c r="AV179" s="366"/>
      <c r="AX179" s="365"/>
      <c r="AY179" s="6"/>
      <c r="AZ179" s="6"/>
      <c r="BA179" s="366"/>
      <c r="BC179" s="365"/>
      <c r="BD179" s="6"/>
      <c r="BE179" s="6"/>
      <c r="BF179" s="366"/>
      <c r="BH179" s="365"/>
      <c r="BI179" s="6"/>
      <c r="BJ179" s="6"/>
      <c r="BK179" s="366"/>
      <c r="BM179" s="365"/>
      <c r="BN179" s="6"/>
      <c r="BO179" s="6"/>
      <c r="BP179" s="366"/>
    </row>
    <row r="180" spans="5:68" s="2" customFormat="1">
      <c r="E180" s="365"/>
      <c r="F180" s="6"/>
      <c r="G180" s="6"/>
      <c r="H180" s="366"/>
      <c r="J180" s="365"/>
      <c r="K180" s="6"/>
      <c r="L180" s="6"/>
      <c r="M180" s="366"/>
      <c r="O180" s="365"/>
      <c r="P180" s="6"/>
      <c r="Q180" s="6"/>
      <c r="R180" s="366"/>
      <c r="T180" s="365"/>
      <c r="U180" s="6"/>
      <c r="V180" s="6"/>
      <c r="W180" s="366"/>
      <c r="Y180" s="365"/>
      <c r="Z180" s="6"/>
      <c r="AA180" s="6"/>
      <c r="AB180" s="366"/>
      <c r="AD180" s="365"/>
      <c r="AE180" s="6"/>
      <c r="AF180" s="6"/>
      <c r="AG180" s="366"/>
      <c r="AI180" s="365"/>
      <c r="AJ180" s="6"/>
      <c r="AK180" s="6"/>
      <c r="AL180" s="366"/>
      <c r="AN180" s="365"/>
      <c r="AO180" s="6"/>
      <c r="AP180" s="6"/>
      <c r="AQ180" s="366"/>
      <c r="AS180" s="365"/>
      <c r="AT180" s="6"/>
      <c r="AU180" s="6"/>
      <c r="AV180" s="366"/>
      <c r="AX180" s="365"/>
      <c r="AY180" s="6"/>
      <c r="AZ180" s="6"/>
      <c r="BA180" s="366"/>
      <c r="BC180" s="365"/>
      <c r="BD180" s="6"/>
      <c r="BE180" s="6"/>
      <c r="BF180" s="366"/>
      <c r="BH180" s="365"/>
      <c r="BI180" s="6"/>
      <c r="BJ180" s="6"/>
      <c r="BK180" s="366"/>
      <c r="BM180" s="365"/>
      <c r="BN180" s="6"/>
      <c r="BO180" s="6"/>
      <c r="BP180" s="366"/>
    </row>
    <row r="181" spans="5:68" s="2" customFormat="1">
      <c r="E181" s="365"/>
      <c r="F181" s="6"/>
      <c r="G181" s="6"/>
      <c r="H181" s="366"/>
      <c r="J181" s="365"/>
      <c r="K181" s="6"/>
      <c r="L181" s="6"/>
      <c r="M181" s="366"/>
      <c r="O181" s="365"/>
      <c r="P181" s="6"/>
      <c r="Q181" s="6"/>
      <c r="R181" s="366"/>
      <c r="T181" s="365"/>
      <c r="U181" s="6"/>
      <c r="V181" s="6"/>
      <c r="W181" s="366"/>
      <c r="Y181" s="365"/>
      <c r="Z181" s="6"/>
      <c r="AA181" s="6"/>
      <c r="AB181" s="366"/>
      <c r="AD181" s="365"/>
      <c r="AE181" s="6"/>
      <c r="AF181" s="6"/>
      <c r="AG181" s="366"/>
      <c r="AI181" s="365"/>
      <c r="AJ181" s="6"/>
      <c r="AK181" s="6"/>
      <c r="AL181" s="366"/>
      <c r="AN181" s="365"/>
      <c r="AO181" s="6"/>
      <c r="AP181" s="6"/>
      <c r="AQ181" s="366"/>
      <c r="AS181" s="365"/>
      <c r="AT181" s="6"/>
      <c r="AU181" s="6"/>
      <c r="AV181" s="366"/>
      <c r="AX181" s="365"/>
      <c r="AY181" s="6"/>
      <c r="AZ181" s="6"/>
      <c r="BA181" s="366"/>
      <c r="BC181" s="365"/>
      <c r="BD181" s="6"/>
      <c r="BE181" s="6"/>
      <c r="BF181" s="366"/>
      <c r="BH181" s="365"/>
      <c r="BI181" s="6"/>
      <c r="BJ181" s="6"/>
      <c r="BK181" s="366"/>
      <c r="BM181" s="365"/>
      <c r="BN181" s="6"/>
      <c r="BO181" s="6"/>
      <c r="BP181" s="366"/>
    </row>
    <row r="182" spans="5:68" s="2" customFormat="1">
      <c r="E182" s="365"/>
      <c r="F182" s="6"/>
      <c r="G182" s="6"/>
      <c r="H182" s="366"/>
      <c r="J182" s="365"/>
      <c r="K182" s="6"/>
      <c r="L182" s="6"/>
      <c r="M182" s="366"/>
      <c r="O182" s="365"/>
      <c r="P182" s="6"/>
      <c r="Q182" s="6"/>
      <c r="R182" s="366"/>
      <c r="T182" s="365"/>
      <c r="U182" s="6"/>
      <c r="V182" s="6"/>
      <c r="W182" s="366"/>
      <c r="Y182" s="365"/>
      <c r="Z182" s="6"/>
      <c r="AA182" s="6"/>
      <c r="AB182" s="366"/>
      <c r="AD182" s="365"/>
      <c r="AE182" s="6"/>
      <c r="AF182" s="6"/>
      <c r="AG182" s="366"/>
      <c r="AI182" s="365"/>
      <c r="AJ182" s="6"/>
      <c r="AK182" s="6"/>
      <c r="AL182" s="366"/>
      <c r="AN182" s="365"/>
      <c r="AO182" s="6"/>
      <c r="AP182" s="6"/>
      <c r="AQ182" s="366"/>
      <c r="AS182" s="365"/>
      <c r="AT182" s="6"/>
      <c r="AU182" s="6"/>
      <c r="AV182" s="366"/>
      <c r="AX182" s="365"/>
      <c r="AY182" s="6"/>
      <c r="AZ182" s="6"/>
      <c r="BA182" s="366"/>
      <c r="BC182" s="365"/>
      <c r="BD182" s="6"/>
      <c r="BE182" s="6"/>
      <c r="BF182" s="366"/>
      <c r="BH182" s="365"/>
      <c r="BI182" s="6"/>
      <c r="BJ182" s="6"/>
      <c r="BK182" s="366"/>
      <c r="BM182" s="365"/>
      <c r="BN182" s="6"/>
      <c r="BO182" s="6"/>
      <c r="BP182" s="366"/>
    </row>
    <row r="183" spans="5:68" s="2" customFormat="1">
      <c r="E183" s="365"/>
      <c r="F183" s="6"/>
      <c r="G183" s="6"/>
      <c r="H183" s="366"/>
      <c r="J183" s="365"/>
      <c r="K183" s="6"/>
      <c r="L183" s="6"/>
      <c r="M183" s="366"/>
      <c r="O183" s="365"/>
      <c r="P183" s="6"/>
      <c r="Q183" s="6"/>
      <c r="R183" s="366"/>
      <c r="T183" s="365"/>
      <c r="U183" s="6"/>
      <c r="V183" s="6"/>
      <c r="W183" s="366"/>
      <c r="Y183" s="365"/>
      <c r="Z183" s="6"/>
      <c r="AA183" s="6"/>
      <c r="AB183" s="366"/>
      <c r="AD183" s="365"/>
      <c r="AE183" s="6"/>
      <c r="AF183" s="6"/>
      <c r="AG183" s="366"/>
      <c r="AI183" s="365"/>
      <c r="AJ183" s="6"/>
      <c r="AK183" s="6"/>
      <c r="AL183" s="366"/>
      <c r="AN183" s="365"/>
      <c r="AO183" s="6"/>
      <c r="AP183" s="6"/>
      <c r="AQ183" s="366"/>
      <c r="AS183" s="365"/>
      <c r="AT183" s="6"/>
      <c r="AU183" s="6"/>
      <c r="AV183" s="366"/>
      <c r="AX183" s="365"/>
      <c r="AY183" s="6"/>
      <c r="AZ183" s="6"/>
      <c r="BA183" s="366"/>
      <c r="BC183" s="365"/>
      <c r="BD183" s="6"/>
      <c r="BE183" s="6"/>
      <c r="BF183" s="366"/>
      <c r="BH183" s="365"/>
      <c r="BI183" s="6"/>
      <c r="BJ183" s="6"/>
      <c r="BK183" s="366"/>
      <c r="BM183" s="365"/>
      <c r="BN183" s="6"/>
      <c r="BO183" s="6"/>
      <c r="BP183" s="366"/>
    </row>
    <row r="184" spans="5:68" s="2" customFormat="1">
      <c r="E184" s="365"/>
      <c r="F184" s="6"/>
      <c r="G184" s="6"/>
      <c r="H184" s="366"/>
      <c r="J184" s="365"/>
      <c r="K184" s="6"/>
      <c r="L184" s="6"/>
      <c r="M184" s="366"/>
      <c r="O184" s="365"/>
      <c r="P184" s="6"/>
      <c r="Q184" s="6"/>
      <c r="R184" s="366"/>
      <c r="T184" s="365"/>
      <c r="U184" s="6"/>
      <c r="V184" s="6"/>
      <c r="W184" s="366"/>
      <c r="Y184" s="365"/>
      <c r="Z184" s="6"/>
      <c r="AA184" s="6"/>
      <c r="AB184" s="366"/>
      <c r="AD184" s="365"/>
      <c r="AE184" s="6"/>
      <c r="AF184" s="6"/>
      <c r="AG184" s="366"/>
      <c r="AI184" s="365"/>
      <c r="AJ184" s="6"/>
      <c r="AK184" s="6"/>
      <c r="AL184" s="366"/>
      <c r="AN184" s="365"/>
      <c r="AO184" s="6"/>
      <c r="AP184" s="6"/>
      <c r="AQ184" s="366"/>
      <c r="AS184" s="365"/>
      <c r="AT184" s="6"/>
      <c r="AU184" s="6"/>
      <c r="AV184" s="366"/>
      <c r="AX184" s="365"/>
      <c r="AY184" s="6"/>
      <c r="AZ184" s="6"/>
      <c r="BA184" s="366"/>
      <c r="BC184" s="365"/>
      <c r="BD184" s="6"/>
      <c r="BE184" s="6"/>
      <c r="BF184" s="366"/>
      <c r="BH184" s="365"/>
      <c r="BI184" s="6"/>
      <c r="BJ184" s="6"/>
      <c r="BK184" s="366"/>
      <c r="BM184" s="365"/>
      <c r="BN184" s="6"/>
      <c r="BO184" s="6"/>
      <c r="BP184" s="366"/>
    </row>
    <row r="185" spans="5:68" s="2" customFormat="1">
      <c r="E185" s="365"/>
      <c r="F185" s="6"/>
      <c r="G185" s="6"/>
      <c r="H185" s="366"/>
      <c r="J185" s="365"/>
      <c r="K185" s="6"/>
      <c r="L185" s="6"/>
      <c r="M185" s="366"/>
      <c r="O185" s="365"/>
      <c r="P185" s="6"/>
      <c r="Q185" s="6"/>
      <c r="R185" s="366"/>
      <c r="T185" s="365"/>
      <c r="U185" s="6"/>
      <c r="V185" s="6"/>
      <c r="W185" s="366"/>
      <c r="Y185" s="365"/>
      <c r="Z185" s="6"/>
      <c r="AA185" s="6"/>
      <c r="AB185" s="366"/>
      <c r="AD185" s="365"/>
      <c r="AE185" s="6"/>
      <c r="AF185" s="6"/>
      <c r="AG185" s="366"/>
      <c r="AI185" s="365"/>
      <c r="AJ185" s="6"/>
      <c r="AK185" s="6"/>
      <c r="AL185" s="366"/>
      <c r="AN185" s="365"/>
      <c r="AO185" s="6"/>
      <c r="AP185" s="6"/>
      <c r="AQ185" s="366"/>
      <c r="AS185" s="365"/>
      <c r="AT185" s="6"/>
      <c r="AU185" s="6"/>
      <c r="AV185" s="366"/>
      <c r="AX185" s="365"/>
      <c r="AY185" s="6"/>
      <c r="AZ185" s="6"/>
      <c r="BA185" s="366"/>
      <c r="BC185" s="365"/>
      <c r="BD185" s="6"/>
      <c r="BE185" s="6"/>
      <c r="BF185" s="366"/>
      <c r="BH185" s="365"/>
      <c r="BI185" s="6"/>
      <c r="BJ185" s="6"/>
      <c r="BK185" s="366"/>
      <c r="BM185" s="365"/>
      <c r="BN185" s="6"/>
      <c r="BO185" s="6"/>
      <c r="BP185" s="366"/>
    </row>
    <row r="186" spans="5:68" s="2" customFormat="1">
      <c r="E186" s="365"/>
      <c r="F186" s="6"/>
      <c r="G186" s="6"/>
      <c r="H186" s="366"/>
      <c r="J186" s="365"/>
      <c r="K186" s="6"/>
      <c r="L186" s="6"/>
      <c r="M186" s="366"/>
      <c r="O186" s="365"/>
      <c r="P186" s="6"/>
      <c r="Q186" s="6"/>
      <c r="R186" s="366"/>
      <c r="T186" s="365"/>
      <c r="U186" s="6"/>
      <c r="V186" s="6"/>
      <c r="W186" s="366"/>
      <c r="Y186" s="365"/>
      <c r="Z186" s="6"/>
      <c r="AA186" s="6"/>
      <c r="AB186" s="366"/>
      <c r="AD186" s="365"/>
      <c r="AE186" s="6"/>
      <c r="AF186" s="6"/>
      <c r="AG186" s="366"/>
      <c r="AI186" s="365"/>
      <c r="AJ186" s="6"/>
      <c r="AK186" s="6"/>
      <c r="AL186" s="366"/>
      <c r="AN186" s="365"/>
      <c r="AO186" s="6"/>
      <c r="AP186" s="6"/>
      <c r="AQ186" s="366"/>
      <c r="AS186" s="365"/>
      <c r="AT186" s="6"/>
      <c r="AU186" s="6"/>
      <c r="AV186" s="366"/>
      <c r="AX186" s="365"/>
      <c r="AY186" s="6"/>
      <c r="AZ186" s="6"/>
      <c r="BA186" s="366"/>
      <c r="BC186" s="365"/>
      <c r="BD186" s="6"/>
      <c r="BE186" s="6"/>
      <c r="BF186" s="366"/>
      <c r="BH186" s="365"/>
      <c r="BI186" s="6"/>
      <c r="BJ186" s="6"/>
      <c r="BK186" s="366"/>
      <c r="BM186" s="365"/>
      <c r="BN186" s="6"/>
      <c r="BO186" s="6"/>
      <c r="BP186" s="366"/>
    </row>
    <row r="187" spans="5:68" s="2" customFormat="1">
      <c r="E187" s="365"/>
      <c r="F187" s="6"/>
      <c r="G187" s="6"/>
      <c r="H187" s="366"/>
      <c r="J187" s="365"/>
      <c r="K187" s="6"/>
      <c r="L187" s="6"/>
      <c r="M187" s="366"/>
      <c r="O187" s="365"/>
      <c r="P187" s="6"/>
      <c r="Q187" s="6"/>
      <c r="R187" s="366"/>
      <c r="T187" s="365"/>
      <c r="U187" s="6"/>
      <c r="V187" s="6"/>
      <c r="W187" s="366"/>
      <c r="Y187" s="365"/>
      <c r="Z187" s="6"/>
      <c r="AA187" s="6"/>
      <c r="AB187" s="366"/>
      <c r="AD187" s="365"/>
      <c r="AE187" s="6"/>
      <c r="AF187" s="6"/>
      <c r="AG187" s="366"/>
      <c r="AI187" s="365"/>
      <c r="AJ187" s="6"/>
      <c r="AK187" s="6"/>
      <c r="AL187" s="366"/>
      <c r="AN187" s="365"/>
      <c r="AO187" s="6"/>
      <c r="AP187" s="6"/>
      <c r="AQ187" s="366"/>
      <c r="AS187" s="365"/>
      <c r="AT187" s="6"/>
      <c r="AU187" s="6"/>
      <c r="AV187" s="366"/>
      <c r="AX187" s="365"/>
      <c r="AY187" s="6"/>
      <c r="AZ187" s="6"/>
      <c r="BA187" s="366"/>
      <c r="BC187" s="365"/>
      <c r="BD187" s="6"/>
      <c r="BE187" s="6"/>
      <c r="BF187" s="366"/>
      <c r="BH187" s="365"/>
      <c r="BI187" s="6"/>
      <c r="BJ187" s="6"/>
      <c r="BK187" s="366"/>
      <c r="BM187" s="365"/>
      <c r="BN187" s="6"/>
      <c r="BO187" s="6"/>
      <c r="BP187" s="366"/>
    </row>
    <row r="188" spans="5:68" s="2" customFormat="1">
      <c r="E188" s="365"/>
      <c r="F188" s="6"/>
      <c r="G188" s="6"/>
      <c r="H188" s="366"/>
      <c r="J188" s="365"/>
      <c r="K188" s="6"/>
      <c r="L188" s="6"/>
      <c r="M188" s="366"/>
      <c r="O188" s="365"/>
      <c r="P188" s="6"/>
      <c r="Q188" s="6"/>
      <c r="R188" s="366"/>
      <c r="T188" s="365"/>
      <c r="U188" s="6"/>
      <c r="V188" s="6"/>
      <c r="W188" s="366"/>
      <c r="Y188" s="365"/>
      <c r="Z188" s="6"/>
      <c r="AA188" s="6"/>
      <c r="AB188" s="366"/>
      <c r="AD188" s="365"/>
      <c r="AE188" s="6"/>
      <c r="AF188" s="6"/>
      <c r="AG188" s="366"/>
      <c r="AI188" s="365"/>
      <c r="AJ188" s="6"/>
      <c r="AK188" s="6"/>
      <c r="AL188" s="366"/>
      <c r="AN188" s="365"/>
      <c r="AO188" s="6"/>
      <c r="AP188" s="6"/>
      <c r="AQ188" s="366"/>
      <c r="AS188" s="365"/>
      <c r="AT188" s="6"/>
      <c r="AU188" s="6"/>
      <c r="AV188" s="366"/>
      <c r="AX188" s="365"/>
      <c r="AY188" s="6"/>
      <c r="AZ188" s="6"/>
      <c r="BA188" s="366"/>
      <c r="BC188" s="365"/>
      <c r="BD188" s="6"/>
      <c r="BE188" s="6"/>
      <c r="BF188" s="366"/>
      <c r="BH188" s="365"/>
      <c r="BI188" s="6"/>
      <c r="BJ188" s="6"/>
      <c r="BK188" s="366"/>
      <c r="BM188" s="365"/>
      <c r="BN188" s="6"/>
      <c r="BO188" s="6"/>
      <c r="BP188" s="366"/>
    </row>
    <row r="189" spans="5:68" s="2" customFormat="1">
      <c r="E189" s="365"/>
      <c r="F189" s="6"/>
      <c r="G189" s="6"/>
      <c r="H189" s="366"/>
      <c r="J189" s="365"/>
      <c r="K189" s="6"/>
      <c r="L189" s="6"/>
      <c r="M189" s="366"/>
      <c r="O189" s="365"/>
      <c r="P189" s="6"/>
      <c r="Q189" s="6"/>
      <c r="R189" s="366"/>
      <c r="T189" s="365"/>
      <c r="U189" s="6"/>
      <c r="V189" s="6"/>
      <c r="W189" s="366"/>
      <c r="Y189" s="365"/>
      <c r="Z189" s="6"/>
      <c r="AA189" s="6"/>
      <c r="AB189" s="366"/>
      <c r="AD189" s="365"/>
      <c r="AE189" s="6"/>
      <c r="AF189" s="6"/>
      <c r="AG189" s="366"/>
      <c r="AI189" s="365"/>
      <c r="AJ189" s="6"/>
      <c r="AK189" s="6"/>
      <c r="AL189" s="366"/>
      <c r="AN189" s="365"/>
      <c r="AO189" s="6"/>
      <c r="AP189" s="6"/>
      <c r="AQ189" s="366"/>
      <c r="AS189" s="365"/>
      <c r="AT189" s="6"/>
      <c r="AU189" s="6"/>
      <c r="AV189" s="366"/>
      <c r="AX189" s="365"/>
      <c r="AY189" s="6"/>
      <c r="AZ189" s="6"/>
      <c r="BA189" s="366"/>
      <c r="BC189" s="365"/>
      <c r="BD189" s="6"/>
      <c r="BE189" s="6"/>
      <c r="BF189" s="366"/>
      <c r="BH189" s="365"/>
      <c r="BI189" s="6"/>
      <c r="BJ189" s="6"/>
      <c r="BK189" s="366"/>
      <c r="BM189" s="365"/>
      <c r="BN189" s="6"/>
      <c r="BO189" s="6"/>
      <c r="BP189" s="366"/>
    </row>
    <row r="190" spans="5:68" s="2" customFormat="1">
      <c r="E190" s="365"/>
      <c r="F190" s="6"/>
      <c r="G190" s="6"/>
      <c r="H190" s="366"/>
      <c r="J190" s="365"/>
      <c r="K190" s="6"/>
      <c r="L190" s="6"/>
      <c r="M190" s="366"/>
      <c r="O190" s="365"/>
      <c r="P190" s="6"/>
      <c r="Q190" s="6"/>
      <c r="R190" s="366"/>
      <c r="T190" s="365"/>
      <c r="U190" s="6"/>
      <c r="V190" s="6"/>
      <c r="W190" s="366"/>
      <c r="Y190" s="365"/>
      <c r="Z190" s="6"/>
      <c r="AA190" s="6"/>
      <c r="AB190" s="366"/>
      <c r="AD190" s="365"/>
      <c r="AE190" s="6"/>
      <c r="AF190" s="6"/>
      <c r="AG190" s="366"/>
      <c r="AI190" s="365"/>
      <c r="AJ190" s="6"/>
      <c r="AK190" s="6"/>
      <c r="AL190" s="366"/>
      <c r="AN190" s="365"/>
      <c r="AO190" s="6"/>
      <c r="AP190" s="6"/>
      <c r="AQ190" s="366"/>
      <c r="AS190" s="365"/>
      <c r="AT190" s="6"/>
      <c r="AU190" s="6"/>
      <c r="AV190" s="366"/>
      <c r="AX190" s="365"/>
      <c r="AY190" s="6"/>
      <c r="AZ190" s="6"/>
      <c r="BA190" s="366"/>
      <c r="BC190" s="365"/>
      <c r="BD190" s="6"/>
      <c r="BE190" s="6"/>
      <c r="BF190" s="366"/>
      <c r="BH190" s="365"/>
      <c r="BI190" s="6"/>
      <c r="BJ190" s="6"/>
      <c r="BK190" s="366"/>
      <c r="BM190" s="365"/>
      <c r="BN190" s="6"/>
      <c r="BO190" s="6"/>
      <c r="BP190" s="366"/>
    </row>
    <row r="191" spans="5:68" s="2" customFormat="1">
      <c r="E191" s="365"/>
      <c r="F191" s="6"/>
      <c r="G191" s="6"/>
      <c r="H191" s="366"/>
      <c r="J191" s="365"/>
      <c r="K191" s="6"/>
      <c r="L191" s="6"/>
      <c r="M191" s="366"/>
      <c r="O191" s="365"/>
      <c r="P191" s="6"/>
      <c r="Q191" s="6"/>
      <c r="R191" s="366"/>
      <c r="T191" s="365"/>
      <c r="U191" s="6"/>
      <c r="V191" s="6"/>
      <c r="W191" s="366"/>
      <c r="Y191" s="365"/>
      <c r="Z191" s="6"/>
      <c r="AA191" s="6"/>
      <c r="AB191" s="366"/>
      <c r="AD191" s="365"/>
      <c r="AE191" s="6"/>
      <c r="AF191" s="6"/>
      <c r="AG191" s="366"/>
      <c r="AI191" s="365"/>
      <c r="AJ191" s="6"/>
      <c r="AK191" s="6"/>
      <c r="AL191" s="366"/>
      <c r="AN191" s="365"/>
      <c r="AO191" s="6"/>
      <c r="AP191" s="6"/>
      <c r="AQ191" s="366"/>
      <c r="AS191" s="365"/>
      <c r="AT191" s="6"/>
      <c r="AU191" s="6"/>
      <c r="AV191" s="366"/>
      <c r="AX191" s="365"/>
      <c r="AY191" s="6"/>
      <c r="AZ191" s="6"/>
      <c r="BA191" s="366"/>
      <c r="BC191" s="365"/>
      <c r="BD191" s="6"/>
      <c r="BE191" s="6"/>
      <c r="BF191" s="366"/>
      <c r="BH191" s="365"/>
      <c r="BI191" s="6"/>
      <c r="BJ191" s="6"/>
      <c r="BK191" s="366"/>
      <c r="BM191" s="365"/>
      <c r="BN191" s="6"/>
      <c r="BO191" s="6"/>
      <c r="BP191" s="366"/>
    </row>
    <row r="192" spans="5:68" s="2" customFormat="1">
      <c r="E192" s="365"/>
      <c r="F192" s="6"/>
      <c r="G192" s="6"/>
      <c r="H192" s="366"/>
      <c r="J192" s="365"/>
      <c r="K192" s="6"/>
      <c r="L192" s="6"/>
      <c r="M192" s="366"/>
      <c r="O192" s="365"/>
      <c r="P192" s="6"/>
      <c r="Q192" s="6"/>
      <c r="R192" s="366"/>
      <c r="T192" s="365"/>
      <c r="U192" s="6"/>
      <c r="V192" s="6"/>
      <c r="W192" s="366"/>
      <c r="Y192" s="365"/>
      <c r="Z192" s="6"/>
      <c r="AA192" s="6"/>
      <c r="AB192" s="366"/>
      <c r="AD192" s="365"/>
      <c r="AE192" s="6"/>
      <c r="AF192" s="6"/>
      <c r="AG192" s="366"/>
      <c r="AI192" s="365"/>
      <c r="AJ192" s="6"/>
      <c r="AK192" s="6"/>
      <c r="AL192" s="366"/>
      <c r="AN192" s="365"/>
      <c r="AO192" s="6"/>
      <c r="AP192" s="6"/>
      <c r="AQ192" s="366"/>
      <c r="AS192" s="365"/>
      <c r="AT192" s="6"/>
      <c r="AU192" s="6"/>
      <c r="AV192" s="366"/>
      <c r="AX192" s="365"/>
      <c r="AY192" s="6"/>
      <c r="AZ192" s="6"/>
      <c r="BA192" s="366"/>
      <c r="BC192" s="365"/>
      <c r="BD192" s="6"/>
      <c r="BE192" s="6"/>
      <c r="BF192" s="366"/>
      <c r="BH192" s="365"/>
      <c r="BI192" s="6"/>
      <c r="BJ192" s="6"/>
      <c r="BK192" s="366"/>
      <c r="BM192" s="365"/>
      <c r="BN192" s="6"/>
      <c r="BO192" s="6"/>
      <c r="BP192" s="366"/>
    </row>
    <row r="193" spans="5:68" s="2" customFormat="1">
      <c r="E193" s="365"/>
      <c r="F193" s="6"/>
      <c r="G193" s="6"/>
      <c r="H193" s="366"/>
      <c r="J193" s="365"/>
      <c r="K193" s="6"/>
      <c r="L193" s="6"/>
      <c r="M193" s="366"/>
      <c r="O193" s="365"/>
      <c r="P193" s="6"/>
      <c r="Q193" s="6"/>
      <c r="R193" s="366"/>
      <c r="T193" s="365"/>
      <c r="U193" s="6"/>
      <c r="V193" s="6"/>
      <c r="W193" s="366"/>
      <c r="Y193" s="365"/>
      <c r="Z193" s="6"/>
      <c r="AA193" s="6"/>
      <c r="AB193" s="366"/>
      <c r="AD193" s="365"/>
      <c r="AE193" s="6"/>
      <c r="AF193" s="6"/>
      <c r="AG193" s="366"/>
      <c r="AI193" s="365"/>
      <c r="AJ193" s="6"/>
      <c r="AK193" s="6"/>
      <c r="AL193" s="366"/>
      <c r="AN193" s="365"/>
      <c r="AO193" s="6"/>
      <c r="AP193" s="6"/>
      <c r="AQ193" s="366"/>
      <c r="AS193" s="365"/>
      <c r="AT193" s="6"/>
      <c r="AU193" s="6"/>
      <c r="AV193" s="366"/>
      <c r="AX193" s="365"/>
      <c r="AY193" s="6"/>
      <c r="AZ193" s="6"/>
      <c r="BA193" s="366"/>
      <c r="BC193" s="365"/>
      <c r="BD193" s="6"/>
      <c r="BE193" s="6"/>
      <c r="BF193" s="366"/>
      <c r="BH193" s="365"/>
      <c r="BI193" s="6"/>
      <c r="BJ193" s="6"/>
      <c r="BK193" s="366"/>
      <c r="BM193" s="365"/>
      <c r="BN193" s="6"/>
      <c r="BO193" s="6"/>
      <c r="BP193" s="366"/>
    </row>
    <row r="194" spans="5:68" s="2" customFormat="1">
      <c r="E194" s="365"/>
      <c r="F194" s="6"/>
      <c r="G194" s="6"/>
      <c r="H194" s="366"/>
      <c r="J194" s="365"/>
      <c r="K194" s="6"/>
      <c r="L194" s="6"/>
      <c r="M194" s="366"/>
      <c r="O194" s="365"/>
      <c r="P194" s="6"/>
      <c r="Q194" s="6"/>
      <c r="R194" s="366"/>
      <c r="T194" s="365"/>
      <c r="U194" s="6"/>
      <c r="V194" s="6"/>
      <c r="W194" s="366"/>
      <c r="Y194" s="365"/>
      <c r="Z194" s="6"/>
      <c r="AA194" s="6"/>
      <c r="AB194" s="366"/>
      <c r="AD194" s="365"/>
      <c r="AE194" s="6"/>
      <c r="AF194" s="6"/>
      <c r="AG194" s="366"/>
      <c r="AI194" s="365"/>
      <c r="AJ194" s="6"/>
      <c r="AK194" s="6"/>
      <c r="AL194" s="366"/>
      <c r="AN194" s="365"/>
      <c r="AO194" s="6"/>
      <c r="AP194" s="6"/>
      <c r="AQ194" s="366"/>
      <c r="AS194" s="365"/>
      <c r="AT194" s="6"/>
      <c r="AU194" s="6"/>
      <c r="AV194" s="366"/>
      <c r="AX194" s="365"/>
      <c r="AY194" s="6"/>
      <c r="AZ194" s="6"/>
      <c r="BA194" s="366"/>
      <c r="BC194" s="365"/>
      <c r="BD194" s="6"/>
      <c r="BE194" s="6"/>
      <c r="BF194" s="366"/>
      <c r="BH194" s="365"/>
      <c r="BI194" s="6"/>
      <c r="BJ194" s="6"/>
      <c r="BK194" s="366"/>
      <c r="BM194" s="365"/>
      <c r="BN194" s="6"/>
      <c r="BO194" s="6"/>
      <c r="BP194" s="366"/>
    </row>
    <row r="195" spans="5:68" s="2" customFormat="1">
      <c r="E195" s="365"/>
      <c r="F195" s="6"/>
      <c r="G195" s="6"/>
      <c r="H195" s="366"/>
      <c r="J195" s="365"/>
      <c r="K195" s="6"/>
      <c r="L195" s="6"/>
      <c r="M195" s="366"/>
      <c r="O195" s="365"/>
      <c r="P195" s="6"/>
      <c r="Q195" s="6"/>
      <c r="R195" s="366"/>
      <c r="T195" s="365"/>
      <c r="U195" s="6"/>
      <c r="V195" s="6"/>
      <c r="W195" s="366"/>
      <c r="Y195" s="365"/>
      <c r="Z195" s="6"/>
      <c r="AA195" s="6"/>
      <c r="AB195" s="366"/>
      <c r="AD195" s="365"/>
      <c r="AE195" s="6"/>
      <c r="AF195" s="6"/>
      <c r="AG195" s="366"/>
      <c r="AI195" s="365"/>
      <c r="AJ195" s="6"/>
      <c r="AK195" s="6"/>
      <c r="AL195" s="366"/>
      <c r="AN195" s="365"/>
      <c r="AO195" s="6"/>
      <c r="AP195" s="6"/>
      <c r="AQ195" s="366"/>
      <c r="AS195" s="365"/>
      <c r="AT195" s="6"/>
      <c r="AU195" s="6"/>
      <c r="AV195" s="366"/>
      <c r="AX195" s="365"/>
      <c r="AY195" s="6"/>
      <c r="AZ195" s="6"/>
      <c r="BA195" s="366"/>
      <c r="BC195" s="365"/>
      <c r="BD195" s="6"/>
      <c r="BE195" s="6"/>
      <c r="BF195" s="366"/>
      <c r="BH195" s="365"/>
      <c r="BI195" s="6"/>
      <c r="BJ195" s="6"/>
      <c r="BK195" s="366"/>
      <c r="BM195" s="365"/>
      <c r="BN195" s="6"/>
      <c r="BO195" s="6"/>
      <c r="BP195" s="366"/>
    </row>
    <row r="196" spans="5:68" s="2" customFormat="1">
      <c r="E196" s="365"/>
      <c r="F196" s="6"/>
      <c r="G196" s="6"/>
      <c r="H196" s="366"/>
      <c r="J196" s="365"/>
      <c r="K196" s="6"/>
      <c r="L196" s="6"/>
      <c r="M196" s="366"/>
      <c r="O196" s="365"/>
      <c r="P196" s="6"/>
      <c r="Q196" s="6"/>
      <c r="R196" s="366"/>
      <c r="T196" s="365"/>
      <c r="U196" s="6"/>
      <c r="V196" s="6"/>
      <c r="W196" s="366"/>
      <c r="Y196" s="365"/>
      <c r="Z196" s="6"/>
      <c r="AA196" s="6"/>
      <c r="AB196" s="366"/>
      <c r="AD196" s="365"/>
      <c r="AE196" s="6"/>
      <c r="AF196" s="6"/>
      <c r="AG196" s="366"/>
      <c r="AI196" s="365"/>
      <c r="AJ196" s="6"/>
      <c r="AK196" s="6"/>
      <c r="AL196" s="366"/>
      <c r="AN196" s="365"/>
      <c r="AO196" s="6"/>
      <c r="AP196" s="6"/>
      <c r="AQ196" s="366"/>
      <c r="AS196" s="365"/>
      <c r="AT196" s="6"/>
      <c r="AU196" s="6"/>
      <c r="AV196" s="366"/>
      <c r="AX196" s="365"/>
      <c r="AY196" s="6"/>
      <c r="AZ196" s="6"/>
      <c r="BA196" s="366"/>
      <c r="BC196" s="365"/>
      <c r="BD196" s="6"/>
      <c r="BE196" s="6"/>
      <c r="BF196" s="366"/>
      <c r="BH196" s="365"/>
      <c r="BI196" s="6"/>
      <c r="BJ196" s="6"/>
      <c r="BK196" s="366"/>
      <c r="BM196" s="365"/>
      <c r="BN196" s="6"/>
      <c r="BO196" s="6"/>
      <c r="BP196" s="366"/>
    </row>
    <row r="197" spans="5:68" s="2" customFormat="1">
      <c r="E197" s="365"/>
      <c r="F197" s="6"/>
      <c r="G197" s="6"/>
      <c r="H197" s="366"/>
      <c r="J197" s="365"/>
      <c r="K197" s="6"/>
      <c r="L197" s="6"/>
      <c r="M197" s="366"/>
      <c r="O197" s="365"/>
      <c r="P197" s="6"/>
      <c r="Q197" s="6"/>
      <c r="R197" s="366"/>
      <c r="T197" s="365"/>
      <c r="U197" s="6"/>
      <c r="V197" s="6"/>
      <c r="W197" s="366"/>
      <c r="Y197" s="365"/>
      <c r="Z197" s="6"/>
      <c r="AA197" s="6"/>
      <c r="AB197" s="366"/>
      <c r="AD197" s="365"/>
      <c r="AE197" s="6"/>
      <c r="AF197" s="6"/>
      <c r="AG197" s="366"/>
      <c r="AI197" s="365"/>
      <c r="AJ197" s="6"/>
      <c r="AK197" s="6"/>
      <c r="AL197" s="366"/>
      <c r="AN197" s="365"/>
      <c r="AO197" s="6"/>
      <c r="AP197" s="6"/>
      <c r="AQ197" s="366"/>
      <c r="AS197" s="365"/>
      <c r="AT197" s="6"/>
      <c r="AU197" s="6"/>
      <c r="AV197" s="366"/>
      <c r="AX197" s="365"/>
      <c r="AY197" s="6"/>
      <c r="AZ197" s="6"/>
      <c r="BA197" s="366"/>
      <c r="BC197" s="365"/>
      <c r="BD197" s="6"/>
      <c r="BE197" s="6"/>
      <c r="BF197" s="366"/>
      <c r="BH197" s="365"/>
      <c r="BI197" s="6"/>
      <c r="BJ197" s="6"/>
      <c r="BK197" s="366"/>
      <c r="BM197" s="365"/>
      <c r="BN197" s="6"/>
      <c r="BO197" s="6"/>
      <c r="BP197" s="366"/>
    </row>
    <row r="198" spans="5:68" s="2" customFormat="1">
      <c r="E198" s="365"/>
      <c r="F198" s="6"/>
      <c r="G198" s="6"/>
      <c r="H198" s="366"/>
      <c r="J198" s="365"/>
      <c r="K198" s="6"/>
      <c r="L198" s="6"/>
      <c r="M198" s="366"/>
      <c r="O198" s="365"/>
      <c r="P198" s="6"/>
      <c r="Q198" s="6"/>
      <c r="R198" s="366"/>
      <c r="T198" s="365"/>
      <c r="U198" s="6"/>
      <c r="V198" s="6"/>
      <c r="W198" s="366"/>
      <c r="Y198" s="365"/>
      <c r="Z198" s="6"/>
      <c r="AA198" s="6"/>
      <c r="AB198" s="366"/>
      <c r="AD198" s="365"/>
      <c r="AE198" s="6"/>
      <c r="AF198" s="6"/>
      <c r="AG198" s="366"/>
      <c r="AI198" s="365"/>
      <c r="AJ198" s="6"/>
      <c r="AK198" s="6"/>
      <c r="AL198" s="366"/>
      <c r="AN198" s="365"/>
      <c r="AO198" s="6"/>
      <c r="AP198" s="6"/>
      <c r="AQ198" s="366"/>
      <c r="AS198" s="365"/>
      <c r="AT198" s="6"/>
      <c r="AU198" s="6"/>
      <c r="AV198" s="366"/>
      <c r="AX198" s="365"/>
      <c r="AY198" s="6"/>
      <c r="AZ198" s="6"/>
      <c r="BA198" s="366"/>
      <c r="BC198" s="365"/>
      <c r="BD198" s="6"/>
      <c r="BE198" s="6"/>
      <c r="BF198" s="366"/>
      <c r="BH198" s="365"/>
      <c r="BI198" s="6"/>
      <c r="BJ198" s="6"/>
      <c r="BK198" s="366"/>
      <c r="BM198" s="365"/>
      <c r="BN198" s="6"/>
      <c r="BO198" s="6"/>
      <c r="BP198" s="366"/>
    </row>
    <row r="199" spans="5:68" s="2" customFormat="1">
      <c r="T199" s="365"/>
      <c r="U199" s="6"/>
      <c r="V199" s="6"/>
      <c r="W199" s="366"/>
      <c r="Y199" s="365"/>
      <c r="Z199" s="6"/>
      <c r="AA199" s="6"/>
      <c r="AB199" s="366"/>
      <c r="AD199" s="365"/>
      <c r="AE199" s="6"/>
      <c r="AF199" s="6"/>
      <c r="AG199" s="366"/>
      <c r="AI199" s="365"/>
      <c r="AJ199" s="6"/>
      <c r="AK199" s="6"/>
      <c r="AL199" s="366"/>
      <c r="AN199" s="365"/>
      <c r="AO199" s="6"/>
      <c r="AP199" s="6"/>
      <c r="AQ199" s="366"/>
      <c r="AS199" s="365"/>
      <c r="AT199" s="6"/>
      <c r="AU199" s="6"/>
      <c r="AV199" s="366"/>
      <c r="AX199" s="365"/>
      <c r="AY199" s="6"/>
      <c r="AZ199" s="6"/>
      <c r="BA199" s="366"/>
      <c r="BC199" s="365"/>
      <c r="BD199" s="6"/>
      <c r="BE199" s="6"/>
      <c r="BF199" s="366"/>
      <c r="BH199" s="365"/>
      <c r="BI199" s="6"/>
      <c r="BJ199" s="6"/>
      <c r="BK199" s="366"/>
      <c r="BM199" s="365"/>
      <c r="BN199" s="6"/>
      <c r="BO199" s="6"/>
      <c r="BP199" s="366"/>
    </row>
    <row r="200" spans="5:68" s="2" customFormat="1"/>
    <row r="201" spans="5:68" s="2" customFormat="1"/>
    <row r="202" spans="5:68" s="2" customFormat="1"/>
  </sheetData>
  <phoneticPr fontId="2" type="noConversion"/>
  <pageMargins left="0.75" right="0.75" top="1" bottom="1" header="0.5" footer="0.5"/>
  <pageSetup scale="73" orientation="portrait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autoPageBreaks="0"/>
  </sheetPr>
  <dimension ref="A1:CZ129"/>
  <sheetViews>
    <sheetView zoomScale="85" zoomScaleNormal="85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E7" sqref="E7"/>
    </sheetView>
  </sheetViews>
  <sheetFormatPr defaultRowHeight="12.75" customHeight="1" outlineLevelCol="1"/>
  <cols>
    <col min="1" max="2" width="2.7109375" customWidth="1"/>
    <col min="3" max="3" width="56.28515625" customWidth="1"/>
    <col min="4" max="4" width="3.28515625" customWidth="1"/>
    <col min="5" max="7" width="7.7109375" customWidth="1"/>
    <col min="8" max="8" width="11.28515625" customWidth="1"/>
    <col min="9" max="10" width="7.7109375" customWidth="1"/>
    <col min="11" max="11" width="1.85546875" customWidth="1"/>
    <col min="12" max="12" width="8.85546875" customWidth="1"/>
    <col min="13" max="16" width="8.85546875" hidden="1" customWidth="1" outlineLevel="1"/>
    <col min="17" max="17" width="8.85546875" customWidth="1" collapsed="1"/>
    <col min="18" max="21" width="8.85546875" hidden="1" customWidth="1" outlineLevel="1"/>
    <col min="22" max="22" width="8.85546875" customWidth="1" collapsed="1"/>
    <col min="23" max="26" width="8.85546875" hidden="1" customWidth="1" outlineLevel="1"/>
    <col min="27" max="27" width="8.85546875" customWidth="1" collapsed="1"/>
    <col min="28" max="31" width="8.85546875" hidden="1" customWidth="1" outlineLevel="1"/>
    <col min="32" max="32" width="8.85546875" customWidth="1" collapsed="1"/>
    <col min="33" max="36" width="8.85546875" hidden="1" customWidth="1" outlineLevel="1"/>
    <col min="37" max="37" width="8.85546875" customWidth="1" collapsed="1"/>
    <col min="38" max="41" width="8.85546875" hidden="1" customWidth="1" outlineLevel="1"/>
    <col min="42" max="42" width="8.85546875" customWidth="1" collapsed="1"/>
    <col min="43" max="46" width="8.85546875" hidden="1" customWidth="1" outlineLevel="1"/>
    <col min="47" max="47" width="8.85546875" customWidth="1" collapsed="1"/>
    <col min="48" max="51" width="8.85546875" hidden="1" customWidth="1" outlineLevel="1"/>
    <col min="52" max="52" width="8.85546875" customWidth="1" collapsed="1"/>
    <col min="53" max="56" width="8.85546875" hidden="1" customWidth="1" outlineLevel="1"/>
    <col min="57" max="57" width="8.85546875" customWidth="1" collapsed="1"/>
    <col min="58" max="58" width="2.5703125" customWidth="1"/>
    <col min="59" max="59" width="8.7109375" customWidth="1"/>
    <col min="60" max="63" width="8.7109375" hidden="1" customWidth="1" outlineLevel="1"/>
    <col min="64" max="64" width="8.7109375" customWidth="1" collapsed="1"/>
    <col min="65" max="68" width="8.7109375" hidden="1" customWidth="1" outlineLevel="1"/>
    <col min="69" max="69" width="8.7109375" customWidth="1" collapsed="1"/>
    <col min="70" max="73" width="8.7109375" hidden="1" customWidth="1" outlineLevel="1"/>
    <col min="74" max="74" width="8.7109375" customWidth="1" collapsed="1"/>
    <col min="75" max="78" width="8.7109375" hidden="1" customWidth="1" outlineLevel="1"/>
    <col min="79" max="79" width="8.7109375" customWidth="1" collapsed="1"/>
    <col min="80" max="83" width="8.7109375" hidden="1" customWidth="1" outlineLevel="1"/>
    <col min="84" max="84" width="8.7109375" customWidth="1" collapsed="1"/>
    <col min="85" max="88" width="8.7109375" hidden="1" customWidth="1" outlineLevel="1"/>
    <col min="89" max="89" width="8.7109375" customWidth="1" collapsed="1"/>
    <col min="90" max="93" width="8.7109375" hidden="1" customWidth="1" outlineLevel="1"/>
    <col min="94" max="94" width="8.7109375" customWidth="1" collapsed="1"/>
    <col min="95" max="98" width="8.7109375" hidden="1" customWidth="1" outlineLevel="1"/>
    <col min="99" max="99" width="8.7109375" customWidth="1" collapsed="1"/>
    <col min="100" max="103" width="8.7109375" hidden="1" customWidth="1" outlineLevel="1"/>
    <col min="104" max="104" width="8.7109375" customWidth="1" collapsed="1"/>
  </cols>
  <sheetData>
    <row r="1" spans="1:104" ht="15" customHeight="1">
      <c r="A1" s="9"/>
      <c r="B1" s="9"/>
      <c r="C1" s="9"/>
      <c r="D1" s="11"/>
      <c r="E1" s="12"/>
      <c r="F1" s="12"/>
      <c r="G1" s="12"/>
      <c r="H1" s="12"/>
      <c r="I1" s="12"/>
      <c r="J1" s="12"/>
      <c r="K1" s="12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8"/>
      <c r="BO1" s="78"/>
      <c r="BP1" s="7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78"/>
      <c r="CJ1" s="78"/>
      <c r="CK1" s="78"/>
      <c r="CL1" s="78"/>
      <c r="CM1" s="78"/>
      <c r="CN1" s="78"/>
      <c r="CO1" s="78"/>
      <c r="CP1" s="78"/>
      <c r="CQ1" s="78"/>
      <c r="CR1" s="78"/>
      <c r="CS1" s="78"/>
      <c r="CT1" s="78"/>
      <c r="CU1" s="78"/>
      <c r="CV1" s="78"/>
      <c r="CW1" s="78"/>
      <c r="CX1" s="78"/>
      <c r="CY1" s="78"/>
      <c r="CZ1" s="78"/>
    </row>
    <row r="2" spans="1:104" ht="15" customHeight="1">
      <c r="A2" s="9"/>
      <c r="B2" s="644" t="str">
        <f>Cover!$B$2</f>
        <v>Public Service Enterprise Group</v>
      </c>
      <c r="C2" s="9"/>
      <c r="D2" s="11"/>
      <c r="E2" s="12"/>
      <c r="F2" s="12"/>
      <c r="G2" s="12"/>
      <c r="H2" s="12"/>
      <c r="I2" s="12"/>
      <c r="J2" s="12"/>
      <c r="K2" s="12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8"/>
      <c r="AX2" s="78"/>
      <c r="AY2" s="78"/>
      <c r="AZ2" s="78"/>
      <c r="BA2" s="78"/>
      <c r="BB2" s="78"/>
      <c r="BC2" s="78"/>
      <c r="BD2" s="78"/>
      <c r="BE2" s="78"/>
      <c r="BF2" s="78"/>
      <c r="BG2" s="78"/>
      <c r="BH2" s="78"/>
      <c r="BI2" s="78"/>
      <c r="BJ2" s="78"/>
      <c r="BK2" s="78"/>
      <c r="BL2" s="78"/>
      <c r="BM2" s="78"/>
      <c r="BN2" s="78"/>
      <c r="BO2" s="78"/>
      <c r="BP2" s="78"/>
      <c r="BQ2" s="78"/>
      <c r="BR2" s="78"/>
      <c r="BS2" s="78"/>
      <c r="BT2" s="78"/>
      <c r="BU2" s="78"/>
      <c r="BV2" s="78"/>
      <c r="BW2" s="78"/>
      <c r="BX2" s="78"/>
      <c r="BY2" s="78"/>
      <c r="BZ2" s="78"/>
      <c r="CA2" s="78"/>
      <c r="CB2" s="78"/>
      <c r="CC2" s="78"/>
      <c r="CD2" s="78"/>
      <c r="CE2" s="78"/>
      <c r="CF2" s="78"/>
      <c r="CG2" s="78"/>
      <c r="CH2" s="78"/>
      <c r="CI2" s="78"/>
      <c r="CJ2" s="78"/>
      <c r="CK2" s="78"/>
      <c r="CL2" s="78"/>
      <c r="CM2" s="78"/>
      <c r="CN2" s="78"/>
      <c r="CO2" s="78"/>
      <c r="CP2" s="78"/>
      <c r="CQ2" s="78"/>
      <c r="CR2" s="78"/>
      <c r="CS2" s="78"/>
      <c r="CT2" s="78"/>
      <c r="CU2" s="78"/>
      <c r="CV2" s="78"/>
      <c r="CW2" s="78"/>
      <c r="CX2" s="78"/>
      <c r="CY2" s="78"/>
      <c r="CZ2" s="78"/>
    </row>
    <row r="3" spans="1:104" ht="15" customHeight="1">
      <c r="A3" s="10"/>
      <c r="B3" s="79" t="s">
        <v>573</v>
      </c>
      <c r="C3" s="10"/>
      <c r="D3" s="12"/>
      <c r="E3" s="12"/>
      <c r="F3" s="12"/>
      <c r="G3" s="12"/>
      <c r="H3" s="12"/>
      <c r="I3" s="12"/>
      <c r="J3" s="12"/>
      <c r="K3" s="12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78"/>
      <c r="AW3" s="78"/>
      <c r="AX3" s="78"/>
      <c r="AY3" s="78"/>
      <c r="AZ3" s="78"/>
      <c r="BA3" s="78"/>
      <c r="BB3" s="78"/>
      <c r="BC3" s="78"/>
      <c r="BD3" s="78"/>
      <c r="BE3" s="78"/>
      <c r="BF3" s="78"/>
      <c r="BG3" s="78"/>
      <c r="BH3" s="78"/>
      <c r="BI3" s="78"/>
      <c r="BJ3" s="78"/>
      <c r="BK3" s="78"/>
      <c r="BL3" s="78"/>
      <c r="BM3" s="78"/>
      <c r="BN3" s="78"/>
      <c r="BO3" s="78"/>
      <c r="BP3" s="78"/>
      <c r="BQ3" s="78"/>
      <c r="BR3" s="78"/>
      <c r="BS3" s="78"/>
      <c r="BT3" s="78"/>
      <c r="BU3" s="78"/>
      <c r="BV3" s="78"/>
      <c r="BW3" s="78"/>
      <c r="BX3" s="78"/>
      <c r="BY3" s="78"/>
      <c r="BZ3" s="78"/>
      <c r="CA3" s="78"/>
      <c r="CB3" s="78"/>
      <c r="CC3" s="78"/>
      <c r="CD3" s="78"/>
      <c r="CE3" s="78"/>
      <c r="CF3" s="78"/>
      <c r="CG3" s="78"/>
      <c r="CH3" s="78"/>
      <c r="CI3" s="78"/>
      <c r="CJ3" s="78"/>
      <c r="CK3" s="78"/>
      <c r="CL3" s="78"/>
      <c r="CM3" s="78"/>
      <c r="CN3" s="78"/>
      <c r="CO3" s="78"/>
      <c r="CP3" s="78"/>
      <c r="CQ3" s="78"/>
      <c r="CR3" s="78"/>
      <c r="CS3" s="78"/>
      <c r="CT3" s="78"/>
      <c r="CU3" s="78"/>
      <c r="CV3" s="78"/>
      <c r="CW3" s="78"/>
      <c r="CX3" s="78"/>
      <c r="CY3" s="78"/>
      <c r="CZ3" s="78"/>
    </row>
    <row r="4" spans="1:104">
      <c r="A4" s="13"/>
      <c r="B4" s="35" t="s">
        <v>78</v>
      </c>
      <c r="C4" s="13"/>
      <c r="D4" s="13"/>
      <c r="E4" s="14"/>
      <c r="F4" s="14"/>
      <c r="G4" s="14"/>
      <c r="H4" s="14"/>
      <c r="I4" s="14"/>
      <c r="J4" s="14"/>
      <c r="K4" s="14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27"/>
      <c r="CP4" s="27"/>
      <c r="CQ4" s="27"/>
      <c r="CR4" s="27"/>
      <c r="CS4" s="27"/>
      <c r="CT4" s="27"/>
      <c r="CU4" s="27"/>
      <c r="CV4" s="27"/>
      <c r="CW4" s="27"/>
      <c r="CX4" s="27"/>
      <c r="CY4" s="27"/>
      <c r="CZ4" s="27"/>
    </row>
    <row r="5" spans="1:104">
      <c r="A5" s="80"/>
      <c r="B5" s="80" t="s">
        <v>574</v>
      </c>
      <c r="C5" s="81"/>
      <c r="D5" s="82"/>
      <c r="E5" s="83" t="s">
        <v>572</v>
      </c>
      <c r="F5" s="84">
        <v>2017</v>
      </c>
      <c r="G5" s="84">
        <v>2016</v>
      </c>
      <c r="H5" s="85" t="s">
        <v>575</v>
      </c>
      <c r="I5" s="85" t="s">
        <v>576</v>
      </c>
      <c r="J5" s="86" t="s">
        <v>577</v>
      </c>
      <c r="K5" s="87"/>
      <c r="L5" s="1216">
        <v>2012</v>
      </c>
      <c r="M5" s="89" t="s">
        <v>805</v>
      </c>
      <c r="N5" s="90" t="s">
        <v>806</v>
      </c>
      <c r="O5" s="90" t="s">
        <v>868</v>
      </c>
      <c r="P5" s="91" t="s">
        <v>869</v>
      </c>
      <c r="Q5" s="1216">
        <v>2013</v>
      </c>
      <c r="R5" s="89" t="s">
        <v>891</v>
      </c>
      <c r="S5" s="90" t="s">
        <v>892</v>
      </c>
      <c r="T5" s="90" t="s">
        <v>930</v>
      </c>
      <c r="U5" s="91" t="s">
        <v>931</v>
      </c>
      <c r="V5" s="1216">
        <v>2014</v>
      </c>
      <c r="W5" s="89" t="s">
        <v>932</v>
      </c>
      <c r="X5" s="90" t="s">
        <v>1000</v>
      </c>
      <c r="Y5" s="90" t="s">
        <v>1001</v>
      </c>
      <c r="Z5" s="91" t="s">
        <v>1013</v>
      </c>
      <c r="AA5" s="1216">
        <v>2015</v>
      </c>
      <c r="AB5" s="740" t="s">
        <v>1028</v>
      </c>
      <c r="AC5" s="90" t="s">
        <v>1031</v>
      </c>
      <c r="AD5" s="90" t="s">
        <v>1040</v>
      </c>
      <c r="AE5" s="91" t="s">
        <v>1073</v>
      </c>
      <c r="AF5" s="1216">
        <v>2016</v>
      </c>
      <c r="AG5" s="89" t="s">
        <v>1078</v>
      </c>
      <c r="AH5" s="90" t="s">
        <v>1079</v>
      </c>
      <c r="AI5" s="90" t="s">
        <v>1096</v>
      </c>
      <c r="AJ5" s="91" t="s">
        <v>1111</v>
      </c>
      <c r="AK5" s="1216">
        <v>2017</v>
      </c>
      <c r="AL5" s="89" t="s">
        <v>875</v>
      </c>
      <c r="AM5" s="90" t="s">
        <v>876</v>
      </c>
      <c r="AN5" s="90" t="s">
        <v>877</v>
      </c>
      <c r="AO5" s="91" t="s">
        <v>878</v>
      </c>
      <c r="AP5" s="88">
        <v>2018</v>
      </c>
      <c r="AQ5" s="89" t="s">
        <v>937</v>
      </c>
      <c r="AR5" s="90" t="s">
        <v>938</v>
      </c>
      <c r="AS5" s="90" t="s">
        <v>939</v>
      </c>
      <c r="AT5" s="91" t="s">
        <v>940</v>
      </c>
      <c r="AU5" s="88">
        <v>2019</v>
      </c>
      <c r="AV5" s="89" t="s">
        <v>942</v>
      </c>
      <c r="AW5" s="90" t="s">
        <v>943</v>
      </c>
      <c r="AX5" s="90" t="s">
        <v>944</v>
      </c>
      <c r="AY5" s="91" t="s">
        <v>945</v>
      </c>
      <c r="AZ5" s="88">
        <v>2020</v>
      </c>
      <c r="BA5" s="89" t="s">
        <v>1042</v>
      </c>
      <c r="BB5" s="90" t="s">
        <v>1043</v>
      </c>
      <c r="BC5" s="90" t="s">
        <v>1044</v>
      </c>
      <c r="BD5" s="91" t="s">
        <v>1045</v>
      </c>
      <c r="BE5" s="88">
        <v>2021</v>
      </c>
      <c r="BF5" s="92"/>
      <c r="BG5" s="1216">
        <v>2012</v>
      </c>
      <c r="BH5" s="89" t="s">
        <v>805</v>
      </c>
      <c r="BI5" s="90" t="s">
        <v>806</v>
      </c>
      <c r="BJ5" s="90" t="s">
        <v>868</v>
      </c>
      <c r="BK5" s="91" t="s">
        <v>869</v>
      </c>
      <c r="BL5" s="1216">
        <v>2013</v>
      </c>
      <c r="BM5" s="89" t="s">
        <v>891</v>
      </c>
      <c r="BN5" s="90" t="s">
        <v>892</v>
      </c>
      <c r="BO5" s="90" t="s">
        <v>930</v>
      </c>
      <c r="BP5" s="91" t="s">
        <v>931</v>
      </c>
      <c r="BQ5" s="1216">
        <v>2014</v>
      </c>
      <c r="BR5" s="89" t="s">
        <v>932</v>
      </c>
      <c r="BS5" s="90" t="s">
        <v>1000</v>
      </c>
      <c r="BT5" s="90" t="s">
        <v>1001</v>
      </c>
      <c r="BU5" s="91" t="s">
        <v>1013</v>
      </c>
      <c r="BV5" s="1216">
        <v>2015</v>
      </c>
      <c r="BW5" s="740" t="s">
        <v>1028</v>
      </c>
      <c r="BX5" s="90" t="s">
        <v>1031</v>
      </c>
      <c r="BY5" s="90" t="s">
        <v>1040</v>
      </c>
      <c r="BZ5" s="91" t="s">
        <v>1073</v>
      </c>
      <c r="CA5" s="1216">
        <v>2016</v>
      </c>
      <c r="CB5" s="89" t="s">
        <v>1078</v>
      </c>
      <c r="CC5" s="90" t="s">
        <v>1079</v>
      </c>
      <c r="CD5" s="90" t="s">
        <v>1096</v>
      </c>
      <c r="CE5" s="91" t="s">
        <v>1111</v>
      </c>
      <c r="CF5" s="1216">
        <v>2017</v>
      </c>
      <c r="CG5" s="740" t="s">
        <v>875</v>
      </c>
      <c r="CH5" s="741" t="s">
        <v>876</v>
      </c>
      <c r="CI5" s="741" t="s">
        <v>877</v>
      </c>
      <c r="CJ5" s="742" t="s">
        <v>878</v>
      </c>
      <c r="CK5" s="88">
        <v>2018</v>
      </c>
      <c r="CL5" s="89" t="s">
        <v>937</v>
      </c>
      <c r="CM5" s="90" t="s">
        <v>938</v>
      </c>
      <c r="CN5" s="90" t="s">
        <v>939</v>
      </c>
      <c r="CO5" s="91" t="s">
        <v>940</v>
      </c>
      <c r="CP5" s="88">
        <v>2019</v>
      </c>
      <c r="CQ5" s="740" t="s">
        <v>942</v>
      </c>
      <c r="CR5" s="741" t="s">
        <v>943</v>
      </c>
      <c r="CS5" s="741" t="s">
        <v>944</v>
      </c>
      <c r="CT5" s="742" t="s">
        <v>945</v>
      </c>
      <c r="CU5" s="88">
        <v>2020</v>
      </c>
      <c r="CV5" s="740" t="s">
        <v>1042</v>
      </c>
      <c r="CW5" s="741" t="s">
        <v>1043</v>
      </c>
      <c r="CX5" s="741" t="s">
        <v>1044</v>
      </c>
      <c r="CY5" s="742" t="s">
        <v>1045</v>
      </c>
      <c r="CZ5" s="88">
        <v>2021</v>
      </c>
    </row>
    <row r="6" spans="1:104" ht="12.75" customHeight="1" thickBot="1">
      <c r="A6" s="7"/>
      <c r="B6" s="93"/>
      <c r="C6" s="94"/>
      <c r="D6" s="94"/>
      <c r="E6" s="95"/>
      <c r="F6" s="96"/>
      <c r="G6" s="96"/>
      <c r="H6" s="97"/>
      <c r="I6" s="97"/>
      <c r="J6" s="98"/>
      <c r="K6" s="99"/>
      <c r="L6" s="100" t="s">
        <v>578</v>
      </c>
      <c r="M6" s="101" t="s">
        <v>578</v>
      </c>
      <c r="N6" s="102" t="s">
        <v>578</v>
      </c>
      <c r="O6" s="102" t="s">
        <v>578</v>
      </c>
      <c r="P6" s="103" t="s">
        <v>578</v>
      </c>
      <c r="Q6" s="100" t="s">
        <v>578</v>
      </c>
      <c r="R6" s="101" t="s">
        <v>578</v>
      </c>
      <c r="S6" s="102" t="s">
        <v>578</v>
      </c>
      <c r="T6" s="102" t="s">
        <v>578</v>
      </c>
      <c r="U6" s="103" t="s">
        <v>578</v>
      </c>
      <c r="V6" s="100" t="s">
        <v>578</v>
      </c>
      <c r="W6" s="101" t="s">
        <v>578</v>
      </c>
      <c r="X6" s="102" t="s">
        <v>578</v>
      </c>
      <c r="Y6" s="102" t="s">
        <v>578</v>
      </c>
      <c r="Z6" s="103" t="s">
        <v>578</v>
      </c>
      <c r="AA6" s="100" t="s">
        <v>578</v>
      </c>
      <c r="AB6" s="101" t="s">
        <v>578</v>
      </c>
      <c r="AC6" s="102" t="s">
        <v>578</v>
      </c>
      <c r="AD6" s="102" t="s">
        <v>578</v>
      </c>
      <c r="AE6" s="103" t="s">
        <v>578</v>
      </c>
      <c r="AF6" s="100" t="s">
        <v>578</v>
      </c>
      <c r="AG6" s="101" t="s">
        <v>578</v>
      </c>
      <c r="AH6" s="102" t="s">
        <v>578</v>
      </c>
      <c r="AI6" s="102" t="s">
        <v>578</v>
      </c>
      <c r="AJ6" s="103" t="s">
        <v>578</v>
      </c>
      <c r="AK6" s="100" t="s">
        <v>578</v>
      </c>
      <c r="AL6" s="101" t="s">
        <v>578</v>
      </c>
      <c r="AM6" s="102" t="s">
        <v>578</v>
      </c>
      <c r="AN6" s="102" t="s">
        <v>578</v>
      </c>
      <c r="AO6" s="103" t="s">
        <v>578</v>
      </c>
      <c r="AP6" s="100" t="s">
        <v>578</v>
      </c>
      <c r="AQ6" s="101" t="s">
        <v>578</v>
      </c>
      <c r="AR6" s="102" t="s">
        <v>578</v>
      </c>
      <c r="AS6" s="102" t="s">
        <v>578</v>
      </c>
      <c r="AT6" s="103" t="s">
        <v>578</v>
      </c>
      <c r="AU6" s="100" t="s">
        <v>578</v>
      </c>
      <c r="AV6" s="101" t="s">
        <v>578</v>
      </c>
      <c r="AW6" s="102" t="s">
        <v>578</v>
      </c>
      <c r="AX6" s="102" t="s">
        <v>578</v>
      </c>
      <c r="AY6" s="103" t="s">
        <v>578</v>
      </c>
      <c r="AZ6" s="100" t="s">
        <v>578</v>
      </c>
      <c r="BA6" s="101" t="s">
        <v>578</v>
      </c>
      <c r="BB6" s="102" t="s">
        <v>578</v>
      </c>
      <c r="BC6" s="102" t="s">
        <v>578</v>
      </c>
      <c r="BD6" s="103" t="s">
        <v>578</v>
      </c>
      <c r="BE6" s="100" t="s">
        <v>578</v>
      </c>
      <c r="BF6" s="104"/>
      <c r="BG6" s="100" t="s">
        <v>610</v>
      </c>
      <c r="BH6" s="101" t="s">
        <v>610</v>
      </c>
      <c r="BI6" s="102" t="s">
        <v>610</v>
      </c>
      <c r="BJ6" s="102" t="s">
        <v>610</v>
      </c>
      <c r="BK6" s="103" t="s">
        <v>610</v>
      </c>
      <c r="BL6" s="100" t="s">
        <v>610</v>
      </c>
      <c r="BM6" s="101" t="s">
        <v>610</v>
      </c>
      <c r="BN6" s="102" t="s">
        <v>610</v>
      </c>
      <c r="BO6" s="102" t="s">
        <v>610</v>
      </c>
      <c r="BP6" s="103" t="s">
        <v>610</v>
      </c>
      <c r="BQ6" s="100" t="s">
        <v>610</v>
      </c>
      <c r="BR6" s="101" t="s">
        <v>610</v>
      </c>
      <c r="BS6" s="102" t="s">
        <v>610</v>
      </c>
      <c r="BT6" s="102" t="s">
        <v>610</v>
      </c>
      <c r="BU6" s="103" t="s">
        <v>610</v>
      </c>
      <c r="BV6" s="100" t="s">
        <v>610</v>
      </c>
      <c r="BW6" s="101" t="s">
        <v>610</v>
      </c>
      <c r="BX6" s="102" t="s">
        <v>610</v>
      </c>
      <c r="BY6" s="102" t="s">
        <v>610</v>
      </c>
      <c r="BZ6" s="103" t="s">
        <v>610</v>
      </c>
      <c r="CA6" s="100" t="s">
        <v>610</v>
      </c>
      <c r="CB6" s="101" t="s">
        <v>610</v>
      </c>
      <c r="CC6" s="102" t="s">
        <v>610</v>
      </c>
      <c r="CD6" s="102" t="s">
        <v>610</v>
      </c>
      <c r="CE6" s="103" t="s">
        <v>610</v>
      </c>
      <c r="CF6" s="100" t="s">
        <v>610</v>
      </c>
      <c r="CG6" s="101" t="s">
        <v>610</v>
      </c>
      <c r="CH6" s="102" t="s">
        <v>610</v>
      </c>
      <c r="CI6" s="102" t="s">
        <v>610</v>
      </c>
      <c r="CJ6" s="103" t="s">
        <v>610</v>
      </c>
      <c r="CK6" s="100" t="s">
        <v>610</v>
      </c>
      <c r="CL6" s="101" t="s">
        <v>610</v>
      </c>
      <c r="CM6" s="102" t="s">
        <v>610</v>
      </c>
      <c r="CN6" s="102" t="s">
        <v>610</v>
      </c>
      <c r="CO6" s="103" t="s">
        <v>610</v>
      </c>
      <c r="CP6" s="100" t="s">
        <v>610</v>
      </c>
      <c r="CQ6" s="101" t="s">
        <v>610</v>
      </c>
      <c r="CR6" s="102" t="s">
        <v>610</v>
      </c>
      <c r="CS6" s="102" t="s">
        <v>610</v>
      </c>
      <c r="CT6" s="103" t="s">
        <v>610</v>
      </c>
      <c r="CU6" s="100" t="s">
        <v>610</v>
      </c>
      <c r="CV6" s="101" t="s">
        <v>610</v>
      </c>
      <c r="CW6" s="102" t="s">
        <v>610</v>
      </c>
      <c r="CX6" s="102" t="s">
        <v>610</v>
      </c>
      <c r="CY6" s="103" t="s">
        <v>610</v>
      </c>
      <c r="CZ6" s="100" t="s">
        <v>610</v>
      </c>
    </row>
    <row r="7" spans="1:104" ht="12.75" customHeight="1">
      <c r="A7" s="7"/>
      <c r="B7" s="39" t="s">
        <v>464</v>
      </c>
      <c r="C7" s="106"/>
      <c r="D7" s="19"/>
      <c r="E7" s="107"/>
      <c r="F7" s="108"/>
      <c r="G7" s="108"/>
      <c r="H7" s="109"/>
      <c r="I7" s="110"/>
      <c r="J7" s="111"/>
      <c r="K7" s="112"/>
      <c r="L7" s="113"/>
      <c r="M7" s="114"/>
      <c r="N7" s="115"/>
      <c r="O7" s="115"/>
      <c r="P7" s="116"/>
      <c r="Q7" s="113"/>
      <c r="R7" s="114"/>
      <c r="S7" s="115"/>
      <c r="T7" s="115"/>
      <c r="U7" s="116"/>
      <c r="V7" s="113"/>
      <c r="W7" s="114"/>
      <c r="X7" s="115"/>
      <c r="Y7" s="115"/>
      <c r="Z7" s="116"/>
      <c r="AA7" s="113"/>
      <c r="AB7" s="114"/>
      <c r="AC7" s="115"/>
      <c r="AD7" s="115"/>
      <c r="AE7" s="116"/>
      <c r="AF7" s="113"/>
      <c r="AG7" s="114"/>
      <c r="AH7" s="115"/>
      <c r="AI7" s="115"/>
      <c r="AJ7" s="116"/>
      <c r="AK7" s="113"/>
      <c r="AL7" s="114"/>
      <c r="AM7" s="115"/>
      <c r="AN7" s="115"/>
      <c r="AO7" s="116"/>
      <c r="AP7" s="113"/>
      <c r="AQ7" s="114"/>
      <c r="AR7" s="115"/>
      <c r="AS7" s="115"/>
      <c r="AT7" s="116"/>
      <c r="AU7" s="113"/>
      <c r="AV7" s="114"/>
      <c r="AW7" s="115"/>
      <c r="AX7" s="115"/>
      <c r="AY7" s="116"/>
      <c r="AZ7" s="113"/>
      <c r="BA7" s="114"/>
      <c r="BB7" s="115"/>
      <c r="BC7" s="115"/>
      <c r="BD7" s="116"/>
      <c r="BE7" s="113"/>
      <c r="BF7" s="117"/>
      <c r="BG7" s="118"/>
      <c r="BH7" s="119"/>
      <c r="BI7" s="120"/>
      <c r="BJ7" s="120"/>
      <c r="BK7" s="121"/>
      <c r="BL7" s="118"/>
      <c r="BM7" s="119"/>
      <c r="BN7" s="120"/>
      <c r="BO7" s="120"/>
      <c r="BP7" s="121"/>
      <c r="BQ7" s="118"/>
      <c r="BR7" s="119"/>
      <c r="BS7" s="120"/>
      <c r="BT7" s="120"/>
      <c r="BU7" s="121"/>
      <c r="BV7" s="118"/>
      <c r="BW7" s="119"/>
      <c r="BX7" s="120"/>
      <c r="BY7" s="120"/>
      <c r="BZ7" s="121"/>
      <c r="CA7" s="118"/>
      <c r="CB7" s="119"/>
      <c r="CC7" s="120"/>
      <c r="CD7" s="120"/>
      <c r="CE7" s="121"/>
      <c r="CF7" s="118"/>
      <c r="CG7" s="119"/>
      <c r="CH7" s="120"/>
      <c r="CI7" s="120"/>
      <c r="CJ7" s="121"/>
      <c r="CK7" s="118"/>
      <c r="CL7" s="119"/>
      <c r="CM7" s="120"/>
      <c r="CN7" s="120"/>
      <c r="CO7" s="121"/>
      <c r="CP7" s="118"/>
      <c r="CQ7" s="119"/>
      <c r="CR7" s="120"/>
      <c r="CS7" s="120"/>
      <c r="CT7" s="121"/>
      <c r="CU7" s="118"/>
      <c r="CV7" s="119"/>
      <c r="CW7" s="120"/>
      <c r="CX7" s="120"/>
      <c r="CY7" s="121"/>
      <c r="CZ7" s="118"/>
    </row>
    <row r="8" spans="1:104" ht="12.75" customHeight="1">
      <c r="A8" s="7"/>
      <c r="B8" s="7"/>
      <c r="C8" s="123"/>
      <c r="D8" s="122"/>
      <c r="E8" s="107"/>
      <c r="F8" s="108"/>
      <c r="G8" s="108"/>
      <c r="H8" s="109"/>
      <c r="I8" s="110"/>
      <c r="J8" s="111"/>
      <c r="K8" s="112"/>
      <c r="L8" s="113"/>
      <c r="M8" s="114"/>
      <c r="N8" s="115"/>
      <c r="O8" s="115"/>
      <c r="P8" s="116"/>
      <c r="Q8" s="113"/>
      <c r="R8" s="114"/>
      <c r="S8" s="115"/>
      <c r="T8" s="115"/>
      <c r="U8" s="116"/>
      <c r="V8" s="113"/>
      <c r="W8" s="114"/>
      <c r="X8" s="115"/>
      <c r="Y8" s="115"/>
      <c r="Z8" s="116"/>
      <c r="AA8" s="113"/>
      <c r="AB8" s="114"/>
      <c r="AC8" s="115"/>
      <c r="AD8" s="115"/>
      <c r="AE8" s="116"/>
      <c r="AF8" s="113"/>
      <c r="AG8" s="114"/>
      <c r="AH8" s="115"/>
      <c r="AI8" s="115"/>
      <c r="AJ8" s="116"/>
      <c r="AK8" s="113"/>
      <c r="AL8" s="114"/>
      <c r="AM8" s="115"/>
      <c r="AN8" s="115"/>
      <c r="AO8" s="116"/>
      <c r="AP8" s="113"/>
      <c r="AQ8" s="114"/>
      <c r="AR8" s="115"/>
      <c r="AS8" s="115"/>
      <c r="AT8" s="116"/>
      <c r="AU8" s="113"/>
      <c r="AV8" s="114"/>
      <c r="AW8" s="115"/>
      <c r="AX8" s="115"/>
      <c r="AY8" s="116"/>
      <c r="AZ8" s="113"/>
      <c r="BA8" s="114"/>
      <c r="BB8" s="115"/>
      <c r="BC8" s="115"/>
      <c r="BD8" s="116"/>
      <c r="BE8" s="113"/>
      <c r="BF8" s="124"/>
      <c r="BG8" s="118"/>
      <c r="BH8" s="119"/>
      <c r="BI8" s="120"/>
      <c r="BJ8" s="120"/>
      <c r="BK8" s="121"/>
      <c r="BL8" s="118"/>
      <c r="BM8" s="119"/>
      <c r="BN8" s="120"/>
      <c r="BO8" s="120"/>
      <c r="BP8" s="121"/>
      <c r="BQ8" s="118"/>
      <c r="BR8" s="119"/>
      <c r="BS8" s="120"/>
      <c r="BT8" s="120"/>
      <c r="BU8" s="121"/>
      <c r="BV8" s="118"/>
      <c r="BW8" s="119"/>
      <c r="BX8" s="120"/>
      <c r="BY8" s="120"/>
      <c r="BZ8" s="121"/>
      <c r="CA8" s="118"/>
      <c r="CB8" s="119"/>
      <c r="CC8" s="120"/>
      <c r="CD8" s="120"/>
      <c r="CE8" s="121"/>
      <c r="CF8" s="118"/>
      <c r="CG8" s="119"/>
      <c r="CH8" s="120"/>
      <c r="CI8" s="120"/>
      <c r="CJ8" s="121"/>
      <c r="CK8" s="118"/>
      <c r="CL8" s="119"/>
      <c r="CM8" s="120"/>
      <c r="CN8" s="120"/>
      <c r="CO8" s="121"/>
      <c r="CP8" s="118"/>
      <c r="CQ8" s="119"/>
      <c r="CR8" s="120"/>
      <c r="CS8" s="120"/>
      <c r="CT8" s="121"/>
      <c r="CU8" s="118"/>
      <c r="CV8" s="119"/>
      <c r="CW8" s="120"/>
      <c r="CX8" s="120"/>
      <c r="CY8" s="121"/>
      <c r="CZ8" s="118"/>
    </row>
    <row r="9" spans="1:104" ht="12.75" customHeight="1">
      <c r="A9" s="7"/>
      <c r="B9" s="7"/>
      <c r="C9" s="123" t="s">
        <v>465</v>
      </c>
      <c r="D9" s="122"/>
      <c r="E9" s="107"/>
      <c r="F9" s="108"/>
      <c r="G9" s="108"/>
      <c r="H9" s="109"/>
      <c r="I9" s="110"/>
      <c r="J9" s="111"/>
      <c r="K9" s="112"/>
      <c r="L9" s="113"/>
      <c r="M9" s="114"/>
      <c r="N9" s="115"/>
      <c r="O9" s="115"/>
      <c r="P9" s="116"/>
      <c r="Q9" s="113"/>
      <c r="R9" s="114"/>
      <c r="S9" s="115"/>
      <c r="T9" s="115"/>
      <c r="U9" s="116"/>
      <c r="V9" s="113"/>
      <c r="W9" s="114"/>
      <c r="X9" s="115"/>
      <c r="Y9" s="115"/>
      <c r="Z9" s="116"/>
      <c r="AA9" s="113"/>
      <c r="AB9" s="114"/>
      <c r="AC9" s="115"/>
      <c r="AD9" s="115"/>
      <c r="AE9" s="116"/>
      <c r="AF9" s="113"/>
      <c r="AG9" s="114"/>
      <c r="AH9" s="115"/>
      <c r="AI9" s="115"/>
      <c r="AJ9" s="116"/>
      <c r="AK9" s="113"/>
      <c r="AL9" s="114"/>
      <c r="AM9" s="115"/>
      <c r="AN9" s="115"/>
      <c r="AO9" s="116"/>
      <c r="AP9" s="113"/>
      <c r="AQ9" s="114"/>
      <c r="AR9" s="115"/>
      <c r="AS9" s="115"/>
      <c r="AT9" s="116"/>
      <c r="AU9" s="113"/>
      <c r="AV9" s="114"/>
      <c r="AW9" s="115"/>
      <c r="AX9" s="115"/>
      <c r="AY9" s="116"/>
      <c r="AZ9" s="113"/>
      <c r="BA9" s="114"/>
      <c r="BB9" s="115"/>
      <c r="BC9" s="115"/>
      <c r="BD9" s="116"/>
      <c r="BE9" s="113"/>
      <c r="BF9" s="124"/>
      <c r="BG9" s="118"/>
      <c r="BH9" s="119"/>
      <c r="BI9" s="120"/>
      <c r="BJ9" s="120"/>
      <c r="BK9" s="121"/>
      <c r="BL9" s="118"/>
      <c r="BM9" s="119"/>
      <c r="BN9" s="120"/>
      <c r="BO9" s="120"/>
      <c r="BP9" s="121"/>
      <c r="BQ9" s="118"/>
      <c r="BR9" s="119"/>
      <c r="BS9" s="120"/>
      <c r="BT9" s="120"/>
      <c r="BU9" s="121"/>
      <c r="BV9" s="118"/>
      <c r="BW9" s="119"/>
      <c r="BX9" s="120"/>
      <c r="BY9" s="120"/>
      <c r="BZ9" s="121"/>
      <c r="CA9" s="118"/>
      <c r="CB9" s="119"/>
      <c r="CC9" s="120"/>
      <c r="CD9" s="120"/>
      <c r="CE9" s="121"/>
      <c r="CF9" s="118"/>
      <c r="CG9" s="119"/>
      <c r="CH9" s="120"/>
      <c r="CI9" s="120"/>
      <c r="CJ9" s="121"/>
      <c r="CK9" s="118"/>
      <c r="CL9" s="119"/>
      <c r="CM9" s="120"/>
      <c r="CN9" s="120"/>
      <c r="CO9" s="121"/>
      <c r="CP9" s="118"/>
      <c r="CQ9" s="119"/>
      <c r="CR9" s="120"/>
      <c r="CS9" s="120"/>
      <c r="CT9" s="121"/>
      <c r="CU9" s="118"/>
      <c r="CV9" s="119"/>
      <c r="CW9" s="120"/>
      <c r="CX9" s="120"/>
      <c r="CY9" s="121"/>
      <c r="CZ9" s="118"/>
    </row>
    <row r="10" spans="1:104" ht="12.75" customHeight="1">
      <c r="A10" s="7"/>
      <c r="B10" s="7"/>
      <c r="C10" s="122" t="s">
        <v>579</v>
      </c>
      <c r="D10" s="122"/>
      <c r="E10" s="107"/>
      <c r="F10" s="108"/>
      <c r="G10" s="108"/>
      <c r="H10" s="109"/>
      <c r="I10" s="110"/>
      <c r="J10" s="111"/>
      <c r="K10" s="112"/>
      <c r="L10" s="113">
        <f t="shared" ref="L10:BE10" si="0">L24+L75+L102</f>
        <v>0</v>
      </c>
      <c r="M10" s="114">
        <f t="shared" si="0"/>
        <v>0</v>
      </c>
      <c r="N10" s="115">
        <f t="shared" si="0"/>
        <v>0</v>
      </c>
      <c r="O10" s="115">
        <f t="shared" si="0"/>
        <v>0</v>
      </c>
      <c r="P10" s="116">
        <f t="shared" si="0"/>
        <v>0</v>
      </c>
      <c r="Q10" s="113">
        <f t="shared" si="0"/>
        <v>0</v>
      </c>
      <c r="R10" s="114">
        <f t="shared" si="0"/>
        <v>0</v>
      </c>
      <c r="S10" s="115">
        <f t="shared" si="0"/>
        <v>0</v>
      </c>
      <c r="T10" s="115">
        <f t="shared" si="0"/>
        <v>0</v>
      </c>
      <c r="U10" s="116">
        <f t="shared" si="0"/>
        <v>0</v>
      </c>
      <c r="V10" s="113">
        <f t="shared" si="0"/>
        <v>0</v>
      </c>
      <c r="W10" s="114">
        <f t="shared" si="0"/>
        <v>0</v>
      </c>
      <c r="X10" s="115">
        <f t="shared" si="0"/>
        <v>0</v>
      </c>
      <c r="Y10" s="115">
        <f t="shared" si="0"/>
        <v>0</v>
      </c>
      <c r="Z10" s="116">
        <f t="shared" si="0"/>
        <v>0</v>
      </c>
      <c r="AA10" s="113">
        <f t="shared" si="0"/>
        <v>0</v>
      </c>
      <c r="AB10" s="114">
        <f t="shared" si="0"/>
        <v>0</v>
      </c>
      <c r="AC10" s="115">
        <f t="shared" si="0"/>
        <v>0</v>
      </c>
      <c r="AD10" s="115">
        <f t="shared" si="0"/>
        <v>0</v>
      </c>
      <c r="AE10" s="116">
        <f t="shared" si="0"/>
        <v>0</v>
      </c>
      <c r="AF10" s="113">
        <f t="shared" si="0"/>
        <v>0</v>
      </c>
      <c r="AG10" s="114">
        <f t="shared" si="0"/>
        <v>0</v>
      </c>
      <c r="AH10" s="115">
        <f t="shared" si="0"/>
        <v>0</v>
      </c>
      <c r="AI10" s="115">
        <f t="shared" si="0"/>
        <v>0</v>
      </c>
      <c r="AJ10" s="116">
        <f t="shared" si="0"/>
        <v>-500</v>
      </c>
      <c r="AK10" s="113">
        <f t="shared" si="0"/>
        <v>-500</v>
      </c>
      <c r="AL10" s="114">
        <f t="shared" si="0"/>
        <v>0</v>
      </c>
      <c r="AM10" s="115">
        <f t="shared" si="0"/>
        <v>-750</v>
      </c>
      <c r="AN10" s="115">
        <f t="shared" si="0"/>
        <v>0</v>
      </c>
      <c r="AO10" s="116">
        <f t="shared" si="0"/>
        <v>-250</v>
      </c>
      <c r="AP10" s="113">
        <f t="shared" si="0"/>
        <v>-1000</v>
      </c>
      <c r="AQ10" s="114">
        <f t="shared" si="0"/>
        <v>-44</v>
      </c>
      <c r="AR10" s="115">
        <f t="shared" si="0"/>
        <v>-950</v>
      </c>
      <c r="AS10" s="115">
        <f t="shared" si="0"/>
        <v>-250</v>
      </c>
      <c r="AT10" s="116">
        <f t="shared" si="0"/>
        <v>-400</v>
      </c>
      <c r="AU10" s="113">
        <f t="shared" si="0"/>
        <v>-1644</v>
      </c>
      <c r="AV10" s="114">
        <f t="shared" si="0"/>
        <v>0</v>
      </c>
      <c r="AW10" s="115">
        <f t="shared" si="0"/>
        <v>-656</v>
      </c>
      <c r="AX10" s="115">
        <f t="shared" si="0"/>
        <v>0</v>
      </c>
      <c r="AY10" s="116">
        <f t="shared" si="0"/>
        <v>-9</v>
      </c>
      <c r="AZ10" s="113">
        <f t="shared" si="0"/>
        <v>-665</v>
      </c>
      <c r="BA10" s="114">
        <f t="shared" si="0"/>
        <v>-300</v>
      </c>
      <c r="BB10" s="115">
        <f t="shared" si="0"/>
        <v>-834</v>
      </c>
      <c r="BC10" s="115">
        <f t="shared" si="0"/>
        <v>-250</v>
      </c>
      <c r="BD10" s="116">
        <f t="shared" si="0"/>
        <v>-300</v>
      </c>
      <c r="BE10" s="113">
        <f t="shared" si="0"/>
        <v>-1684</v>
      </c>
      <c r="BF10" s="125"/>
      <c r="BG10" s="118">
        <f t="shared" ref="BG10:CZ10" si="1">BG24+BG75+BG102</f>
        <v>0</v>
      </c>
      <c r="BH10" s="119">
        <f t="shared" si="1"/>
        <v>0</v>
      </c>
      <c r="BI10" s="120">
        <f t="shared" si="1"/>
        <v>0</v>
      </c>
      <c r="BJ10" s="120">
        <f t="shared" si="1"/>
        <v>0</v>
      </c>
      <c r="BK10" s="121">
        <f t="shared" si="1"/>
        <v>0</v>
      </c>
      <c r="BL10" s="118">
        <f t="shared" si="1"/>
        <v>0</v>
      </c>
      <c r="BM10" s="119">
        <f t="shared" si="1"/>
        <v>0</v>
      </c>
      <c r="BN10" s="120">
        <f t="shared" si="1"/>
        <v>0</v>
      </c>
      <c r="BO10" s="120">
        <f t="shared" si="1"/>
        <v>0</v>
      </c>
      <c r="BP10" s="121">
        <f t="shared" si="1"/>
        <v>0</v>
      </c>
      <c r="BQ10" s="118">
        <f t="shared" si="1"/>
        <v>0</v>
      </c>
      <c r="BR10" s="119">
        <f t="shared" si="1"/>
        <v>0</v>
      </c>
      <c r="BS10" s="120">
        <f t="shared" si="1"/>
        <v>0</v>
      </c>
      <c r="BT10" s="120">
        <f t="shared" si="1"/>
        <v>0</v>
      </c>
      <c r="BU10" s="121">
        <f t="shared" si="1"/>
        <v>0</v>
      </c>
      <c r="BV10" s="118">
        <f t="shared" si="1"/>
        <v>0</v>
      </c>
      <c r="BW10" s="119">
        <f t="shared" si="1"/>
        <v>0</v>
      </c>
      <c r="BX10" s="120">
        <f t="shared" si="1"/>
        <v>0</v>
      </c>
      <c r="BY10" s="120">
        <f t="shared" si="1"/>
        <v>0</v>
      </c>
      <c r="BZ10" s="121">
        <f t="shared" si="1"/>
        <v>0</v>
      </c>
      <c r="CA10" s="118">
        <f t="shared" si="1"/>
        <v>0</v>
      </c>
      <c r="CB10" s="119">
        <f t="shared" si="1"/>
        <v>0</v>
      </c>
      <c r="CC10" s="120">
        <f t="shared" si="1"/>
        <v>0</v>
      </c>
      <c r="CD10" s="120">
        <f t="shared" si="1"/>
        <v>0</v>
      </c>
      <c r="CE10" s="121">
        <f t="shared" si="1"/>
        <v>-4.166666666666667</v>
      </c>
      <c r="CF10" s="118">
        <f t="shared" si="1"/>
        <v>-4.166666666666667</v>
      </c>
      <c r="CG10" s="119">
        <f t="shared" si="1"/>
        <v>-6.25</v>
      </c>
      <c r="CH10" s="120">
        <f t="shared" si="1"/>
        <v>-11.125</v>
      </c>
      <c r="CI10" s="120">
        <f t="shared" si="1"/>
        <v>-13.5625</v>
      </c>
      <c r="CJ10" s="121">
        <f t="shared" si="1"/>
        <v>-10.416666666666668</v>
      </c>
      <c r="CK10" s="118">
        <f t="shared" si="1"/>
        <v>-41.354166666666664</v>
      </c>
      <c r="CL10" s="119">
        <f t="shared" si="1"/>
        <v>-9.1737500000000001</v>
      </c>
      <c r="CM10" s="120">
        <f t="shared" si="1"/>
        <v>-5.840416666666667</v>
      </c>
      <c r="CN10" s="120">
        <f t="shared" si="1"/>
        <v>-7.319583333333334</v>
      </c>
      <c r="CO10" s="121">
        <f t="shared" si="1"/>
        <v>-7.7820833333333326</v>
      </c>
      <c r="CP10" s="118">
        <f t="shared" si="1"/>
        <v>-30.115833333333335</v>
      </c>
      <c r="CQ10" s="119">
        <f t="shared" si="1"/>
        <v>-7.4749999999999996</v>
      </c>
      <c r="CR10" s="120">
        <f t="shared" si="1"/>
        <v>-12.593541666666667</v>
      </c>
      <c r="CS10" s="120">
        <f t="shared" si="1"/>
        <v>-9.4060416666666669</v>
      </c>
      <c r="CT10" s="121">
        <f t="shared" si="1"/>
        <v>-8.0283083333333316</v>
      </c>
      <c r="CU10" s="118">
        <f t="shared" si="1"/>
        <v>-37.502891666666663</v>
      </c>
      <c r="CV10" s="119">
        <f t="shared" si="1"/>
        <v>-8.0227749999999993</v>
      </c>
      <c r="CW10" s="120">
        <f t="shared" si="1"/>
        <v>-5.0954833333333331</v>
      </c>
      <c r="CX10" s="120">
        <f t="shared" si="1"/>
        <v>-10.796733333333332</v>
      </c>
      <c r="CY10" s="121">
        <f t="shared" si="1"/>
        <v>-13.420300000000001</v>
      </c>
      <c r="CZ10" s="118">
        <f t="shared" si="1"/>
        <v>-37.335291666666663</v>
      </c>
    </row>
    <row r="11" spans="1:104" ht="12.75" customHeight="1">
      <c r="A11" s="7"/>
      <c r="B11" s="7"/>
      <c r="C11" s="126" t="s">
        <v>580</v>
      </c>
      <c r="D11" s="126"/>
      <c r="E11" s="127"/>
      <c r="F11" s="128"/>
      <c r="G11" s="128"/>
      <c r="H11" s="129"/>
      <c r="I11" s="130"/>
      <c r="J11" s="131"/>
      <c r="K11" s="132"/>
      <c r="L11" s="133">
        <f t="shared" ref="L11:BE11" si="2">L34+L85+L110</f>
        <v>0</v>
      </c>
      <c r="M11" s="134">
        <f t="shared" si="2"/>
        <v>0</v>
      </c>
      <c r="N11" s="135">
        <f t="shared" si="2"/>
        <v>0</v>
      </c>
      <c r="O11" s="135">
        <f t="shared" si="2"/>
        <v>0</v>
      </c>
      <c r="P11" s="136">
        <f t="shared" si="2"/>
        <v>0</v>
      </c>
      <c r="Q11" s="133">
        <f t="shared" si="2"/>
        <v>0</v>
      </c>
      <c r="R11" s="134">
        <f t="shared" si="2"/>
        <v>0</v>
      </c>
      <c r="S11" s="135">
        <f t="shared" si="2"/>
        <v>0</v>
      </c>
      <c r="T11" s="135">
        <f t="shared" si="2"/>
        <v>0</v>
      </c>
      <c r="U11" s="136">
        <f t="shared" si="2"/>
        <v>0</v>
      </c>
      <c r="V11" s="133">
        <f t="shared" si="2"/>
        <v>0</v>
      </c>
      <c r="W11" s="134">
        <f t="shared" si="2"/>
        <v>0</v>
      </c>
      <c r="X11" s="135">
        <f t="shared" si="2"/>
        <v>0</v>
      </c>
      <c r="Y11" s="135">
        <f t="shared" si="2"/>
        <v>0</v>
      </c>
      <c r="Z11" s="136">
        <f t="shared" si="2"/>
        <v>0</v>
      </c>
      <c r="AA11" s="133">
        <f t="shared" si="2"/>
        <v>0</v>
      </c>
      <c r="AB11" s="134">
        <f t="shared" si="2"/>
        <v>0</v>
      </c>
      <c r="AC11" s="135">
        <f t="shared" si="2"/>
        <v>0</v>
      </c>
      <c r="AD11" s="135">
        <f t="shared" si="2"/>
        <v>0</v>
      </c>
      <c r="AE11" s="136">
        <f t="shared" si="2"/>
        <v>0</v>
      </c>
      <c r="AF11" s="133">
        <f t="shared" si="2"/>
        <v>0</v>
      </c>
      <c r="AG11" s="134">
        <f t="shared" si="2"/>
        <v>0</v>
      </c>
      <c r="AH11" s="135">
        <f t="shared" si="2"/>
        <v>1125</v>
      </c>
      <c r="AI11" s="135">
        <f t="shared" si="2"/>
        <v>0</v>
      </c>
      <c r="AJ11" s="136">
        <f t="shared" si="2"/>
        <v>1050</v>
      </c>
      <c r="AK11" s="133">
        <f t="shared" si="2"/>
        <v>2175</v>
      </c>
      <c r="AL11" s="134">
        <f t="shared" si="2"/>
        <v>1000</v>
      </c>
      <c r="AM11" s="135">
        <f t="shared" si="2"/>
        <v>1600</v>
      </c>
      <c r="AN11" s="135">
        <f t="shared" si="2"/>
        <v>250</v>
      </c>
      <c r="AO11" s="136">
        <f t="shared" si="2"/>
        <v>0</v>
      </c>
      <c r="AP11" s="133">
        <f t="shared" si="2"/>
        <v>2850</v>
      </c>
      <c r="AQ11" s="134">
        <f t="shared" si="2"/>
        <v>0</v>
      </c>
      <c r="AR11" s="135">
        <f t="shared" si="2"/>
        <v>1500</v>
      </c>
      <c r="AS11" s="135">
        <f t="shared" si="2"/>
        <v>1400</v>
      </c>
      <c r="AT11" s="136">
        <f t="shared" si="2"/>
        <v>0</v>
      </c>
      <c r="AU11" s="133">
        <f t="shared" si="2"/>
        <v>2900</v>
      </c>
      <c r="AV11" s="134">
        <f t="shared" si="2"/>
        <v>0</v>
      </c>
      <c r="AW11" s="135">
        <f t="shared" si="2"/>
        <v>1400</v>
      </c>
      <c r="AX11" s="135">
        <f t="shared" si="2"/>
        <v>500</v>
      </c>
      <c r="AY11" s="136">
        <f t="shared" si="2"/>
        <v>0</v>
      </c>
      <c r="AZ11" s="133">
        <f t="shared" si="2"/>
        <v>1900</v>
      </c>
      <c r="BA11" s="134">
        <f t="shared" si="2"/>
        <v>0</v>
      </c>
      <c r="BB11" s="135">
        <f t="shared" si="2"/>
        <v>1100</v>
      </c>
      <c r="BC11" s="135">
        <f t="shared" si="2"/>
        <v>1250</v>
      </c>
      <c r="BD11" s="136">
        <f t="shared" si="2"/>
        <v>0</v>
      </c>
      <c r="BE11" s="133">
        <f t="shared" si="2"/>
        <v>2350</v>
      </c>
      <c r="BF11" s="137"/>
      <c r="BG11" s="138">
        <f t="shared" ref="BG11:CZ11" si="3">BG34+BG85+BG110</f>
        <v>0</v>
      </c>
      <c r="BH11" s="139">
        <f t="shared" si="3"/>
        <v>0</v>
      </c>
      <c r="BI11" s="140">
        <f t="shared" si="3"/>
        <v>0</v>
      </c>
      <c r="BJ11" s="140">
        <f t="shared" si="3"/>
        <v>0</v>
      </c>
      <c r="BK11" s="141">
        <f t="shared" si="3"/>
        <v>0</v>
      </c>
      <c r="BL11" s="138">
        <f t="shared" si="3"/>
        <v>0</v>
      </c>
      <c r="BM11" s="139">
        <f t="shared" si="3"/>
        <v>0</v>
      </c>
      <c r="BN11" s="140">
        <f t="shared" si="3"/>
        <v>0</v>
      </c>
      <c r="BO11" s="140">
        <f t="shared" si="3"/>
        <v>0</v>
      </c>
      <c r="BP11" s="141">
        <f t="shared" si="3"/>
        <v>0</v>
      </c>
      <c r="BQ11" s="138">
        <f t="shared" si="3"/>
        <v>0</v>
      </c>
      <c r="BR11" s="139">
        <f t="shared" si="3"/>
        <v>0</v>
      </c>
      <c r="BS11" s="140">
        <f t="shared" si="3"/>
        <v>0</v>
      </c>
      <c r="BT11" s="140">
        <f t="shared" si="3"/>
        <v>0</v>
      </c>
      <c r="BU11" s="141">
        <f t="shared" si="3"/>
        <v>0</v>
      </c>
      <c r="BV11" s="138">
        <f t="shared" si="3"/>
        <v>0</v>
      </c>
      <c r="BW11" s="139">
        <f t="shared" si="3"/>
        <v>0</v>
      </c>
      <c r="BX11" s="140">
        <f t="shared" si="3"/>
        <v>0</v>
      </c>
      <c r="BY11" s="140">
        <f t="shared" si="3"/>
        <v>0</v>
      </c>
      <c r="BZ11" s="141">
        <f t="shared" si="3"/>
        <v>0</v>
      </c>
      <c r="CA11" s="138">
        <f t="shared" si="3"/>
        <v>0</v>
      </c>
      <c r="CB11" s="139">
        <f t="shared" si="3"/>
        <v>0</v>
      </c>
      <c r="CC11" s="140">
        <f t="shared" si="3"/>
        <v>3.291666666666667</v>
      </c>
      <c r="CD11" s="140">
        <f t="shared" si="3"/>
        <v>6.6875</v>
      </c>
      <c r="CE11" s="141">
        <f t="shared" si="3"/>
        <v>11.879166666666666</v>
      </c>
      <c r="CF11" s="138">
        <f t="shared" si="3"/>
        <v>21.858333333333334</v>
      </c>
      <c r="CG11" s="139">
        <f t="shared" si="3"/>
        <v>26.975000000000001</v>
      </c>
      <c r="CH11" s="140">
        <f t="shared" si="3"/>
        <v>37.016666666666666</v>
      </c>
      <c r="CI11" s="140">
        <f t="shared" si="3"/>
        <v>43.412499999999994</v>
      </c>
      <c r="CJ11" s="141">
        <f t="shared" si="3"/>
        <v>38.220833333333331</v>
      </c>
      <c r="CK11" s="138">
        <f t="shared" si="3"/>
        <v>145.625</v>
      </c>
      <c r="CL11" s="139">
        <f t="shared" si="3"/>
        <v>23.125</v>
      </c>
      <c r="CM11" s="140">
        <f t="shared" si="3"/>
        <v>22.291666666666668</v>
      </c>
      <c r="CN11" s="140">
        <f t="shared" si="3"/>
        <v>36.25</v>
      </c>
      <c r="CO11" s="141">
        <f t="shared" si="3"/>
        <v>36.25</v>
      </c>
      <c r="CP11" s="138">
        <f t="shared" si="3"/>
        <v>117.91666666666666</v>
      </c>
      <c r="CQ11" s="139">
        <f t="shared" si="3"/>
        <v>36.25</v>
      </c>
      <c r="CR11" s="140">
        <f t="shared" si="3"/>
        <v>35.416666666666664</v>
      </c>
      <c r="CS11" s="140">
        <f t="shared" si="3"/>
        <v>23.75</v>
      </c>
      <c r="CT11" s="141">
        <f t="shared" si="3"/>
        <v>23.75</v>
      </c>
      <c r="CU11" s="138">
        <f t="shared" si="3"/>
        <v>119.16666666666666</v>
      </c>
      <c r="CV11" s="139">
        <f t="shared" si="3"/>
        <v>23.75</v>
      </c>
      <c r="CW11" s="140">
        <f t="shared" si="3"/>
        <v>21.25</v>
      </c>
      <c r="CX11" s="140">
        <f t="shared" si="3"/>
        <v>29.375</v>
      </c>
      <c r="CY11" s="141">
        <f t="shared" si="3"/>
        <v>29.375</v>
      </c>
      <c r="CZ11" s="138">
        <f t="shared" si="3"/>
        <v>103.75</v>
      </c>
    </row>
    <row r="12" spans="1:104" ht="12.75" customHeight="1">
      <c r="A12" s="7"/>
      <c r="B12" s="7"/>
      <c r="C12" s="123" t="s">
        <v>581</v>
      </c>
      <c r="D12" s="123"/>
      <c r="E12" s="142">
        <f>E24+E34+E75+E85+E102+E110</f>
        <v>25833</v>
      </c>
      <c r="F12" s="156">
        <f>F24+F34+F75+F85+F102+F110</f>
        <v>13158</v>
      </c>
      <c r="G12" s="156">
        <f>G24+G34+G75+G85+G102+G110</f>
        <v>11483</v>
      </c>
      <c r="H12" s="144"/>
      <c r="I12" s="145"/>
      <c r="J12" s="146"/>
      <c r="K12" s="579"/>
      <c r="L12" s="147">
        <f t="shared" ref="L12:Q12" si="4">+L10+L11</f>
        <v>0</v>
      </c>
      <c r="M12" s="148">
        <f t="shared" si="4"/>
        <v>0</v>
      </c>
      <c r="N12" s="149">
        <f t="shared" si="4"/>
        <v>0</v>
      </c>
      <c r="O12" s="149">
        <f t="shared" si="4"/>
        <v>0</v>
      </c>
      <c r="P12" s="150">
        <f t="shared" si="4"/>
        <v>0</v>
      </c>
      <c r="Q12" s="147">
        <f t="shared" si="4"/>
        <v>0</v>
      </c>
      <c r="R12" s="148">
        <f t="shared" ref="R12:AE12" si="5">+R10+R11</f>
        <v>0</v>
      </c>
      <c r="S12" s="149">
        <f t="shared" si="5"/>
        <v>0</v>
      </c>
      <c r="T12" s="149">
        <f t="shared" si="5"/>
        <v>0</v>
      </c>
      <c r="U12" s="150">
        <f t="shared" si="5"/>
        <v>0</v>
      </c>
      <c r="V12" s="147">
        <f>+V10+V11</f>
        <v>0</v>
      </c>
      <c r="W12" s="148">
        <f t="shared" si="5"/>
        <v>0</v>
      </c>
      <c r="X12" s="149">
        <f t="shared" si="5"/>
        <v>0</v>
      </c>
      <c r="Y12" s="149">
        <f t="shared" si="5"/>
        <v>0</v>
      </c>
      <c r="Z12" s="150">
        <f t="shared" si="5"/>
        <v>0</v>
      </c>
      <c r="AA12" s="147">
        <f>+AA10+AA11</f>
        <v>0</v>
      </c>
      <c r="AB12" s="148">
        <f t="shared" si="5"/>
        <v>0</v>
      </c>
      <c r="AC12" s="149">
        <f t="shared" si="5"/>
        <v>0</v>
      </c>
      <c r="AD12" s="149">
        <f t="shared" si="5"/>
        <v>0</v>
      </c>
      <c r="AE12" s="150">
        <f t="shared" si="5"/>
        <v>0</v>
      </c>
      <c r="AF12" s="147">
        <f>+AF10+AF11</f>
        <v>0</v>
      </c>
      <c r="AG12" s="148">
        <f t="shared" ref="AG12:AP12" si="6">+AG10+AG11</f>
        <v>0</v>
      </c>
      <c r="AH12" s="149">
        <f t="shared" si="6"/>
        <v>1125</v>
      </c>
      <c r="AI12" s="149">
        <f t="shared" si="6"/>
        <v>0</v>
      </c>
      <c r="AJ12" s="150">
        <f t="shared" si="6"/>
        <v>550</v>
      </c>
      <c r="AK12" s="147">
        <f t="shared" si="6"/>
        <v>1675</v>
      </c>
      <c r="AL12" s="148">
        <f t="shared" si="6"/>
        <v>1000</v>
      </c>
      <c r="AM12" s="149">
        <f t="shared" si="6"/>
        <v>850</v>
      </c>
      <c r="AN12" s="149">
        <f t="shared" si="6"/>
        <v>250</v>
      </c>
      <c r="AO12" s="150">
        <f t="shared" si="6"/>
        <v>-250</v>
      </c>
      <c r="AP12" s="147">
        <f t="shared" si="6"/>
        <v>1850</v>
      </c>
      <c r="AQ12" s="148">
        <f t="shared" ref="AQ12:AY12" si="7">+AQ10+AQ11</f>
        <v>-44</v>
      </c>
      <c r="AR12" s="149">
        <f t="shared" si="7"/>
        <v>550</v>
      </c>
      <c r="AS12" s="149">
        <f t="shared" si="7"/>
        <v>1150</v>
      </c>
      <c r="AT12" s="150">
        <f t="shared" si="7"/>
        <v>-400</v>
      </c>
      <c r="AU12" s="147">
        <f t="shared" si="7"/>
        <v>1256</v>
      </c>
      <c r="AV12" s="148">
        <f t="shared" si="7"/>
        <v>0</v>
      </c>
      <c r="AW12" s="149">
        <f t="shared" si="7"/>
        <v>744</v>
      </c>
      <c r="AX12" s="149">
        <f t="shared" si="7"/>
        <v>500</v>
      </c>
      <c r="AY12" s="150">
        <f t="shared" si="7"/>
        <v>-9</v>
      </c>
      <c r="AZ12" s="147">
        <f t="shared" ref="AZ12:BE12" si="8">+AZ10+AZ11</f>
        <v>1235</v>
      </c>
      <c r="BA12" s="148">
        <f t="shared" si="8"/>
        <v>-300</v>
      </c>
      <c r="BB12" s="149">
        <f t="shared" si="8"/>
        <v>266</v>
      </c>
      <c r="BC12" s="149">
        <f t="shared" si="8"/>
        <v>1000</v>
      </c>
      <c r="BD12" s="150">
        <f t="shared" si="8"/>
        <v>-300</v>
      </c>
      <c r="BE12" s="147">
        <f t="shared" si="8"/>
        <v>666</v>
      </c>
      <c r="BF12" s="151"/>
      <c r="BG12" s="152">
        <f t="shared" ref="BG12:CA12" si="9">+BG10+BG11</f>
        <v>0</v>
      </c>
      <c r="BH12" s="153">
        <f t="shared" si="9"/>
        <v>0</v>
      </c>
      <c r="BI12" s="154">
        <f t="shared" si="9"/>
        <v>0</v>
      </c>
      <c r="BJ12" s="154">
        <f t="shared" si="9"/>
        <v>0</v>
      </c>
      <c r="BK12" s="155">
        <f t="shared" si="9"/>
        <v>0</v>
      </c>
      <c r="BL12" s="152">
        <f t="shared" si="9"/>
        <v>0</v>
      </c>
      <c r="BM12" s="153">
        <f t="shared" si="9"/>
        <v>0</v>
      </c>
      <c r="BN12" s="154">
        <f t="shared" si="9"/>
        <v>0</v>
      </c>
      <c r="BO12" s="154">
        <f t="shared" si="9"/>
        <v>0</v>
      </c>
      <c r="BP12" s="155">
        <f t="shared" si="9"/>
        <v>0</v>
      </c>
      <c r="BQ12" s="152">
        <f t="shared" si="9"/>
        <v>0</v>
      </c>
      <c r="BR12" s="153">
        <f t="shared" si="9"/>
        <v>0</v>
      </c>
      <c r="BS12" s="154">
        <f t="shared" si="9"/>
        <v>0</v>
      </c>
      <c r="BT12" s="154">
        <f t="shared" si="9"/>
        <v>0</v>
      </c>
      <c r="BU12" s="155">
        <f t="shared" si="9"/>
        <v>0</v>
      </c>
      <c r="BV12" s="152">
        <f t="shared" si="9"/>
        <v>0</v>
      </c>
      <c r="BW12" s="153">
        <f t="shared" si="9"/>
        <v>0</v>
      </c>
      <c r="BX12" s="154">
        <f t="shared" si="9"/>
        <v>0</v>
      </c>
      <c r="BY12" s="154">
        <f t="shared" si="9"/>
        <v>0</v>
      </c>
      <c r="BZ12" s="155">
        <f t="shared" si="9"/>
        <v>0</v>
      </c>
      <c r="CA12" s="152">
        <f t="shared" si="9"/>
        <v>0</v>
      </c>
      <c r="CB12" s="153">
        <f t="shared" ref="CB12:CK12" si="10">+CB10+CB11</f>
        <v>0</v>
      </c>
      <c r="CC12" s="154">
        <f t="shared" si="10"/>
        <v>3.291666666666667</v>
      </c>
      <c r="CD12" s="154">
        <f t="shared" si="10"/>
        <v>6.6875</v>
      </c>
      <c r="CE12" s="155">
        <f t="shared" si="10"/>
        <v>7.7124999999999995</v>
      </c>
      <c r="CF12" s="152">
        <f t="shared" si="10"/>
        <v>17.691666666666666</v>
      </c>
      <c r="CG12" s="153">
        <f t="shared" si="10"/>
        <v>20.725000000000001</v>
      </c>
      <c r="CH12" s="154">
        <f t="shared" si="10"/>
        <v>25.891666666666666</v>
      </c>
      <c r="CI12" s="154">
        <f t="shared" si="10"/>
        <v>29.849999999999994</v>
      </c>
      <c r="CJ12" s="155">
        <f t="shared" si="10"/>
        <v>27.804166666666664</v>
      </c>
      <c r="CK12" s="152">
        <f t="shared" si="10"/>
        <v>104.27083333333334</v>
      </c>
      <c r="CL12" s="153">
        <f t="shared" ref="CL12:CU12" si="11">+CL10+CL11</f>
        <v>13.95125</v>
      </c>
      <c r="CM12" s="154">
        <f t="shared" si="11"/>
        <v>16.451250000000002</v>
      </c>
      <c r="CN12" s="154">
        <f t="shared" si="11"/>
        <v>28.930416666666666</v>
      </c>
      <c r="CO12" s="155">
        <f t="shared" si="11"/>
        <v>28.467916666666667</v>
      </c>
      <c r="CP12" s="152">
        <f t="shared" si="11"/>
        <v>87.800833333333316</v>
      </c>
      <c r="CQ12" s="153">
        <f t="shared" si="11"/>
        <v>28.774999999999999</v>
      </c>
      <c r="CR12" s="154">
        <f t="shared" si="11"/>
        <v>22.823124999999997</v>
      </c>
      <c r="CS12" s="154">
        <f t="shared" si="11"/>
        <v>14.343958333333333</v>
      </c>
      <c r="CT12" s="155">
        <f t="shared" si="11"/>
        <v>15.721691666666668</v>
      </c>
      <c r="CU12" s="152">
        <f t="shared" si="11"/>
        <v>81.663774999999987</v>
      </c>
      <c r="CV12" s="153">
        <f>+CV10+CV11</f>
        <v>15.727225000000001</v>
      </c>
      <c r="CW12" s="154">
        <f>+CW10+CW11</f>
        <v>16.154516666666666</v>
      </c>
      <c r="CX12" s="154">
        <f>+CX10+CX11</f>
        <v>18.578266666666668</v>
      </c>
      <c r="CY12" s="155">
        <f>+CY10+CY11</f>
        <v>15.954699999999999</v>
      </c>
      <c r="CZ12" s="152">
        <f>+CZ10+CZ11</f>
        <v>66.414708333333337</v>
      </c>
    </row>
    <row r="13" spans="1:104" ht="12.75" customHeight="1">
      <c r="A13" s="7"/>
      <c r="B13" s="7"/>
      <c r="C13" s="266"/>
      <c r="D13" s="123"/>
      <c r="E13" s="142"/>
      <c r="F13" s="1221"/>
      <c r="G13" s="1221"/>
      <c r="H13" s="144"/>
      <c r="I13" s="145"/>
      <c r="J13" s="146"/>
      <c r="K13" s="112"/>
      <c r="L13" s="147"/>
      <c r="M13" s="148"/>
      <c r="N13" s="149"/>
      <c r="O13" s="149"/>
      <c r="P13" s="150"/>
      <c r="Q13" s="147"/>
      <c r="R13" s="148"/>
      <c r="S13" s="149"/>
      <c r="T13" s="149"/>
      <c r="U13" s="150"/>
      <c r="V13" s="147"/>
      <c r="W13" s="148"/>
      <c r="X13" s="149"/>
      <c r="Y13" s="149"/>
      <c r="Z13" s="150"/>
      <c r="AA13" s="147"/>
      <c r="AB13" s="148"/>
      <c r="AC13" s="149"/>
      <c r="AD13" s="149"/>
      <c r="AE13" s="150"/>
      <c r="AF13" s="147"/>
      <c r="AG13" s="148"/>
      <c r="AH13" s="149"/>
      <c r="AI13" s="149"/>
      <c r="AJ13" s="150"/>
      <c r="AK13" s="147"/>
      <c r="AL13" s="148"/>
      <c r="AM13" s="149"/>
      <c r="AN13" s="149"/>
      <c r="AO13" s="150"/>
      <c r="AP13" s="147"/>
      <c r="AQ13" s="148"/>
      <c r="AR13" s="149"/>
      <c r="AS13" s="149"/>
      <c r="AT13" s="150"/>
      <c r="AU13" s="147"/>
      <c r="AV13" s="148"/>
      <c r="AW13" s="149"/>
      <c r="AX13" s="149"/>
      <c r="AY13" s="150"/>
      <c r="AZ13" s="147"/>
      <c r="BA13" s="148"/>
      <c r="BB13" s="149"/>
      <c r="BC13" s="149"/>
      <c r="BD13" s="150"/>
      <c r="BE13" s="147"/>
      <c r="BF13" s="151"/>
      <c r="BG13" s="152"/>
      <c r="BH13" s="153"/>
      <c r="BI13" s="154"/>
      <c r="BJ13" s="154"/>
      <c r="BK13" s="155"/>
      <c r="BL13" s="152"/>
      <c r="BM13" s="153"/>
      <c r="BN13" s="154"/>
      <c r="BO13" s="154"/>
      <c r="BP13" s="155"/>
      <c r="BQ13" s="152"/>
      <c r="BR13" s="153"/>
      <c r="BS13" s="154"/>
      <c r="BT13" s="154"/>
      <c r="BU13" s="155"/>
      <c r="BV13" s="152"/>
      <c r="BW13" s="153"/>
      <c r="BX13" s="154"/>
      <c r="BY13" s="154"/>
      <c r="BZ13" s="155"/>
      <c r="CA13" s="152"/>
      <c r="CB13" s="153"/>
      <c r="CC13" s="154"/>
      <c r="CD13" s="154"/>
      <c r="CE13" s="155"/>
      <c r="CF13" s="152"/>
      <c r="CG13" s="153"/>
      <c r="CH13" s="154"/>
      <c r="CI13" s="154"/>
      <c r="CJ13" s="155"/>
      <c r="CK13" s="152"/>
      <c r="CL13" s="153"/>
      <c r="CM13" s="154"/>
      <c r="CN13" s="154"/>
      <c r="CO13" s="155"/>
      <c r="CP13" s="152"/>
      <c r="CQ13" s="153"/>
      <c r="CR13" s="154"/>
      <c r="CS13" s="154"/>
      <c r="CT13" s="155"/>
      <c r="CU13" s="152"/>
      <c r="CV13" s="153"/>
      <c r="CW13" s="154"/>
      <c r="CX13" s="154"/>
      <c r="CY13" s="155"/>
      <c r="CZ13" s="152"/>
    </row>
    <row r="14" spans="1:104" ht="12.75" customHeight="1">
      <c r="A14" s="7"/>
      <c r="B14" s="7"/>
      <c r="C14" s="266"/>
      <c r="D14" s="123"/>
      <c r="E14" s="142"/>
      <c r="F14" s="1221"/>
      <c r="G14" s="1221"/>
      <c r="H14" s="144"/>
      <c r="I14" s="145"/>
      <c r="J14" s="146"/>
      <c r="K14" s="112"/>
      <c r="L14" s="147"/>
      <c r="M14" s="148"/>
      <c r="N14" s="149"/>
      <c r="O14" s="149"/>
      <c r="P14" s="150"/>
      <c r="Q14" s="147"/>
      <c r="R14" s="148"/>
      <c r="S14" s="149"/>
      <c r="T14" s="149"/>
      <c r="U14" s="150"/>
      <c r="V14" s="147"/>
      <c r="W14" s="148"/>
      <c r="X14" s="149"/>
      <c r="Y14" s="149"/>
      <c r="Z14" s="150"/>
      <c r="AA14" s="147"/>
      <c r="AB14" s="148"/>
      <c r="AC14" s="149"/>
      <c r="AD14" s="149"/>
      <c r="AE14" s="150"/>
      <c r="AF14" s="147"/>
      <c r="AG14" s="148"/>
      <c r="AH14" s="149"/>
      <c r="AI14" s="149"/>
      <c r="AJ14" s="150"/>
      <c r="AK14" s="147"/>
      <c r="AL14" s="148"/>
      <c r="AM14" s="149"/>
      <c r="AN14" s="149"/>
      <c r="AO14" s="150"/>
      <c r="AP14" s="147"/>
      <c r="AQ14" s="148"/>
      <c r="AR14" s="149"/>
      <c r="AS14" s="149"/>
      <c r="AT14" s="150"/>
      <c r="AU14" s="147"/>
      <c r="AV14" s="148"/>
      <c r="AW14" s="149"/>
      <c r="AX14" s="149"/>
      <c r="AY14" s="150"/>
      <c r="AZ14" s="147"/>
      <c r="BA14" s="148"/>
      <c r="BB14" s="149"/>
      <c r="BC14" s="149"/>
      <c r="BD14" s="150"/>
      <c r="BE14" s="147"/>
      <c r="BF14" s="151"/>
      <c r="BG14" s="152"/>
      <c r="BH14" s="153"/>
      <c r="BI14" s="154"/>
      <c r="BJ14" s="154"/>
      <c r="BK14" s="155"/>
      <c r="BL14" s="152"/>
      <c r="BM14" s="153"/>
      <c r="BN14" s="154"/>
      <c r="BO14" s="154"/>
      <c r="BP14" s="155"/>
      <c r="BQ14" s="152"/>
      <c r="BR14" s="153"/>
      <c r="BS14" s="154"/>
      <c r="BT14" s="154"/>
      <c r="BU14" s="155"/>
      <c r="BV14" s="152"/>
      <c r="BW14" s="153"/>
      <c r="BX14" s="154"/>
      <c r="BY14" s="154"/>
      <c r="BZ14" s="155"/>
      <c r="CA14" s="152"/>
      <c r="CB14" s="153"/>
      <c r="CC14" s="154"/>
      <c r="CD14" s="154"/>
      <c r="CE14" s="155"/>
      <c r="CF14" s="152"/>
      <c r="CG14" s="153"/>
      <c r="CH14" s="154"/>
      <c r="CI14" s="154"/>
      <c r="CJ14" s="155"/>
      <c r="CK14" s="152"/>
      <c r="CL14" s="153"/>
      <c r="CM14" s="154"/>
      <c r="CN14" s="154"/>
      <c r="CO14" s="155"/>
      <c r="CP14" s="152"/>
      <c r="CQ14" s="153"/>
      <c r="CR14" s="154"/>
      <c r="CS14" s="154"/>
      <c r="CT14" s="155"/>
      <c r="CU14" s="152"/>
      <c r="CV14" s="153"/>
      <c r="CW14" s="154"/>
      <c r="CX14" s="154"/>
      <c r="CY14" s="155"/>
      <c r="CZ14" s="152"/>
    </row>
    <row r="15" spans="1:104" ht="12.75" customHeight="1">
      <c r="A15" s="7"/>
      <c r="B15" s="105" t="s">
        <v>112</v>
      </c>
      <c r="C15" s="106"/>
      <c r="D15" s="19"/>
      <c r="E15" s="163"/>
      <c r="F15" s="108"/>
      <c r="G15" s="108"/>
      <c r="H15" s="68"/>
      <c r="I15" s="164"/>
      <c r="J15" s="165"/>
      <c r="K15" s="166"/>
      <c r="L15" s="65"/>
      <c r="M15" s="167"/>
      <c r="N15" s="70"/>
      <c r="O15" s="70"/>
      <c r="P15" s="168"/>
      <c r="Q15" s="65"/>
      <c r="R15" s="167"/>
      <c r="S15" s="70"/>
      <c r="T15" s="70"/>
      <c r="U15" s="168"/>
      <c r="V15" s="65"/>
      <c r="W15" s="167"/>
      <c r="X15" s="70"/>
      <c r="Y15" s="70"/>
      <c r="Z15" s="168"/>
      <c r="AA15" s="65"/>
      <c r="AB15" s="167"/>
      <c r="AC15" s="70"/>
      <c r="AD15" s="70"/>
      <c r="AE15" s="168"/>
      <c r="AF15" s="65"/>
      <c r="AG15" s="167"/>
      <c r="AH15" s="70"/>
      <c r="AI15" s="70"/>
      <c r="AJ15" s="168"/>
      <c r="AK15" s="65"/>
      <c r="AL15" s="167"/>
      <c r="AM15" s="70"/>
      <c r="AN15" s="70"/>
      <c r="AO15" s="168"/>
      <c r="AP15" s="65"/>
      <c r="AQ15" s="167"/>
      <c r="AR15" s="70"/>
      <c r="AS15" s="70"/>
      <c r="AT15" s="168"/>
      <c r="AU15" s="65"/>
      <c r="AV15" s="167"/>
      <c r="AW15" s="70"/>
      <c r="AX15" s="70"/>
      <c r="AY15" s="168"/>
      <c r="AZ15" s="65"/>
      <c r="BA15" s="167"/>
      <c r="BB15" s="70"/>
      <c r="BC15" s="70"/>
      <c r="BD15" s="168"/>
      <c r="BE15" s="65"/>
      <c r="BF15" s="169"/>
      <c r="BG15" s="65"/>
      <c r="BH15" s="167"/>
      <c r="BI15" s="70"/>
      <c r="BJ15" s="70"/>
      <c r="BK15" s="168"/>
      <c r="BL15" s="65"/>
      <c r="BM15" s="167"/>
      <c r="BN15" s="70"/>
      <c r="BO15" s="70"/>
      <c r="BP15" s="168"/>
      <c r="BQ15" s="65"/>
      <c r="BR15" s="167"/>
      <c r="BS15" s="70"/>
      <c r="BT15" s="70"/>
      <c r="BU15" s="168"/>
      <c r="BV15" s="65"/>
      <c r="BW15" s="167"/>
      <c r="BX15" s="70"/>
      <c r="BY15" s="70"/>
      <c r="BZ15" s="168"/>
      <c r="CA15" s="65"/>
      <c r="CB15" s="167"/>
      <c r="CC15" s="70"/>
      <c r="CD15" s="70"/>
      <c r="CE15" s="168"/>
      <c r="CF15" s="65"/>
      <c r="CG15" s="167"/>
      <c r="CH15" s="70"/>
      <c r="CI15" s="70"/>
      <c r="CJ15" s="168"/>
      <c r="CK15" s="65"/>
      <c r="CL15" s="167"/>
      <c r="CM15" s="70"/>
      <c r="CN15" s="70"/>
      <c r="CO15" s="168"/>
      <c r="CP15" s="65"/>
      <c r="CQ15" s="167"/>
      <c r="CR15" s="70"/>
      <c r="CS15" s="70"/>
      <c r="CT15" s="168"/>
      <c r="CU15" s="65"/>
      <c r="CV15" s="167"/>
      <c r="CW15" s="70"/>
      <c r="CX15" s="70"/>
      <c r="CY15" s="168"/>
      <c r="CZ15" s="65"/>
    </row>
    <row r="16" spans="1:104" ht="12.75" customHeight="1">
      <c r="A16" s="7"/>
      <c r="B16" s="7"/>
      <c r="C16" s="123"/>
      <c r="D16" s="123"/>
      <c r="E16" s="170"/>
      <c r="F16" s="171"/>
      <c r="G16" s="171"/>
      <c r="H16" s="171"/>
      <c r="I16" s="172"/>
      <c r="J16" s="173"/>
      <c r="K16" s="174"/>
      <c r="L16" s="175"/>
      <c r="M16" s="176"/>
      <c r="N16" s="177"/>
      <c r="O16" s="177"/>
      <c r="P16" s="178"/>
      <c r="Q16" s="175"/>
      <c r="R16" s="176"/>
      <c r="S16" s="177"/>
      <c r="T16" s="177"/>
      <c r="U16" s="178"/>
      <c r="V16" s="175"/>
      <c r="W16" s="176"/>
      <c r="X16" s="177"/>
      <c r="Y16" s="177"/>
      <c r="Z16" s="178"/>
      <c r="AA16" s="175"/>
      <c r="AB16" s="176"/>
      <c r="AC16" s="177"/>
      <c r="AD16" s="177"/>
      <c r="AE16" s="178"/>
      <c r="AF16" s="175"/>
      <c r="AG16" s="176"/>
      <c r="AH16" s="177"/>
      <c r="AI16" s="177"/>
      <c r="AJ16" s="178"/>
      <c r="AK16" s="175"/>
      <c r="AL16" s="176"/>
      <c r="AM16" s="177"/>
      <c r="AN16" s="177"/>
      <c r="AO16" s="178"/>
      <c r="AP16" s="175"/>
      <c r="AQ16" s="176"/>
      <c r="AR16" s="177"/>
      <c r="AS16" s="177"/>
      <c r="AT16" s="178"/>
      <c r="AU16" s="175"/>
      <c r="AV16" s="176"/>
      <c r="AW16" s="177"/>
      <c r="AX16" s="177"/>
      <c r="AY16" s="178"/>
      <c r="AZ16" s="175"/>
      <c r="BA16" s="176"/>
      <c r="BB16" s="177"/>
      <c r="BC16" s="177"/>
      <c r="BD16" s="178"/>
      <c r="BE16" s="175"/>
      <c r="BF16" s="179"/>
      <c r="BG16" s="180"/>
      <c r="BH16" s="167"/>
      <c r="BI16" s="70"/>
      <c r="BJ16" s="70"/>
      <c r="BK16" s="168"/>
      <c r="BL16" s="180"/>
      <c r="BM16" s="167"/>
      <c r="BN16" s="70"/>
      <c r="BO16" s="70"/>
      <c r="BP16" s="168"/>
      <c r="BQ16" s="180"/>
      <c r="BR16" s="167"/>
      <c r="BS16" s="70"/>
      <c r="BT16" s="70"/>
      <c r="BU16" s="168"/>
      <c r="BV16" s="180"/>
      <c r="BW16" s="167"/>
      <c r="BX16" s="70"/>
      <c r="BY16" s="70"/>
      <c r="BZ16" s="168"/>
      <c r="CA16" s="180"/>
      <c r="CB16" s="167"/>
      <c r="CC16" s="70"/>
      <c r="CD16" s="70"/>
      <c r="CE16" s="168"/>
      <c r="CF16" s="180"/>
      <c r="CG16" s="167"/>
      <c r="CH16" s="70"/>
      <c r="CI16" s="70"/>
      <c r="CJ16" s="168"/>
      <c r="CK16" s="180"/>
      <c r="CL16" s="167"/>
      <c r="CM16" s="70"/>
      <c r="CN16" s="70"/>
      <c r="CO16" s="168"/>
      <c r="CP16" s="180"/>
      <c r="CQ16" s="167"/>
      <c r="CR16" s="70"/>
      <c r="CS16" s="70"/>
      <c r="CT16" s="168"/>
      <c r="CU16" s="180"/>
      <c r="CV16" s="167"/>
      <c r="CW16" s="70"/>
      <c r="CX16" s="70"/>
      <c r="CY16" s="168"/>
      <c r="CZ16" s="180"/>
    </row>
    <row r="17" spans="1:104" ht="12.75" customHeight="1">
      <c r="A17" s="7"/>
      <c r="B17" s="7"/>
      <c r="C17" s="181" t="s">
        <v>582</v>
      </c>
      <c r="D17" s="181"/>
      <c r="E17" s="182"/>
      <c r="F17" s="183"/>
      <c r="G17" s="183"/>
      <c r="H17" s="183"/>
      <c r="I17" s="171"/>
      <c r="J17" s="171"/>
      <c r="K17" s="184"/>
      <c r="L17" s="175"/>
      <c r="M17" s="176"/>
      <c r="N17" s="177"/>
      <c r="O17" s="177"/>
      <c r="P17" s="178"/>
      <c r="Q17" s="175"/>
      <c r="R17" s="176"/>
      <c r="S17" s="177"/>
      <c r="T17" s="177"/>
      <c r="U17" s="178"/>
      <c r="V17" s="175"/>
      <c r="W17" s="176"/>
      <c r="X17" s="177"/>
      <c r="Y17" s="177"/>
      <c r="Z17" s="178"/>
      <c r="AA17" s="175"/>
      <c r="AB17" s="176"/>
      <c r="AC17" s="177"/>
      <c r="AD17" s="177"/>
      <c r="AE17" s="178"/>
      <c r="AF17" s="175"/>
      <c r="AG17" s="176"/>
      <c r="AH17" s="177"/>
      <c r="AI17" s="177"/>
      <c r="AJ17" s="178"/>
      <c r="AK17" s="175"/>
      <c r="AL17" s="176"/>
      <c r="AM17" s="177"/>
      <c r="AN17" s="177"/>
      <c r="AO17" s="178"/>
      <c r="AP17" s="175"/>
      <c r="AQ17" s="176"/>
      <c r="AR17" s="177"/>
      <c r="AS17" s="177"/>
      <c r="AT17" s="178"/>
      <c r="AU17" s="175"/>
      <c r="AV17" s="176"/>
      <c r="AW17" s="177"/>
      <c r="AX17" s="177"/>
      <c r="AY17" s="178"/>
      <c r="AZ17" s="175"/>
      <c r="BA17" s="176"/>
      <c r="BB17" s="177"/>
      <c r="BC17" s="177"/>
      <c r="BD17" s="178"/>
      <c r="BE17" s="175"/>
      <c r="BF17" s="179"/>
      <c r="BG17" s="185"/>
      <c r="BH17" s="186"/>
      <c r="BI17" s="187"/>
      <c r="BJ17" s="187"/>
      <c r="BK17" s="188"/>
      <c r="BL17" s="185"/>
      <c r="BM17" s="186"/>
      <c r="BN17" s="187"/>
      <c r="BO17" s="187"/>
      <c r="BP17" s="188"/>
      <c r="BQ17" s="185"/>
      <c r="BR17" s="186"/>
      <c r="BS17" s="187"/>
      <c r="BT17" s="187"/>
      <c r="BU17" s="188"/>
      <c r="BV17" s="185"/>
      <c r="BW17" s="186"/>
      <c r="BX17" s="187"/>
      <c r="BY17" s="187"/>
      <c r="BZ17" s="188"/>
      <c r="CA17" s="185"/>
      <c r="CB17" s="186"/>
      <c r="CC17" s="187"/>
      <c r="CD17" s="187"/>
      <c r="CE17" s="188"/>
      <c r="CF17" s="185"/>
      <c r="CG17" s="186"/>
      <c r="CH17" s="187"/>
      <c r="CI17" s="187"/>
      <c r="CJ17" s="188"/>
      <c r="CK17" s="185"/>
      <c r="CL17" s="186"/>
      <c r="CM17" s="187"/>
      <c r="CN17" s="187"/>
      <c r="CO17" s="188"/>
      <c r="CP17" s="185"/>
      <c r="CQ17" s="186"/>
      <c r="CR17" s="187"/>
      <c r="CS17" s="187"/>
      <c r="CT17" s="188"/>
      <c r="CU17" s="185"/>
      <c r="CV17" s="186"/>
      <c r="CW17" s="187"/>
      <c r="CX17" s="187"/>
      <c r="CY17" s="188"/>
      <c r="CZ17" s="185"/>
    </row>
    <row r="18" spans="1:104" s="305" customFormat="1" ht="12.75" customHeight="1">
      <c r="A18" s="71"/>
      <c r="B18" s="71"/>
      <c r="C18" s="880" t="s">
        <v>1012</v>
      </c>
      <c r="D18" s="190"/>
      <c r="E18" s="191">
        <f>IF(F18=0,G18,F18)</f>
        <v>500</v>
      </c>
      <c r="F18" s="1346">
        <v>0</v>
      </c>
      <c r="G18" s="1346">
        <v>500</v>
      </c>
      <c r="H18" s="442">
        <v>2017</v>
      </c>
      <c r="I18" s="220">
        <v>0.05</v>
      </c>
      <c r="J18" s="442">
        <v>11</v>
      </c>
      <c r="K18" s="112"/>
      <c r="L18" s="113">
        <f>IF(L$5=$H18,-$E18,0)</f>
        <v>0</v>
      </c>
      <c r="M18" s="114">
        <f>IF(Q18=0,0,IF(Q18&lt;0,IF($J18=3,Q18,IF($J18=2,Q18,IF($J18=1,Q18,0)))))</f>
        <v>0</v>
      </c>
      <c r="N18" s="115">
        <f>IF(Q18=0,0,IF(Q18&lt;0,IF($J18=6,Q18,IF($J18=5,Q18,IF($J18=4,Q18,0)))))</f>
        <v>0</v>
      </c>
      <c r="O18" s="115">
        <f>IF(Q18=0,0,IF(Q18&lt;0,IF($J18=9,Q18,IF($J18=8,Q18,IF($J18=7,Q18,0)))))</f>
        <v>0</v>
      </c>
      <c r="P18" s="116">
        <f>IF(Q18=0,0,IF(Q18&lt;0,IF($J18=12,Q18,IF($J18=11,Q18,IF($J18=10,Q18,0)))))</f>
        <v>0</v>
      </c>
      <c r="Q18" s="113">
        <f>IF(Q$5=$H18,-$E18,0)</f>
        <v>0</v>
      </c>
      <c r="R18" s="114">
        <f>IF(V18=0,0,IF(V18&lt;0,IF($J18=3,V18,IF($J18=2,V18,IF($J18=1,V18,0)))))</f>
        <v>0</v>
      </c>
      <c r="S18" s="115">
        <f>IF(V18=0,0,IF(V18&lt;0,IF($J18=6,V18,IF($J18=5,V18,IF($J18=4,V18,0)))))</f>
        <v>0</v>
      </c>
      <c r="T18" s="115">
        <f>IF(V18=0,0,IF(V18&lt;0,IF($J18=9,V18,IF($J18=8,V18,IF($J18=7,V18,0)))))</f>
        <v>0</v>
      </c>
      <c r="U18" s="116">
        <f>IF(V18=0,0,IF(V18&lt;0,IF($J18=12,V18,IF($J18=11,V18,IF($J18=10,V18,0)))))</f>
        <v>0</v>
      </c>
      <c r="V18" s="113">
        <f>IF(V$5=$H18,-$E18,0)</f>
        <v>0</v>
      </c>
      <c r="W18" s="114">
        <f>IF(AA18=0,0,IF(AA18&lt;0,IF($J18=3,AA18,IF($J18=2,AA18,IF($J18=1,AA18,0)))))</f>
        <v>0</v>
      </c>
      <c r="X18" s="115">
        <f>IF(AA18=0,0,IF(AA18&lt;0,IF($J18=6,AA18,IF($J18=5,AA18,IF($J18=4,AA18,0)))))</f>
        <v>0</v>
      </c>
      <c r="Y18" s="115">
        <f>IF(AA18=0,0,IF(AA18&lt;0,IF($J18=9,AA18,IF($J18=8,AA18,IF($J18=7,AA18,0)))))</f>
        <v>0</v>
      </c>
      <c r="Z18" s="116">
        <f>IF(AA18=0,0,IF(AA18&lt;0,IF($J18=12,AA18,IF($J18=11,AA18,IF($J18=10,AA18,0)))))</f>
        <v>0</v>
      </c>
      <c r="AA18" s="113">
        <f>IF(AA$5=$H18,-$E18,0)</f>
        <v>0</v>
      </c>
      <c r="AB18" s="114">
        <f>IF(AF18=0,0,IF(AF18&lt;0,IF($J18=3,AF18,IF($J18=2,AF18,IF($J18=1,AF18,0)))))</f>
        <v>0</v>
      </c>
      <c r="AC18" s="115">
        <f>IF(AF18=0,0,IF(AF18&lt;0,IF($J18=6,AF18,IF($J18=5,AF18,IF($J18=4,AF18,0)))))</f>
        <v>0</v>
      </c>
      <c r="AD18" s="115">
        <f>IF(AF18=0,0,IF(AF18&lt;0,IF($J18=9,AF18,IF($J18=8,AF18,IF($J18=7,AF18,0)))))</f>
        <v>0</v>
      </c>
      <c r="AE18" s="116">
        <f>IF(AF18=0,0,IF(AF18&lt;0,IF($J18=12,AF18,IF($J18=11,AF18,IF($J18=10,AF18,0)))))</f>
        <v>0</v>
      </c>
      <c r="AF18" s="113">
        <f>IF(AF$5=$H18,-$E18,0)</f>
        <v>0</v>
      </c>
      <c r="AG18" s="114">
        <f>IF(AK18=0,0,IF(AK18&lt;0,IF($J18=3,AK18,IF($J18=2,AK18,IF($J18=1,AK18,0)))))</f>
        <v>0</v>
      </c>
      <c r="AH18" s="115">
        <f>IF(AK18=0,0,IF(AK18&lt;0,IF($J18=6,AK18,IF($J18=5,AK18,IF($J18=4,AK18,0)))))</f>
        <v>0</v>
      </c>
      <c r="AI18" s="115">
        <f>IF(AK18=0,0,IF(AK18&lt;0,IF($J18=9,AK18,IF($J18=8,AK18,IF($J18=7,AK18,0)))))</f>
        <v>0</v>
      </c>
      <c r="AJ18" s="116">
        <f>IF(AK18=0,0,IF(AK18&lt;0,IF($J18=12,AK18,IF($J18=11,AK18,IF($J18=10,AK18,0)))))</f>
        <v>-500</v>
      </c>
      <c r="AK18" s="113">
        <f>IF(AK$5=$H18,-$E18,0)</f>
        <v>-500</v>
      </c>
      <c r="AL18" s="114">
        <f>IF(AP18=0,0,IF(AP18&lt;0,IF($J18=3,AP18,IF($J18=2,AP18,IF($J18=1,AP18,0)))))</f>
        <v>0</v>
      </c>
      <c r="AM18" s="115">
        <f>IF(AP18=0,0,IF(AP18&lt;0,IF($J18=6,AP18,IF($J18=5,AP18,IF($J18=4,AP18,0)))))</f>
        <v>0</v>
      </c>
      <c r="AN18" s="115">
        <f>IF(AP18=0,0,IF(AP18&lt;0,IF($J18=9,AP18,IF($J18=8,AP18,IF($J18=7,AP18,0)))))</f>
        <v>0</v>
      </c>
      <c r="AO18" s="116">
        <f>IF(AP18=0,0,IF(AP18&lt;0,IF($J18=12,AP18,IF($J18=11,AP18,IF($J18=10,AP18,0)))))</f>
        <v>0</v>
      </c>
      <c r="AP18" s="113">
        <f>IF(AP$5=$H18,-$E18,0)</f>
        <v>0</v>
      </c>
      <c r="AQ18" s="114">
        <f>IF(AU18=0,0,IF(AU18&lt;0,IF($J18=3,AU18,IF($J18=2,AU18,IF($J18=1,AU18,0)))))</f>
        <v>0</v>
      </c>
      <c r="AR18" s="115">
        <f>IF(AU18=0,0,IF(AU18&lt;0,IF($J18=6,AU18,IF($J18=5,AU18,IF($J18=4,AU18,0)))))</f>
        <v>0</v>
      </c>
      <c r="AS18" s="115">
        <f>IF(AU18=0,0,IF(AU18&lt;0,IF($J18=9,AU18,IF($J18=8,AU18,IF($J18=7,AU18,0)))))</f>
        <v>0</v>
      </c>
      <c r="AT18" s="116">
        <f>IF(AU18=0,0,IF(AU18&lt;0,IF($J18=12,AU18,IF($J18=11,AU18,IF($J18=10,AU18,0)))))</f>
        <v>0</v>
      </c>
      <c r="AU18" s="113">
        <f>IF(AU$5=$H18,-$E18,0)</f>
        <v>0</v>
      </c>
      <c r="AV18" s="114">
        <f>IF(AZ18=0,0,IF(AZ18&lt;0,IF($J18=3,AZ18,IF($J18=2,AZ18,IF($J18=1,AZ18,0)))))</f>
        <v>0</v>
      </c>
      <c r="AW18" s="115">
        <f>IF(AZ18=0,0,IF(AZ18&lt;0,IF($J18=6,AZ18,IF($J18=5,AZ18,IF($J18=4,AZ18,0)))))</f>
        <v>0</v>
      </c>
      <c r="AX18" s="115">
        <f>IF(AZ18=0,0,IF(AZ18&lt;0,IF($J18=9,AZ18,IF($J18=8,AZ18,IF($J18=7,AZ18,0)))))</f>
        <v>0</v>
      </c>
      <c r="AY18" s="116">
        <f>IF(AZ18=0,0,IF(AZ18&lt;0,IF($J18=12,AZ18,IF($J18=11,AZ18,IF($J18=10,AZ18,0)))))</f>
        <v>0</v>
      </c>
      <c r="AZ18" s="113">
        <f>IF(AZ$5=$H18,-$E18,0)</f>
        <v>0</v>
      </c>
      <c r="BA18" s="114">
        <f>IF(BE18=0,0,IF(BE18&lt;0,IF($J18=3,BE18,IF($J18=2,BE18,IF($J18=1,BE18,0)))))</f>
        <v>0</v>
      </c>
      <c r="BB18" s="115">
        <f>IF(BE18=0,0,IF(BE18&lt;0,IF($J18=6,BE18,IF($J18=5,BE18,IF($J18=4,BE18,0)))))</f>
        <v>0</v>
      </c>
      <c r="BC18" s="115">
        <f>IF(BE18=0,0,IF(BE18&lt;0,IF($J18=9,BE18,IF($J18=8,BE18,IF($J18=7,BE18,0)))))</f>
        <v>0</v>
      </c>
      <c r="BD18" s="116">
        <f>IF(BE18=0,0,IF(BE18&lt;0,IF($J18=12,BE18,IF($J18=11,BE18,IF($J18=10,BE18,0)))))</f>
        <v>0</v>
      </c>
      <c r="BE18" s="113">
        <f>IF(BE$5=$H18,-$E18,0)</f>
        <v>0</v>
      </c>
      <c r="BF18" s="194"/>
      <c r="BG18" s="118">
        <f>IF(AND(BF18&lt;&gt;0,BF$5=$H18),-$I18*$E18-BF18,IF(BG$5=$H18,-$I18*$E18*(12-$J18+1)/12,0))</f>
        <v>0</v>
      </c>
      <c r="BH18" s="119">
        <f>IF($H18&lt;&gt;BL$5,0,IF(BL18&lt;0,IF($J18=1,-$E18*$I18/12*3,IF($J18=2,-$E18*$I18/12*2,IF($J18=3,-$E18*$I18/12*1,0)))))+IF(BG$5&lt;&gt;$H18,0,IF(BG18&lt;0,IF($J18=1,-$E18*$I18/12*0,IF($J18=2,-$E18*$I18/12*1,IF($J18=3,-$E18*$I18/12*2,IF($J18&gt;=4,-$E18*$I18/12*3,0))))))</f>
        <v>0</v>
      </c>
      <c r="BI18" s="120">
        <f>IF($H18&lt;&gt;BL$5,0,IF(BL18&lt;0,IF(OR($J18=1,$J18=2,$J18=3,$J18=4),-$E18*$I18/12*3,IF($J18=5,-$E18*$I18/12*2,IF($J18=6,-$E18*$I18/12*1,0)))))+IF(BG$5&lt;&gt;$H18,0,IF(BG18&lt;0,IF($J18=4,-$E18*$I18/12*0,IF($J18=5,-$E18*$I18/12*1,IF($J18=6,-$E18*$I18/12*2,IF($J18&gt;=7,-$E18*$I18/12*3,0))))))</f>
        <v>0</v>
      </c>
      <c r="BJ18" s="120">
        <f>IF($H18&lt;&gt;BL$5,0,IF(BL18&lt;0,IF(OR($J18=1,$J18=2,$J18=3,$J18=4,$J18=5,$J18=6,$J18=7),-$E18*$I18/12*3,IF($J18=8,-$E18*$I18/12*2,IF($J18=9,-$E18*$I18/12*1,0)))))+IF(BG$5&lt;&gt;$H18,0,IF(BG18&lt;0,IF($J18=7,-$E18*$I18/12*0,IF($J18=8,-$E18*$I18/12*1,IF($J18=9,-$E18*$I18/12*2,IF($J18&gt;=10,-$E18*$I18/12*3,0))))))</f>
        <v>0</v>
      </c>
      <c r="BK18" s="121">
        <f>IF($H18&lt;&gt;BL$5,0,IF(BL18&lt;0,IF(OR($J18=1,$J18=2,$J18=3,$J18=4,$J18=5,$J18=6,$J18=7,$J18=8,$J18=9,$J18=10),-$E18*$I18/12*3,IF($J18=11,-$E18*$I18/12*2,IF($J18=12,-$E18*$I18/12*1,0)))))+IF(BG$5&lt;&gt;$H18,0,IF(BG18&lt;0,IF($J18=10,-$E18*$I18/12*0,IF($J18=11,-$E18*$I18/12*1,IF($J18=12,-$E18*$I18/12*2,0)))))</f>
        <v>0</v>
      </c>
      <c r="BL18" s="118">
        <f>IF(AND(BG18&lt;&gt;0,BG$5=$H18),-$I18*$E18-BG18,IF(BL$5=$H18,-$I18*$E18*(12-$J18+1)/12,0))</f>
        <v>0</v>
      </c>
      <c r="BM18" s="119">
        <f>IF($H18&lt;&gt;BQ$5,0,IF(BQ18&lt;0,IF($J18=1,-$E18*$I18/12*3,IF($J18=2,-$E18*$I18/12*2,IF($J18=3,-$E18*$I18/12*1,0)))))+IF(BL$5&lt;&gt;$H18,0,IF(BL18&lt;0,IF($J18=1,-$E18*$I18/12*0,IF($J18=2,-$E18*$I18/12*1,IF($J18=3,-$E18*$I18/12*2,IF($J18&gt;=4,-$E18*$I18/12*3,0))))))</f>
        <v>0</v>
      </c>
      <c r="BN18" s="120">
        <f>IF($H18&lt;&gt;BQ$5,0,IF(BQ18&lt;0,IF(OR($J18=1,$J18=2,$J18=3,$J18=4),-$E18*$I18/12*3,IF($J18=5,-$E18*$I18/12*2,IF($J18=6,-$E18*$I18/12*1,0)))))+IF(BL$5&lt;&gt;$H18,0,IF(BL18&lt;0,IF($J18=4,-$E18*$I18/12*0,IF($J18=5,-$E18*$I18/12*1,IF($J18=6,-$E18*$I18/12*2,IF($J18&gt;=7,-$E18*$I18/12*3,0))))))</f>
        <v>0</v>
      </c>
      <c r="BO18" s="120">
        <f>IF($H18&lt;&gt;BQ$5,0,IF(BQ18&lt;0,IF(OR($J18=1,$J18=2,$J18=3,$J18=4,$J18=5,$J18=6,$J18=7),-$E18*$I18/12*3,IF($J18=8,-$E18*$I18/12*2,IF($J18=9,-$E18*$I18/12*1,0)))))+IF(BL$5&lt;&gt;$H18,0,IF(BL18&lt;0,IF($J18=7,-$E18*$I18/12*0,IF($J18=8,-$E18*$I18/12*1,IF($J18=9,-$E18*$I18/12*2,IF($J18&gt;=10,-$E18*$I18/12*3,0))))))</f>
        <v>0</v>
      </c>
      <c r="BP18" s="121">
        <f>IF($H18&lt;&gt;BQ$5,0,IF(BQ18&lt;0,IF(OR($J18=1,$J18=2,$J18=3,$J18=4,$J18=5,$J18=6,$J18=7,$J18=8,$J18=9,$J18=10),-$E18*$I18/12*3,IF($J18=11,-$E18*$I18/12*2,IF($J18=12,-$E18*$I18/12*1,0)))))+IF(BL$5&lt;&gt;$H18,0,IF(BL18&lt;0,IF($J18=10,-$E18*$I18/12*0,IF($J18=11,-$E18*$I18/12*1,IF($J18=12,-$E18*$I18/12*2,0)))))</f>
        <v>0</v>
      </c>
      <c r="BQ18" s="118">
        <f>IF(AND(BL18&lt;&gt;0,BL$5=$H18),-$I18*$E18-BL18,IF(BQ$5=$H18,-$I18*$E18*(12-$J18+1)/12,0))</f>
        <v>0</v>
      </c>
      <c r="BR18" s="119">
        <f>IF($H18&lt;&gt;BV$5,0,IF(BV18&lt;0,IF($J18=1,-$E18*$I18/12*3,IF($J18=2,-$E18*$I18/12*2,IF($J18=3,-$E18*$I18/12*1,0)))))+IF(BQ$5&lt;&gt;$H18,0,IF(BQ18&lt;0,IF($J18=1,-$E18*$I18/12*0,IF($J18=2,-$E18*$I18/12*1,IF($J18=3,-$E18*$I18/12*2,IF($J18&gt;=4,-$E18*$I18/12*3,0))))))</f>
        <v>0</v>
      </c>
      <c r="BS18" s="120">
        <f>IF($H18&lt;&gt;BV$5,0,IF(BV18&lt;0,IF(OR($J18=1,$J18=2,$J18=3,$J18=4),-$E18*$I18/12*3,IF($J18=5,-$E18*$I18/12*2,IF($J18=6,-$E18*$I18/12*1,0)))))+IF(BQ$5&lt;&gt;$H18,0,IF(BQ18&lt;0,IF($J18=4,-$E18*$I18/12*0,IF($J18=5,-$E18*$I18/12*1,IF($J18=6,-$E18*$I18/12*2,IF($J18&gt;=7,-$E18*$I18/12*3,0))))))</f>
        <v>0</v>
      </c>
      <c r="BT18" s="120">
        <f>IF($H18&lt;&gt;BV$5,0,IF(BV18&lt;0,IF(OR($J18=1,$J18=2,$J18=3,$J18=4,$J18=5,$J18=6,$J18=7),-$E18*$I18/12*3,IF($J18=8,-$E18*$I18/12*2,IF($J18=9,-$E18*$I18/12*1,0)))))+IF(BQ$5&lt;&gt;$H18,0,IF(BQ18&lt;0,IF($J18=7,-$E18*$I18/12*0,IF($J18=8,-$E18*$I18/12*1,IF($J18=9,-$E18*$I18/12*2,IF($J18&gt;=10,-$E18*$I18/12*3,0))))))</f>
        <v>0</v>
      </c>
      <c r="BU18" s="121">
        <f>IF($H18&lt;&gt;BV$5,0,IF(BV18&lt;0,IF(OR($J18=1,$J18=2,$J18=3,$J18=4,$J18=5,$J18=6,$J18=7,$J18=8,$J18=9,$J18=10),-$E18*$I18/12*3,IF($J18=11,-$E18*$I18/12*2,IF($J18=12,-$E18*$I18/12*1,0)))))+IF(BQ$5&lt;&gt;$H18,0,IF(BQ18&lt;0,IF($J18=10,-$E18*$I18/12*0,IF($J18=11,-$E18*$I18/12*1,IF($J18=12,-$E18*$I18/12*2,0)))))</f>
        <v>0</v>
      </c>
      <c r="BV18" s="118">
        <f>IF(AND(BQ18&lt;&gt;0,BQ$5=$H18),-$I18*$E18-BQ18,IF(BV$5=$H18,-$I18*$E18*(12-$J18+1)/12,0))</f>
        <v>0</v>
      </c>
      <c r="BW18" s="119">
        <f>IF($H18&lt;&gt;CA$5,0,IF(CA18&lt;0,IF($J18=1,-$E18*$I18/12*3,IF($J18=2,-$E18*$I18/12*2,IF($J18=3,-$E18*$I18/12*1,0)))))+IF(BV$5&lt;&gt;$H18,0,IF(BV18&lt;0,IF($J18=1,-$E18*$I18/12*0,IF($J18=2,-$E18*$I18/12*1,IF($J18=3,-$E18*$I18/12*2,IF($J18&gt;=4,-$E18*$I18/12*3,0))))))</f>
        <v>0</v>
      </c>
      <c r="BX18" s="120">
        <f>IF($H18&lt;&gt;CA$5,0,IF(CA18&lt;0,IF(OR($J18=1,$J18=2,$J18=3,$J18=4),-$E18*$I18/12*3,IF($J18=5,-$E18*$I18/12*2,IF($J18=6,-$E18*$I18/12*1,0)))))+IF(BV$5&lt;&gt;$H18,0,IF(BV18&lt;0,IF($J18=4,-$E18*$I18/12*0,IF($J18=5,-$E18*$I18/12*1,IF($J18=6,-$E18*$I18/12*2,IF($J18&gt;=7,-$E18*$I18/12*3,0))))))</f>
        <v>0</v>
      </c>
      <c r="BY18" s="120">
        <f>IF($H18&lt;&gt;CA$5,0,IF(CA18&lt;0,IF(OR($J18=1,$J18=2,$J18=3,$J18=4,$J18=5,$J18=6,$J18=7),-$E18*$I18/12*3,IF($J18=8,-$E18*$I18/12*2,IF($J18=9,-$E18*$I18/12*1,0)))))+IF(BV$5&lt;&gt;$H18,0,IF(BV18&lt;0,IF($J18=7,-$E18*$I18/12*0,IF($J18=8,-$E18*$I18/12*1,IF($J18=9,-$E18*$I18/12*2,IF($J18&gt;=10,-$E18*$I18/12*3,0))))))</f>
        <v>0</v>
      </c>
      <c r="BZ18" s="121">
        <f>IF($H18&lt;&gt;CA$5,0,IF(CA18&lt;0,IF(OR($J18=1,$J18=2,$J18=3,$J18=4,$J18=5,$J18=6,$J18=7,$J18=8,$J18=9,$J18=10),-$E18*$I18/12*3,IF($J18=11,-$E18*$I18/12*2,IF($J18=12,-$E18*$I18/12*1,0)))))+IF(BV$5&lt;&gt;$H18,0,IF(BV18&lt;0,IF($J18=10,-$E18*$I18/12*0,IF($J18=11,-$E18*$I18/12*1,IF($J18=12,-$E18*$I18/12*2,0)))))</f>
        <v>0</v>
      </c>
      <c r="CA18" s="118">
        <f>IF(AND(BV18&lt;&gt;0,BV$5=$H18),-$I18*$E18-BV18,IF(CA$5=$H18,-$I18*$E18*(12-$J18+1)/12,0))</f>
        <v>0</v>
      </c>
      <c r="CB18" s="119">
        <f>IF($H18&lt;&gt;CF$5,0,IF(CF18&lt;0,IF($J18=1,-$E18*$I18/12*3,IF($J18=2,-$E18*$I18/12*2,IF($J18=3,-$E18*$I18/12*1,0)))))+IF(CA$5&lt;&gt;$H18,0,IF(CA18&lt;0,IF($J18=1,-$E18*$I18/12*0,IF($J18=2,-$E18*$I18/12*1,IF($J18=3,-$E18*$I18/12*2,IF($J18&gt;=4,-$E18*$I18/12*3,0))))))</f>
        <v>0</v>
      </c>
      <c r="CC18" s="120">
        <f>IF($H18&lt;&gt;CF$5,0,IF(CF18&lt;0,IF(OR($J18=1,$J18=2,$J18=3,$J18=4),-$E18*$I18/12*3,IF($J18=5,-$E18*$I18/12*2,IF($J18=6,-$E18*$I18/12*1,0)))))+IF(CA$5&lt;&gt;$H18,0,IF(CA18&lt;0,IF($J18=4,-$E18*$I18/12*0,IF($J18=5,-$E18*$I18/12*1,IF($J18=6,-$E18*$I18/12*2,IF($J18&gt;=7,-$E18*$I18/12*3,0))))))</f>
        <v>0</v>
      </c>
      <c r="CD18" s="120">
        <f>IF($H18&lt;&gt;CF$5,0,IF(CF18&lt;0,IF(OR($J18=1,$J18=2,$J18=3,$J18=4,$J18=5,$J18=6,$J18=7),-$E18*$I18/12*3,IF($J18=8,-$E18*$I18/12*2,IF($J18=9,-$E18*$I18/12*1,0)))))+IF(CA$5&lt;&gt;$H18,0,IF(CA18&lt;0,IF($J18=7,-$E18*$I18/12*0,IF($J18=8,-$E18*$I18/12*1,IF($J18=9,-$E18*$I18/12*2,IF($J18&gt;=10,-$E18*$I18/12*3,0))))))</f>
        <v>0</v>
      </c>
      <c r="CE18" s="121">
        <f>IF($H18&lt;&gt;CF$5,0,IF(CF18&lt;0,IF(OR($J18=1,$J18=2,$J18=3,$J18=4,$J18=5,$J18=6,$J18=7,$J18=8,$J18=9,$J18=10),-$E18*$I18/12*3,IF($J18=11,-$E18*$I18/12*2,IF($J18=12,-$E18*$I18/12*1,0)))))+IF(CA$5&lt;&gt;$H18,0,IF(CA18&lt;0,IF($J18=10,-$E18*$I18/12*0,IF($J18=11,-$E18*$I18/12*1,IF($J18=12,-$E18*$I18/12*2,0)))))</f>
        <v>-4.166666666666667</v>
      </c>
      <c r="CF18" s="118">
        <f>IF(AND(CA18&lt;&gt;0,CA$5=$H18),-$I18*$E18-CA18,IF(CF$5=$H18,-$I18*$E18*(12-$J18+1)/12,0))</f>
        <v>-4.166666666666667</v>
      </c>
      <c r="CG18" s="119">
        <f>IF($H18&lt;&gt;CK$5,0,IF(CK18&lt;0,IF($J18=1,-$E18*$I18/12*3,IF($J18=2,-$E18*$I18/12*2,IF($J18=3,-$E18*$I18/12*1,0)))))+IF(CF$5&lt;&gt;$H18,0,IF(CF18&lt;0,IF($J18=1,-$E18*$I18/12*0,IF($J18=2,-$E18*$I18/12*1,IF($J18=3,-$E18*$I18/12*2,IF($J18&gt;=4,-$E18*$I18/12*3,0))))))</f>
        <v>-6.25</v>
      </c>
      <c r="CH18" s="120">
        <f>IF($H18&lt;&gt;CK$5,0,IF(CK18&lt;0,IF(OR($J18=1,$J18=2,$J18=3,$J18=4),-$E18*$I18/12*3,IF($J18=5,-$E18*$I18/12*2,IF($J18=6,-$E18*$I18/12*1,0)))))+IF(CF$5&lt;&gt;$H18,0,IF(CF18&lt;0,IF($J18=4,-$E18*$I18/12*0,IF($J18=5,-$E18*$I18/12*1,IF($J18=6,-$E18*$I18/12*2,IF($J18&gt;=7,-$E18*$I18/12*3,0))))))</f>
        <v>-6.25</v>
      </c>
      <c r="CI18" s="120">
        <f>IF($H18&lt;&gt;CK$5,0,IF(CK18&lt;0,IF(OR($J18=1,$J18=2,$J18=3,$J18=4,$J18=5,$J18=6,$J18=7),-$E18*$I18/12*3,IF($J18=8,-$E18*$I18/12*2,IF($J18=9,-$E18*$I18/12*1,0)))))+IF(CF$5&lt;&gt;$H18,0,IF(CF18&lt;0,IF($J18=7,-$E18*$I18/12*0,IF($J18=8,-$E18*$I18/12*1,IF($J18=9,-$E18*$I18/12*2,IF($J18&gt;=10,-$E18*$I18/12*3,0))))))</f>
        <v>-6.25</v>
      </c>
      <c r="CJ18" s="121">
        <f>IF($H18&lt;&gt;CK$5,0,IF(CK18&lt;0,IF(OR($J18=1,$J18=2,$J18=3,$J18=4,$J18=5,$J18=6,$J18=7,$J18=8,$J18=9,$J18=10),-$E18*$I18/12*3,IF($J18=11,-$E18*$I18/12*2,IF($J18=12,-$E18*$I18/12*1,0)))))+IF(CF$5&lt;&gt;$H18,0,IF(CF18&lt;0,IF($J18=10,-$E18*$I18/12*0,IF($J18=11,-$E18*$I18/12*1,IF($J18=12,-$E18*$I18/12*2,0)))))</f>
        <v>-2.0833333333333335</v>
      </c>
      <c r="CK18" s="118">
        <f>IF(AND(CF18&lt;&gt;0,CF$5=$H18),-$I18*$E18-CF18,IF(CK$5=$H18,-$I18*$E18*(12-$J18+1)/12,0))</f>
        <v>-20.833333333333332</v>
      </c>
      <c r="CL18" s="119">
        <f>IF($H18&lt;&gt;CP$5,0,IF(CP18&lt;0,IF($J18=1,-$E18*$I18/12*3,IF($J18=2,-$E18*$I18/12*2,IF($J18=3,-$E18*$I18/12*1,0)))))+IF(CK$5&lt;&gt;$H18,0,IF(CK18&lt;0,IF($J18=1,-$E18*$I18/12*0,IF($J18=2,-$E18*$I18/12*1,IF($J18=3,-$E18*$I18/12*2,IF($J18&gt;=4,-$E18*$I18/12*3,0))))))</f>
        <v>0</v>
      </c>
      <c r="CM18" s="120">
        <f>IF($H18&lt;&gt;CP$5,0,IF(CP18&lt;0,IF(OR($J18=1,$J18=2,$J18=3,$J18=4),-$E18*$I18/12*3,IF($J18=5,-$E18*$I18/12*2,IF($J18=6,-$E18*$I18/12*1,0)))))+IF(CK$5&lt;&gt;$H18,0,IF(CK18&lt;0,IF($J18=4,-$E18*$I18/12*0,IF($J18=5,-$E18*$I18/12*1,IF($J18=6,-$E18*$I18/12*2,IF($J18&gt;=7,-$E18*$I18/12*3,0))))))</f>
        <v>0</v>
      </c>
      <c r="CN18" s="120">
        <f>IF($H18&lt;&gt;CP$5,0,IF(CP18&lt;0,IF(OR($J18=1,$J18=2,$J18=3,$J18=4,$J18=5,$J18=6,$J18=7),-$E18*$I18/12*3,IF($J18=8,-$E18*$I18/12*2,IF($J18=9,-$E18*$I18/12*1,0)))))+IF(CK$5&lt;&gt;$H18,0,IF(CK18&lt;0,IF($J18=7,-$E18*$I18/12*0,IF($J18=8,-$E18*$I18/12*1,IF($J18=9,-$E18*$I18/12*2,IF($J18&gt;=10,-$E18*$I18/12*3,0))))))</f>
        <v>0</v>
      </c>
      <c r="CO18" s="121">
        <f>IF($H18&lt;&gt;CP$5,0,IF(CP18&lt;0,IF(OR($J18=1,$J18=2,$J18=3,$J18=4,$J18=5,$J18=6,$J18=7,$J18=8,$J18=9,$J18=10),-$E18*$I18/12*3,IF($J18=11,-$E18*$I18/12*2,IF($J18=12,-$E18*$I18/12*1,0)))))+IF(CK$5&lt;&gt;$H18,0,IF(CK18&lt;0,IF($J18=10,-$E18*$I18/12*0,IF($J18=11,-$E18*$I18/12*1,IF($J18=12,-$E18*$I18/12*2,0)))))</f>
        <v>0</v>
      </c>
      <c r="CP18" s="118">
        <f>IF(AND(CK18&lt;&gt;0,CK$5=$H18),-$I18*$E18-CK18,IF(CP$5=$H18,-$I18*$E18*(12-$J18+1)/12,0))</f>
        <v>0</v>
      </c>
      <c r="CQ18" s="119">
        <f>IF($H18&lt;&gt;CU$5,0,IF(CU18&lt;0,IF($J18=1,-$E18*$I18/12*3,IF($J18=2,-$E18*$I18/12*2,IF($J18=3,-$E18*$I18/12*1,0)))))+IF(CP$5&lt;&gt;$H18,0,IF(CP18&lt;0,IF($J18=1,-$E18*$I18/12*0,IF($J18=2,-$E18*$I18/12*1,IF($J18=3,-$E18*$I18/12*2,IF($J18&gt;=4,-$E18*$I18/12*3,0))))))</f>
        <v>0</v>
      </c>
      <c r="CR18" s="120">
        <f>IF($H18&lt;&gt;CU$5,0,IF(CU18&lt;0,IF(OR($J18=1,$J18=2,$J18=3,$J18=4),-$E18*$I18/12*3,IF($J18=5,-$E18*$I18/12*2,IF($J18=6,-$E18*$I18/12*1,0)))))+IF(CP$5&lt;&gt;$H18,0,IF(CP18&lt;0,IF($J18=4,-$E18*$I18/12*0,IF($J18=5,-$E18*$I18/12*1,IF($J18=6,-$E18*$I18/12*2,IF($J18&gt;=7,-$E18*$I18/12*3,0))))))</f>
        <v>0</v>
      </c>
      <c r="CS18" s="120">
        <f>IF($H18&lt;&gt;CU$5,0,IF(CU18&lt;0,IF(OR($J18=1,$J18=2,$J18=3,$J18=4,$J18=5,$J18=6,$J18=7),-$E18*$I18/12*3,IF($J18=8,-$E18*$I18/12*2,IF($J18=9,-$E18*$I18/12*1,0)))))+IF(CP$5&lt;&gt;$H18,0,IF(CP18&lt;0,IF($J18=7,-$E18*$I18/12*0,IF($J18=8,-$E18*$I18/12*1,IF($J18=9,-$E18*$I18/12*2,IF($J18&gt;=10,-$E18*$I18/12*3,0))))))</f>
        <v>0</v>
      </c>
      <c r="CT18" s="121">
        <f>IF($H18&lt;&gt;CU$5,0,IF(CU18&lt;0,IF(OR($J18=1,$J18=2,$J18=3,$J18=4,$J18=5,$J18=6,$J18=7,$J18=8,$J18=9,$J18=10),-$E18*$I18/12*3,IF($J18=11,-$E18*$I18/12*2,IF($J18=12,-$E18*$I18/12*1,0)))))+IF(CP$5&lt;&gt;$H18,0,IF(CP18&lt;0,IF($J18=10,-$E18*$I18/12*0,IF($J18=11,-$E18*$I18/12*1,IF($J18=12,-$E18*$I18/12*2,0)))))</f>
        <v>0</v>
      </c>
      <c r="CU18" s="118">
        <f>IF(AND(CP18&lt;&gt;0,CP$5=$H18),-$I18*$E18-CP18,IF(CU$5=$H18,-$I18*$E18*(12-$J18+1)/12,0))</f>
        <v>0</v>
      </c>
      <c r="CV18" s="119">
        <f>IF($H18&lt;&gt;CZ$5,0,IF(CZ18&lt;0,IF($J18=1,-$E18*$I18/12*3,IF($J18=2,-$E18*$I18/12*2,IF($J18=3,-$E18*$I18/12*1,0)))))+IF(CU$5&lt;&gt;$H18,0,IF(CU18&lt;0,IF($J18=1,-$E18*$I18/12*0,IF($J18=2,-$E18*$I18/12*1,IF($J18=3,-$E18*$I18/12*2,IF($J18&gt;=4,-$E18*$I18/12*3,0))))))</f>
        <v>0</v>
      </c>
      <c r="CW18" s="120">
        <f>IF($H18&lt;&gt;CZ$5,0,IF(CZ18&lt;0,IF(OR($J18=1,$J18=2,$J18=3,$J18=4),-$E18*$I18/12*3,IF($J18=5,-$E18*$I18/12*2,IF($J18=6,-$E18*$I18/12*1,0)))))+IF(CU$5&lt;&gt;$H18,0,IF(CU18&lt;0,IF($J18=4,-$E18*$I18/12*0,IF($J18=5,-$E18*$I18/12*1,IF($J18=6,-$E18*$I18/12*2,IF($J18&gt;=7,-$E18*$I18/12*3,0))))))</f>
        <v>0</v>
      </c>
      <c r="CX18" s="120">
        <f>IF($H18&lt;&gt;CZ$5,0,IF(CZ18&lt;0,IF(OR($J18=1,$J18=2,$J18=3,$J18=4,$J18=5,$J18=6,$J18=7),-$E18*$I18/12*3,IF($J18=8,-$E18*$I18/12*2,IF($J18=9,-$E18*$I18/12*1,0)))))+IF(CU$5&lt;&gt;$H18,0,IF(CU18&lt;0,IF($J18=7,-$E18*$I18/12*0,IF($J18=8,-$E18*$I18/12*1,IF($J18=9,-$E18*$I18/12*2,IF($J18&gt;=10,-$E18*$I18/12*3,0))))))</f>
        <v>0</v>
      </c>
      <c r="CY18" s="121">
        <f>IF($H18&lt;&gt;CZ$5,0,IF(CZ18&lt;0,IF(OR($J18=1,$J18=2,$J18=3,$J18=4,$J18=5,$J18=6,$J18=7,$J18=8,$J18=9,$J18=10),-$E18*$I18/12*3,IF($J18=11,-$E18*$I18/12*2,IF($J18=12,-$E18*$I18/12*1,0)))))+IF(CU$5&lt;&gt;$H18,0,IF(CU18&lt;0,IF($J18=10,-$E18*$I18/12*0,IF($J18=11,-$E18*$I18/12*1,IF($J18=12,-$E18*$I18/12*2,0)))))</f>
        <v>0</v>
      </c>
      <c r="CZ18" s="118">
        <f>IF(AND(CU18&lt;&gt;0,CU$5=$H18),-$I18*$E18-CU18,IF(CZ$5=$H18,-$I18*$E18*(12-$J18+1)/12,0))</f>
        <v>0</v>
      </c>
    </row>
    <row r="19" spans="1:104" s="305" customFormat="1" ht="12.75" customHeight="1">
      <c r="A19" s="71"/>
      <c r="B19" s="71"/>
      <c r="C19" s="880" t="s">
        <v>1074</v>
      </c>
      <c r="D19" s="190"/>
      <c r="E19" s="191">
        <f>IF(F19=0,G19,F19)</f>
        <v>400</v>
      </c>
      <c r="F19" s="1346">
        <v>400</v>
      </c>
      <c r="G19" s="1346">
        <v>400</v>
      </c>
      <c r="H19" s="442">
        <v>2019</v>
      </c>
      <c r="I19" s="587">
        <v>1.6E-2</v>
      </c>
      <c r="J19" s="442">
        <v>11</v>
      </c>
      <c r="K19" s="112"/>
      <c r="L19" s="113">
        <f>IF(L$5=$H19,-$E19,0)</f>
        <v>0</v>
      </c>
      <c r="M19" s="114">
        <f>IF(Q19=0,0,IF(Q19&lt;0,IF($J19=3,Q19,IF($J19=2,Q19,IF($J19=1,Q19,0)))))</f>
        <v>0</v>
      </c>
      <c r="N19" s="115">
        <f>IF(Q19=0,0,IF(Q19&lt;0,IF($J19=6,Q19,IF($J19=5,Q19,IF($J19=4,Q19,0)))))</f>
        <v>0</v>
      </c>
      <c r="O19" s="115">
        <f>IF(Q19=0,0,IF(Q19&lt;0,IF($J19=9,Q19,IF($J19=8,Q19,IF($J19=7,Q19,0)))))</f>
        <v>0</v>
      </c>
      <c r="P19" s="116">
        <f>IF(Q19=0,0,IF(Q19&lt;0,IF($J19=12,Q19,IF($J19=11,Q19,IF($J19=10,Q19,0)))))</f>
        <v>0</v>
      </c>
      <c r="Q19" s="113">
        <f>IF(Q$5=$H19,-$E19,0)</f>
        <v>0</v>
      </c>
      <c r="R19" s="114">
        <f>IF(V19=0,0,IF(V19&lt;0,IF($J19=3,V19,IF($J19=2,V19,IF($J19=1,V19,0)))))</f>
        <v>0</v>
      </c>
      <c r="S19" s="115">
        <f>IF(V19=0,0,IF(V19&lt;0,IF($J19=6,V19,IF($J19=5,V19,IF($J19=4,V19,0)))))</f>
        <v>0</v>
      </c>
      <c r="T19" s="115">
        <f>IF(V19=0,0,IF(V19&lt;0,IF($J19=9,V19,IF($J19=8,V19,IF($J19=7,V19,0)))))</f>
        <v>0</v>
      </c>
      <c r="U19" s="116">
        <f>IF(V19=0,0,IF(V19&lt;0,IF($J19=12,V19,IF($J19=11,V19,IF($J19=10,V19,0)))))</f>
        <v>0</v>
      </c>
      <c r="V19" s="113">
        <f>IF(V$5=$H19,-$E19,0)</f>
        <v>0</v>
      </c>
      <c r="W19" s="114">
        <f>IF(AA19=0,0,IF(AA19&lt;0,IF($J19=3,AA19,IF($J19=2,AA19,IF($J19=1,AA19,0)))))</f>
        <v>0</v>
      </c>
      <c r="X19" s="115">
        <f>IF(AA19=0,0,IF(AA19&lt;0,IF($J19=6,AA19,IF($J19=5,AA19,IF($J19=4,AA19,0)))))</f>
        <v>0</v>
      </c>
      <c r="Y19" s="115">
        <f>IF(AA19=0,0,IF(AA19&lt;0,IF($J19=9,AA19,IF($J19=8,AA19,IF($J19=7,AA19,0)))))</f>
        <v>0</v>
      </c>
      <c r="Z19" s="116">
        <f>IF(AA19=0,0,IF(AA19&lt;0,IF($J19=12,AA19,IF($J19=11,AA19,IF($J19=10,AA19,0)))))</f>
        <v>0</v>
      </c>
      <c r="AA19" s="113">
        <f>IF(AA$5=$H19,-$E19,0)</f>
        <v>0</v>
      </c>
      <c r="AB19" s="114">
        <f>IF(AF19=0,0,IF(AF19&lt;0,IF($J19=3,AF19,IF($J19=2,AF19,IF($J19=1,AF19,0)))))</f>
        <v>0</v>
      </c>
      <c r="AC19" s="115">
        <f>IF(AF19=0,0,IF(AF19&lt;0,IF($J19=6,AF19,IF($J19=5,AF19,IF($J19=4,AF19,0)))))</f>
        <v>0</v>
      </c>
      <c r="AD19" s="115">
        <f>IF(AF19=0,0,IF(AF19&lt;0,IF($J19=9,AF19,IF($J19=8,AF19,IF($J19=7,AF19,0)))))</f>
        <v>0</v>
      </c>
      <c r="AE19" s="116">
        <f>IF(AF19=0,0,IF(AF19&lt;0,IF($J19=12,AF19,IF($J19=11,AF19,IF($J19=10,AF19,0)))))</f>
        <v>0</v>
      </c>
      <c r="AF19" s="113">
        <f>IF(AF$5=$H19,-$E19,0)</f>
        <v>0</v>
      </c>
      <c r="AG19" s="114">
        <f>IF(AK19=0,0,IF(AK19&lt;0,IF($J19=3,AK19,IF($J19=2,AK19,IF($J19=1,AK19,0)))))</f>
        <v>0</v>
      </c>
      <c r="AH19" s="115">
        <f>IF(AK19=0,0,IF(AK19&lt;0,IF($J19=6,AK19,IF($J19=5,AK19,IF($J19=4,AK19,0)))))</f>
        <v>0</v>
      </c>
      <c r="AI19" s="115">
        <f>IF(AK19=0,0,IF(AK19&lt;0,IF($J19=9,AK19,IF($J19=8,AK19,IF($J19=7,AK19,0)))))</f>
        <v>0</v>
      </c>
      <c r="AJ19" s="116">
        <f>IF(AK19=0,0,IF(AK19&lt;0,IF($J19=12,AK19,IF($J19=11,AK19,IF($J19=10,AK19,0)))))</f>
        <v>0</v>
      </c>
      <c r="AK19" s="113">
        <f>IF(AK$5=$H19,-$E19,0)</f>
        <v>0</v>
      </c>
      <c r="AL19" s="114">
        <f>IF(AP19=0,0,IF(AP19&lt;0,IF($J19=3,AP19,IF($J19=2,AP19,IF($J19=1,AP19,0)))))</f>
        <v>0</v>
      </c>
      <c r="AM19" s="115">
        <f>IF(AP19=0,0,IF(AP19&lt;0,IF($J19=6,AP19,IF($J19=5,AP19,IF($J19=4,AP19,0)))))</f>
        <v>0</v>
      </c>
      <c r="AN19" s="115">
        <f>IF(AP19=0,0,IF(AP19&lt;0,IF($J19=9,AP19,IF($J19=8,AP19,IF($J19=7,AP19,0)))))</f>
        <v>0</v>
      </c>
      <c r="AO19" s="116">
        <f>IF(AP19=0,0,IF(AP19&lt;0,IF($J19=12,AP19,IF($J19=11,AP19,IF($J19=10,AP19,0)))))</f>
        <v>0</v>
      </c>
      <c r="AP19" s="113">
        <f>IF(AP$5=$H19,-$E19,0)</f>
        <v>0</v>
      </c>
      <c r="AQ19" s="114">
        <f>IF(AU19=0,0,IF(AU19&lt;0,IF($J19=3,AU19,IF($J19=2,AU19,IF($J19=1,AU19,0)))))</f>
        <v>0</v>
      </c>
      <c r="AR19" s="115">
        <f>IF(AU19=0,0,IF(AU19&lt;0,IF($J19=6,AU19,IF($J19=5,AU19,IF($J19=4,AU19,0)))))</f>
        <v>0</v>
      </c>
      <c r="AS19" s="115">
        <f>IF(AU19=0,0,IF(AU19&lt;0,IF($J19=9,AU19,IF($J19=8,AU19,IF($J19=7,AU19,0)))))</f>
        <v>0</v>
      </c>
      <c r="AT19" s="116">
        <f>IF(AU19=0,0,IF(AU19&lt;0,IF($J19=12,AU19,IF($J19=11,AU19,IF($J19=10,AU19,0)))))</f>
        <v>-400</v>
      </c>
      <c r="AU19" s="113">
        <f>IF(AU$5=$H19,-$E19,0)</f>
        <v>-400</v>
      </c>
      <c r="AV19" s="114">
        <f>IF(AZ19=0,0,IF(AZ19&lt;0,IF($J19=3,AZ19,IF($J19=2,AZ19,IF($J19=1,AZ19,0)))))</f>
        <v>0</v>
      </c>
      <c r="AW19" s="115">
        <f>IF(AZ19=0,0,IF(AZ19&lt;0,IF($J19=6,AZ19,IF($J19=5,AZ19,IF($J19=4,AZ19,0)))))</f>
        <v>0</v>
      </c>
      <c r="AX19" s="115">
        <f>IF(AZ19=0,0,IF(AZ19&lt;0,IF($J19=9,AZ19,IF($J19=8,AZ19,IF($J19=7,AZ19,0)))))</f>
        <v>0</v>
      </c>
      <c r="AY19" s="116">
        <f>IF(AZ19=0,0,IF(AZ19&lt;0,IF($J19=12,AZ19,IF($J19=11,AZ19,IF($J19=10,AZ19,0)))))</f>
        <v>0</v>
      </c>
      <c r="AZ19" s="113">
        <f>IF(AZ$5=$H19,-$E19,0)</f>
        <v>0</v>
      </c>
      <c r="BA19" s="114">
        <f>IF(BE19=0,0,IF(BE19&lt;0,IF($J19=3,BE19,IF($J19=2,BE19,IF($J19=1,BE19,0)))))</f>
        <v>0</v>
      </c>
      <c r="BB19" s="115">
        <f>IF(BE19=0,0,IF(BE19&lt;0,IF($J19=6,BE19,IF($J19=5,BE19,IF($J19=4,BE19,0)))))</f>
        <v>0</v>
      </c>
      <c r="BC19" s="115">
        <f>IF(BE19=0,0,IF(BE19&lt;0,IF($J19=9,BE19,IF($J19=8,BE19,IF($J19=7,BE19,0)))))</f>
        <v>0</v>
      </c>
      <c r="BD19" s="116">
        <f>IF(BE19=0,0,IF(BE19&lt;0,IF($J19=12,BE19,IF($J19=11,BE19,IF($J19=10,BE19,0)))))</f>
        <v>0</v>
      </c>
      <c r="BE19" s="113">
        <f>IF(BE$5=$H19,-$E19,0)</f>
        <v>0</v>
      </c>
      <c r="BF19" s="194"/>
      <c r="BG19" s="118">
        <f>IF(AND(BF19&lt;&gt;0,BF$5=$H19),-$I19*$E19-BF19,IF(BG$5=$H19,-$I19*$E19*(12-$J19+1)/12,0))</f>
        <v>0</v>
      </c>
      <c r="BH19" s="119">
        <f>IF($H19&lt;&gt;BL$5,0,IF(BL19&lt;0,IF($J19=1,-$E19*$I19/12*3,IF($J19=2,-$E19*$I19/12*2,IF($J19=3,-$E19*$I19/12*1,0)))))+IF(BG$5&lt;&gt;$H19,0,IF(BG19&lt;0,IF($J19=1,-$E19*$I19/12*0,IF($J19=2,-$E19*$I19/12*1,IF($J19=3,-$E19*$I19/12*2,IF($J19&gt;=4,-$E19*$I19/12*3,0))))))</f>
        <v>0</v>
      </c>
      <c r="BI19" s="120">
        <f>IF($H19&lt;&gt;BL$5,0,IF(BL19&lt;0,IF(OR($J19=1,$J19=2,$J19=3,$J19=4),-$E19*$I19/12*3,IF($J19=5,-$E19*$I19/12*2,IF($J19=6,-$E19*$I19/12*1,0)))))+IF(BG$5&lt;&gt;$H19,0,IF(BG19&lt;0,IF($J19=4,-$E19*$I19/12*0,IF($J19=5,-$E19*$I19/12*1,IF($J19=6,-$E19*$I19/12*2,IF($J19&gt;=7,-$E19*$I19/12*3,0))))))</f>
        <v>0</v>
      </c>
      <c r="BJ19" s="120">
        <f>IF($H19&lt;&gt;BL$5,0,IF(BL19&lt;0,IF(OR($J19=1,$J19=2,$J19=3,$J19=4,$J19=5,$J19=6,$J19=7),-$E19*$I19/12*3,IF($J19=8,-$E19*$I19/12*2,IF($J19=9,-$E19*$I19/12*1,0)))))+IF(BG$5&lt;&gt;$H19,0,IF(BG19&lt;0,IF($J19=7,-$E19*$I19/12*0,IF($J19=8,-$E19*$I19/12*1,IF($J19=9,-$E19*$I19/12*2,IF($J19&gt;=10,-$E19*$I19/12*3,0))))))</f>
        <v>0</v>
      </c>
      <c r="BK19" s="121">
        <f>IF($H19&lt;&gt;BL$5,0,IF(BL19&lt;0,IF(OR($J19=1,$J19=2,$J19=3,$J19=4,$J19=5,$J19=6,$J19=7,$J19=8,$J19=9,$J19=10),-$E19*$I19/12*3,IF($J19=11,-$E19*$I19/12*2,IF($J19=12,-$E19*$I19/12*1,0)))))+IF(BG$5&lt;&gt;$H19,0,IF(BG19&lt;0,IF($J19=10,-$E19*$I19/12*0,IF($J19=11,-$E19*$I19/12*1,IF($J19=12,-$E19*$I19/12*2,0)))))</f>
        <v>0</v>
      </c>
      <c r="BL19" s="118">
        <f>IF(AND(BG19&lt;&gt;0,BG$5=$H19),-$I19*$E19-BG19,IF(BL$5=$H19,-$I19*$E19*(12-$J19+1)/12,0))</f>
        <v>0</v>
      </c>
      <c r="BM19" s="119">
        <f>IF($H19&lt;&gt;BQ$5,0,IF(BQ19&lt;0,IF($J19=1,-$E19*$I19/12*3,IF($J19=2,-$E19*$I19/12*2,IF($J19=3,-$E19*$I19/12*1,0)))))+IF(BL$5&lt;&gt;$H19,0,IF(BL19&lt;0,IF($J19=1,-$E19*$I19/12*0,IF($J19=2,-$E19*$I19/12*1,IF($J19=3,-$E19*$I19/12*2,IF($J19&gt;=4,-$E19*$I19/12*3,0))))))</f>
        <v>0</v>
      </c>
      <c r="BN19" s="120">
        <f>IF($H19&lt;&gt;BQ$5,0,IF(BQ19&lt;0,IF(OR($J19=1,$J19=2,$J19=3,$J19=4),-$E19*$I19/12*3,IF($J19=5,-$E19*$I19/12*2,IF($J19=6,-$E19*$I19/12*1,0)))))+IF(BL$5&lt;&gt;$H19,0,IF(BL19&lt;0,IF($J19=4,-$E19*$I19/12*0,IF($J19=5,-$E19*$I19/12*1,IF($J19=6,-$E19*$I19/12*2,IF($J19&gt;=7,-$E19*$I19/12*3,0))))))</f>
        <v>0</v>
      </c>
      <c r="BO19" s="120">
        <f>IF($H19&lt;&gt;BQ$5,0,IF(BQ19&lt;0,IF(OR($J19=1,$J19=2,$J19=3,$J19=4,$J19=5,$J19=6,$J19=7),-$E19*$I19/12*3,IF($J19=8,-$E19*$I19/12*2,IF($J19=9,-$E19*$I19/12*1,0)))))+IF(BL$5&lt;&gt;$H19,0,IF(BL19&lt;0,IF($J19=7,-$E19*$I19/12*0,IF($J19=8,-$E19*$I19/12*1,IF($J19=9,-$E19*$I19/12*2,IF($J19&gt;=10,-$E19*$I19/12*3,0))))))</f>
        <v>0</v>
      </c>
      <c r="BP19" s="121">
        <f>IF($H19&lt;&gt;BQ$5,0,IF(BQ19&lt;0,IF(OR($J19=1,$J19=2,$J19=3,$J19=4,$J19=5,$J19=6,$J19=7,$J19=8,$J19=9,$J19=10),-$E19*$I19/12*3,IF($J19=11,-$E19*$I19/12*2,IF($J19=12,-$E19*$I19/12*1,0)))))+IF(BL$5&lt;&gt;$H19,0,IF(BL19&lt;0,IF($J19=10,-$E19*$I19/12*0,IF($J19=11,-$E19*$I19/12*1,IF($J19=12,-$E19*$I19/12*2,0)))))</f>
        <v>0</v>
      </c>
      <c r="BQ19" s="118">
        <f>IF(AND(BL19&lt;&gt;0,BL$5=$H19),-$I19*$E19-BL19,IF(BQ$5=$H19,-$I19*$E19*(12-$J19+1)/12,0))</f>
        <v>0</v>
      </c>
      <c r="BR19" s="119">
        <f>IF($H19&lt;&gt;BV$5,0,IF(BV19&lt;0,IF($J19=1,-$E19*$I19/12*3,IF($J19=2,-$E19*$I19/12*2,IF($J19=3,-$E19*$I19/12*1,0)))))+IF(BQ$5&lt;&gt;$H19,0,IF(BQ19&lt;0,IF($J19=1,-$E19*$I19/12*0,IF($J19=2,-$E19*$I19/12*1,IF($J19=3,-$E19*$I19/12*2,IF($J19&gt;=4,-$E19*$I19/12*3,0))))))</f>
        <v>0</v>
      </c>
      <c r="BS19" s="120">
        <f>IF($H19&lt;&gt;BV$5,0,IF(BV19&lt;0,IF(OR($J19=1,$J19=2,$J19=3,$J19=4),-$E19*$I19/12*3,IF($J19=5,-$E19*$I19/12*2,IF($J19=6,-$E19*$I19/12*1,0)))))+IF(BQ$5&lt;&gt;$H19,0,IF(BQ19&lt;0,IF($J19=4,-$E19*$I19/12*0,IF($J19=5,-$E19*$I19/12*1,IF($J19=6,-$E19*$I19/12*2,IF($J19&gt;=7,-$E19*$I19/12*3,0))))))</f>
        <v>0</v>
      </c>
      <c r="BT19" s="120">
        <f>IF($H19&lt;&gt;BV$5,0,IF(BV19&lt;0,IF(OR($J19=1,$J19=2,$J19=3,$J19=4,$J19=5,$J19=6,$J19=7),-$E19*$I19/12*3,IF($J19=8,-$E19*$I19/12*2,IF($J19=9,-$E19*$I19/12*1,0)))))+IF(BQ$5&lt;&gt;$H19,0,IF(BQ19&lt;0,IF($J19=7,-$E19*$I19/12*0,IF($J19=8,-$E19*$I19/12*1,IF($J19=9,-$E19*$I19/12*2,IF($J19&gt;=10,-$E19*$I19/12*3,0))))))</f>
        <v>0</v>
      </c>
      <c r="BU19" s="121">
        <f>IF($H19&lt;&gt;BV$5,0,IF(BV19&lt;0,IF(OR($J19=1,$J19=2,$J19=3,$J19=4,$J19=5,$J19=6,$J19=7,$J19=8,$J19=9,$J19=10),-$E19*$I19/12*3,IF($J19=11,-$E19*$I19/12*2,IF($J19=12,-$E19*$I19/12*1,0)))))+IF(BQ$5&lt;&gt;$H19,0,IF(BQ19&lt;0,IF($J19=10,-$E19*$I19/12*0,IF($J19=11,-$E19*$I19/12*1,IF($J19=12,-$E19*$I19/12*2,0)))))</f>
        <v>0</v>
      </c>
      <c r="BV19" s="118">
        <f>IF(AND(BQ19&lt;&gt;0,BQ$5=$H19),-$I19*$E19-BQ19,IF(BV$5=$H19,-$I19*$E19*(12-$J19+1)/12,0))</f>
        <v>0</v>
      </c>
      <c r="BW19" s="119">
        <f>IF($H19&lt;&gt;CA$5,0,IF(CA19&lt;0,IF($J19=1,-$E19*$I19/12*3,IF($J19=2,-$E19*$I19/12*2,IF($J19=3,-$E19*$I19/12*1,0)))))+IF(BV$5&lt;&gt;$H19,0,IF(BV19&lt;0,IF($J19=1,-$E19*$I19/12*0,IF($J19=2,-$E19*$I19/12*1,IF($J19=3,-$E19*$I19/12*2,IF($J19&gt;=4,-$E19*$I19/12*3,0))))))</f>
        <v>0</v>
      </c>
      <c r="BX19" s="120">
        <f>IF($H19&lt;&gt;CA$5,0,IF(CA19&lt;0,IF(OR($J19=1,$J19=2,$J19=3,$J19=4),-$E19*$I19/12*3,IF($J19=5,-$E19*$I19/12*2,IF($J19=6,-$E19*$I19/12*1,0)))))+IF(BV$5&lt;&gt;$H19,0,IF(BV19&lt;0,IF($J19=4,-$E19*$I19/12*0,IF($J19=5,-$E19*$I19/12*1,IF($J19=6,-$E19*$I19/12*2,IF($J19&gt;=7,-$E19*$I19/12*3,0))))))</f>
        <v>0</v>
      </c>
      <c r="BY19" s="120">
        <f>IF($H19&lt;&gt;CA$5,0,IF(CA19&lt;0,IF(OR($J19=1,$J19=2,$J19=3,$J19=4,$J19=5,$J19=6,$J19=7),-$E19*$I19/12*3,IF($J19=8,-$E19*$I19/12*2,IF($J19=9,-$E19*$I19/12*1,0)))))+IF(BV$5&lt;&gt;$H19,0,IF(BV19&lt;0,IF($J19=7,-$E19*$I19/12*0,IF($J19=8,-$E19*$I19/12*1,IF($J19=9,-$E19*$I19/12*2,IF($J19&gt;=10,-$E19*$I19/12*3,0))))))</f>
        <v>0</v>
      </c>
      <c r="BZ19" s="121">
        <f>IF($H19&lt;&gt;CA$5,0,IF(CA19&lt;0,IF(OR($J19=1,$J19=2,$J19=3,$J19=4,$J19=5,$J19=6,$J19=7,$J19=8,$J19=9,$J19=10),-$E19*$I19/12*3,IF($J19=11,-$E19*$I19/12*2,IF($J19=12,-$E19*$I19/12*1,0)))))+IF(BV$5&lt;&gt;$H19,0,IF(BV19&lt;0,IF($J19=10,-$E19*$I19/12*0,IF($J19=11,-$E19*$I19/12*1,IF($J19=12,-$E19*$I19/12*2,0)))))</f>
        <v>0</v>
      </c>
      <c r="CA19" s="118">
        <f>IF(AND(BV19&lt;&gt;0,BV$5=$H19),-$I19*$E19-BV19,IF(CA$5=$H19,-$I19*$E19*(12-$J19+1)/12,0))</f>
        <v>0</v>
      </c>
      <c r="CB19" s="119">
        <f>IF($H19&lt;&gt;CF$5,0,IF(CF19&lt;0,IF($J19=1,-$E19*$I19/12*3,IF($J19=2,-$E19*$I19/12*2,IF($J19=3,-$E19*$I19/12*1,0)))))+IF(CA$5&lt;&gt;$H19,0,IF(CA19&lt;0,IF($J19=1,-$E19*$I19/12*0,IF($J19=2,-$E19*$I19/12*1,IF($J19=3,-$E19*$I19/12*2,IF($J19&gt;=4,-$E19*$I19/12*3,0))))))</f>
        <v>0</v>
      </c>
      <c r="CC19" s="120">
        <f>IF($H19&lt;&gt;CF$5,0,IF(CF19&lt;0,IF(OR($J19=1,$J19=2,$J19=3,$J19=4),-$E19*$I19/12*3,IF($J19=5,-$E19*$I19/12*2,IF($J19=6,-$E19*$I19/12*1,0)))))+IF(CA$5&lt;&gt;$H19,0,IF(CA19&lt;0,IF($J19=4,-$E19*$I19/12*0,IF($J19=5,-$E19*$I19/12*1,IF($J19=6,-$E19*$I19/12*2,IF($J19&gt;=7,-$E19*$I19/12*3,0))))))</f>
        <v>0</v>
      </c>
      <c r="CD19" s="120">
        <f>IF($H19&lt;&gt;CF$5,0,IF(CF19&lt;0,IF(OR($J19=1,$J19=2,$J19=3,$J19=4,$J19=5,$J19=6,$J19=7),-$E19*$I19/12*3,IF($J19=8,-$E19*$I19/12*2,IF($J19=9,-$E19*$I19/12*1,0)))))+IF(CA$5&lt;&gt;$H19,0,IF(CA19&lt;0,IF($J19=7,-$E19*$I19/12*0,IF($J19=8,-$E19*$I19/12*1,IF($J19=9,-$E19*$I19/12*2,IF($J19&gt;=10,-$E19*$I19/12*3,0))))))</f>
        <v>0</v>
      </c>
      <c r="CE19" s="121">
        <f>IF($H19&lt;&gt;CF$5,0,IF(CF19&lt;0,IF(OR($J19=1,$J19=2,$J19=3,$J19=4,$J19=5,$J19=6,$J19=7,$J19=8,$J19=9,$J19=10),-$E19*$I19/12*3,IF($J19=11,-$E19*$I19/12*2,IF($J19=12,-$E19*$I19/12*1,0)))))+IF(CA$5&lt;&gt;$H19,0,IF(CA19&lt;0,IF($J19=10,-$E19*$I19/12*0,IF($J19=11,-$E19*$I19/12*1,IF($J19=12,-$E19*$I19/12*2,0)))))</f>
        <v>0</v>
      </c>
      <c r="CF19" s="118">
        <f>IF(AND(CA19&lt;&gt;0,CA$5=$H19),-$I19*$E19-CA19,IF(CF$5=$H19,-$I19*$E19*(12-$J19+1)/12,0))</f>
        <v>0</v>
      </c>
      <c r="CG19" s="119">
        <f>IF($H19&lt;&gt;CK$5,0,IF(CK19&lt;0,IF($J19=1,-$E19*$I19/12*3,IF($J19=2,-$E19*$I19/12*2,IF($J19=3,-$E19*$I19/12*1,0)))))+IF(CF$5&lt;&gt;$H19,0,IF(CF19&lt;0,IF($J19=1,-$E19*$I19/12*0,IF($J19=2,-$E19*$I19/12*1,IF($J19=3,-$E19*$I19/12*2,IF($J19&gt;=4,-$E19*$I19/12*3,0))))))</f>
        <v>0</v>
      </c>
      <c r="CH19" s="120">
        <f>IF($H19&lt;&gt;CK$5,0,IF(CK19&lt;0,IF(OR($J19=1,$J19=2,$J19=3,$J19=4),-$E19*$I19/12*3,IF($J19=5,-$E19*$I19/12*2,IF($J19=6,-$E19*$I19/12*1,0)))))+IF(CF$5&lt;&gt;$H19,0,IF(CF19&lt;0,IF($J19=4,-$E19*$I19/12*0,IF($J19=5,-$E19*$I19/12*1,IF($J19=6,-$E19*$I19/12*2,IF($J19&gt;=7,-$E19*$I19/12*3,0))))))</f>
        <v>0</v>
      </c>
      <c r="CI19" s="120">
        <f>IF($H19&lt;&gt;CK$5,0,IF(CK19&lt;0,IF(OR($J19=1,$J19=2,$J19=3,$J19=4,$J19=5,$J19=6,$J19=7),-$E19*$I19/12*3,IF($J19=8,-$E19*$I19/12*2,IF($J19=9,-$E19*$I19/12*1,0)))))+IF(CF$5&lt;&gt;$H19,0,IF(CF19&lt;0,IF($J19=7,-$E19*$I19/12*0,IF($J19=8,-$E19*$I19/12*1,IF($J19=9,-$E19*$I19/12*2,IF($J19&gt;=10,-$E19*$I19/12*3,0))))))</f>
        <v>0</v>
      </c>
      <c r="CJ19" s="121">
        <f>IF($H19&lt;&gt;CK$5,0,IF(CK19&lt;0,IF(OR($J19=1,$J19=2,$J19=3,$J19=4,$J19=5,$J19=6,$J19=7,$J19=8,$J19=9,$J19=10),-$E19*$I19/12*3,IF($J19=11,-$E19*$I19/12*2,IF($J19=12,-$E19*$I19/12*1,0)))))+IF(CF$5&lt;&gt;$H19,0,IF(CF19&lt;0,IF($J19=10,-$E19*$I19/12*0,IF($J19=11,-$E19*$I19/12*1,IF($J19=12,-$E19*$I19/12*2,0)))))</f>
        <v>0</v>
      </c>
      <c r="CK19" s="118">
        <f>IF(AND(CF19&lt;&gt;0,CF$5=$H19),-$I19*$E19-CF19,IF(CK$5=$H19,-$I19*$E19*(12-$J19+1)/12,0))</f>
        <v>0</v>
      </c>
      <c r="CL19" s="119">
        <f>IF($H19&lt;&gt;CP$5,0,IF(CP19&lt;0,IF($J19=1,-$E19*$I19/12*3,IF($J19=2,-$E19*$I19/12*2,IF($J19=3,-$E19*$I19/12*1,0)))))+IF(CK$5&lt;&gt;$H19,0,IF(CK19&lt;0,IF($J19=1,-$E19*$I19/12*0,IF($J19=2,-$E19*$I19/12*1,IF($J19=3,-$E19*$I19/12*2,IF($J19&gt;=4,-$E19*$I19/12*3,0))))))</f>
        <v>0</v>
      </c>
      <c r="CM19" s="120">
        <f>IF($H19&lt;&gt;CP$5,0,IF(CP19&lt;0,IF(OR($J19=1,$J19=2,$J19=3,$J19=4),-$E19*$I19/12*3,IF($J19=5,-$E19*$I19/12*2,IF($J19=6,-$E19*$I19/12*1,0)))))+IF(CK$5&lt;&gt;$H19,0,IF(CK19&lt;0,IF($J19=4,-$E19*$I19/12*0,IF($J19=5,-$E19*$I19/12*1,IF($J19=6,-$E19*$I19/12*2,IF($J19&gt;=7,-$E19*$I19/12*3,0))))))</f>
        <v>0</v>
      </c>
      <c r="CN19" s="120">
        <f>IF($H19&lt;&gt;CP$5,0,IF(CP19&lt;0,IF(OR($J19=1,$J19=2,$J19=3,$J19=4,$J19=5,$J19=6,$J19=7),-$E19*$I19/12*3,IF($J19=8,-$E19*$I19/12*2,IF($J19=9,-$E19*$I19/12*1,0)))))+IF(CK$5&lt;&gt;$H19,0,IF(CK19&lt;0,IF($J19=7,-$E19*$I19/12*0,IF($J19=8,-$E19*$I19/12*1,IF($J19=9,-$E19*$I19/12*2,IF($J19&gt;=10,-$E19*$I19/12*3,0))))))</f>
        <v>0</v>
      </c>
      <c r="CO19" s="121">
        <f>IF($H19&lt;&gt;CP$5,0,IF(CP19&lt;0,IF(OR($J19=1,$J19=2,$J19=3,$J19=4,$J19=5,$J19=6,$J19=7,$J19=8,$J19=9,$J19=10),-$E19*$I19/12*3,IF($J19=11,-$E19*$I19/12*2,IF($J19=12,-$E19*$I19/12*1,0)))))+IF(CK$5&lt;&gt;$H19,0,IF(CK19&lt;0,IF($J19=10,-$E19*$I19/12*0,IF($J19=11,-$E19*$I19/12*1,IF($J19=12,-$E19*$I19/12*2,0)))))</f>
        <v>-1.0666666666666667</v>
      </c>
      <c r="CP19" s="118">
        <f>IF(AND(CK19&lt;&gt;0,CK$5=$H19),-$I19*$E19-CK19,IF(CP$5=$H19,-$I19*$E19*(12-$J19+1)/12,0))</f>
        <v>-1.0666666666666667</v>
      </c>
      <c r="CQ19" s="119">
        <f>IF($H19&lt;&gt;CU$5,0,IF(CU19&lt;0,IF($J19=1,-$E19*$I19/12*3,IF($J19=2,-$E19*$I19/12*2,IF($J19=3,-$E19*$I19/12*1,0)))))+IF(CP$5&lt;&gt;$H19,0,IF(CP19&lt;0,IF($J19=1,-$E19*$I19/12*0,IF($J19=2,-$E19*$I19/12*1,IF($J19=3,-$E19*$I19/12*2,IF($J19&gt;=4,-$E19*$I19/12*3,0))))))</f>
        <v>-1.6</v>
      </c>
      <c r="CR19" s="120">
        <f>IF($H19&lt;&gt;CU$5,0,IF(CU19&lt;0,IF(OR($J19=1,$J19=2,$J19=3,$J19=4),-$E19*$I19/12*3,IF($J19=5,-$E19*$I19/12*2,IF($J19=6,-$E19*$I19/12*1,0)))))+IF(CP$5&lt;&gt;$H19,0,IF(CP19&lt;0,IF($J19=4,-$E19*$I19/12*0,IF($J19=5,-$E19*$I19/12*1,IF($J19=6,-$E19*$I19/12*2,IF($J19&gt;=7,-$E19*$I19/12*3,0))))))</f>
        <v>-1.6</v>
      </c>
      <c r="CS19" s="120">
        <f>IF($H19&lt;&gt;CU$5,0,IF(CU19&lt;0,IF(OR($J19=1,$J19=2,$J19=3,$J19=4,$J19=5,$J19=6,$J19=7),-$E19*$I19/12*3,IF($J19=8,-$E19*$I19/12*2,IF($J19=9,-$E19*$I19/12*1,0)))))+IF(CP$5&lt;&gt;$H19,0,IF(CP19&lt;0,IF($J19=7,-$E19*$I19/12*0,IF($J19=8,-$E19*$I19/12*1,IF($J19=9,-$E19*$I19/12*2,IF($J19&gt;=10,-$E19*$I19/12*3,0))))))</f>
        <v>-1.6</v>
      </c>
      <c r="CT19" s="121">
        <f>IF($H19&lt;&gt;CU$5,0,IF(CU19&lt;0,IF(OR($J19=1,$J19=2,$J19=3,$J19=4,$J19=5,$J19=6,$J19=7,$J19=8,$J19=9,$J19=10),-$E19*$I19/12*3,IF($J19=11,-$E19*$I19/12*2,IF($J19=12,-$E19*$I19/12*1,0)))))+IF(CP$5&lt;&gt;$H19,0,IF(CP19&lt;0,IF($J19=10,-$E19*$I19/12*0,IF($J19=11,-$E19*$I19/12*1,IF($J19=12,-$E19*$I19/12*2,0)))))</f>
        <v>-0.53333333333333333</v>
      </c>
      <c r="CU19" s="118">
        <f>IF(AND(CP19&lt;&gt;0,CP$5=$H19),-$I19*$E19-CP19,IF(CU$5=$H19,-$I19*$E19*(12-$J19+1)/12,0))</f>
        <v>-5.3333333333333339</v>
      </c>
      <c r="CV19" s="119">
        <f>IF($H19&lt;&gt;CZ$5,0,IF(CZ19&lt;0,IF($J19=1,-$E19*$I19/12*3,IF($J19=2,-$E19*$I19/12*2,IF($J19=3,-$E19*$I19/12*1,0)))))+IF(CU$5&lt;&gt;$H19,0,IF(CU19&lt;0,IF($J19=1,-$E19*$I19/12*0,IF($J19=2,-$E19*$I19/12*1,IF($J19=3,-$E19*$I19/12*2,IF($J19&gt;=4,-$E19*$I19/12*3,0))))))</f>
        <v>0</v>
      </c>
      <c r="CW19" s="120">
        <f>IF($H19&lt;&gt;CZ$5,0,IF(CZ19&lt;0,IF(OR($J19=1,$J19=2,$J19=3,$J19=4),-$E19*$I19/12*3,IF($J19=5,-$E19*$I19/12*2,IF($J19=6,-$E19*$I19/12*1,0)))))+IF(CU$5&lt;&gt;$H19,0,IF(CU19&lt;0,IF($J19=4,-$E19*$I19/12*0,IF($J19=5,-$E19*$I19/12*1,IF($J19=6,-$E19*$I19/12*2,IF($J19&gt;=7,-$E19*$I19/12*3,0))))))</f>
        <v>0</v>
      </c>
      <c r="CX19" s="120">
        <f>IF($H19&lt;&gt;CZ$5,0,IF(CZ19&lt;0,IF(OR($J19=1,$J19=2,$J19=3,$J19=4,$J19=5,$J19=6,$J19=7),-$E19*$I19/12*3,IF($J19=8,-$E19*$I19/12*2,IF($J19=9,-$E19*$I19/12*1,0)))))+IF(CU$5&lt;&gt;$H19,0,IF(CU19&lt;0,IF($J19=7,-$E19*$I19/12*0,IF($J19=8,-$E19*$I19/12*1,IF($J19=9,-$E19*$I19/12*2,IF($J19&gt;=10,-$E19*$I19/12*3,0))))))</f>
        <v>0</v>
      </c>
      <c r="CY19" s="121">
        <f>IF($H19&lt;&gt;CZ$5,0,IF(CZ19&lt;0,IF(OR($J19=1,$J19=2,$J19=3,$J19=4,$J19=5,$J19=6,$J19=7,$J19=8,$J19=9,$J19=10),-$E19*$I19/12*3,IF($J19=11,-$E19*$I19/12*2,IF($J19=12,-$E19*$I19/12*1,0)))))+IF(CU$5&lt;&gt;$H19,0,IF(CU19&lt;0,IF($J19=10,-$E19*$I19/12*0,IF($J19=11,-$E19*$I19/12*1,IF($J19=12,-$E19*$I19/12*2,0)))))</f>
        <v>0</v>
      </c>
      <c r="CZ19" s="118">
        <f>IF(AND(CU19&lt;&gt;0,CU$5=$H19),-$I19*$E19-CU19,IF(CZ$5=$H19,-$I19*$E19*(12-$J19+1)/12,0))</f>
        <v>0</v>
      </c>
    </row>
    <row r="20" spans="1:104" s="305" customFormat="1" ht="12.75" customHeight="1">
      <c r="A20" s="71"/>
      <c r="B20" s="71"/>
      <c r="C20" s="880" t="s">
        <v>1075</v>
      </c>
      <c r="D20" s="190"/>
      <c r="E20" s="191">
        <f>IF(F20=0,G20,F20)</f>
        <v>300</v>
      </c>
      <c r="F20" s="1346">
        <v>300</v>
      </c>
      <c r="G20" s="1346">
        <v>300</v>
      </c>
      <c r="H20" s="442">
        <v>2021</v>
      </c>
      <c r="I20" s="587">
        <v>0.02</v>
      </c>
      <c r="J20" s="442">
        <v>11</v>
      </c>
      <c r="K20" s="112"/>
      <c r="L20" s="113">
        <f>IF(L$5=$H20,-$E20,0)</f>
        <v>0</v>
      </c>
      <c r="M20" s="114">
        <f>IF(Q20=0,0,IF(Q20&lt;0,IF($J20=3,Q20,IF($J20=2,Q20,IF($J20=1,Q20,0)))))</f>
        <v>0</v>
      </c>
      <c r="N20" s="115">
        <f>IF(Q20=0,0,IF(Q20&lt;0,IF($J20=6,Q20,IF($J20=5,Q20,IF($J20=4,Q20,0)))))</f>
        <v>0</v>
      </c>
      <c r="O20" s="115">
        <f>IF(Q20=0,0,IF(Q20&lt;0,IF($J20=9,Q20,IF($J20=8,Q20,IF($J20=7,Q20,0)))))</f>
        <v>0</v>
      </c>
      <c r="P20" s="116">
        <f>IF(Q20=0,0,IF(Q20&lt;0,IF($J20=12,Q20,IF($J20=11,Q20,IF($J20=10,Q20,0)))))</f>
        <v>0</v>
      </c>
      <c r="Q20" s="113">
        <f>IF(Q$5=$H20,-$E20,0)</f>
        <v>0</v>
      </c>
      <c r="R20" s="114">
        <f>IF(V20=0,0,IF(V20&lt;0,IF($J20=3,V20,IF($J20=2,V20,IF($J20=1,V20,0)))))</f>
        <v>0</v>
      </c>
      <c r="S20" s="115">
        <f>IF(V20=0,0,IF(V20&lt;0,IF($J20=6,V20,IF($J20=5,V20,IF($J20=4,V20,0)))))</f>
        <v>0</v>
      </c>
      <c r="T20" s="115">
        <f>IF(V20=0,0,IF(V20&lt;0,IF($J20=9,V20,IF($J20=8,V20,IF($J20=7,V20,0)))))</f>
        <v>0</v>
      </c>
      <c r="U20" s="116">
        <f>IF(V20=0,0,IF(V20&lt;0,IF($J20=12,V20,IF($J20=11,V20,IF($J20=10,V20,0)))))</f>
        <v>0</v>
      </c>
      <c r="V20" s="113">
        <f>IF(V$5=$H20,-$E20,0)</f>
        <v>0</v>
      </c>
      <c r="W20" s="114">
        <f>IF(AA20=0,0,IF(AA20&lt;0,IF($J20=3,AA20,IF($J20=2,AA20,IF($J20=1,AA20,0)))))</f>
        <v>0</v>
      </c>
      <c r="X20" s="115">
        <f>IF(AA20=0,0,IF(AA20&lt;0,IF($J20=6,AA20,IF($J20=5,AA20,IF($J20=4,AA20,0)))))</f>
        <v>0</v>
      </c>
      <c r="Y20" s="115">
        <f>IF(AA20=0,0,IF(AA20&lt;0,IF($J20=9,AA20,IF($J20=8,AA20,IF($J20=7,AA20,0)))))</f>
        <v>0</v>
      </c>
      <c r="Z20" s="116">
        <f>IF(AA20=0,0,IF(AA20&lt;0,IF($J20=12,AA20,IF($J20=11,AA20,IF($J20=10,AA20,0)))))</f>
        <v>0</v>
      </c>
      <c r="AA20" s="113">
        <f>IF(AA$5=$H20,-$E20,0)</f>
        <v>0</v>
      </c>
      <c r="AB20" s="114">
        <f>IF(AF20=0,0,IF(AF20&lt;0,IF($J20=3,AF20,IF($J20=2,AF20,IF($J20=1,AF20,0)))))</f>
        <v>0</v>
      </c>
      <c r="AC20" s="115">
        <f>IF(AF20=0,0,IF(AF20&lt;0,IF($J20=6,AF20,IF($J20=5,AF20,IF($J20=4,AF20,0)))))</f>
        <v>0</v>
      </c>
      <c r="AD20" s="115">
        <f>IF(AF20=0,0,IF(AF20&lt;0,IF($J20=9,AF20,IF($J20=8,AF20,IF($J20=7,AF20,0)))))</f>
        <v>0</v>
      </c>
      <c r="AE20" s="116">
        <f>IF(AF20=0,0,IF(AF20&lt;0,IF($J20=12,AF20,IF($J20=11,AF20,IF($J20=10,AF20,0)))))</f>
        <v>0</v>
      </c>
      <c r="AF20" s="113">
        <f>IF(AF$5=$H20,-$E20,0)</f>
        <v>0</v>
      </c>
      <c r="AG20" s="114">
        <f>IF(AK20=0,0,IF(AK20&lt;0,IF($J20=3,AK20,IF($J20=2,AK20,IF($J20=1,AK20,0)))))</f>
        <v>0</v>
      </c>
      <c r="AH20" s="115">
        <f>IF(AK20=0,0,IF(AK20&lt;0,IF($J20=6,AK20,IF($J20=5,AK20,IF($J20=4,AK20,0)))))</f>
        <v>0</v>
      </c>
      <c r="AI20" s="115">
        <f>IF(AK20=0,0,IF(AK20&lt;0,IF($J20=9,AK20,IF($J20=8,AK20,IF($J20=7,AK20,0)))))</f>
        <v>0</v>
      </c>
      <c r="AJ20" s="116">
        <f>IF(AK20=0,0,IF(AK20&lt;0,IF($J20=12,AK20,IF($J20=11,AK20,IF($J20=10,AK20,0)))))</f>
        <v>0</v>
      </c>
      <c r="AK20" s="113">
        <f>IF(AK$5=$H20,-$E20,0)</f>
        <v>0</v>
      </c>
      <c r="AL20" s="114">
        <f>IF(AP20=0,0,IF(AP20&lt;0,IF($J20=3,AP20,IF($J20=2,AP20,IF($J20=1,AP20,0)))))</f>
        <v>0</v>
      </c>
      <c r="AM20" s="115">
        <f>IF(AP20=0,0,IF(AP20&lt;0,IF($J20=6,AP20,IF($J20=5,AP20,IF($J20=4,AP20,0)))))</f>
        <v>0</v>
      </c>
      <c r="AN20" s="115">
        <f>IF(AP20=0,0,IF(AP20&lt;0,IF($J20=9,AP20,IF($J20=8,AP20,IF($J20=7,AP20,0)))))</f>
        <v>0</v>
      </c>
      <c r="AO20" s="116">
        <f>IF(AP20=0,0,IF(AP20&lt;0,IF($J20=12,AP20,IF($J20=11,AP20,IF($J20=10,AP20,0)))))</f>
        <v>0</v>
      </c>
      <c r="AP20" s="113">
        <f>IF(AP$5=$H20,-$E20,0)</f>
        <v>0</v>
      </c>
      <c r="AQ20" s="114">
        <f>IF(AU20=0,0,IF(AU20&lt;0,IF($J20=3,AU20,IF($J20=2,AU20,IF($J20=1,AU20,0)))))</f>
        <v>0</v>
      </c>
      <c r="AR20" s="115">
        <f>IF(AU20=0,0,IF(AU20&lt;0,IF($J20=6,AU20,IF($J20=5,AU20,IF($J20=4,AU20,0)))))</f>
        <v>0</v>
      </c>
      <c r="AS20" s="115">
        <f>IF(AU20=0,0,IF(AU20&lt;0,IF($J20=9,AU20,IF($J20=8,AU20,IF($J20=7,AU20,0)))))</f>
        <v>0</v>
      </c>
      <c r="AT20" s="116">
        <f>IF(AU20=0,0,IF(AU20&lt;0,IF($J20=12,AU20,IF($J20=11,AU20,IF($J20=10,AU20,0)))))</f>
        <v>0</v>
      </c>
      <c r="AU20" s="113">
        <f>IF(AU$5=$H20,-$E20,0)</f>
        <v>0</v>
      </c>
      <c r="AV20" s="114">
        <f>IF(AZ20=0,0,IF(AZ20&lt;0,IF($J20=3,AZ20,IF($J20=2,AZ20,IF($J20=1,AZ20,0)))))</f>
        <v>0</v>
      </c>
      <c r="AW20" s="115">
        <f>IF(AZ20=0,0,IF(AZ20&lt;0,IF($J20=6,AZ20,IF($J20=5,AZ20,IF($J20=4,AZ20,0)))))</f>
        <v>0</v>
      </c>
      <c r="AX20" s="115">
        <f>IF(AZ20=0,0,IF(AZ20&lt;0,IF($J20=9,AZ20,IF($J20=8,AZ20,IF($J20=7,AZ20,0)))))</f>
        <v>0</v>
      </c>
      <c r="AY20" s="116">
        <f>IF(AZ20=0,0,IF(AZ20&lt;0,IF($J20=12,AZ20,IF($J20=11,AZ20,IF($J20=10,AZ20,0)))))</f>
        <v>0</v>
      </c>
      <c r="AZ20" s="113">
        <f>IF(AZ$5=$H20,-$E20,0)</f>
        <v>0</v>
      </c>
      <c r="BA20" s="114">
        <f>IF(BE20=0,0,IF(BE20&lt;0,IF($J20=3,BE20,IF($J20=2,BE20,IF($J20=1,BE20,0)))))</f>
        <v>0</v>
      </c>
      <c r="BB20" s="115">
        <f>IF(BE20=0,0,IF(BE20&lt;0,IF($J20=6,BE20,IF($J20=5,BE20,IF($J20=4,BE20,0)))))</f>
        <v>0</v>
      </c>
      <c r="BC20" s="115">
        <f>IF(BE20=0,0,IF(BE20&lt;0,IF($J20=9,BE20,IF($J20=8,BE20,IF($J20=7,BE20,0)))))</f>
        <v>0</v>
      </c>
      <c r="BD20" s="116">
        <f>IF(BE20=0,0,IF(BE20&lt;0,IF($J20=12,BE20,IF($J20=11,BE20,IF($J20=10,BE20,0)))))</f>
        <v>-300</v>
      </c>
      <c r="BE20" s="113">
        <f>IF(BE$5=$H20,-$E20,0)</f>
        <v>-300</v>
      </c>
      <c r="BF20" s="194"/>
      <c r="BG20" s="118">
        <f>IF(AND(BF20&lt;&gt;0,BF$5=$H20),-$I20*$E20-BF20,IF(BG$5=$H20,-$I20*$E20*(12-$J20+1)/12,0))</f>
        <v>0</v>
      </c>
      <c r="BH20" s="119">
        <f>IF($H20&lt;&gt;BL$5,0,IF(BL20&lt;0,IF($J20=1,-$E20*$I20/12*3,IF($J20=2,-$E20*$I20/12*2,IF($J20=3,-$E20*$I20/12*1,0)))))+IF(BG$5&lt;&gt;$H20,0,IF(BG20&lt;0,IF($J20=1,-$E20*$I20/12*0,IF($J20=2,-$E20*$I20/12*1,IF($J20=3,-$E20*$I20/12*2,IF($J20&gt;=4,-$E20*$I20/12*3,0))))))</f>
        <v>0</v>
      </c>
      <c r="BI20" s="120">
        <f>IF($H20&lt;&gt;BL$5,0,IF(BL20&lt;0,IF(OR($J20=1,$J20=2,$J20=3,$J20=4),-$E20*$I20/12*3,IF($J20=5,-$E20*$I20/12*2,IF($J20=6,-$E20*$I20/12*1,0)))))+IF(BG$5&lt;&gt;$H20,0,IF(BG20&lt;0,IF($J20=4,-$E20*$I20/12*0,IF($J20=5,-$E20*$I20/12*1,IF($J20=6,-$E20*$I20/12*2,IF($J20&gt;=7,-$E20*$I20/12*3,0))))))</f>
        <v>0</v>
      </c>
      <c r="BJ20" s="120">
        <f>IF($H20&lt;&gt;BL$5,0,IF(BL20&lt;0,IF(OR($J20=1,$J20=2,$J20=3,$J20=4,$J20=5,$J20=6,$J20=7),-$E20*$I20/12*3,IF($J20=8,-$E20*$I20/12*2,IF($J20=9,-$E20*$I20/12*1,0)))))+IF(BG$5&lt;&gt;$H20,0,IF(BG20&lt;0,IF($J20=7,-$E20*$I20/12*0,IF($J20=8,-$E20*$I20/12*1,IF($J20=9,-$E20*$I20/12*2,IF($J20&gt;=10,-$E20*$I20/12*3,0))))))</f>
        <v>0</v>
      </c>
      <c r="BK20" s="121">
        <f>IF($H20&lt;&gt;BL$5,0,IF(BL20&lt;0,IF(OR($J20=1,$J20=2,$J20=3,$J20=4,$J20=5,$J20=6,$J20=7,$J20=8,$J20=9,$J20=10),-$E20*$I20/12*3,IF($J20=11,-$E20*$I20/12*2,IF($J20=12,-$E20*$I20/12*1,0)))))+IF(BG$5&lt;&gt;$H20,0,IF(BG20&lt;0,IF($J20=10,-$E20*$I20/12*0,IF($J20=11,-$E20*$I20/12*1,IF($J20=12,-$E20*$I20/12*2,0)))))</f>
        <v>0</v>
      </c>
      <c r="BL20" s="118">
        <f>IF(AND(BG20&lt;&gt;0,BG$5=$H20),-$I20*$E20-BG20,IF(BL$5=$H20,-$I20*$E20*(12-$J20+1)/12,0))</f>
        <v>0</v>
      </c>
      <c r="BM20" s="119">
        <f>IF($H20&lt;&gt;BQ$5,0,IF(BQ20&lt;0,IF($J20=1,-$E20*$I20/12*3,IF($J20=2,-$E20*$I20/12*2,IF($J20=3,-$E20*$I20/12*1,0)))))+IF(BL$5&lt;&gt;$H20,0,IF(BL20&lt;0,IF($J20=1,-$E20*$I20/12*0,IF($J20=2,-$E20*$I20/12*1,IF($J20=3,-$E20*$I20/12*2,IF($J20&gt;=4,-$E20*$I20/12*3,0))))))</f>
        <v>0</v>
      </c>
      <c r="BN20" s="120">
        <f>IF($H20&lt;&gt;BQ$5,0,IF(BQ20&lt;0,IF(OR($J20=1,$J20=2,$J20=3,$J20=4),-$E20*$I20/12*3,IF($J20=5,-$E20*$I20/12*2,IF($J20=6,-$E20*$I20/12*1,0)))))+IF(BL$5&lt;&gt;$H20,0,IF(BL20&lt;0,IF($J20=4,-$E20*$I20/12*0,IF($J20=5,-$E20*$I20/12*1,IF($J20=6,-$E20*$I20/12*2,IF($J20&gt;=7,-$E20*$I20/12*3,0))))))</f>
        <v>0</v>
      </c>
      <c r="BO20" s="120">
        <f>IF($H20&lt;&gt;BQ$5,0,IF(BQ20&lt;0,IF(OR($J20=1,$J20=2,$J20=3,$J20=4,$J20=5,$J20=6,$J20=7),-$E20*$I20/12*3,IF($J20=8,-$E20*$I20/12*2,IF($J20=9,-$E20*$I20/12*1,0)))))+IF(BL$5&lt;&gt;$H20,0,IF(BL20&lt;0,IF($J20=7,-$E20*$I20/12*0,IF($J20=8,-$E20*$I20/12*1,IF($J20=9,-$E20*$I20/12*2,IF($J20&gt;=10,-$E20*$I20/12*3,0))))))</f>
        <v>0</v>
      </c>
      <c r="BP20" s="121">
        <f>IF($H20&lt;&gt;BQ$5,0,IF(BQ20&lt;0,IF(OR($J20=1,$J20=2,$J20=3,$J20=4,$J20=5,$J20=6,$J20=7,$J20=8,$J20=9,$J20=10),-$E20*$I20/12*3,IF($J20=11,-$E20*$I20/12*2,IF($J20=12,-$E20*$I20/12*1,0)))))+IF(BL$5&lt;&gt;$H20,0,IF(BL20&lt;0,IF($J20=10,-$E20*$I20/12*0,IF($J20=11,-$E20*$I20/12*1,IF($J20=12,-$E20*$I20/12*2,0)))))</f>
        <v>0</v>
      </c>
      <c r="BQ20" s="118">
        <f>IF(AND(BL20&lt;&gt;0,BL$5=$H20),-$I20*$E20-BL20,IF(BQ$5=$H20,-$I20*$E20*(12-$J20+1)/12,0))</f>
        <v>0</v>
      </c>
      <c r="BR20" s="119">
        <f>IF($H20&lt;&gt;BV$5,0,IF(BV20&lt;0,IF($J20=1,-$E20*$I20/12*3,IF($J20=2,-$E20*$I20/12*2,IF($J20=3,-$E20*$I20/12*1,0)))))+IF(BQ$5&lt;&gt;$H20,0,IF(BQ20&lt;0,IF($J20=1,-$E20*$I20/12*0,IF($J20=2,-$E20*$I20/12*1,IF($J20=3,-$E20*$I20/12*2,IF($J20&gt;=4,-$E20*$I20/12*3,0))))))</f>
        <v>0</v>
      </c>
      <c r="BS20" s="120">
        <f>IF($H20&lt;&gt;BV$5,0,IF(BV20&lt;0,IF(OR($J20=1,$J20=2,$J20=3,$J20=4),-$E20*$I20/12*3,IF($J20=5,-$E20*$I20/12*2,IF($J20=6,-$E20*$I20/12*1,0)))))+IF(BQ$5&lt;&gt;$H20,0,IF(BQ20&lt;0,IF($J20=4,-$E20*$I20/12*0,IF($J20=5,-$E20*$I20/12*1,IF($J20=6,-$E20*$I20/12*2,IF($J20&gt;=7,-$E20*$I20/12*3,0))))))</f>
        <v>0</v>
      </c>
      <c r="BT20" s="120">
        <f>IF($H20&lt;&gt;BV$5,0,IF(BV20&lt;0,IF(OR($J20=1,$J20=2,$J20=3,$J20=4,$J20=5,$J20=6,$J20=7),-$E20*$I20/12*3,IF($J20=8,-$E20*$I20/12*2,IF($J20=9,-$E20*$I20/12*1,0)))))+IF(BQ$5&lt;&gt;$H20,0,IF(BQ20&lt;0,IF($J20=7,-$E20*$I20/12*0,IF($J20=8,-$E20*$I20/12*1,IF($J20=9,-$E20*$I20/12*2,IF($J20&gt;=10,-$E20*$I20/12*3,0))))))</f>
        <v>0</v>
      </c>
      <c r="BU20" s="121">
        <f>IF($H20&lt;&gt;BV$5,0,IF(BV20&lt;0,IF(OR($J20=1,$J20=2,$J20=3,$J20=4,$J20=5,$J20=6,$J20=7,$J20=8,$J20=9,$J20=10),-$E20*$I20/12*3,IF($J20=11,-$E20*$I20/12*2,IF($J20=12,-$E20*$I20/12*1,0)))))+IF(BQ$5&lt;&gt;$H20,0,IF(BQ20&lt;0,IF($J20=10,-$E20*$I20/12*0,IF($J20=11,-$E20*$I20/12*1,IF($J20=12,-$E20*$I20/12*2,0)))))</f>
        <v>0</v>
      </c>
      <c r="BV20" s="118">
        <f>IF(AND(BQ20&lt;&gt;0,BQ$5=$H20),-$I20*$E20-BQ20,IF(BV$5=$H20,-$I20*$E20*(12-$J20+1)/12,0))</f>
        <v>0</v>
      </c>
      <c r="BW20" s="119">
        <f>IF($H20&lt;&gt;CA$5,0,IF(CA20&lt;0,IF($J20=1,-$E20*$I20/12*3,IF($J20=2,-$E20*$I20/12*2,IF($J20=3,-$E20*$I20/12*1,0)))))+IF(BV$5&lt;&gt;$H20,0,IF(BV20&lt;0,IF($J20=1,-$E20*$I20/12*0,IF($J20=2,-$E20*$I20/12*1,IF($J20=3,-$E20*$I20/12*2,IF($J20&gt;=4,-$E20*$I20/12*3,0))))))</f>
        <v>0</v>
      </c>
      <c r="BX20" s="120">
        <f>IF($H20&lt;&gt;CA$5,0,IF(CA20&lt;0,IF(OR($J20=1,$J20=2,$J20=3,$J20=4),-$E20*$I20/12*3,IF($J20=5,-$E20*$I20/12*2,IF($J20=6,-$E20*$I20/12*1,0)))))+IF(BV$5&lt;&gt;$H20,0,IF(BV20&lt;0,IF($J20=4,-$E20*$I20/12*0,IF($J20=5,-$E20*$I20/12*1,IF($J20=6,-$E20*$I20/12*2,IF($J20&gt;=7,-$E20*$I20/12*3,0))))))</f>
        <v>0</v>
      </c>
      <c r="BY20" s="120">
        <f>IF($H20&lt;&gt;CA$5,0,IF(CA20&lt;0,IF(OR($J20=1,$J20=2,$J20=3,$J20=4,$J20=5,$J20=6,$J20=7),-$E20*$I20/12*3,IF($J20=8,-$E20*$I20/12*2,IF($J20=9,-$E20*$I20/12*1,0)))))+IF(BV$5&lt;&gt;$H20,0,IF(BV20&lt;0,IF($J20=7,-$E20*$I20/12*0,IF($J20=8,-$E20*$I20/12*1,IF($J20=9,-$E20*$I20/12*2,IF($J20&gt;=10,-$E20*$I20/12*3,0))))))</f>
        <v>0</v>
      </c>
      <c r="BZ20" s="121">
        <f>IF($H20&lt;&gt;CA$5,0,IF(CA20&lt;0,IF(OR($J20=1,$J20=2,$J20=3,$J20=4,$J20=5,$J20=6,$J20=7,$J20=8,$J20=9,$J20=10),-$E20*$I20/12*3,IF($J20=11,-$E20*$I20/12*2,IF($J20=12,-$E20*$I20/12*1,0)))))+IF(BV$5&lt;&gt;$H20,0,IF(BV20&lt;0,IF($J20=10,-$E20*$I20/12*0,IF($J20=11,-$E20*$I20/12*1,IF($J20=12,-$E20*$I20/12*2,0)))))</f>
        <v>0</v>
      </c>
      <c r="CA20" s="118">
        <f>IF(AND(BV20&lt;&gt;0,BV$5=$H20),-$I20*$E20-BV20,IF(CA$5=$H20,-$I20*$E20*(12-$J20+1)/12,0))</f>
        <v>0</v>
      </c>
      <c r="CB20" s="119">
        <f>IF($H20&lt;&gt;CF$5,0,IF(CF20&lt;0,IF($J20=1,-$E20*$I20/12*3,IF($J20=2,-$E20*$I20/12*2,IF($J20=3,-$E20*$I20/12*1,0)))))+IF(CA$5&lt;&gt;$H20,0,IF(CA20&lt;0,IF($J20=1,-$E20*$I20/12*0,IF($J20=2,-$E20*$I20/12*1,IF($J20=3,-$E20*$I20/12*2,IF($J20&gt;=4,-$E20*$I20/12*3,0))))))</f>
        <v>0</v>
      </c>
      <c r="CC20" s="120">
        <f>IF($H20&lt;&gt;CF$5,0,IF(CF20&lt;0,IF(OR($J20=1,$J20=2,$J20=3,$J20=4),-$E20*$I20/12*3,IF($J20=5,-$E20*$I20/12*2,IF($J20=6,-$E20*$I20/12*1,0)))))+IF(CA$5&lt;&gt;$H20,0,IF(CA20&lt;0,IF($J20=4,-$E20*$I20/12*0,IF($J20=5,-$E20*$I20/12*1,IF($J20=6,-$E20*$I20/12*2,IF($J20&gt;=7,-$E20*$I20/12*3,0))))))</f>
        <v>0</v>
      </c>
      <c r="CD20" s="120">
        <f>IF($H20&lt;&gt;CF$5,0,IF(CF20&lt;0,IF(OR($J20=1,$J20=2,$J20=3,$J20=4,$J20=5,$J20=6,$J20=7),-$E20*$I20/12*3,IF($J20=8,-$E20*$I20/12*2,IF($J20=9,-$E20*$I20/12*1,0)))))+IF(CA$5&lt;&gt;$H20,0,IF(CA20&lt;0,IF($J20=7,-$E20*$I20/12*0,IF($J20=8,-$E20*$I20/12*1,IF($J20=9,-$E20*$I20/12*2,IF($J20&gt;=10,-$E20*$I20/12*3,0))))))</f>
        <v>0</v>
      </c>
      <c r="CE20" s="121">
        <f>IF($H20&lt;&gt;CF$5,0,IF(CF20&lt;0,IF(OR($J20=1,$J20=2,$J20=3,$J20=4,$J20=5,$J20=6,$J20=7,$J20=8,$J20=9,$J20=10),-$E20*$I20/12*3,IF($J20=11,-$E20*$I20/12*2,IF($J20=12,-$E20*$I20/12*1,0)))))+IF(CA$5&lt;&gt;$H20,0,IF(CA20&lt;0,IF($J20=10,-$E20*$I20/12*0,IF($J20=11,-$E20*$I20/12*1,IF($J20=12,-$E20*$I20/12*2,0)))))</f>
        <v>0</v>
      </c>
      <c r="CF20" s="118">
        <f>IF(AND(CA20&lt;&gt;0,CA$5=$H20),-$I20*$E20-CA20,IF(CF$5=$H20,-$I20*$E20*(12-$J20+1)/12,0))</f>
        <v>0</v>
      </c>
      <c r="CG20" s="119">
        <f>IF($H20&lt;&gt;CK$5,0,IF(CK20&lt;0,IF($J20=1,-$E20*$I20/12*3,IF($J20=2,-$E20*$I20/12*2,IF($J20=3,-$E20*$I20/12*1,0)))))+IF(CF$5&lt;&gt;$H20,0,IF(CF20&lt;0,IF($J20=1,-$E20*$I20/12*0,IF($J20=2,-$E20*$I20/12*1,IF($J20=3,-$E20*$I20/12*2,IF($J20&gt;=4,-$E20*$I20/12*3,0))))))</f>
        <v>0</v>
      </c>
      <c r="CH20" s="120">
        <f>IF($H20&lt;&gt;CK$5,0,IF(CK20&lt;0,IF(OR($J20=1,$J20=2,$J20=3,$J20=4),-$E20*$I20/12*3,IF($J20=5,-$E20*$I20/12*2,IF($J20=6,-$E20*$I20/12*1,0)))))+IF(CF$5&lt;&gt;$H20,0,IF(CF20&lt;0,IF($J20=4,-$E20*$I20/12*0,IF($J20=5,-$E20*$I20/12*1,IF($J20=6,-$E20*$I20/12*2,IF($J20&gt;=7,-$E20*$I20/12*3,0))))))</f>
        <v>0</v>
      </c>
      <c r="CI20" s="120">
        <f>IF($H20&lt;&gt;CK$5,0,IF(CK20&lt;0,IF(OR($J20=1,$J20=2,$J20=3,$J20=4,$J20=5,$J20=6,$J20=7),-$E20*$I20/12*3,IF($J20=8,-$E20*$I20/12*2,IF($J20=9,-$E20*$I20/12*1,0)))))+IF(CF$5&lt;&gt;$H20,0,IF(CF20&lt;0,IF($J20=7,-$E20*$I20/12*0,IF($J20=8,-$E20*$I20/12*1,IF($J20=9,-$E20*$I20/12*2,IF($J20&gt;=10,-$E20*$I20/12*3,0))))))</f>
        <v>0</v>
      </c>
      <c r="CJ20" s="121">
        <f>IF($H20&lt;&gt;CK$5,0,IF(CK20&lt;0,IF(OR($J20=1,$J20=2,$J20=3,$J20=4,$J20=5,$J20=6,$J20=7,$J20=8,$J20=9,$J20=10),-$E20*$I20/12*3,IF($J20=11,-$E20*$I20/12*2,IF($J20=12,-$E20*$I20/12*1,0)))))+IF(CF$5&lt;&gt;$H20,0,IF(CF20&lt;0,IF($J20=10,-$E20*$I20/12*0,IF($J20=11,-$E20*$I20/12*1,IF($J20=12,-$E20*$I20/12*2,0)))))</f>
        <v>0</v>
      </c>
      <c r="CK20" s="118">
        <f>IF(AND(CF20&lt;&gt;0,CF$5=$H20),-$I20*$E20-CF20,IF(CK$5=$H20,-$I20*$E20*(12-$J20+1)/12,0))</f>
        <v>0</v>
      </c>
      <c r="CL20" s="119">
        <f>IF($H20&lt;&gt;CP$5,0,IF(CP20&lt;0,IF($J20=1,-$E20*$I20/12*3,IF($J20=2,-$E20*$I20/12*2,IF($J20=3,-$E20*$I20/12*1,0)))))+IF(CK$5&lt;&gt;$H20,0,IF(CK20&lt;0,IF($J20=1,-$E20*$I20/12*0,IF($J20=2,-$E20*$I20/12*1,IF($J20=3,-$E20*$I20/12*2,IF($J20&gt;=4,-$E20*$I20/12*3,0))))))</f>
        <v>0</v>
      </c>
      <c r="CM20" s="120">
        <f>IF($H20&lt;&gt;CP$5,0,IF(CP20&lt;0,IF(OR($J20=1,$J20=2,$J20=3,$J20=4),-$E20*$I20/12*3,IF($J20=5,-$E20*$I20/12*2,IF($J20=6,-$E20*$I20/12*1,0)))))+IF(CK$5&lt;&gt;$H20,0,IF(CK20&lt;0,IF($J20=4,-$E20*$I20/12*0,IF($J20=5,-$E20*$I20/12*1,IF($J20=6,-$E20*$I20/12*2,IF($J20&gt;=7,-$E20*$I20/12*3,0))))))</f>
        <v>0</v>
      </c>
      <c r="CN20" s="120">
        <f>IF($H20&lt;&gt;CP$5,0,IF(CP20&lt;0,IF(OR($J20=1,$J20=2,$J20=3,$J20=4,$J20=5,$J20=6,$J20=7),-$E20*$I20/12*3,IF($J20=8,-$E20*$I20/12*2,IF($J20=9,-$E20*$I20/12*1,0)))))+IF(CK$5&lt;&gt;$H20,0,IF(CK20&lt;0,IF($J20=7,-$E20*$I20/12*0,IF($J20=8,-$E20*$I20/12*1,IF($J20=9,-$E20*$I20/12*2,IF($J20&gt;=10,-$E20*$I20/12*3,0))))))</f>
        <v>0</v>
      </c>
      <c r="CO20" s="121">
        <f>IF($H20&lt;&gt;CP$5,0,IF(CP20&lt;0,IF(OR($J20=1,$J20=2,$J20=3,$J20=4,$J20=5,$J20=6,$J20=7,$J20=8,$J20=9,$J20=10),-$E20*$I20/12*3,IF($J20=11,-$E20*$I20/12*2,IF($J20=12,-$E20*$I20/12*1,0)))))+IF(CK$5&lt;&gt;$H20,0,IF(CK20&lt;0,IF($J20=10,-$E20*$I20/12*0,IF($J20=11,-$E20*$I20/12*1,IF($J20=12,-$E20*$I20/12*2,0)))))</f>
        <v>0</v>
      </c>
      <c r="CP20" s="118">
        <f>IF(AND(CK20&lt;&gt;0,CK$5=$H20),-$I20*$E20-CK20,IF(CP$5=$H20,-$I20*$E20*(12-$J20+1)/12,0))</f>
        <v>0</v>
      </c>
      <c r="CQ20" s="119">
        <f>IF($H20&lt;&gt;CU$5,0,IF(CU20&lt;0,IF($J20=1,-$E20*$I20/12*3,IF($J20=2,-$E20*$I20/12*2,IF($J20=3,-$E20*$I20/12*1,0)))))+IF(CP$5&lt;&gt;$H20,0,IF(CP20&lt;0,IF($J20=1,-$E20*$I20/12*0,IF($J20=2,-$E20*$I20/12*1,IF($J20=3,-$E20*$I20/12*2,IF($J20&gt;=4,-$E20*$I20/12*3,0))))))</f>
        <v>0</v>
      </c>
      <c r="CR20" s="120">
        <f>IF($H20&lt;&gt;CU$5,0,IF(CU20&lt;0,IF(OR($J20=1,$J20=2,$J20=3,$J20=4),-$E20*$I20/12*3,IF($J20=5,-$E20*$I20/12*2,IF($J20=6,-$E20*$I20/12*1,0)))))+IF(CP$5&lt;&gt;$H20,0,IF(CP20&lt;0,IF($J20=4,-$E20*$I20/12*0,IF($J20=5,-$E20*$I20/12*1,IF($J20=6,-$E20*$I20/12*2,IF($J20&gt;=7,-$E20*$I20/12*3,0))))))</f>
        <v>0</v>
      </c>
      <c r="CS20" s="120">
        <f>IF($H20&lt;&gt;CU$5,0,IF(CU20&lt;0,IF(OR($J20=1,$J20=2,$J20=3,$J20=4,$J20=5,$J20=6,$J20=7),-$E20*$I20/12*3,IF($J20=8,-$E20*$I20/12*2,IF($J20=9,-$E20*$I20/12*1,0)))))+IF(CP$5&lt;&gt;$H20,0,IF(CP20&lt;0,IF($J20=7,-$E20*$I20/12*0,IF($J20=8,-$E20*$I20/12*1,IF($J20=9,-$E20*$I20/12*2,IF($J20&gt;=10,-$E20*$I20/12*3,0))))))</f>
        <v>0</v>
      </c>
      <c r="CT20" s="121">
        <f>IF($H20&lt;&gt;CU$5,0,IF(CU20&lt;0,IF(OR($J20=1,$J20=2,$J20=3,$J20=4,$J20=5,$J20=6,$J20=7,$J20=8,$J20=9,$J20=10),-$E20*$I20/12*3,IF($J20=11,-$E20*$I20/12*2,IF($J20=12,-$E20*$I20/12*1,0)))))+IF(CP$5&lt;&gt;$H20,0,IF(CP20&lt;0,IF($J20=10,-$E20*$I20/12*0,IF($J20=11,-$E20*$I20/12*1,IF($J20=12,-$E20*$I20/12*2,0)))))</f>
        <v>0</v>
      </c>
      <c r="CU20" s="118">
        <f>IF(AND(CP20&lt;&gt;0,CP$5=$H20),-$I20*$E20-CP20,IF(CU$5=$H20,-$I20*$E20*(12-$J20+1)/12,0))</f>
        <v>0</v>
      </c>
      <c r="CV20" s="119">
        <f>IF($H20&lt;&gt;CZ$5,0,IF(CZ20&lt;0,IF($J20=1,-$E20*$I20/12*3,IF($J20=2,-$E20*$I20/12*2,IF($J20=3,-$E20*$I20/12*1,0)))))+IF(CU$5&lt;&gt;$H20,0,IF(CU20&lt;0,IF($J20=1,-$E20*$I20/12*0,IF($J20=2,-$E20*$I20/12*1,IF($J20=3,-$E20*$I20/12*2,IF($J20&gt;=4,-$E20*$I20/12*3,0))))))</f>
        <v>0</v>
      </c>
      <c r="CW20" s="120">
        <f>IF($H20&lt;&gt;CZ$5,0,IF(CZ20&lt;0,IF(OR($J20=1,$J20=2,$J20=3,$J20=4),-$E20*$I20/12*3,IF($J20=5,-$E20*$I20/12*2,IF($J20=6,-$E20*$I20/12*1,0)))))+IF(CU$5&lt;&gt;$H20,0,IF(CU20&lt;0,IF($J20=4,-$E20*$I20/12*0,IF($J20=5,-$E20*$I20/12*1,IF($J20=6,-$E20*$I20/12*2,IF($J20&gt;=7,-$E20*$I20/12*3,0))))))</f>
        <v>0</v>
      </c>
      <c r="CX20" s="120">
        <f>IF($H20&lt;&gt;CZ$5,0,IF(CZ20&lt;0,IF(OR($J20=1,$J20=2,$J20=3,$J20=4,$J20=5,$J20=6,$J20=7),-$E20*$I20/12*3,IF($J20=8,-$E20*$I20/12*2,IF($J20=9,-$E20*$I20/12*1,0)))))+IF(CU$5&lt;&gt;$H20,0,IF(CU20&lt;0,IF($J20=7,-$E20*$I20/12*0,IF($J20=8,-$E20*$I20/12*1,IF($J20=9,-$E20*$I20/12*2,IF($J20&gt;=10,-$E20*$I20/12*3,0))))))</f>
        <v>0</v>
      </c>
      <c r="CY20" s="121">
        <f>IF($H20&lt;&gt;CZ$5,0,IF(CZ20&lt;0,IF(OR($J20=1,$J20=2,$J20=3,$J20=4,$J20=5,$J20=6,$J20=7,$J20=8,$J20=9,$J20=10),-$E20*$I20/12*3,IF($J20=11,-$E20*$I20/12*2,IF($J20=12,-$E20*$I20/12*1,0)))))+IF(CU$5&lt;&gt;$H20,0,IF(CU20&lt;0,IF($J20=10,-$E20*$I20/12*0,IF($J20=11,-$E20*$I20/12*1,IF($J20=12,-$E20*$I20/12*2,0)))))</f>
        <v>-1</v>
      </c>
      <c r="CZ20" s="118">
        <f>IF(AND(CU20&lt;&gt;0,CU$5=$H20),-$I20*$E20-CU20,IF(CZ$5=$H20,-$I20*$E20*(12-$J20+1)/12,0))</f>
        <v>-1</v>
      </c>
    </row>
    <row r="21" spans="1:104" s="305" customFormat="1" ht="12.75" customHeight="1">
      <c r="A21" s="71"/>
      <c r="B21" s="71"/>
      <c r="C21" s="880" t="s">
        <v>1112</v>
      </c>
      <c r="D21" s="190"/>
      <c r="E21" s="191">
        <f>IF(F21=0,G21,F21)</f>
        <v>700</v>
      </c>
      <c r="F21" s="1346">
        <v>700</v>
      </c>
      <c r="G21" s="1346">
        <v>0</v>
      </c>
      <c r="H21" s="442">
        <v>2022</v>
      </c>
      <c r="I21" s="587">
        <v>2.6499999999999999E-2</v>
      </c>
      <c r="J21" s="442">
        <v>11</v>
      </c>
      <c r="K21" s="112"/>
      <c r="L21" s="113">
        <f>IF(L$5=$H21,-$E21,0)</f>
        <v>0</v>
      </c>
      <c r="M21" s="114">
        <f>IF(Q21=0,0,IF(Q21&lt;0,IF($J21=3,Q21,IF($J21=2,Q21,IF($J21=1,Q21,0)))))</f>
        <v>0</v>
      </c>
      <c r="N21" s="115">
        <f>IF(Q21=0,0,IF(Q21&lt;0,IF($J21=6,Q21,IF($J21=5,Q21,IF($J21=4,Q21,0)))))</f>
        <v>0</v>
      </c>
      <c r="O21" s="115">
        <f>IF(Q21=0,0,IF(Q21&lt;0,IF($J21=9,Q21,IF($J21=8,Q21,IF($J21=7,Q21,0)))))</f>
        <v>0</v>
      </c>
      <c r="P21" s="116">
        <f>IF(Q21=0,0,IF(Q21&lt;0,IF($J21=12,Q21,IF($J21=11,Q21,IF($J21=10,Q21,0)))))</f>
        <v>0</v>
      </c>
      <c r="Q21" s="113">
        <f>IF(Q$5=$H21,-$E21,0)</f>
        <v>0</v>
      </c>
      <c r="R21" s="114">
        <f>IF(V21=0,0,IF(V21&lt;0,IF($J21=3,V21,IF($J21=2,V21,IF($J21=1,V21,0)))))</f>
        <v>0</v>
      </c>
      <c r="S21" s="115">
        <f>IF(V21=0,0,IF(V21&lt;0,IF($J21=6,V21,IF($J21=5,V21,IF($J21=4,V21,0)))))</f>
        <v>0</v>
      </c>
      <c r="T21" s="115">
        <f>IF(V21=0,0,IF(V21&lt;0,IF($J21=9,V21,IF($J21=8,V21,IF($J21=7,V21,0)))))</f>
        <v>0</v>
      </c>
      <c r="U21" s="116">
        <f>IF(V21=0,0,IF(V21&lt;0,IF($J21=12,V21,IF($J21=11,V21,IF($J21=10,V21,0)))))</f>
        <v>0</v>
      </c>
      <c r="V21" s="113">
        <f>IF(V$5=$H21,-$E21,0)</f>
        <v>0</v>
      </c>
      <c r="W21" s="114">
        <f>IF(AA21=0,0,IF(AA21&lt;0,IF($J21=3,AA21,IF($J21=2,AA21,IF($J21=1,AA21,0)))))</f>
        <v>0</v>
      </c>
      <c r="X21" s="115">
        <f>IF(AA21=0,0,IF(AA21&lt;0,IF($J21=6,AA21,IF($J21=5,AA21,IF($J21=4,AA21,0)))))</f>
        <v>0</v>
      </c>
      <c r="Y21" s="115">
        <f>IF(AA21=0,0,IF(AA21&lt;0,IF($J21=9,AA21,IF($J21=8,AA21,IF($J21=7,AA21,0)))))</f>
        <v>0</v>
      </c>
      <c r="Z21" s="116">
        <f>IF(AA21=0,0,IF(AA21&lt;0,IF($J21=12,AA21,IF($J21=11,AA21,IF($J21=10,AA21,0)))))</f>
        <v>0</v>
      </c>
      <c r="AA21" s="113">
        <f>IF(AA$5=$H21,-$E21,0)</f>
        <v>0</v>
      </c>
      <c r="AB21" s="114">
        <f>IF(AF21=0,0,IF(AF21&lt;0,IF($J21=3,AF21,IF($J21=2,AF21,IF($J21=1,AF21,0)))))</f>
        <v>0</v>
      </c>
      <c r="AC21" s="115">
        <f>IF(AF21=0,0,IF(AF21&lt;0,IF($J21=6,AF21,IF($J21=5,AF21,IF($J21=4,AF21,0)))))</f>
        <v>0</v>
      </c>
      <c r="AD21" s="115">
        <f>IF(AF21=0,0,IF(AF21&lt;0,IF($J21=9,AF21,IF($J21=8,AF21,IF($J21=7,AF21,0)))))</f>
        <v>0</v>
      </c>
      <c r="AE21" s="116">
        <f>IF(AF21=0,0,IF(AF21&lt;0,IF($J21=12,AF21,IF($J21=11,AF21,IF($J21=10,AF21,0)))))</f>
        <v>0</v>
      </c>
      <c r="AF21" s="113">
        <f>IF(AF$5=$H21,-$E21,0)</f>
        <v>0</v>
      </c>
      <c r="AG21" s="114">
        <f>IF(AK21=0,0,IF(AK21&lt;0,IF($J21=3,AK21,IF($J21=2,AK21,IF($J21=1,AK21,0)))))</f>
        <v>0</v>
      </c>
      <c r="AH21" s="115">
        <f>IF(AK21=0,0,IF(AK21&lt;0,IF($J21=6,AK21,IF($J21=5,AK21,IF($J21=4,AK21,0)))))</f>
        <v>0</v>
      </c>
      <c r="AI21" s="115">
        <f>IF(AK21=0,0,IF(AK21&lt;0,IF($J21=9,AK21,IF($J21=8,AK21,IF($J21=7,AK21,0)))))</f>
        <v>0</v>
      </c>
      <c r="AJ21" s="116">
        <f>IF(AK21=0,0,IF(AK21&lt;0,IF($J21=12,AK21,IF($J21=11,AK21,IF($J21=10,AK21,0)))))</f>
        <v>0</v>
      </c>
      <c r="AK21" s="113">
        <f>IF(AK$5=$H21,-$E21,0)</f>
        <v>0</v>
      </c>
      <c r="AL21" s="114">
        <f>IF(AP21=0,0,IF(AP21&lt;0,IF($J21=3,AP21,IF($J21=2,AP21,IF($J21=1,AP21,0)))))</f>
        <v>0</v>
      </c>
      <c r="AM21" s="115">
        <f>IF(AP21=0,0,IF(AP21&lt;0,IF($J21=6,AP21,IF($J21=5,AP21,IF($J21=4,AP21,0)))))</f>
        <v>0</v>
      </c>
      <c r="AN21" s="115">
        <f>IF(AP21=0,0,IF(AP21&lt;0,IF($J21=9,AP21,IF($J21=8,AP21,IF($J21=7,AP21,0)))))</f>
        <v>0</v>
      </c>
      <c r="AO21" s="116">
        <f>IF(AP21=0,0,IF(AP21&lt;0,IF($J21=12,AP21,IF($J21=11,AP21,IF($J21=10,AP21,0)))))</f>
        <v>0</v>
      </c>
      <c r="AP21" s="113">
        <f>IF(AP$5=$H21,-$E21,0)</f>
        <v>0</v>
      </c>
      <c r="AQ21" s="114">
        <f>IF(AU21=0,0,IF(AU21&lt;0,IF($J21=3,AU21,IF($J21=2,AU21,IF($J21=1,AU21,0)))))</f>
        <v>0</v>
      </c>
      <c r="AR21" s="115">
        <f>IF(AU21=0,0,IF(AU21&lt;0,IF($J21=6,AU21,IF($J21=5,AU21,IF($J21=4,AU21,0)))))</f>
        <v>0</v>
      </c>
      <c r="AS21" s="115">
        <f>IF(AU21=0,0,IF(AU21&lt;0,IF($J21=9,AU21,IF($J21=8,AU21,IF($J21=7,AU21,0)))))</f>
        <v>0</v>
      </c>
      <c r="AT21" s="116">
        <f>IF(AU21=0,0,IF(AU21&lt;0,IF($J21=12,AU21,IF($J21=11,AU21,IF($J21=10,AU21,0)))))</f>
        <v>0</v>
      </c>
      <c r="AU21" s="113">
        <f>IF(AU$5=$H21,-$E21,0)</f>
        <v>0</v>
      </c>
      <c r="AV21" s="114">
        <f>IF(AZ21=0,0,IF(AZ21&lt;0,IF($J21=3,AZ21,IF($J21=2,AZ21,IF($J21=1,AZ21,0)))))</f>
        <v>0</v>
      </c>
      <c r="AW21" s="115">
        <f>IF(AZ21=0,0,IF(AZ21&lt;0,IF($J21=6,AZ21,IF($J21=5,AZ21,IF($J21=4,AZ21,0)))))</f>
        <v>0</v>
      </c>
      <c r="AX21" s="115">
        <f>IF(AZ21=0,0,IF(AZ21&lt;0,IF($J21=9,AZ21,IF($J21=8,AZ21,IF($J21=7,AZ21,0)))))</f>
        <v>0</v>
      </c>
      <c r="AY21" s="116">
        <f>IF(AZ21=0,0,IF(AZ21&lt;0,IF($J21=12,AZ21,IF($J21=11,AZ21,IF($J21=10,AZ21,0)))))</f>
        <v>0</v>
      </c>
      <c r="AZ21" s="113">
        <f>IF(AZ$5=$H21,-$E21,0)</f>
        <v>0</v>
      </c>
      <c r="BA21" s="114">
        <f>IF(BE21=0,0,IF(BE21&lt;0,IF($J21=3,BE21,IF($J21=2,BE21,IF($J21=1,BE21,0)))))</f>
        <v>0</v>
      </c>
      <c r="BB21" s="115">
        <f>IF(BE21=0,0,IF(BE21&lt;0,IF($J21=6,BE21,IF($J21=5,BE21,IF($J21=4,BE21,0)))))</f>
        <v>0</v>
      </c>
      <c r="BC21" s="115">
        <f>IF(BE21=0,0,IF(BE21&lt;0,IF($J21=9,BE21,IF($J21=8,BE21,IF($J21=7,BE21,0)))))</f>
        <v>0</v>
      </c>
      <c r="BD21" s="116">
        <f>IF(BE21=0,0,IF(BE21&lt;0,IF($J21=12,BE21,IF($J21=11,BE21,IF($J21=10,BE21,0)))))</f>
        <v>0</v>
      </c>
      <c r="BE21" s="113">
        <f>IF(BE$5=$H21,-$E21,0)</f>
        <v>0</v>
      </c>
      <c r="BF21" s="194"/>
      <c r="BG21" s="118">
        <f>IF(AND(BF21&lt;&gt;0,BF$5=$H21),-$I21*$E21-BF21,IF(BG$5=$H21,-$I21*$E21*(12-$J21+1)/12,0))</f>
        <v>0</v>
      </c>
      <c r="BH21" s="119">
        <f>IF($H21&lt;&gt;BL$5,0,IF(BL21&lt;0,IF($J21=1,-$E21*$I21/12*3,IF($J21=2,-$E21*$I21/12*2,IF($J21=3,-$E21*$I21/12*1,0)))))+IF(BG$5&lt;&gt;$H21,0,IF(BG21&lt;0,IF($J21=1,-$E21*$I21/12*0,IF($J21=2,-$E21*$I21/12*1,IF($J21=3,-$E21*$I21/12*2,IF($J21&gt;=4,-$E21*$I21/12*3,0))))))</f>
        <v>0</v>
      </c>
      <c r="BI21" s="120">
        <f>IF($H21&lt;&gt;BL$5,0,IF(BL21&lt;0,IF(OR($J21=1,$J21=2,$J21=3,$J21=4),-$E21*$I21/12*3,IF($J21=5,-$E21*$I21/12*2,IF($J21=6,-$E21*$I21/12*1,0)))))+IF(BG$5&lt;&gt;$H21,0,IF(BG21&lt;0,IF($J21=4,-$E21*$I21/12*0,IF($J21=5,-$E21*$I21/12*1,IF($J21=6,-$E21*$I21/12*2,IF($J21&gt;=7,-$E21*$I21/12*3,0))))))</f>
        <v>0</v>
      </c>
      <c r="BJ21" s="120">
        <f>IF($H21&lt;&gt;BL$5,0,IF(BL21&lt;0,IF(OR($J21=1,$J21=2,$J21=3,$J21=4,$J21=5,$J21=6,$J21=7),-$E21*$I21/12*3,IF($J21=8,-$E21*$I21/12*2,IF($J21=9,-$E21*$I21/12*1,0)))))+IF(BG$5&lt;&gt;$H21,0,IF(BG21&lt;0,IF($J21=7,-$E21*$I21/12*0,IF($J21=8,-$E21*$I21/12*1,IF($J21=9,-$E21*$I21/12*2,IF($J21&gt;=10,-$E21*$I21/12*3,0))))))</f>
        <v>0</v>
      </c>
      <c r="BK21" s="121">
        <f>IF($H21&lt;&gt;BL$5,0,IF(BL21&lt;0,IF(OR($J21=1,$J21=2,$J21=3,$J21=4,$J21=5,$J21=6,$J21=7,$J21=8,$J21=9,$J21=10),-$E21*$I21/12*3,IF($J21=11,-$E21*$I21/12*2,IF($J21=12,-$E21*$I21/12*1,0)))))+IF(BG$5&lt;&gt;$H21,0,IF(BG21&lt;0,IF($J21=10,-$E21*$I21/12*0,IF($J21=11,-$E21*$I21/12*1,IF($J21=12,-$E21*$I21/12*2,0)))))</f>
        <v>0</v>
      </c>
      <c r="BL21" s="118">
        <f>IF(AND(BG21&lt;&gt;0,BG$5=$H21),-$I21*$E21-BG21,IF(BL$5=$H21,-$I21*$E21*(12-$J21+1)/12,0))</f>
        <v>0</v>
      </c>
      <c r="BM21" s="119">
        <f>IF($H21&lt;&gt;BQ$5,0,IF(BQ21&lt;0,IF($J21=1,-$E21*$I21/12*3,IF($J21=2,-$E21*$I21/12*2,IF($J21=3,-$E21*$I21/12*1,0)))))+IF(BL$5&lt;&gt;$H21,0,IF(BL21&lt;0,IF($J21=1,-$E21*$I21/12*0,IF($J21=2,-$E21*$I21/12*1,IF($J21=3,-$E21*$I21/12*2,IF($J21&gt;=4,-$E21*$I21/12*3,0))))))</f>
        <v>0</v>
      </c>
      <c r="BN21" s="120">
        <f>IF($H21&lt;&gt;BQ$5,0,IF(BQ21&lt;0,IF(OR($J21=1,$J21=2,$J21=3,$J21=4),-$E21*$I21/12*3,IF($J21=5,-$E21*$I21/12*2,IF($J21=6,-$E21*$I21/12*1,0)))))+IF(BL$5&lt;&gt;$H21,0,IF(BL21&lt;0,IF($J21=4,-$E21*$I21/12*0,IF($J21=5,-$E21*$I21/12*1,IF($J21=6,-$E21*$I21/12*2,IF($J21&gt;=7,-$E21*$I21/12*3,0))))))</f>
        <v>0</v>
      </c>
      <c r="BO21" s="120">
        <f>IF($H21&lt;&gt;BQ$5,0,IF(BQ21&lt;0,IF(OR($J21=1,$J21=2,$J21=3,$J21=4,$J21=5,$J21=6,$J21=7),-$E21*$I21/12*3,IF($J21=8,-$E21*$I21/12*2,IF($J21=9,-$E21*$I21/12*1,0)))))+IF(BL$5&lt;&gt;$H21,0,IF(BL21&lt;0,IF($J21=7,-$E21*$I21/12*0,IF($J21=8,-$E21*$I21/12*1,IF($J21=9,-$E21*$I21/12*2,IF($J21&gt;=10,-$E21*$I21/12*3,0))))))</f>
        <v>0</v>
      </c>
      <c r="BP21" s="121">
        <f>IF($H21&lt;&gt;BQ$5,0,IF(BQ21&lt;0,IF(OR($J21=1,$J21=2,$J21=3,$J21=4,$J21=5,$J21=6,$J21=7,$J21=8,$J21=9,$J21=10),-$E21*$I21/12*3,IF($J21=11,-$E21*$I21/12*2,IF($J21=12,-$E21*$I21/12*1,0)))))+IF(BL$5&lt;&gt;$H21,0,IF(BL21&lt;0,IF($J21=10,-$E21*$I21/12*0,IF($J21=11,-$E21*$I21/12*1,IF($J21=12,-$E21*$I21/12*2,0)))))</f>
        <v>0</v>
      </c>
      <c r="BQ21" s="118">
        <f>IF(AND(BL21&lt;&gt;0,BL$5=$H21),-$I21*$E21-BL21,IF(BQ$5=$H21,-$I21*$E21*(12-$J21+1)/12,0))</f>
        <v>0</v>
      </c>
      <c r="BR21" s="119">
        <f>IF($H21&lt;&gt;BV$5,0,IF(BV21&lt;0,IF($J21=1,-$E21*$I21/12*3,IF($J21=2,-$E21*$I21/12*2,IF($J21=3,-$E21*$I21/12*1,0)))))+IF(BQ$5&lt;&gt;$H21,0,IF(BQ21&lt;0,IF($J21=1,-$E21*$I21/12*0,IF($J21=2,-$E21*$I21/12*1,IF($J21=3,-$E21*$I21/12*2,IF($J21&gt;=4,-$E21*$I21/12*3,0))))))</f>
        <v>0</v>
      </c>
      <c r="BS21" s="120">
        <f>IF($H21&lt;&gt;BV$5,0,IF(BV21&lt;0,IF(OR($J21=1,$J21=2,$J21=3,$J21=4),-$E21*$I21/12*3,IF($J21=5,-$E21*$I21/12*2,IF($J21=6,-$E21*$I21/12*1,0)))))+IF(BQ$5&lt;&gt;$H21,0,IF(BQ21&lt;0,IF($J21=4,-$E21*$I21/12*0,IF($J21=5,-$E21*$I21/12*1,IF($J21=6,-$E21*$I21/12*2,IF($J21&gt;=7,-$E21*$I21/12*3,0))))))</f>
        <v>0</v>
      </c>
      <c r="BT21" s="120">
        <f>IF($H21&lt;&gt;BV$5,0,IF(BV21&lt;0,IF(OR($J21=1,$J21=2,$J21=3,$J21=4,$J21=5,$J21=6,$J21=7),-$E21*$I21/12*3,IF($J21=8,-$E21*$I21/12*2,IF($J21=9,-$E21*$I21/12*1,0)))))+IF(BQ$5&lt;&gt;$H21,0,IF(BQ21&lt;0,IF($J21=7,-$E21*$I21/12*0,IF($J21=8,-$E21*$I21/12*1,IF($J21=9,-$E21*$I21/12*2,IF($J21&gt;=10,-$E21*$I21/12*3,0))))))</f>
        <v>0</v>
      </c>
      <c r="BU21" s="121">
        <f>IF($H21&lt;&gt;BV$5,0,IF(BV21&lt;0,IF(OR($J21=1,$J21=2,$J21=3,$J21=4,$J21=5,$J21=6,$J21=7,$J21=8,$J21=9,$J21=10),-$E21*$I21/12*3,IF($J21=11,-$E21*$I21/12*2,IF($J21=12,-$E21*$I21/12*1,0)))))+IF(BQ$5&lt;&gt;$H21,0,IF(BQ21&lt;0,IF($J21=10,-$E21*$I21/12*0,IF($J21=11,-$E21*$I21/12*1,IF($J21=12,-$E21*$I21/12*2,0)))))</f>
        <v>0</v>
      </c>
      <c r="BV21" s="118">
        <f>IF(AND(BQ21&lt;&gt;0,BQ$5=$H21),-$I21*$E21-BQ21,IF(BV$5=$H21,-$I21*$E21*(12-$J21+1)/12,0))</f>
        <v>0</v>
      </c>
      <c r="BW21" s="119">
        <f>IF($H21&lt;&gt;CA$5,0,IF(CA21&lt;0,IF($J21=1,-$E21*$I21/12*3,IF($J21=2,-$E21*$I21/12*2,IF($J21=3,-$E21*$I21/12*1,0)))))+IF(BV$5&lt;&gt;$H21,0,IF(BV21&lt;0,IF($J21=1,-$E21*$I21/12*0,IF($J21=2,-$E21*$I21/12*1,IF($J21=3,-$E21*$I21/12*2,IF($J21&gt;=4,-$E21*$I21/12*3,0))))))</f>
        <v>0</v>
      </c>
      <c r="BX21" s="120">
        <f>IF($H21&lt;&gt;CA$5,0,IF(CA21&lt;0,IF(OR($J21=1,$J21=2,$J21=3,$J21=4),-$E21*$I21/12*3,IF($J21=5,-$E21*$I21/12*2,IF($J21=6,-$E21*$I21/12*1,0)))))+IF(BV$5&lt;&gt;$H21,0,IF(BV21&lt;0,IF($J21=4,-$E21*$I21/12*0,IF($J21=5,-$E21*$I21/12*1,IF($J21=6,-$E21*$I21/12*2,IF($J21&gt;=7,-$E21*$I21/12*3,0))))))</f>
        <v>0</v>
      </c>
      <c r="BY21" s="120">
        <f>IF($H21&lt;&gt;CA$5,0,IF(CA21&lt;0,IF(OR($J21=1,$J21=2,$J21=3,$J21=4,$J21=5,$J21=6,$J21=7),-$E21*$I21/12*3,IF($J21=8,-$E21*$I21/12*2,IF($J21=9,-$E21*$I21/12*1,0)))))+IF(BV$5&lt;&gt;$H21,0,IF(BV21&lt;0,IF($J21=7,-$E21*$I21/12*0,IF($J21=8,-$E21*$I21/12*1,IF($J21=9,-$E21*$I21/12*2,IF($J21&gt;=10,-$E21*$I21/12*3,0))))))</f>
        <v>0</v>
      </c>
      <c r="BZ21" s="121">
        <f>IF($H21&lt;&gt;CA$5,0,IF(CA21&lt;0,IF(OR($J21=1,$J21=2,$J21=3,$J21=4,$J21=5,$J21=6,$J21=7,$J21=8,$J21=9,$J21=10),-$E21*$I21/12*3,IF($J21=11,-$E21*$I21/12*2,IF($J21=12,-$E21*$I21/12*1,0)))))+IF(BV$5&lt;&gt;$H21,0,IF(BV21&lt;0,IF($J21=10,-$E21*$I21/12*0,IF($J21=11,-$E21*$I21/12*1,IF($J21=12,-$E21*$I21/12*2,0)))))</f>
        <v>0</v>
      </c>
      <c r="CA21" s="118">
        <f>IF(AND(BV21&lt;&gt;0,BV$5=$H21),-$I21*$E21-BV21,IF(CA$5=$H21,-$I21*$E21*(12-$J21+1)/12,0))</f>
        <v>0</v>
      </c>
      <c r="CB21" s="119">
        <f>IF($H21&lt;&gt;CF$5,0,IF(CF21&lt;0,IF($J21=1,-$E21*$I21/12*3,IF($J21=2,-$E21*$I21/12*2,IF($J21=3,-$E21*$I21/12*1,0)))))+IF(CA$5&lt;&gt;$H21,0,IF(CA21&lt;0,IF($J21=1,-$E21*$I21/12*0,IF($J21=2,-$E21*$I21/12*1,IF($J21=3,-$E21*$I21/12*2,IF($J21&gt;=4,-$E21*$I21/12*3,0))))))</f>
        <v>0</v>
      </c>
      <c r="CC21" s="120">
        <f>IF($H21&lt;&gt;CF$5,0,IF(CF21&lt;0,IF(OR($J21=1,$J21=2,$J21=3,$J21=4),-$E21*$I21/12*3,IF($J21=5,-$E21*$I21/12*2,IF($J21=6,-$E21*$I21/12*1,0)))))+IF(CA$5&lt;&gt;$H21,0,IF(CA21&lt;0,IF($J21=4,-$E21*$I21/12*0,IF($J21=5,-$E21*$I21/12*1,IF($J21=6,-$E21*$I21/12*2,IF($J21&gt;=7,-$E21*$I21/12*3,0))))))</f>
        <v>0</v>
      </c>
      <c r="CD21" s="120">
        <f>IF($H21&lt;&gt;CF$5,0,IF(CF21&lt;0,IF(OR($J21=1,$J21=2,$J21=3,$J21=4,$J21=5,$J21=6,$J21=7),-$E21*$I21/12*3,IF($J21=8,-$E21*$I21/12*2,IF($J21=9,-$E21*$I21/12*1,0)))))+IF(CA$5&lt;&gt;$H21,0,IF(CA21&lt;0,IF($J21=7,-$E21*$I21/12*0,IF($J21=8,-$E21*$I21/12*1,IF($J21=9,-$E21*$I21/12*2,IF($J21&gt;=10,-$E21*$I21/12*3,0))))))</f>
        <v>0</v>
      </c>
      <c r="CE21" s="121">
        <f>IF($H21&lt;&gt;CF$5,0,IF(CF21&lt;0,IF(OR($J21=1,$J21=2,$J21=3,$J21=4,$J21=5,$J21=6,$J21=7,$J21=8,$J21=9,$J21=10),-$E21*$I21/12*3,IF($J21=11,-$E21*$I21/12*2,IF($J21=12,-$E21*$I21/12*1,0)))))+IF(CA$5&lt;&gt;$H21,0,IF(CA21&lt;0,IF($J21=10,-$E21*$I21/12*0,IF($J21=11,-$E21*$I21/12*1,IF($J21=12,-$E21*$I21/12*2,0)))))</f>
        <v>0</v>
      </c>
      <c r="CF21" s="118">
        <f>IF(AND(CA21&lt;&gt;0,CA$5=$H21),-$I21*$E21-CA21,IF(CF$5=$H21,-$I21*$E21*(12-$J21+1)/12,0))</f>
        <v>0</v>
      </c>
      <c r="CG21" s="119">
        <f>IF($H21&lt;&gt;CK$5,0,IF(CK21&lt;0,IF($J21=1,-$E21*$I21/12*3,IF($J21=2,-$E21*$I21/12*2,IF($J21=3,-$E21*$I21/12*1,0)))))+IF(CF$5&lt;&gt;$H21,0,IF(CF21&lt;0,IF($J21=1,-$E21*$I21/12*0,IF($J21=2,-$E21*$I21/12*1,IF($J21=3,-$E21*$I21/12*2,IF($J21&gt;=4,-$E21*$I21/12*3,0))))))</f>
        <v>0</v>
      </c>
      <c r="CH21" s="120">
        <f>IF($H21&lt;&gt;CK$5,0,IF(CK21&lt;0,IF(OR($J21=1,$J21=2,$J21=3,$J21=4),-$E21*$I21/12*3,IF($J21=5,-$E21*$I21/12*2,IF($J21=6,-$E21*$I21/12*1,0)))))+IF(CF$5&lt;&gt;$H21,0,IF(CF21&lt;0,IF($J21=4,-$E21*$I21/12*0,IF($J21=5,-$E21*$I21/12*1,IF($J21=6,-$E21*$I21/12*2,IF($J21&gt;=7,-$E21*$I21/12*3,0))))))</f>
        <v>0</v>
      </c>
      <c r="CI21" s="120">
        <f>IF($H21&lt;&gt;CK$5,0,IF(CK21&lt;0,IF(OR($J21=1,$J21=2,$J21=3,$J21=4,$J21=5,$J21=6,$J21=7),-$E21*$I21/12*3,IF($J21=8,-$E21*$I21/12*2,IF($J21=9,-$E21*$I21/12*1,0)))))+IF(CF$5&lt;&gt;$H21,0,IF(CF21&lt;0,IF($J21=7,-$E21*$I21/12*0,IF($J21=8,-$E21*$I21/12*1,IF($J21=9,-$E21*$I21/12*2,IF($J21&gt;=10,-$E21*$I21/12*3,0))))))</f>
        <v>0</v>
      </c>
      <c r="CJ21" s="121">
        <f>IF($H21&lt;&gt;CK$5,0,IF(CK21&lt;0,IF(OR($J21=1,$J21=2,$J21=3,$J21=4,$J21=5,$J21=6,$J21=7,$J21=8,$J21=9,$J21=10),-$E21*$I21/12*3,IF($J21=11,-$E21*$I21/12*2,IF($J21=12,-$E21*$I21/12*1,0)))))+IF(CF$5&lt;&gt;$H21,0,IF(CF21&lt;0,IF($J21=10,-$E21*$I21/12*0,IF($J21=11,-$E21*$I21/12*1,IF($J21=12,-$E21*$I21/12*2,0)))))</f>
        <v>0</v>
      </c>
      <c r="CK21" s="118">
        <f>IF(AND(CF21&lt;&gt;0,CF$5=$H21),-$I21*$E21-CF21,IF(CK$5=$H21,-$I21*$E21*(12-$J21+1)/12,0))</f>
        <v>0</v>
      </c>
      <c r="CL21" s="119">
        <f>IF($H21&lt;&gt;CP$5,0,IF(CP21&lt;0,IF($J21=1,-$E21*$I21/12*3,IF($J21=2,-$E21*$I21/12*2,IF($J21=3,-$E21*$I21/12*1,0)))))+IF(CK$5&lt;&gt;$H21,0,IF(CK21&lt;0,IF($J21=1,-$E21*$I21/12*0,IF($J21=2,-$E21*$I21/12*1,IF($J21=3,-$E21*$I21/12*2,IF($J21&gt;=4,-$E21*$I21/12*3,0))))))</f>
        <v>0</v>
      </c>
      <c r="CM21" s="120">
        <f>IF($H21&lt;&gt;CP$5,0,IF(CP21&lt;0,IF(OR($J21=1,$J21=2,$J21=3,$J21=4),-$E21*$I21/12*3,IF($J21=5,-$E21*$I21/12*2,IF($J21=6,-$E21*$I21/12*1,0)))))+IF(CK$5&lt;&gt;$H21,0,IF(CK21&lt;0,IF($J21=4,-$E21*$I21/12*0,IF($J21=5,-$E21*$I21/12*1,IF($J21=6,-$E21*$I21/12*2,IF($J21&gt;=7,-$E21*$I21/12*3,0))))))</f>
        <v>0</v>
      </c>
      <c r="CN21" s="120">
        <f>IF($H21&lt;&gt;CP$5,0,IF(CP21&lt;0,IF(OR($J21=1,$J21=2,$J21=3,$J21=4,$J21=5,$J21=6,$J21=7),-$E21*$I21/12*3,IF($J21=8,-$E21*$I21/12*2,IF($J21=9,-$E21*$I21/12*1,0)))))+IF(CK$5&lt;&gt;$H21,0,IF(CK21&lt;0,IF($J21=7,-$E21*$I21/12*0,IF($J21=8,-$E21*$I21/12*1,IF($J21=9,-$E21*$I21/12*2,IF($J21&gt;=10,-$E21*$I21/12*3,0))))))</f>
        <v>0</v>
      </c>
      <c r="CO21" s="121">
        <f>IF($H21&lt;&gt;CP$5,0,IF(CP21&lt;0,IF(OR($J21=1,$J21=2,$J21=3,$J21=4,$J21=5,$J21=6,$J21=7,$J21=8,$J21=9,$J21=10),-$E21*$I21/12*3,IF($J21=11,-$E21*$I21/12*2,IF($J21=12,-$E21*$I21/12*1,0)))))+IF(CK$5&lt;&gt;$H21,0,IF(CK21&lt;0,IF($J21=10,-$E21*$I21/12*0,IF($J21=11,-$E21*$I21/12*1,IF($J21=12,-$E21*$I21/12*2,0)))))</f>
        <v>0</v>
      </c>
      <c r="CP21" s="118">
        <f>IF(AND(CK21&lt;&gt;0,CK$5=$H21),-$I21*$E21-CK21,IF(CP$5=$H21,-$I21*$E21*(12-$J21+1)/12,0))</f>
        <v>0</v>
      </c>
      <c r="CQ21" s="119">
        <f>IF($H21&lt;&gt;CU$5,0,IF(CU21&lt;0,IF($J21=1,-$E21*$I21/12*3,IF($J21=2,-$E21*$I21/12*2,IF($J21=3,-$E21*$I21/12*1,0)))))+IF(CP$5&lt;&gt;$H21,0,IF(CP21&lt;0,IF($J21=1,-$E21*$I21/12*0,IF($J21=2,-$E21*$I21/12*1,IF($J21=3,-$E21*$I21/12*2,IF($J21&gt;=4,-$E21*$I21/12*3,0))))))</f>
        <v>0</v>
      </c>
      <c r="CR21" s="120">
        <f>IF($H21&lt;&gt;CU$5,0,IF(CU21&lt;0,IF(OR($J21=1,$J21=2,$J21=3,$J21=4),-$E21*$I21/12*3,IF($J21=5,-$E21*$I21/12*2,IF($J21=6,-$E21*$I21/12*1,0)))))+IF(CP$5&lt;&gt;$H21,0,IF(CP21&lt;0,IF($J21=4,-$E21*$I21/12*0,IF($J21=5,-$E21*$I21/12*1,IF($J21=6,-$E21*$I21/12*2,IF($J21&gt;=7,-$E21*$I21/12*3,0))))))</f>
        <v>0</v>
      </c>
      <c r="CS21" s="120">
        <f>IF($H21&lt;&gt;CU$5,0,IF(CU21&lt;0,IF(OR($J21=1,$J21=2,$J21=3,$J21=4,$J21=5,$J21=6,$J21=7),-$E21*$I21/12*3,IF($J21=8,-$E21*$I21/12*2,IF($J21=9,-$E21*$I21/12*1,0)))))+IF(CP$5&lt;&gt;$H21,0,IF(CP21&lt;0,IF($J21=7,-$E21*$I21/12*0,IF($J21=8,-$E21*$I21/12*1,IF($J21=9,-$E21*$I21/12*2,IF($J21&gt;=10,-$E21*$I21/12*3,0))))))</f>
        <v>0</v>
      </c>
      <c r="CT21" s="121">
        <f>IF($H21&lt;&gt;CU$5,0,IF(CU21&lt;0,IF(OR($J21=1,$J21=2,$J21=3,$J21=4,$J21=5,$J21=6,$J21=7,$J21=8,$J21=9,$J21=10),-$E21*$I21/12*3,IF($J21=11,-$E21*$I21/12*2,IF($J21=12,-$E21*$I21/12*1,0)))))+IF(CP$5&lt;&gt;$H21,0,IF(CP21&lt;0,IF($J21=10,-$E21*$I21/12*0,IF($J21=11,-$E21*$I21/12*1,IF($J21=12,-$E21*$I21/12*2,0)))))</f>
        <v>0</v>
      </c>
      <c r="CU21" s="118">
        <f>IF(AND(CP21&lt;&gt;0,CP$5=$H21),-$I21*$E21-CP21,IF(CU$5=$H21,-$I21*$E21*(12-$J21+1)/12,0))</f>
        <v>0</v>
      </c>
      <c r="CV21" s="119">
        <f>IF($H21&lt;&gt;CZ$5,0,IF(CZ21&lt;0,IF($J21=1,-$E21*$I21/12*3,IF($J21=2,-$E21*$I21/12*2,IF($J21=3,-$E21*$I21/12*1,0)))))+IF(CU$5&lt;&gt;$H21,0,IF(CU21&lt;0,IF($J21=1,-$E21*$I21/12*0,IF($J21=2,-$E21*$I21/12*1,IF($J21=3,-$E21*$I21/12*2,IF($J21&gt;=4,-$E21*$I21/12*3,0))))))</f>
        <v>0</v>
      </c>
      <c r="CW21" s="120">
        <f>IF($H21&lt;&gt;CZ$5,0,IF(CZ21&lt;0,IF(OR($J21=1,$J21=2,$J21=3,$J21=4),-$E21*$I21/12*3,IF($J21=5,-$E21*$I21/12*2,IF($J21=6,-$E21*$I21/12*1,0)))))+IF(CU$5&lt;&gt;$H21,0,IF(CU21&lt;0,IF($J21=4,-$E21*$I21/12*0,IF($J21=5,-$E21*$I21/12*1,IF($J21=6,-$E21*$I21/12*2,IF($J21&gt;=7,-$E21*$I21/12*3,0))))))</f>
        <v>0</v>
      </c>
      <c r="CX21" s="120">
        <f>IF($H21&lt;&gt;CZ$5,0,IF(CZ21&lt;0,IF(OR($J21=1,$J21=2,$J21=3,$J21=4,$J21=5,$J21=6,$J21=7),-$E21*$I21/12*3,IF($J21=8,-$E21*$I21/12*2,IF($J21=9,-$E21*$I21/12*1,0)))))+IF(CU$5&lt;&gt;$H21,0,IF(CU21&lt;0,IF($J21=7,-$E21*$I21/12*0,IF($J21=8,-$E21*$I21/12*1,IF($J21=9,-$E21*$I21/12*2,IF($J21&gt;=10,-$E21*$I21/12*3,0))))))</f>
        <v>0</v>
      </c>
      <c r="CY21" s="121">
        <f>IF($H21&lt;&gt;CZ$5,0,IF(CZ21&lt;0,IF(OR($J21=1,$J21=2,$J21=3,$J21=4,$J21=5,$J21=6,$J21=7,$J21=8,$J21=9,$J21=10),-$E21*$I21/12*3,IF($J21=11,-$E21*$I21/12*2,IF($J21=12,-$E21*$I21/12*1,0)))))+IF(CU$5&lt;&gt;$H21,0,IF(CU21&lt;0,IF($J21=10,-$E21*$I21/12*0,IF($J21=11,-$E21*$I21/12*1,IF($J21=12,-$E21*$I21/12*2,0)))))</f>
        <v>0</v>
      </c>
      <c r="CZ21" s="118">
        <f>IF(AND(CU21&lt;&gt;0,CU$5=$H21),-$I21*$E21-CU21,IF(CZ$5=$H21,-$I21*$E21*(12-$J21+1)/12,0))</f>
        <v>0</v>
      </c>
    </row>
    <row r="22" spans="1:104" s="305" customFormat="1" ht="12.75" customHeight="1">
      <c r="A22" s="71"/>
      <c r="B22" s="71"/>
      <c r="C22" s="880" t="s">
        <v>1081</v>
      </c>
      <c r="D22" s="190"/>
      <c r="E22" s="191">
        <f>IF(F22=0,G22,F22)</f>
        <v>700</v>
      </c>
      <c r="F22" s="1346">
        <v>700</v>
      </c>
      <c r="G22" s="1346">
        <v>0</v>
      </c>
      <c r="H22" s="442">
        <v>2019</v>
      </c>
      <c r="I22" s="220">
        <v>0.02</v>
      </c>
      <c r="J22" s="442">
        <v>6</v>
      </c>
      <c r="K22" s="112"/>
      <c r="L22" s="113">
        <f>IF(L$5=$H22,-$E22,0)</f>
        <v>0</v>
      </c>
      <c r="M22" s="114">
        <f>IF(Q22=0,0,IF(Q22&lt;0,IF($J22=3,Q22,IF($J22=2,Q22,IF($J22=1,Q22,0)))))</f>
        <v>0</v>
      </c>
      <c r="N22" s="115">
        <f>IF(Q22=0,0,IF(Q22&lt;0,IF($J22=6,Q22,IF($J22=5,Q22,IF($J22=4,Q22,0)))))</f>
        <v>0</v>
      </c>
      <c r="O22" s="115">
        <f>IF(Q22=0,0,IF(Q22&lt;0,IF($J22=9,Q22,IF($J22=8,Q22,IF($J22=7,Q22,0)))))</f>
        <v>0</v>
      </c>
      <c r="P22" s="116">
        <f>IF(Q22=0,0,IF(Q22&lt;0,IF($J22=12,Q22,IF($J22=11,Q22,IF($J22=10,Q22,0)))))</f>
        <v>0</v>
      </c>
      <c r="Q22" s="113">
        <f>IF(Q$5=$H22,-$E22,0)</f>
        <v>0</v>
      </c>
      <c r="R22" s="114">
        <f>IF(V22=0,0,IF(V22&lt;0,IF($J22=3,V22,IF($J22=2,V22,IF($J22=1,V22,0)))))</f>
        <v>0</v>
      </c>
      <c r="S22" s="115">
        <f>IF(V22=0,0,IF(V22&lt;0,IF($J22=6,V22,IF($J22=5,V22,IF($J22=4,V22,0)))))</f>
        <v>0</v>
      </c>
      <c r="T22" s="115">
        <f>IF(V22=0,0,IF(V22&lt;0,IF($J22=9,V22,IF($J22=8,V22,IF($J22=7,V22,0)))))</f>
        <v>0</v>
      </c>
      <c r="U22" s="116">
        <f>IF(V22=0,0,IF(V22&lt;0,IF($J22=12,V22,IF($J22=11,V22,IF($J22=10,V22,0)))))</f>
        <v>0</v>
      </c>
      <c r="V22" s="113">
        <f>IF(V$5=$H22,-$E22,0)</f>
        <v>0</v>
      </c>
      <c r="W22" s="114">
        <f>IF(AA22=0,0,IF(AA22&lt;0,IF($J22=3,AA22,IF($J22=2,AA22,IF($J22=1,AA22,0)))))</f>
        <v>0</v>
      </c>
      <c r="X22" s="115">
        <f>IF(AA22=0,0,IF(AA22&lt;0,IF($J22=6,AA22,IF($J22=5,AA22,IF($J22=4,AA22,0)))))</f>
        <v>0</v>
      </c>
      <c r="Y22" s="115">
        <f>IF(AA22=0,0,IF(AA22&lt;0,IF($J22=9,AA22,IF($J22=8,AA22,IF($J22=7,AA22,0)))))</f>
        <v>0</v>
      </c>
      <c r="Z22" s="116">
        <f>IF(AA22=0,0,IF(AA22&lt;0,IF($J22=12,AA22,IF($J22=11,AA22,IF($J22=10,AA22,0)))))</f>
        <v>0</v>
      </c>
      <c r="AA22" s="113">
        <f>IF(AA$5=$H22,-$E22,0)</f>
        <v>0</v>
      </c>
      <c r="AB22" s="114">
        <f>IF(AF22=0,0,IF(AF22&lt;0,IF($J22=3,AF22,IF($J22=2,AF22,IF($J22=1,AF22,0)))))</f>
        <v>0</v>
      </c>
      <c r="AC22" s="115">
        <f>IF(AF22=0,0,IF(AF22&lt;0,IF($J22=6,AF22,IF($J22=5,AF22,IF($J22=4,AF22,0)))))</f>
        <v>0</v>
      </c>
      <c r="AD22" s="115">
        <f>IF(AF22=0,0,IF(AF22&lt;0,IF($J22=9,AF22,IF($J22=8,AF22,IF($J22=7,AF22,0)))))</f>
        <v>0</v>
      </c>
      <c r="AE22" s="116">
        <f>IF(AF22=0,0,IF(AF22&lt;0,IF($J22=12,AF22,IF($J22=11,AF22,IF($J22=10,AF22,0)))))</f>
        <v>0</v>
      </c>
      <c r="AF22" s="113">
        <f>IF(AF$5=$H22,-$E22,0)</f>
        <v>0</v>
      </c>
      <c r="AG22" s="114">
        <f>IF(AK22=0,0,IF(AK22&lt;0,IF($J22=3,AK22,IF($J22=2,AK22,IF($J22=1,AK22,0)))))</f>
        <v>0</v>
      </c>
      <c r="AH22" s="115">
        <f>IF(AK22=0,0,IF(AK22&lt;0,IF($J22=6,AK22,IF($J22=5,AK22,IF($J22=4,AK22,0)))))</f>
        <v>0</v>
      </c>
      <c r="AI22" s="115">
        <f>IF(AK22=0,0,IF(AK22&lt;0,IF($J22=9,AK22,IF($J22=8,AK22,IF($J22=7,AK22,0)))))</f>
        <v>0</v>
      </c>
      <c r="AJ22" s="116">
        <f>IF(AK22=0,0,IF(AK22&lt;0,IF($J22=12,AK22,IF($J22=11,AK22,IF($J22=10,AK22,0)))))</f>
        <v>0</v>
      </c>
      <c r="AK22" s="113">
        <f>IF(AK$5=$H22,-$E22,0)</f>
        <v>0</v>
      </c>
      <c r="AL22" s="114">
        <f>IF(AP22=0,0,IF(AP22&lt;0,IF($J22=3,AP22,IF($J22=2,AP22,IF($J22=1,AP22,0)))))</f>
        <v>0</v>
      </c>
      <c r="AM22" s="115">
        <f>IF(AP22=0,0,IF(AP22&lt;0,IF($J22=6,AP22,IF($J22=5,AP22,IF($J22=4,AP22,0)))))</f>
        <v>0</v>
      </c>
      <c r="AN22" s="115">
        <f>IF(AP22=0,0,IF(AP22&lt;0,IF($J22=9,AP22,IF($J22=8,AP22,IF($J22=7,AP22,0)))))</f>
        <v>0</v>
      </c>
      <c r="AO22" s="116">
        <f>IF(AP22=0,0,IF(AP22&lt;0,IF($J22=12,AP22,IF($J22=11,AP22,IF($J22=10,AP22,0)))))</f>
        <v>0</v>
      </c>
      <c r="AP22" s="113">
        <f>IF(AP$5=$H22,-$E22,0)</f>
        <v>0</v>
      </c>
      <c r="AQ22" s="114">
        <f>IF(AU22=0,0,IF(AU22&lt;0,IF($J22=3,AU22,IF($J22=2,AU22,IF($J22=1,AU22,0)))))</f>
        <v>0</v>
      </c>
      <c r="AR22" s="115">
        <f>IF(AU22=0,0,IF(AU22&lt;0,IF($J22=6,AU22,IF($J22=5,AU22,IF($J22=4,AU22,0)))))</f>
        <v>-700</v>
      </c>
      <c r="AS22" s="115">
        <f>IF(AU22=0,0,IF(AU22&lt;0,IF($J22=9,AU22,IF($J22=8,AU22,IF($J22=7,AU22,0)))))</f>
        <v>0</v>
      </c>
      <c r="AT22" s="116">
        <f>IF(AU22=0,0,IF(AU22&lt;0,IF($J22=12,AU22,IF($J22=11,AU22,IF($J22=10,AU22,0)))))</f>
        <v>0</v>
      </c>
      <c r="AU22" s="113">
        <f>IF(AU$5=$H22,-$E22,0)</f>
        <v>-700</v>
      </c>
      <c r="AV22" s="114">
        <f>IF(AZ22=0,0,IF(AZ22&lt;0,IF($J22=3,AZ22,IF($J22=2,AZ22,IF($J22=1,AZ22,0)))))</f>
        <v>0</v>
      </c>
      <c r="AW22" s="115">
        <f>IF(AZ22=0,0,IF(AZ22&lt;0,IF($J22=6,AZ22,IF($J22=5,AZ22,IF($J22=4,AZ22,0)))))</f>
        <v>0</v>
      </c>
      <c r="AX22" s="115">
        <f>IF(AZ22=0,0,IF(AZ22&lt;0,IF($J22=9,AZ22,IF($J22=8,AZ22,IF($J22=7,AZ22,0)))))</f>
        <v>0</v>
      </c>
      <c r="AY22" s="116">
        <f>IF(AZ22=0,0,IF(AZ22&lt;0,IF($J22=12,AZ22,IF($J22=11,AZ22,IF($J22=10,AZ22,0)))))</f>
        <v>0</v>
      </c>
      <c r="AZ22" s="113">
        <f>IF(AZ$5=$H22,-$E22,0)</f>
        <v>0</v>
      </c>
      <c r="BA22" s="114">
        <f>IF(BE22=0,0,IF(BE22&lt;0,IF($J22=3,BE22,IF($J22=2,BE22,IF($J22=1,BE22,0)))))</f>
        <v>0</v>
      </c>
      <c r="BB22" s="115">
        <f>IF(BE22=0,0,IF(BE22&lt;0,IF($J22=6,BE22,IF($J22=5,BE22,IF($J22=4,BE22,0)))))</f>
        <v>0</v>
      </c>
      <c r="BC22" s="115">
        <f>IF(BE22=0,0,IF(BE22&lt;0,IF($J22=9,BE22,IF($J22=8,BE22,IF($J22=7,BE22,0)))))</f>
        <v>0</v>
      </c>
      <c r="BD22" s="116">
        <f>IF(BE22=0,0,IF(BE22&lt;0,IF($J22=12,BE22,IF($J22=11,BE22,IF($J22=10,BE22,0)))))</f>
        <v>0</v>
      </c>
      <c r="BE22" s="113">
        <f>IF(BE$5=$H22,-$E22,0)</f>
        <v>0</v>
      </c>
      <c r="BF22" s="194"/>
      <c r="BG22" s="118">
        <f>IF(AND(BF22&lt;&gt;0,BF$5=$H22),-$I22*$E22-BF22,IF(BG$5=$H22,-$I22*$E22*(12-$J22+1)/12,0))</f>
        <v>0</v>
      </c>
      <c r="BH22" s="119">
        <f>IF($H22&lt;&gt;BL$5,0,IF(BL22&lt;0,IF($J22=1,-$E22*$I22/12*3,IF($J22=2,-$E22*$I22/12*2,IF($J22=3,-$E22*$I22/12*1,0)))))+IF(BG$5&lt;&gt;$H22,0,IF(BG22&lt;0,IF($J22=1,-$E22*$I22/12*0,IF($J22=2,-$E22*$I22/12*1,IF($J22=3,-$E22*$I22/12*2,IF($J22&gt;=4,-$E22*$I22/12*3,0))))))</f>
        <v>0</v>
      </c>
      <c r="BI22" s="120">
        <f>IF($H22&lt;&gt;BL$5,0,IF(BL22&lt;0,IF(OR($J22=1,$J22=2,$J22=3,$J22=4),-$E22*$I22/12*3,IF($J22=5,-$E22*$I22/12*2,IF($J22=6,-$E22*$I22/12*1,0)))))+IF(BG$5&lt;&gt;$H22,0,IF(BG22&lt;0,IF($J22=4,-$E22*$I22/12*0,IF($J22=5,-$E22*$I22/12*1,IF($J22=6,-$E22*$I22/12*2,IF($J22&gt;=7,-$E22*$I22/12*3,0))))))</f>
        <v>0</v>
      </c>
      <c r="BJ22" s="120">
        <f>IF($H22&lt;&gt;BL$5,0,IF(BL22&lt;0,IF(OR($J22=1,$J22=2,$J22=3,$J22=4,$J22=5,$J22=6,$J22=7),-$E22*$I22/12*3,IF($J22=8,-$E22*$I22/12*2,IF($J22=9,-$E22*$I22/12*1,0)))))+IF(BG$5&lt;&gt;$H22,0,IF(BG22&lt;0,IF($J22=7,-$E22*$I22/12*0,IF($J22=8,-$E22*$I22/12*1,IF($J22=9,-$E22*$I22/12*2,IF($J22&gt;=10,-$E22*$I22/12*3,0))))))</f>
        <v>0</v>
      </c>
      <c r="BK22" s="121">
        <f>IF($H22&lt;&gt;BL$5,0,IF(BL22&lt;0,IF(OR($J22=1,$J22=2,$J22=3,$J22=4,$J22=5,$J22=6,$J22=7,$J22=8,$J22=9,$J22=10),-$E22*$I22/12*3,IF($J22=11,-$E22*$I22/12*2,IF($J22=12,-$E22*$I22/12*1,0)))))+IF(BG$5&lt;&gt;$H22,0,IF(BG22&lt;0,IF($J22=10,-$E22*$I22/12*0,IF($J22=11,-$E22*$I22/12*1,IF($J22=12,-$E22*$I22/12*2,0)))))</f>
        <v>0</v>
      </c>
      <c r="BL22" s="118">
        <f>IF(AND(BG22&lt;&gt;0,BG$5=$H22),-$I22*$E22-BG22,IF(BL$5=$H22,-$I22*$E22*(12-$J22+1)/12,0))</f>
        <v>0</v>
      </c>
      <c r="BM22" s="119">
        <f>IF($H22&lt;&gt;BQ$5,0,IF(BQ22&lt;0,IF($J22=1,-$E22*$I22/12*3,IF($J22=2,-$E22*$I22/12*2,IF($J22=3,-$E22*$I22/12*1,0)))))+IF(BL$5&lt;&gt;$H22,0,IF(BL22&lt;0,IF($J22=1,-$E22*$I22/12*0,IF($J22=2,-$E22*$I22/12*1,IF($J22=3,-$E22*$I22/12*2,IF($J22&gt;=4,-$E22*$I22/12*3,0))))))</f>
        <v>0</v>
      </c>
      <c r="BN22" s="120">
        <f>IF($H22&lt;&gt;BQ$5,0,IF(BQ22&lt;0,IF(OR($J22=1,$J22=2,$J22=3,$J22=4),-$E22*$I22/12*3,IF($J22=5,-$E22*$I22/12*2,IF($J22=6,-$E22*$I22/12*1,0)))))+IF(BL$5&lt;&gt;$H22,0,IF(BL22&lt;0,IF($J22=4,-$E22*$I22/12*0,IF($J22=5,-$E22*$I22/12*1,IF($J22=6,-$E22*$I22/12*2,IF($J22&gt;=7,-$E22*$I22/12*3,0))))))</f>
        <v>0</v>
      </c>
      <c r="BO22" s="120">
        <f>IF($H22&lt;&gt;BQ$5,0,IF(BQ22&lt;0,IF(OR($J22=1,$J22=2,$J22=3,$J22=4,$J22=5,$J22=6,$J22=7),-$E22*$I22/12*3,IF($J22=8,-$E22*$I22/12*2,IF($J22=9,-$E22*$I22/12*1,0)))))+IF(BL$5&lt;&gt;$H22,0,IF(BL22&lt;0,IF($J22=7,-$E22*$I22/12*0,IF($J22=8,-$E22*$I22/12*1,IF($J22=9,-$E22*$I22/12*2,IF($J22&gt;=10,-$E22*$I22/12*3,0))))))</f>
        <v>0</v>
      </c>
      <c r="BP22" s="121">
        <f>IF($H22&lt;&gt;BQ$5,0,IF(BQ22&lt;0,IF(OR($J22=1,$J22=2,$J22=3,$J22=4,$J22=5,$J22=6,$J22=7,$J22=8,$J22=9,$J22=10),-$E22*$I22/12*3,IF($J22=11,-$E22*$I22/12*2,IF($J22=12,-$E22*$I22/12*1,0)))))+IF(BL$5&lt;&gt;$H22,0,IF(BL22&lt;0,IF($J22=10,-$E22*$I22/12*0,IF($J22=11,-$E22*$I22/12*1,IF($J22=12,-$E22*$I22/12*2,0)))))</f>
        <v>0</v>
      </c>
      <c r="BQ22" s="118">
        <f>IF(AND(BL22&lt;&gt;0,BL$5=$H22),-$I22*$E22-BL22,IF(BQ$5=$H22,-$I22*$E22*(12-$J22+1)/12,0))</f>
        <v>0</v>
      </c>
      <c r="BR22" s="119">
        <f>IF($H22&lt;&gt;BV$5,0,IF(BV22&lt;0,IF($J22=1,-$E22*$I22/12*3,IF($J22=2,-$E22*$I22/12*2,IF($J22=3,-$E22*$I22/12*1,0)))))+IF(BQ$5&lt;&gt;$H22,0,IF(BQ22&lt;0,IF($J22=1,-$E22*$I22/12*0,IF($J22=2,-$E22*$I22/12*1,IF($J22=3,-$E22*$I22/12*2,IF($J22&gt;=4,-$E22*$I22/12*3,0))))))</f>
        <v>0</v>
      </c>
      <c r="BS22" s="120">
        <f>IF($H22&lt;&gt;BV$5,0,IF(BV22&lt;0,IF(OR($J22=1,$J22=2,$J22=3,$J22=4),-$E22*$I22/12*3,IF($J22=5,-$E22*$I22/12*2,IF($J22=6,-$E22*$I22/12*1,0)))))+IF(BQ$5&lt;&gt;$H22,0,IF(BQ22&lt;0,IF($J22=4,-$E22*$I22/12*0,IF($J22=5,-$E22*$I22/12*1,IF($J22=6,-$E22*$I22/12*2,IF($J22&gt;=7,-$E22*$I22/12*3,0))))))</f>
        <v>0</v>
      </c>
      <c r="BT22" s="120">
        <f>IF($H22&lt;&gt;BV$5,0,IF(BV22&lt;0,IF(OR($J22=1,$J22=2,$J22=3,$J22=4,$J22=5,$J22=6,$J22=7),-$E22*$I22/12*3,IF($J22=8,-$E22*$I22/12*2,IF($J22=9,-$E22*$I22/12*1,0)))))+IF(BQ$5&lt;&gt;$H22,0,IF(BQ22&lt;0,IF($J22=7,-$E22*$I22/12*0,IF($J22=8,-$E22*$I22/12*1,IF($J22=9,-$E22*$I22/12*2,IF($J22&gt;=10,-$E22*$I22/12*3,0))))))</f>
        <v>0</v>
      </c>
      <c r="BU22" s="121">
        <f>IF($H22&lt;&gt;BV$5,0,IF(BV22&lt;0,IF(OR($J22=1,$J22=2,$J22=3,$J22=4,$J22=5,$J22=6,$J22=7,$J22=8,$J22=9,$J22=10),-$E22*$I22/12*3,IF($J22=11,-$E22*$I22/12*2,IF($J22=12,-$E22*$I22/12*1,0)))))+IF(BQ$5&lt;&gt;$H22,0,IF(BQ22&lt;0,IF($J22=10,-$E22*$I22/12*0,IF($J22=11,-$E22*$I22/12*1,IF($J22=12,-$E22*$I22/12*2,0)))))</f>
        <v>0</v>
      </c>
      <c r="BV22" s="118">
        <f>IF(AND(BQ22&lt;&gt;0,BQ$5=$H22),-$I22*$E22-BQ22,IF(BV$5=$H22,-$I22*$E22*(12-$J22+1)/12,0))</f>
        <v>0</v>
      </c>
      <c r="BW22" s="119">
        <f>IF($H22&lt;&gt;CA$5,0,IF(CA22&lt;0,IF($J22=1,-$E22*$I22/12*3,IF($J22=2,-$E22*$I22/12*2,IF($J22=3,-$E22*$I22/12*1,0)))))+IF(BV$5&lt;&gt;$H22,0,IF(BV22&lt;0,IF($J22=1,-$E22*$I22/12*0,IF($J22=2,-$E22*$I22/12*1,IF($J22=3,-$E22*$I22/12*2,IF($J22&gt;=4,-$E22*$I22/12*3,0))))))</f>
        <v>0</v>
      </c>
      <c r="BX22" s="120">
        <f>IF($H22&lt;&gt;CA$5,0,IF(CA22&lt;0,IF(OR($J22=1,$J22=2,$J22=3,$J22=4),-$E22*$I22/12*3,IF($J22=5,-$E22*$I22/12*2,IF($J22=6,-$E22*$I22/12*1,0)))))+IF(BV$5&lt;&gt;$H22,0,IF(BV22&lt;0,IF($J22=4,-$E22*$I22/12*0,IF($J22=5,-$E22*$I22/12*1,IF($J22=6,-$E22*$I22/12*2,IF($J22&gt;=7,-$E22*$I22/12*3,0))))))</f>
        <v>0</v>
      </c>
      <c r="BY22" s="120">
        <f>IF($H22&lt;&gt;CA$5,0,IF(CA22&lt;0,IF(OR($J22=1,$J22=2,$J22=3,$J22=4,$J22=5,$J22=6,$J22=7),-$E22*$I22/12*3,IF($J22=8,-$E22*$I22/12*2,IF($J22=9,-$E22*$I22/12*1,0)))))+IF(BV$5&lt;&gt;$H22,0,IF(BV22&lt;0,IF($J22=7,-$E22*$I22/12*0,IF($J22=8,-$E22*$I22/12*1,IF($J22=9,-$E22*$I22/12*2,IF($J22&gt;=10,-$E22*$I22/12*3,0))))))</f>
        <v>0</v>
      </c>
      <c r="BZ22" s="121">
        <f>IF($H22&lt;&gt;CA$5,0,IF(CA22&lt;0,IF(OR($J22=1,$J22=2,$J22=3,$J22=4,$J22=5,$J22=6,$J22=7,$J22=8,$J22=9,$J22=10),-$E22*$I22/12*3,IF($J22=11,-$E22*$I22/12*2,IF($J22=12,-$E22*$I22/12*1,0)))))+IF(BV$5&lt;&gt;$H22,0,IF(BV22&lt;0,IF($J22=10,-$E22*$I22/12*0,IF($J22=11,-$E22*$I22/12*1,IF($J22=12,-$E22*$I22/12*2,0)))))</f>
        <v>0</v>
      </c>
      <c r="CA22" s="118">
        <f>IF(AND(BV22&lt;&gt;0,BV$5=$H22),-$I22*$E22-BV22,IF(CA$5=$H22,-$I22*$E22*(12-$J22+1)/12,0))</f>
        <v>0</v>
      </c>
      <c r="CB22" s="119">
        <f>IF($H22&lt;&gt;CF$5,0,IF(CF22&lt;0,IF($J22=1,-$E22*$I22/12*3,IF($J22=2,-$E22*$I22/12*2,IF($J22=3,-$E22*$I22/12*1,0)))))+IF(CA$5&lt;&gt;$H22,0,IF(CA22&lt;0,IF($J22=1,-$E22*$I22/12*0,IF($J22=2,-$E22*$I22/12*1,IF($J22=3,-$E22*$I22/12*2,IF($J22&gt;=4,-$E22*$I22/12*3,0))))))</f>
        <v>0</v>
      </c>
      <c r="CC22" s="120">
        <f>IF($H22&lt;&gt;CF$5,0,IF(CF22&lt;0,IF(OR($J22=1,$J22=2,$J22=3,$J22=4),-$E22*$I22/12*3,IF($J22=5,-$E22*$I22/12*2,IF($J22=6,-$E22*$I22/12*1,0)))))+IF(CA$5&lt;&gt;$H22,0,IF(CA22&lt;0,IF($J22=4,-$E22*$I22/12*0,IF($J22=5,-$E22*$I22/12*1,IF($J22=6,-$E22*$I22/12*2,IF($J22&gt;=7,-$E22*$I22/12*3,0))))))</f>
        <v>0</v>
      </c>
      <c r="CD22" s="120">
        <f>IF($H22&lt;&gt;CF$5,0,IF(CF22&lt;0,IF(OR($J22=1,$J22=2,$J22=3,$J22=4,$J22=5,$J22=6,$J22=7),-$E22*$I22/12*3,IF($J22=8,-$E22*$I22/12*2,IF($J22=9,-$E22*$I22/12*1,0)))))+IF(CA$5&lt;&gt;$H22,0,IF(CA22&lt;0,IF($J22=7,-$E22*$I22/12*0,IF($J22=8,-$E22*$I22/12*1,IF($J22=9,-$E22*$I22/12*2,IF($J22&gt;=10,-$E22*$I22/12*3,0))))))</f>
        <v>0</v>
      </c>
      <c r="CE22" s="121">
        <f>IF($H22&lt;&gt;CF$5,0,IF(CF22&lt;0,IF(OR($J22=1,$J22=2,$J22=3,$J22=4,$J22=5,$J22=6,$J22=7,$J22=8,$J22=9,$J22=10),-$E22*$I22/12*3,IF($J22=11,-$E22*$I22/12*2,IF($J22=12,-$E22*$I22/12*1,0)))))+IF(CA$5&lt;&gt;$H22,0,IF(CA22&lt;0,IF($J22=10,-$E22*$I22/12*0,IF($J22=11,-$E22*$I22/12*1,IF($J22=12,-$E22*$I22/12*2,0)))))</f>
        <v>0</v>
      </c>
      <c r="CF22" s="118">
        <f>IF(AND(CA22&lt;&gt;0,CA$5=$H22),-$I22*$E22-CA22,IF(CF$5=$H22,-$I22*$E22*(12-$J22+1)/12,0))</f>
        <v>0</v>
      </c>
      <c r="CG22" s="119">
        <f>IF($H22&lt;&gt;CK$5,0,IF(CK22&lt;0,IF($J22=1,-$E22*$I22/12*3,IF($J22=2,-$E22*$I22/12*2,IF($J22=3,-$E22*$I22/12*1,0)))))+IF(CF$5&lt;&gt;$H22,0,IF(CF22&lt;0,IF($J22=1,-$E22*$I22/12*0,IF($J22=2,-$E22*$I22/12*1,IF($J22=3,-$E22*$I22/12*2,IF($J22&gt;=4,-$E22*$I22/12*3,0))))))</f>
        <v>0</v>
      </c>
      <c r="CH22" s="120">
        <f>IF($H22&lt;&gt;CK$5,0,IF(CK22&lt;0,IF(OR($J22=1,$J22=2,$J22=3,$J22=4),-$E22*$I22/12*3,IF($J22=5,-$E22*$I22/12*2,IF($J22=6,-$E22*$I22/12*1,0)))))+IF(CF$5&lt;&gt;$H22,0,IF(CF22&lt;0,IF($J22=4,-$E22*$I22/12*0,IF($J22=5,-$E22*$I22/12*1,IF($J22=6,-$E22*$I22/12*2,IF($J22&gt;=7,-$E22*$I22/12*3,0))))))</f>
        <v>0</v>
      </c>
      <c r="CI22" s="120">
        <f>IF($H22&lt;&gt;CK$5,0,IF(CK22&lt;0,IF(OR($J22=1,$J22=2,$J22=3,$J22=4,$J22=5,$J22=6,$J22=7),-$E22*$I22/12*3,IF($J22=8,-$E22*$I22/12*2,IF($J22=9,-$E22*$I22/12*1,0)))))+IF(CF$5&lt;&gt;$H22,0,IF(CF22&lt;0,IF($J22=7,-$E22*$I22/12*0,IF($J22=8,-$E22*$I22/12*1,IF($J22=9,-$E22*$I22/12*2,IF($J22&gt;=10,-$E22*$I22/12*3,0))))))</f>
        <v>0</v>
      </c>
      <c r="CJ22" s="121">
        <f>IF($H22&lt;&gt;CK$5,0,IF(CK22&lt;0,IF(OR($J22=1,$J22=2,$J22=3,$J22=4,$J22=5,$J22=6,$J22=7,$J22=8,$J22=9,$J22=10),-$E22*$I22/12*3,IF($J22=11,-$E22*$I22/12*2,IF($J22=12,-$E22*$I22/12*1,0)))))+IF(CF$5&lt;&gt;$H22,0,IF(CF22&lt;0,IF($J22=10,-$E22*$I22/12*0,IF($J22=11,-$E22*$I22/12*1,IF($J22=12,-$E22*$I22/12*2,0)))))</f>
        <v>0</v>
      </c>
      <c r="CK22" s="118">
        <f>IF(AND(CF22&lt;&gt;0,CF$5=$H22),-$I22*$E22-CF22,IF(CK$5=$H22,-$I22*$E22*(12-$J22+1)/12,0))</f>
        <v>0</v>
      </c>
      <c r="CL22" s="119">
        <f>IF($H22&lt;&gt;CP$5,0,IF(CP22&lt;0,IF($J22=1,-$E22*$I22/12*3,IF($J22=2,-$E22*$I22/12*2,IF($J22=3,-$E22*$I22/12*1,0)))))+IF(CK$5&lt;&gt;$H22,0,IF(CK22&lt;0,IF($J22=1,-$E22*$I22/12*0,IF($J22=2,-$E22*$I22/12*1,IF($J22=3,-$E22*$I22/12*2,IF($J22&gt;=4,-$E22*$I22/12*3,0))))))</f>
        <v>0</v>
      </c>
      <c r="CM22" s="120">
        <f>IF($H22&lt;&gt;CP$5,0,IF(CP22&lt;0,IF(OR($J22=1,$J22=2,$J22=3,$J22=4),-$E22*$I22/12*3,IF($J22=5,-$E22*$I22/12*2,IF($J22=6,-$E22*$I22/12*1,0)))))+IF(CK$5&lt;&gt;$H22,0,IF(CK22&lt;0,IF($J22=4,-$E22*$I22/12*0,IF($J22=5,-$E22*$I22/12*1,IF($J22=6,-$E22*$I22/12*2,IF($J22&gt;=7,-$E22*$I22/12*3,0))))))</f>
        <v>-1.1666666666666667</v>
      </c>
      <c r="CN22" s="120">
        <f>IF($H22&lt;&gt;CP$5,0,IF(CP22&lt;0,IF(OR($J22=1,$J22=2,$J22=3,$J22=4,$J22=5,$J22=6,$J22=7),-$E22*$I22/12*3,IF($J22=8,-$E22*$I22/12*2,IF($J22=9,-$E22*$I22/12*1,0)))))+IF(CK$5&lt;&gt;$H22,0,IF(CK22&lt;0,IF($J22=7,-$E22*$I22/12*0,IF($J22=8,-$E22*$I22/12*1,IF($J22=9,-$E22*$I22/12*2,IF($J22&gt;=10,-$E22*$I22/12*3,0))))))</f>
        <v>-3.5</v>
      </c>
      <c r="CO22" s="121">
        <f>IF($H22&lt;&gt;CP$5,0,IF(CP22&lt;0,IF(OR($J22=1,$J22=2,$J22=3,$J22=4,$J22=5,$J22=6,$J22=7,$J22=8,$J22=9,$J22=10),-$E22*$I22/12*3,IF($J22=11,-$E22*$I22/12*2,IF($J22=12,-$E22*$I22/12*1,0)))))+IF(CK$5&lt;&gt;$H22,0,IF(CK22&lt;0,IF($J22=10,-$E22*$I22/12*0,IF($J22=11,-$E22*$I22/12*1,IF($J22=12,-$E22*$I22/12*2,0)))))</f>
        <v>-3.5</v>
      </c>
      <c r="CP22" s="118">
        <f>IF(AND(CK22&lt;&gt;0,CK$5=$H22),-$I22*$E22-CK22,IF(CP$5=$H22,-$I22*$E22*(12-$J22+1)/12,0))</f>
        <v>-8.1666666666666661</v>
      </c>
      <c r="CQ22" s="119">
        <f>IF($H22&lt;&gt;CU$5,0,IF(CU22&lt;0,IF($J22=1,-$E22*$I22/12*3,IF($J22=2,-$E22*$I22/12*2,IF($J22=3,-$E22*$I22/12*1,0)))))+IF(CP$5&lt;&gt;$H22,0,IF(CP22&lt;0,IF($J22=1,-$E22*$I22/12*0,IF($J22=2,-$E22*$I22/12*1,IF($J22=3,-$E22*$I22/12*2,IF($J22&gt;=4,-$E22*$I22/12*3,0))))))</f>
        <v>-3.5</v>
      </c>
      <c r="CR22" s="120">
        <f>IF($H22&lt;&gt;CU$5,0,IF(CU22&lt;0,IF(OR($J22=1,$J22=2,$J22=3,$J22=4),-$E22*$I22/12*3,IF($J22=5,-$E22*$I22/12*2,IF($J22=6,-$E22*$I22/12*1,0)))))+IF(CP$5&lt;&gt;$H22,0,IF(CP22&lt;0,IF($J22=4,-$E22*$I22/12*0,IF($J22=5,-$E22*$I22/12*1,IF($J22=6,-$E22*$I22/12*2,IF($J22&gt;=7,-$E22*$I22/12*3,0))))))</f>
        <v>-2.3333333333333335</v>
      </c>
      <c r="CS22" s="120">
        <f>IF($H22&lt;&gt;CU$5,0,IF(CU22&lt;0,IF(OR($J22=1,$J22=2,$J22=3,$J22=4,$J22=5,$J22=6,$J22=7),-$E22*$I22/12*3,IF($J22=8,-$E22*$I22/12*2,IF($J22=9,-$E22*$I22/12*1,0)))))+IF(CP$5&lt;&gt;$H22,0,IF(CP22&lt;0,IF($J22=7,-$E22*$I22/12*0,IF($J22=8,-$E22*$I22/12*1,IF($J22=9,-$E22*$I22/12*2,IF($J22&gt;=10,-$E22*$I22/12*3,0))))))</f>
        <v>0</v>
      </c>
      <c r="CT22" s="121">
        <f>IF($H22&lt;&gt;CU$5,0,IF(CU22&lt;0,IF(OR($J22=1,$J22=2,$J22=3,$J22=4,$J22=5,$J22=6,$J22=7,$J22=8,$J22=9,$J22=10),-$E22*$I22/12*3,IF($J22=11,-$E22*$I22/12*2,IF($J22=12,-$E22*$I22/12*1,0)))))+IF(CP$5&lt;&gt;$H22,0,IF(CP22&lt;0,IF($J22=10,-$E22*$I22/12*0,IF($J22=11,-$E22*$I22/12*1,IF($J22=12,-$E22*$I22/12*2,0)))))</f>
        <v>0</v>
      </c>
      <c r="CU22" s="118">
        <f>IF(AND(CP22&lt;&gt;0,CP$5=$H22),-$I22*$E22-CP22,IF(CU$5=$H22,-$I22*$E22*(12-$J22+1)/12,0))</f>
        <v>-5.8333333333333339</v>
      </c>
      <c r="CV22" s="119">
        <f>IF($H22&lt;&gt;CZ$5,0,IF(CZ22&lt;0,IF($J22=1,-$E22*$I22/12*3,IF($J22=2,-$E22*$I22/12*2,IF($J22=3,-$E22*$I22/12*1,0)))))+IF(CU$5&lt;&gt;$H22,0,IF(CU22&lt;0,IF($J22=1,-$E22*$I22/12*0,IF($J22=2,-$E22*$I22/12*1,IF($J22=3,-$E22*$I22/12*2,IF($J22&gt;=4,-$E22*$I22/12*3,0))))))</f>
        <v>0</v>
      </c>
      <c r="CW22" s="120">
        <f>IF($H22&lt;&gt;CZ$5,0,IF(CZ22&lt;0,IF(OR($J22=1,$J22=2,$J22=3,$J22=4),-$E22*$I22/12*3,IF($J22=5,-$E22*$I22/12*2,IF($J22=6,-$E22*$I22/12*1,0)))))+IF(CU$5&lt;&gt;$H22,0,IF(CU22&lt;0,IF($J22=4,-$E22*$I22/12*0,IF($J22=5,-$E22*$I22/12*1,IF($J22=6,-$E22*$I22/12*2,IF($J22&gt;=7,-$E22*$I22/12*3,0))))))</f>
        <v>0</v>
      </c>
      <c r="CX22" s="120">
        <f>IF($H22&lt;&gt;CZ$5,0,IF(CZ22&lt;0,IF(OR($J22=1,$J22=2,$J22=3,$J22=4,$J22=5,$J22=6,$J22=7),-$E22*$I22/12*3,IF($J22=8,-$E22*$I22/12*2,IF($J22=9,-$E22*$I22/12*1,0)))))+IF(CU$5&lt;&gt;$H22,0,IF(CU22&lt;0,IF($J22=7,-$E22*$I22/12*0,IF($J22=8,-$E22*$I22/12*1,IF($J22=9,-$E22*$I22/12*2,IF($J22&gt;=10,-$E22*$I22/12*3,0))))))</f>
        <v>0</v>
      </c>
      <c r="CY22" s="121">
        <f>IF($H22&lt;&gt;CZ$5,0,IF(CZ22&lt;0,IF(OR($J22=1,$J22=2,$J22=3,$J22=4,$J22=5,$J22=6,$J22=7,$J22=8,$J22=9,$J22=10),-$E22*$I22/12*3,IF($J22=11,-$E22*$I22/12*2,IF($J22=12,-$E22*$I22/12*1,0)))))+IF(CU$5&lt;&gt;$H22,0,IF(CU22&lt;0,IF($J22=10,-$E22*$I22/12*0,IF($J22=11,-$E22*$I22/12*1,IF($J22=12,-$E22*$I22/12*2,0)))))</f>
        <v>0</v>
      </c>
      <c r="CZ22" s="118">
        <f>IF(AND(CU22&lt;&gt;0,CU$5=$H22),-$I22*$E22-CU22,IF(CZ$5=$H22,-$I22*$E22*(12-$J22+1)/12,0))</f>
        <v>0</v>
      </c>
    </row>
    <row r="23" spans="1:104" ht="12.75" customHeight="1">
      <c r="A23" s="7"/>
      <c r="B23" s="7"/>
      <c r="C23" s="196"/>
      <c r="D23" s="196"/>
      <c r="E23" s="197"/>
      <c r="F23" s="198"/>
      <c r="G23" s="198"/>
      <c r="H23" s="199"/>
      <c r="I23" s="200"/>
      <c r="J23" s="201"/>
      <c r="K23" s="132"/>
      <c r="L23" s="133"/>
      <c r="M23" s="134"/>
      <c r="N23" s="135"/>
      <c r="O23" s="135"/>
      <c r="P23" s="136"/>
      <c r="Q23" s="133"/>
      <c r="R23" s="134"/>
      <c r="S23" s="135"/>
      <c r="T23" s="135"/>
      <c r="U23" s="136"/>
      <c r="V23" s="133"/>
      <c r="W23" s="134"/>
      <c r="X23" s="135"/>
      <c r="Y23" s="135"/>
      <c r="Z23" s="136"/>
      <c r="AA23" s="133"/>
      <c r="AB23" s="134"/>
      <c r="AC23" s="135"/>
      <c r="AD23" s="135"/>
      <c r="AE23" s="136"/>
      <c r="AF23" s="133"/>
      <c r="AG23" s="134"/>
      <c r="AH23" s="135"/>
      <c r="AI23" s="135"/>
      <c r="AJ23" s="136"/>
      <c r="AK23" s="133"/>
      <c r="AL23" s="134"/>
      <c r="AM23" s="135"/>
      <c r="AN23" s="135"/>
      <c r="AO23" s="136"/>
      <c r="AP23" s="133"/>
      <c r="AQ23" s="134"/>
      <c r="AR23" s="135"/>
      <c r="AS23" s="135"/>
      <c r="AT23" s="136"/>
      <c r="AU23" s="133"/>
      <c r="AV23" s="134"/>
      <c r="AW23" s="135"/>
      <c r="AX23" s="135"/>
      <c r="AY23" s="136"/>
      <c r="AZ23" s="133"/>
      <c r="BA23" s="134"/>
      <c r="BB23" s="135"/>
      <c r="BC23" s="135"/>
      <c r="BD23" s="136"/>
      <c r="BE23" s="133"/>
      <c r="BF23" s="202"/>
      <c r="BG23" s="138"/>
      <c r="BH23" s="139"/>
      <c r="BI23" s="140"/>
      <c r="BJ23" s="140"/>
      <c r="BK23" s="141"/>
      <c r="BL23" s="138"/>
      <c r="BM23" s="139"/>
      <c r="BN23" s="140"/>
      <c r="BO23" s="140"/>
      <c r="BP23" s="141"/>
      <c r="BQ23" s="138"/>
      <c r="BR23" s="139"/>
      <c r="BS23" s="140"/>
      <c r="BT23" s="140"/>
      <c r="BU23" s="141"/>
      <c r="BV23" s="138"/>
      <c r="BW23" s="139"/>
      <c r="BX23" s="140"/>
      <c r="BY23" s="140"/>
      <c r="BZ23" s="141"/>
      <c r="CA23" s="138"/>
      <c r="CB23" s="139"/>
      <c r="CC23" s="140"/>
      <c r="CD23" s="140"/>
      <c r="CE23" s="141"/>
      <c r="CF23" s="138"/>
      <c r="CG23" s="139"/>
      <c r="CH23" s="140"/>
      <c r="CI23" s="140"/>
      <c r="CJ23" s="141"/>
      <c r="CK23" s="138"/>
      <c r="CL23" s="139"/>
      <c r="CM23" s="140"/>
      <c r="CN23" s="140"/>
      <c r="CO23" s="141"/>
      <c r="CP23" s="138"/>
      <c r="CQ23" s="139"/>
      <c r="CR23" s="140"/>
      <c r="CS23" s="140"/>
      <c r="CT23" s="141"/>
      <c r="CU23" s="138"/>
      <c r="CV23" s="139"/>
      <c r="CW23" s="140"/>
      <c r="CX23" s="140"/>
      <c r="CY23" s="141"/>
      <c r="CZ23" s="138"/>
    </row>
    <row r="24" spans="1:104" ht="12.75" customHeight="1">
      <c r="A24" s="203"/>
      <c r="B24" s="203"/>
      <c r="C24" s="204" t="s">
        <v>449</v>
      </c>
      <c r="D24" s="204"/>
      <c r="E24" s="205">
        <f>SUM(E18:E23)</f>
        <v>2600</v>
      </c>
      <c r="F24" s="143">
        <f>SUM(F18:F23)</f>
        <v>2100</v>
      </c>
      <c r="G24" s="143">
        <f>SUM(G18:G23)</f>
        <v>1200</v>
      </c>
      <c r="H24" s="206"/>
      <c r="I24" s="207"/>
      <c r="J24" s="208"/>
      <c r="K24" s="209"/>
      <c r="L24" s="210">
        <f t="shared" ref="L24:AQ24" si="12">SUM(L18:L23)</f>
        <v>0</v>
      </c>
      <c r="M24" s="148">
        <f t="shared" si="12"/>
        <v>0</v>
      </c>
      <c r="N24" s="149">
        <f t="shared" si="12"/>
        <v>0</v>
      </c>
      <c r="O24" s="149">
        <f t="shared" si="12"/>
        <v>0</v>
      </c>
      <c r="P24" s="150">
        <f t="shared" si="12"/>
        <v>0</v>
      </c>
      <c r="Q24" s="210">
        <f t="shared" si="12"/>
        <v>0</v>
      </c>
      <c r="R24" s="148">
        <f t="shared" si="12"/>
        <v>0</v>
      </c>
      <c r="S24" s="149">
        <f t="shared" si="12"/>
        <v>0</v>
      </c>
      <c r="T24" s="149">
        <f t="shared" si="12"/>
        <v>0</v>
      </c>
      <c r="U24" s="150">
        <f t="shared" si="12"/>
        <v>0</v>
      </c>
      <c r="V24" s="210">
        <f t="shared" si="12"/>
        <v>0</v>
      </c>
      <c r="W24" s="148">
        <f t="shared" si="12"/>
        <v>0</v>
      </c>
      <c r="X24" s="149">
        <f t="shared" si="12"/>
        <v>0</v>
      </c>
      <c r="Y24" s="149">
        <f t="shared" si="12"/>
        <v>0</v>
      </c>
      <c r="Z24" s="150">
        <f t="shared" si="12"/>
        <v>0</v>
      </c>
      <c r="AA24" s="210">
        <f t="shared" si="12"/>
        <v>0</v>
      </c>
      <c r="AB24" s="148">
        <f t="shared" si="12"/>
        <v>0</v>
      </c>
      <c r="AC24" s="149">
        <f t="shared" si="12"/>
        <v>0</v>
      </c>
      <c r="AD24" s="149">
        <f t="shared" si="12"/>
        <v>0</v>
      </c>
      <c r="AE24" s="150">
        <f t="shared" si="12"/>
        <v>0</v>
      </c>
      <c r="AF24" s="210">
        <f t="shared" si="12"/>
        <v>0</v>
      </c>
      <c r="AG24" s="148">
        <f t="shared" si="12"/>
        <v>0</v>
      </c>
      <c r="AH24" s="149">
        <f t="shared" si="12"/>
        <v>0</v>
      </c>
      <c r="AI24" s="149">
        <f t="shared" si="12"/>
        <v>0</v>
      </c>
      <c r="AJ24" s="150">
        <f t="shared" si="12"/>
        <v>-500</v>
      </c>
      <c r="AK24" s="210">
        <f t="shared" si="12"/>
        <v>-500</v>
      </c>
      <c r="AL24" s="148">
        <f t="shared" si="12"/>
        <v>0</v>
      </c>
      <c r="AM24" s="149">
        <f t="shared" si="12"/>
        <v>0</v>
      </c>
      <c r="AN24" s="149">
        <f t="shared" si="12"/>
        <v>0</v>
      </c>
      <c r="AO24" s="150">
        <f t="shared" si="12"/>
        <v>0</v>
      </c>
      <c r="AP24" s="210">
        <f t="shared" si="12"/>
        <v>0</v>
      </c>
      <c r="AQ24" s="148">
        <f t="shared" si="12"/>
        <v>0</v>
      </c>
      <c r="AR24" s="149">
        <f t="shared" ref="AR24:BE24" si="13">SUM(AR18:AR23)</f>
        <v>-700</v>
      </c>
      <c r="AS24" s="149">
        <f t="shared" si="13"/>
        <v>0</v>
      </c>
      <c r="AT24" s="150">
        <f t="shared" si="13"/>
        <v>-400</v>
      </c>
      <c r="AU24" s="210">
        <f t="shared" si="13"/>
        <v>-1100</v>
      </c>
      <c r="AV24" s="148">
        <f t="shared" si="13"/>
        <v>0</v>
      </c>
      <c r="AW24" s="149">
        <f t="shared" si="13"/>
        <v>0</v>
      </c>
      <c r="AX24" s="149">
        <f t="shared" si="13"/>
        <v>0</v>
      </c>
      <c r="AY24" s="150">
        <f t="shared" si="13"/>
        <v>0</v>
      </c>
      <c r="AZ24" s="210">
        <f t="shared" si="13"/>
        <v>0</v>
      </c>
      <c r="BA24" s="148">
        <f t="shared" si="13"/>
        <v>0</v>
      </c>
      <c r="BB24" s="149">
        <f t="shared" si="13"/>
        <v>0</v>
      </c>
      <c r="BC24" s="149">
        <f t="shared" si="13"/>
        <v>0</v>
      </c>
      <c r="BD24" s="150">
        <f t="shared" si="13"/>
        <v>-300</v>
      </c>
      <c r="BE24" s="210">
        <f t="shared" si="13"/>
        <v>-300</v>
      </c>
      <c r="BF24" s="211"/>
      <c r="BG24" s="212">
        <f t="shared" ref="BG24:CL24" si="14">SUM(BG18:BG23)</f>
        <v>0</v>
      </c>
      <c r="BH24" s="153">
        <f t="shared" si="14"/>
        <v>0</v>
      </c>
      <c r="BI24" s="154">
        <f t="shared" si="14"/>
        <v>0</v>
      </c>
      <c r="BJ24" s="154">
        <f t="shared" si="14"/>
        <v>0</v>
      </c>
      <c r="BK24" s="155">
        <f t="shared" si="14"/>
        <v>0</v>
      </c>
      <c r="BL24" s="212">
        <f t="shared" si="14"/>
        <v>0</v>
      </c>
      <c r="BM24" s="153">
        <f t="shared" si="14"/>
        <v>0</v>
      </c>
      <c r="BN24" s="154">
        <f t="shared" si="14"/>
        <v>0</v>
      </c>
      <c r="BO24" s="154">
        <f t="shared" si="14"/>
        <v>0</v>
      </c>
      <c r="BP24" s="155">
        <f t="shared" si="14"/>
        <v>0</v>
      </c>
      <c r="BQ24" s="212">
        <f t="shared" si="14"/>
        <v>0</v>
      </c>
      <c r="BR24" s="153">
        <f t="shared" si="14"/>
        <v>0</v>
      </c>
      <c r="BS24" s="154">
        <f t="shared" si="14"/>
        <v>0</v>
      </c>
      <c r="BT24" s="154">
        <f t="shared" si="14"/>
        <v>0</v>
      </c>
      <c r="BU24" s="155">
        <f t="shared" si="14"/>
        <v>0</v>
      </c>
      <c r="BV24" s="212">
        <f t="shared" si="14"/>
        <v>0</v>
      </c>
      <c r="BW24" s="153">
        <f t="shared" si="14"/>
        <v>0</v>
      </c>
      <c r="BX24" s="154">
        <f t="shared" si="14"/>
        <v>0</v>
      </c>
      <c r="BY24" s="154">
        <f t="shared" si="14"/>
        <v>0</v>
      </c>
      <c r="BZ24" s="155">
        <f t="shared" si="14"/>
        <v>0</v>
      </c>
      <c r="CA24" s="212">
        <f t="shared" si="14"/>
        <v>0</v>
      </c>
      <c r="CB24" s="153">
        <f t="shared" si="14"/>
        <v>0</v>
      </c>
      <c r="CC24" s="154">
        <f t="shared" si="14"/>
        <v>0</v>
      </c>
      <c r="CD24" s="154">
        <f t="shared" si="14"/>
        <v>0</v>
      </c>
      <c r="CE24" s="155">
        <f t="shared" si="14"/>
        <v>-4.166666666666667</v>
      </c>
      <c r="CF24" s="212">
        <f t="shared" si="14"/>
        <v>-4.166666666666667</v>
      </c>
      <c r="CG24" s="153">
        <f t="shared" si="14"/>
        <v>-6.25</v>
      </c>
      <c r="CH24" s="154">
        <f t="shared" si="14"/>
        <v>-6.25</v>
      </c>
      <c r="CI24" s="154">
        <f t="shared" si="14"/>
        <v>-6.25</v>
      </c>
      <c r="CJ24" s="155">
        <f t="shared" si="14"/>
        <v>-2.0833333333333335</v>
      </c>
      <c r="CK24" s="212">
        <f t="shared" si="14"/>
        <v>-20.833333333333332</v>
      </c>
      <c r="CL24" s="153">
        <f t="shared" si="14"/>
        <v>0</v>
      </c>
      <c r="CM24" s="154">
        <f t="shared" ref="CM24:CZ24" si="15">SUM(CM18:CM23)</f>
        <v>-1.1666666666666667</v>
      </c>
      <c r="CN24" s="154">
        <f t="shared" si="15"/>
        <v>-3.5</v>
      </c>
      <c r="CO24" s="155">
        <f t="shared" si="15"/>
        <v>-4.5666666666666664</v>
      </c>
      <c r="CP24" s="212">
        <f t="shared" si="15"/>
        <v>-9.2333333333333325</v>
      </c>
      <c r="CQ24" s="153">
        <f t="shared" si="15"/>
        <v>-5.0999999999999996</v>
      </c>
      <c r="CR24" s="154">
        <f t="shared" si="15"/>
        <v>-3.9333333333333336</v>
      </c>
      <c r="CS24" s="154">
        <f t="shared" si="15"/>
        <v>-1.6</v>
      </c>
      <c r="CT24" s="155">
        <f t="shared" si="15"/>
        <v>-0.53333333333333333</v>
      </c>
      <c r="CU24" s="212">
        <f t="shared" si="15"/>
        <v>-11.166666666666668</v>
      </c>
      <c r="CV24" s="153">
        <f t="shared" si="15"/>
        <v>0</v>
      </c>
      <c r="CW24" s="154">
        <f t="shared" si="15"/>
        <v>0</v>
      </c>
      <c r="CX24" s="154">
        <f t="shared" si="15"/>
        <v>0</v>
      </c>
      <c r="CY24" s="155">
        <f t="shared" si="15"/>
        <v>-1</v>
      </c>
      <c r="CZ24" s="212">
        <f t="shared" si="15"/>
        <v>-1</v>
      </c>
    </row>
    <row r="25" spans="1:104" ht="12.75" customHeight="1">
      <c r="A25" s="203"/>
      <c r="B25" s="203"/>
      <c r="C25" s="204"/>
      <c r="D25" s="204"/>
      <c r="E25" s="205"/>
      <c r="F25" s="143"/>
      <c r="G25" s="143"/>
      <c r="H25" s="206"/>
      <c r="I25" s="207"/>
      <c r="J25" s="208"/>
      <c r="K25" s="209"/>
      <c r="L25" s="210"/>
      <c r="M25" s="148"/>
      <c r="N25" s="149"/>
      <c r="O25" s="149"/>
      <c r="P25" s="150"/>
      <c r="Q25" s="210"/>
      <c r="R25" s="148"/>
      <c r="S25" s="149"/>
      <c r="T25" s="149"/>
      <c r="U25" s="150"/>
      <c r="V25" s="210"/>
      <c r="W25" s="148"/>
      <c r="X25" s="149"/>
      <c r="Y25" s="149"/>
      <c r="Z25" s="150"/>
      <c r="AA25" s="210"/>
      <c r="AB25" s="148"/>
      <c r="AC25" s="149"/>
      <c r="AD25" s="149"/>
      <c r="AE25" s="150"/>
      <c r="AF25" s="210"/>
      <c r="AG25" s="148"/>
      <c r="AH25" s="149"/>
      <c r="AI25" s="149"/>
      <c r="AJ25" s="150"/>
      <c r="AK25" s="210"/>
      <c r="AL25" s="148"/>
      <c r="AM25" s="149"/>
      <c r="AN25" s="149"/>
      <c r="AO25" s="150"/>
      <c r="AP25" s="210"/>
      <c r="AQ25" s="148"/>
      <c r="AR25" s="149"/>
      <c r="AS25" s="149"/>
      <c r="AT25" s="150"/>
      <c r="AU25" s="210"/>
      <c r="AV25" s="148"/>
      <c r="AW25" s="149"/>
      <c r="AX25" s="149"/>
      <c r="AY25" s="150"/>
      <c r="AZ25" s="210"/>
      <c r="BA25" s="148"/>
      <c r="BB25" s="149"/>
      <c r="BC25" s="149"/>
      <c r="BD25" s="150"/>
      <c r="BE25" s="210"/>
      <c r="BF25" s="249"/>
      <c r="BG25" s="212"/>
      <c r="BH25" s="153"/>
      <c r="BI25" s="154"/>
      <c r="BJ25" s="154"/>
      <c r="BK25" s="155"/>
      <c r="BL25" s="212"/>
      <c r="BM25" s="153"/>
      <c r="BN25" s="154"/>
      <c r="BO25" s="154"/>
      <c r="BP25" s="155"/>
      <c r="BQ25" s="212"/>
      <c r="BR25" s="153"/>
      <c r="BS25" s="154"/>
      <c r="BT25" s="154"/>
      <c r="BU25" s="155"/>
      <c r="BV25" s="212"/>
      <c r="BW25" s="153"/>
      <c r="BX25" s="154"/>
      <c r="BY25" s="154"/>
      <c r="BZ25" s="155"/>
      <c r="CA25" s="212"/>
      <c r="CB25" s="153"/>
      <c r="CC25" s="154"/>
      <c r="CD25" s="154"/>
      <c r="CE25" s="155"/>
      <c r="CF25" s="212"/>
      <c r="CG25" s="153"/>
      <c r="CH25" s="154"/>
      <c r="CI25" s="154"/>
      <c r="CJ25" s="155"/>
      <c r="CK25" s="212"/>
      <c r="CL25" s="153"/>
      <c r="CM25" s="154"/>
      <c r="CN25" s="154"/>
      <c r="CO25" s="155"/>
      <c r="CP25" s="212"/>
      <c r="CQ25" s="153"/>
      <c r="CR25" s="154"/>
      <c r="CS25" s="154"/>
      <c r="CT25" s="155"/>
      <c r="CU25" s="212"/>
      <c r="CV25" s="153"/>
      <c r="CW25" s="154"/>
      <c r="CX25" s="154"/>
      <c r="CY25" s="155"/>
      <c r="CZ25" s="212"/>
    </row>
    <row r="26" spans="1:104" ht="12.75" customHeight="1">
      <c r="A26" s="7"/>
      <c r="B26" s="7"/>
      <c r="C26" s="216" t="s">
        <v>580</v>
      </c>
      <c r="D26" s="216"/>
      <c r="E26" s="107"/>
      <c r="F26" s="108"/>
      <c r="G26" s="108"/>
      <c r="H26" s="109"/>
      <c r="I26" s="110"/>
      <c r="J26" s="111"/>
      <c r="K26" s="112"/>
      <c r="L26" s="217"/>
      <c r="M26" s="114"/>
      <c r="N26" s="115"/>
      <c r="O26" s="115"/>
      <c r="P26" s="116"/>
      <c r="Q26" s="217"/>
      <c r="R26" s="114"/>
      <c r="S26" s="115"/>
      <c r="T26" s="115"/>
      <c r="U26" s="116"/>
      <c r="V26" s="217"/>
      <c r="W26" s="114"/>
      <c r="X26" s="115"/>
      <c r="Y26" s="115"/>
      <c r="Z26" s="116"/>
      <c r="AA26" s="217"/>
      <c r="AB26" s="114"/>
      <c r="AC26" s="115"/>
      <c r="AD26" s="115"/>
      <c r="AE26" s="116"/>
      <c r="AF26" s="217"/>
      <c r="AG26" s="114"/>
      <c r="AH26" s="115"/>
      <c r="AI26" s="115"/>
      <c r="AJ26" s="116"/>
      <c r="AK26" s="217"/>
      <c r="AL26" s="114"/>
      <c r="AM26" s="115"/>
      <c r="AN26" s="115"/>
      <c r="AO26" s="116"/>
      <c r="AP26" s="217"/>
      <c r="AQ26" s="114"/>
      <c r="AR26" s="115"/>
      <c r="AS26" s="115"/>
      <c r="AT26" s="116"/>
      <c r="AU26" s="217"/>
      <c r="AV26" s="114"/>
      <c r="AW26" s="115"/>
      <c r="AX26" s="115"/>
      <c r="AY26" s="116"/>
      <c r="AZ26" s="217"/>
      <c r="BA26" s="114"/>
      <c r="BB26" s="115"/>
      <c r="BC26" s="115"/>
      <c r="BD26" s="116"/>
      <c r="BE26" s="217"/>
      <c r="BF26" s="179"/>
      <c r="BG26" s="218"/>
      <c r="BH26" s="119"/>
      <c r="BI26" s="120"/>
      <c r="BJ26" s="120"/>
      <c r="BK26" s="121"/>
      <c r="BL26" s="218"/>
      <c r="BM26" s="119"/>
      <c r="BN26" s="120"/>
      <c r="BO26" s="120"/>
      <c r="BP26" s="121"/>
      <c r="BQ26" s="218"/>
      <c r="BR26" s="119"/>
      <c r="BS26" s="120"/>
      <c r="BT26" s="120"/>
      <c r="BU26" s="121"/>
      <c r="BV26" s="218"/>
      <c r="BW26" s="119"/>
      <c r="BX26" s="120"/>
      <c r="BY26" s="120"/>
      <c r="BZ26" s="121"/>
      <c r="CA26" s="218"/>
      <c r="CB26" s="119"/>
      <c r="CC26" s="120"/>
      <c r="CD26" s="120"/>
      <c r="CE26" s="121"/>
      <c r="CF26" s="218"/>
      <c r="CG26" s="119"/>
      <c r="CH26" s="120"/>
      <c r="CI26" s="120"/>
      <c r="CJ26" s="121"/>
      <c r="CK26" s="218"/>
      <c r="CL26" s="119"/>
      <c r="CM26" s="120"/>
      <c r="CN26" s="120"/>
      <c r="CO26" s="121"/>
      <c r="CP26" s="218"/>
      <c r="CQ26" s="119"/>
      <c r="CR26" s="120"/>
      <c r="CS26" s="120"/>
      <c r="CT26" s="121"/>
      <c r="CU26" s="218"/>
      <c r="CV26" s="119"/>
      <c r="CW26" s="120"/>
      <c r="CX26" s="120"/>
      <c r="CY26" s="121"/>
      <c r="CZ26" s="218"/>
    </row>
    <row r="27" spans="1:104" ht="12.75" customHeight="1">
      <c r="A27" s="7"/>
      <c r="B27" s="7"/>
      <c r="C27" s="880" t="s">
        <v>1112</v>
      </c>
      <c r="D27" s="190"/>
      <c r="E27" s="1346">
        <v>700</v>
      </c>
      <c r="F27" s="1346"/>
      <c r="G27" s="1346"/>
      <c r="H27" s="442">
        <v>2017</v>
      </c>
      <c r="I27" s="587">
        <v>2.6499999999999999E-2</v>
      </c>
      <c r="J27" s="442">
        <v>11</v>
      </c>
      <c r="K27" s="112"/>
      <c r="L27" s="270">
        <f t="shared" ref="L27:L32" si="16">IF(L$5=$H27,$E27,0)</f>
        <v>0</v>
      </c>
      <c r="M27" s="271">
        <f t="shared" ref="M27:M32" si="17">IF(Q27=0,0,IF(Q27&gt;0,IF($J27=3,Q27,IF($J27=2,Q27,IF($J27=1,Q27,0)))))</f>
        <v>0</v>
      </c>
      <c r="N27" s="272">
        <f t="shared" ref="N27:N32" si="18">IF(Q27=0,0,IF(Q27&gt;0,IF($J27=6,Q27,IF($J27=5,Q27,IF($J27=4,Q27,0)))))</f>
        <v>0</v>
      </c>
      <c r="O27" s="272">
        <f t="shared" ref="O27:O32" si="19">IF(Q27=0,0,IF(Q27&gt;0,IF($J27=9,Q27,IF($J27=8,Q27,IF($J27=7,Q27,0)))))</f>
        <v>0</v>
      </c>
      <c r="P27" s="1226">
        <f t="shared" ref="P27:P32" si="20">IF(Q27=0,0,IF(Q27&gt;0,IF($J27=12,Q27,IF($J27=11,Q27,IF($J27=10,Q27,0)))))</f>
        <v>0</v>
      </c>
      <c r="Q27" s="270">
        <f t="shared" ref="Q27:Q32" si="21">IF(Q$5=$H27,$E27,0)</f>
        <v>0</v>
      </c>
      <c r="R27" s="271">
        <f t="shared" ref="R27:R32" si="22">IF(V27=0,0,IF(V27&gt;0,IF($J27=3,V27,IF($J27=2,V27,IF($J27=1,V27,0)))))</f>
        <v>0</v>
      </c>
      <c r="S27" s="272">
        <f t="shared" ref="S27:S32" si="23">IF(V27=0,0,IF(V27&gt;0,IF($J27=6,V27,IF($J27=5,V27,IF($J27=4,V27,0)))))</f>
        <v>0</v>
      </c>
      <c r="T27" s="272">
        <f t="shared" ref="T27:T32" si="24">IF(V27=0,0,IF(V27&gt;0,IF($J27=9,V27,IF($J27=8,V27,IF($J27=7,V27,0)))))</f>
        <v>0</v>
      </c>
      <c r="U27" s="1226">
        <f t="shared" ref="U27:U32" si="25">IF(V27=0,0,IF(V27&gt;0,IF($J27=12,V27,IF($J27=11,V27,IF($J27=10,V27,0)))))</f>
        <v>0</v>
      </c>
      <c r="V27" s="270">
        <f t="shared" ref="V27:V32" si="26">IF(V$5=$H27,$E27,0)</f>
        <v>0</v>
      </c>
      <c r="W27" s="271">
        <f t="shared" ref="W27:W32" si="27">IF(AA27=0,0,IF(AA27&gt;0,IF($J27=3,AA27,IF($J27=2,AA27,IF($J27=1,AA27,0)))))</f>
        <v>0</v>
      </c>
      <c r="X27" s="272">
        <f t="shared" ref="X27:X32" si="28">IF(AA27=0,0,IF(AA27&gt;0,IF($J27=6,AA27,IF($J27=5,AA27,IF($J27=4,AA27,0)))))</f>
        <v>0</v>
      </c>
      <c r="Y27" s="272">
        <f t="shared" ref="Y27:Y32" si="29">IF(AA27=0,0,IF(AA27&gt;0,IF($J27=9,AA27,IF($J27=8,AA27,IF($J27=7,AA27,0)))))</f>
        <v>0</v>
      </c>
      <c r="Z27" s="1226">
        <f t="shared" ref="Z27:Z32" si="30">IF(AA27=0,0,IF(AA27&gt;0,IF($J27=12,AA27,IF($J27=11,AA27,IF($J27=10,AA27,0)))))</f>
        <v>0</v>
      </c>
      <c r="AA27" s="270">
        <f t="shared" ref="AA27:AA32" si="31">IF(AA$5=$H27,$E27,0)</f>
        <v>0</v>
      </c>
      <c r="AB27" s="271">
        <f t="shared" ref="AB27:AB32" si="32">IF(AF27=0,0,IF(AF27&gt;0,IF($J27=3,AF27,IF($J27=2,AF27,IF($J27=1,AF27,0)))))</f>
        <v>0</v>
      </c>
      <c r="AC27" s="272">
        <f t="shared" ref="AC27:AC32" si="33">IF(AF27=0,0,IF(AF27&gt;0,IF($J27=6,AF27,IF($J27=5,AF27,IF($J27=4,AF27,0)))))</f>
        <v>0</v>
      </c>
      <c r="AD27" s="272">
        <f t="shared" ref="AD27:AD32" si="34">IF(AF27=0,0,IF(AF27&gt;0,IF($J27=9,AF27,IF($J27=8,AF27,IF($J27=7,AF27,0)))))</f>
        <v>0</v>
      </c>
      <c r="AE27" s="1226">
        <f t="shared" ref="AE27:AE32" si="35">IF(AF27=0,0,IF(AF27&gt;0,IF($J27=12,AF27,IF($J27=11,AF27,IF($J27=10,AF27,0)))))</f>
        <v>0</v>
      </c>
      <c r="AF27" s="270">
        <f t="shared" ref="AF27:AF32" si="36">IF(AF$5=$H27,$E27,0)</f>
        <v>0</v>
      </c>
      <c r="AG27" s="271">
        <f t="shared" ref="AG27:AG32" si="37">IF(AK27=0,0,IF(AK27&gt;0,IF($J27=3,AK27,IF($J27=2,AK27,IF($J27=1,AK27,0)))))</f>
        <v>0</v>
      </c>
      <c r="AH27" s="272">
        <f t="shared" ref="AH27:AH32" si="38">IF(AK27=0,0,IF(AK27&gt;0,IF($J27=6,AK27,IF($J27=5,AK27,IF($J27=4,AK27,0)))))</f>
        <v>0</v>
      </c>
      <c r="AI27" s="272">
        <f t="shared" ref="AI27:AI32" si="39">IF(AK27=0,0,IF(AK27&gt;0,IF($J27=9,AK27,IF($J27=8,AK27,IF($J27=7,AK27,0)))))</f>
        <v>0</v>
      </c>
      <c r="AJ27" s="1226">
        <f t="shared" ref="AJ27:AJ32" si="40">IF(AK27=0,0,IF(AK27&gt;0,IF($J27=12,AK27,IF($J27=11,AK27,IF($J27=10,AK27,0)))))</f>
        <v>700</v>
      </c>
      <c r="AK27" s="270">
        <f t="shared" ref="AK27:AK32" si="41">IF(AK$5=$H27,$E27,0)</f>
        <v>700</v>
      </c>
      <c r="AL27" s="271">
        <f t="shared" ref="AL27:AL32" si="42">IF(AP27=0,0,IF(AP27&gt;0,IF($J27=3,AP27,IF($J27=2,AP27,IF($J27=1,AP27,0)))))</f>
        <v>0</v>
      </c>
      <c r="AM27" s="272">
        <f t="shared" ref="AM27:AM32" si="43">IF(AP27=0,0,IF(AP27&gt;0,IF($J27=6,AP27,IF($J27=5,AP27,IF($J27=4,AP27,0)))))</f>
        <v>0</v>
      </c>
      <c r="AN27" s="272">
        <f t="shared" ref="AN27:AN32" si="44">IF(AP27=0,0,IF(AP27&gt;0,IF($J27=9,AP27,IF($J27=8,AP27,IF($J27=7,AP27,0)))))</f>
        <v>0</v>
      </c>
      <c r="AO27" s="1226">
        <f t="shared" ref="AO27:AO32" si="45">IF(AP27=0,0,IF(AP27&gt;0,IF($J27=12,AP27,IF($J27=11,AP27,IF($J27=10,AP27,0)))))</f>
        <v>0</v>
      </c>
      <c r="AP27" s="270">
        <f t="shared" ref="AP27:AP32" si="46">IF(AP$5=$H27,$E27,0)</f>
        <v>0</v>
      </c>
      <c r="AQ27" s="271">
        <f t="shared" ref="AQ27:AQ32" si="47">IF(AU27=0,0,IF(AU27&gt;0,IF($J27=3,AU27,IF($J27=2,AU27,IF($J27=1,AU27,0)))))</f>
        <v>0</v>
      </c>
      <c r="AR27" s="272">
        <f t="shared" ref="AR27:AR32" si="48">IF(AU27=0,0,IF(AU27&gt;0,IF($J27=6,AU27,IF($J27=5,AU27,IF($J27=4,AU27,0)))))</f>
        <v>0</v>
      </c>
      <c r="AS27" s="272">
        <f t="shared" ref="AS27:AS32" si="49">IF(AU27=0,0,IF(AU27&gt;0,IF($J27=9,AU27,IF($J27=8,AU27,IF($J27=7,AU27,0)))))</f>
        <v>0</v>
      </c>
      <c r="AT27" s="1226">
        <f t="shared" ref="AT27:AT32" si="50">IF(AU27=0,0,IF(AU27&gt;0,IF($J27=12,AU27,IF($J27=11,AU27,IF($J27=10,AU27,0)))))</f>
        <v>0</v>
      </c>
      <c r="AU27" s="270">
        <f t="shared" ref="AU27:AU32" si="51">IF(AU$5=$H27,$E27,0)</f>
        <v>0</v>
      </c>
      <c r="AV27" s="271">
        <f t="shared" ref="AV27:AV32" si="52">IF(AZ27=0,0,IF(AZ27&gt;0,IF($J27=3,AZ27,IF($J27=2,AZ27,IF($J27=1,AZ27,0)))))</f>
        <v>0</v>
      </c>
      <c r="AW27" s="272">
        <f t="shared" ref="AW27:AW32" si="53">IF(AZ27=0,0,IF(AZ27&gt;0,IF($J27=6,AZ27,IF($J27=5,AZ27,IF($J27=4,AZ27,0)))))</f>
        <v>0</v>
      </c>
      <c r="AX27" s="272">
        <f t="shared" ref="AX27:AX32" si="54">IF(AZ27=0,0,IF(AZ27&gt;0,IF($J27=9,AZ27,IF($J27=8,AZ27,IF($J27=7,AZ27,0)))))</f>
        <v>0</v>
      </c>
      <c r="AY27" s="1226">
        <f t="shared" ref="AY27:AY32" si="55">IF(AZ27=0,0,IF(AZ27&gt;0,IF($J27=12,AZ27,IF($J27=11,AZ27,IF($J27=10,AZ27,0)))))</f>
        <v>0</v>
      </c>
      <c r="AZ27" s="270">
        <f t="shared" ref="AZ27:AZ32" si="56">IF(AZ$5=$H27,$E27,0)</f>
        <v>0</v>
      </c>
      <c r="BA27" s="271">
        <f t="shared" ref="BA27:BA32" si="57">IF(BE27=0,0,IF(BE27&gt;0,IF($J27=3,BE27,IF($J27=2,BE27,IF($J27=1,BE27,0)))))</f>
        <v>0</v>
      </c>
      <c r="BB27" s="272">
        <f t="shared" ref="BB27:BB32" si="58">IF(BE27=0,0,IF(BE27&gt;0,IF($J27=6,BE27,IF($J27=5,BE27,IF($J27=4,BE27,0)))))</f>
        <v>0</v>
      </c>
      <c r="BC27" s="272">
        <f t="shared" ref="BC27:BC32" si="59">IF(BE27=0,0,IF(BE27&gt;0,IF($J27=9,BE27,IF($J27=8,BE27,IF($J27=7,BE27,0)))))</f>
        <v>0</v>
      </c>
      <c r="BD27" s="1226">
        <f t="shared" ref="BD27:BD32" si="60">IF(BE27=0,0,IF(BE27&gt;0,IF($J27=12,BE27,IF($J27=11,BE27,IF($J27=10,BE27,0)))))</f>
        <v>0</v>
      </c>
      <c r="BE27" s="270">
        <f t="shared" ref="BE27:BE32" si="61">IF(BE$5=$H27,$E27,0)</f>
        <v>0</v>
      </c>
      <c r="BF27" s="273"/>
      <c r="BG27" s="118">
        <f t="shared" ref="BG27:BG32" si="62">IF(AND(BF27&lt;&gt;0,BF$5=$H27),$I27*$E27-BF27,IF(BG$5=$H27,$I27*$E27*(12-$J27+1)/12,0))</f>
        <v>0</v>
      </c>
      <c r="BH27" s="119">
        <f t="shared" ref="BH27:BH32" si="63">IF($H27&lt;&gt;BL$5,0,IF(BL27&gt;0,IF($J27=1,$E27*$I27/12*3,IF($J27=2,$E27*$I27/12*2,IF($J27=3,$E27*$I27/12*1,0)))))+IF(BG$5&lt;&gt;$H27,0,IF(BG27&gt;0,IF($J27=1,$E27*$I27/12*0,IF($J27=2,$E27*$I27/12*1,IF($J27=3,$E27*$I27/12*2,IF($J27&gt;=4,$E27*$I27/12*3,0))))))</f>
        <v>0</v>
      </c>
      <c r="BI27" s="120">
        <f t="shared" ref="BI27:BI32" si="64">IF($H27&lt;&gt;BL$5,0,IF(BL27&gt;0,IF(OR($J27=1,$J27=2,$J27=3,$J27=4),$E27*$I27/12*3,IF($J27=5,$E27*$I27/12*2,IF($J27=6,$E27*$I27/12*1,0)))))+IF(BG$5&lt;&gt;$H27,0,IF(BG27&gt;0,IF($J27=4,$E27*$I27/12*0,IF($J27=5,$E27*$I27/12*1,IF($J27=6,$E27*$I27/12*2,IF($J27&gt;=7,$E27*$I27/12*3,0))))))</f>
        <v>0</v>
      </c>
      <c r="BJ27" s="120">
        <f t="shared" ref="BJ27:BJ32" si="65">IF($H27&lt;&gt;BL$5,0,IF(BL27&gt;0,IF(OR($J27=1,$J27=2,$J27=3,$J27=4,$J27=5,$J27=6,$J27=7),$E27*$I27/12*3,IF($J27=8,$E27*$I27/12*2,IF($J27=9,$E27*$I27/12*1,0)))))+IF(BG$5&lt;&gt;$H27,0,IF(BG27&gt;0,IF($J27=7,$E27*$I27/12*0,IF($J27=8,$E27*$I27/12*1,IF($J27=9,$E27*$I27/12*2,IF($J27&gt;=10,$E27*$I27/12*3,0))))))</f>
        <v>0</v>
      </c>
      <c r="BK27" s="121">
        <f t="shared" ref="BK27:BK32" si="66">IF($H27&lt;&gt;BL$5,0,IF(BL27&gt;0,IF(OR($J27=1,$J27=2,$J27=3,$J27=4,$J27=5,$J27=6,$J27=7,$J27=8,$J27=9,$J27=10),$E27*$I27/12*3,IF($J27=11,$E27*$I27/12*2,IF($J27=12,$E27*$I27/12*1,0)))))+IF(BG$5&lt;&gt;$H27,0,IF(BG27&gt;0,IF($J27=10,$E27*$I27/12*0,IF($J27=11,$E27*$I27/12*1,IF($J27=12,$E27*$I27/12*2,0)))))</f>
        <v>0</v>
      </c>
      <c r="BL27" s="118">
        <f t="shared" ref="BL27:BL32" si="67">IF(AND(BG27&lt;&gt;0,BG$5=$H27),$I27*$E27-BG27,IF(BL$5=$H27,$I27*$E27*(12-$J27+1)/12,0))</f>
        <v>0</v>
      </c>
      <c r="BM27" s="119">
        <f t="shared" ref="BM27:BM32" si="68">IF($H27&lt;&gt;BQ$5,0,IF(BQ27&gt;0,IF($J27=1,$E27*$I27/12*3,IF($J27=2,$E27*$I27/12*2,IF($J27=3,$E27*$I27/12*1,0)))))+IF(BL$5&lt;&gt;$H27,0,IF(BL27&gt;0,IF($J27=1,$E27*$I27/12*0,IF($J27=2,$E27*$I27/12*1,IF($J27=3,$E27*$I27/12*2,IF($J27&gt;=4,$E27*$I27/12*3,0))))))</f>
        <v>0</v>
      </c>
      <c r="BN27" s="120">
        <f t="shared" ref="BN27:BN32" si="69">IF($H27&lt;&gt;BQ$5,0,IF(BQ27&gt;0,IF(OR($J27=1,$J27=2,$J27=3,$J27=4),$E27*$I27/12*3,IF($J27=5,$E27*$I27/12*2,IF($J27=6,$E27*$I27/12*1,0)))))+IF(BL$5&lt;&gt;$H27,0,IF(BL27&gt;0,IF($J27=4,$E27*$I27/12*0,IF($J27=5,$E27*$I27/12*1,IF($J27=6,$E27*$I27/12*2,IF($J27&gt;=7,$E27*$I27/12*3,0))))))</f>
        <v>0</v>
      </c>
      <c r="BO27" s="120">
        <f t="shared" ref="BO27:BO32" si="70">IF($H27&lt;&gt;BQ$5,0,IF(BQ27&gt;0,IF(OR($J27=1,$J27=2,$J27=3,$J27=4,$J27=5,$J27=6,$J27=7),$E27*$I27/12*3,IF($J27=8,$E27*$I27/12*2,IF($J27=9,$E27*$I27/12*1,0)))))+IF(BL$5&lt;&gt;$H27,0,IF(BL27&gt;0,IF($J27=7,$E27*$I27/12*0,IF($J27=8,$E27*$I27/12*1,IF($J27=9,$E27*$I27/12*2,IF($J27&gt;=10,$E27*$I27/12*3,0))))))</f>
        <v>0</v>
      </c>
      <c r="BP27" s="121">
        <f t="shared" ref="BP27:BP32" si="71">IF($H27&lt;&gt;BQ$5,0,IF(BQ27&gt;0,IF(OR($J27=1,$J27=2,$J27=3,$J27=4,$J27=5,$J27=6,$J27=7,$J27=8,$J27=9,$J27=10),$E27*$I27/12*3,IF($J27=11,$E27*$I27/12*2,IF($J27=12,$E27*$I27/12*1,0)))))+IF(BL$5&lt;&gt;$H27,0,IF(BL27&gt;0,IF($J27=10,$E27*$I27/12*0,IF($J27=11,$E27*$I27/12*1,IF($J27=12,$E27*$I27/12*2,0)))))</f>
        <v>0</v>
      </c>
      <c r="BQ27" s="118">
        <f t="shared" ref="BQ27:BQ32" si="72">IF(AND(BL27&lt;&gt;0,BL$5=$H27),$I27*$E27-BL27,IF(BQ$5=$H27,$I27*$E27*(12-$J27+1)/12,0))</f>
        <v>0</v>
      </c>
      <c r="BR27" s="119">
        <f t="shared" ref="BR27:BR32" si="73">IF($H27&lt;&gt;BV$5,0,IF(BV27&gt;0,IF($J27=1,$E27*$I27/12*3,IF($J27=2,$E27*$I27/12*2,IF($J27=3,$E27*$I27/12*1,0)))))+IF(BQ$5&lt;&gt;$H27,0,IF(BQ27&gt;0,IF($J27=1,$E27*$I27/12*0,IF($J27=2,$E27*$I27/12*1,IF($J27=3,$E27*$I27/12*2,IF($J27&gt;=4,$E27*$I27/12*3,0))))))</f>
        <v>0</v>
      </c>
      <c r="BS27" s="120">
        <f t="shared" ref="BS27:BS32" si="74">IF($H27&lt;&gt;BV$5,0,IF(BV27&gt;0,IF(OR($J27=1,$J27=2,$J27=3,$J27=4),$E27*$I27/12*3,IF($J27=5,$E27*$I27/12*2,IF($J27=6,$E27*$I27/12*1,0)))))+IF(BQ$5&lt;&gt;$H27,0,IF(BQ27&gt;0,IF($J27=4,$E27*$I27/12*0,IF($J27=5,$E27*$I27/12*1,IF($J27=6,$E27*$I27/12*2,IF($J27&gt;=7,$E27*$I27/12*3,0))))))</f>
        <v>0</v>
      </c>
      <c r="BT27" s="120">
        <f t="shared" ref="BT27:BT32" si="75">IF($H27&lt;&gt;BV$5,0,IF(BV27&gt;0,IF(OR($J27=1,$J27=2,$J27=3,$J27=4,$J27=5,$J27=6,$J27=7),$E27*$I27/12*3,IF($J27=8,$E27*$I27/12*2,IF($J27=9,$E27*$I27/12*1,0)))))+IF(BQ$5&lt;&gt;$H27,0,IF(BQ27&gt;0,IF($J27=7,$E27*$I27/12*0,IF($J27=8,$E27*$I27/12*1,IF($J27=9,$E27*$I27/12*2,IF($J27&gt;=10,$E27*$I27/12*3,0))))))</f>
        <v>0</v>
      </c>
      <c r="BU27" s="121">
        <f t="shared" ref="BU27:BU32" si="76">IF($H27&lt;&gt;BV$5,0,IF(BV27&gt;0,IF(OR($J27=1,$J27=2,$J27=3,$J27=4,$J27=5,$J27=6,$J27=7,$J27=8,$J27=9,$J27=10),$E27*$I27/12*3,IF($J27=11,$E27*$I27/12*2,IF($J27=12,$E27*$I27/12*1,0)))))+IF(BQ$5&lt;&gt;$H27,0,IF(BQ27&gt;0,IF($J27=10,$E27*$I27/12*0,IF($J27=11,$E27*$I27/12*1,IF($J27=12,$E27*$I27/12*2,0)))))</f>
        <v>0</v>
      </c>
      <c r="BV27" s="118">
        <f t="shared" ref="BV27:BV32" si="77">IF(AND(BQ27&lt;&gt;0,BQ$5=$H27),$I27*$E27-BQ27,IF(BV$5=$H27,$I27*$E27*(12-$J27+1)/12,0))</f>
        <v>0</v>
      </c>
      <c r="BW27" s="119">
        <f t="shared" ref="BW27:BW32" si="78">IF($H27&lt;&gt;CA$5,0,IF(CA27&gt;0,IF($J27=1,$E27*$I27/12*3,IF($J27=2,$E27*$I27/12*2,IF($J27=3,$E27*$I27/12*1,0)))))+IF(BV$5&lt;&gt;$H27,0,IF(BV27&gt;0,IF($J27=1,$E27*$I27/12*0,IF($J27=2,$E27*$I27/12*1,IF($J27=3,$E27*$I27/12*2,IF($J27&gt;=4,$E27*$I27/12*3,0))))))</f>
        <v>0</v>
      </c>
      <c r="BX27" s="120">
        <f t="shared" ref="BX27:BX32" si="79">IF($H27&lt;&gt;CA$5,0,IF(CA27&gt;0,IF(OR($J27=1,$J27=2,$J27=3,$J27=4),$E27*$I27/12*3,IF($J27=5,$E27*$I27/12*2,IF($J27=6,$E27*$I27/12*1,0)))))+IF(BV$5&lt;&gt;$H27,0,IF(BV27&gt;0,IF($J27=4,$E27*$I27/12*0,IF($J27=5,$E27*$I27/12*1,IF($J27=6,$E27*$I27/12*2,IF($J27&gt;=7,$E27*$I27/12*3,0))))))</f>
        <v>0</v>
      </c>
      <c r="BY27" s="120">
        <f t="shared" ref="BY27:BY32" si="80">IF($H27&lt;&gt;CA$5,0,IF(CA27&gt;0,IF(OR($J27=1,$J27=2,$J27=3,$J27=4,$J27=5,$J27=6,$J27=7),$E27*$I27/12*3,IF($J27=8,$E27*$I27/12*2,IF($J27=9,$E27*$I27/12*1,0)))))+IF(BV$5&lt;&gt;$H27,0,IF(BV27&gt;0,IF($J27=7,$E27*$I27/12*0,IF($J27=8,$E27*$I27/12*1,IF($J27=9,$E27*$I27/12*2,IF($J27&gt;=10,$E27*$I27/12*3,0))))))</f>
        <v>0</v>
      </c>
      <c r="BZ27" s="121">
        <f t="shared" ref="BZ27:BZ32" si="81">IF($H27&lt;&gt;CA$5,0,IF(CA27&gt;0,IF(OR($J27=1,$J27=2,$J27=3,$J27=4,$J27=5,$J27=6,$J27=7,$J27=8,$J27=9,$J27=10),$E27*$I27/12*3,IF($J27=11,$E27*$I27/12*2,IF($J27=12,$E27*$I27/12*1,0)))))+IF(BV$5&lt;&gt;$H27,0,IF(BV27&gt;0,IF($J27=10,$E27*$I27/12*0,IF($J27=11,$E27*$I27/12*1,IF($J27=12,$E27*$I27/12*2,0)))))</f>
        <v>0</v>
      </c>
      <c r="CA27" s="118">
        <f t="shared" ref="CA27:CA32" si="82">IF(AND(BV27&lt;&gt;0,BV$5=$H27),$I27*$E27-BV27,IF(CA$5=$H27,$I27*$E27*(12-$J27+1)/12,0))</f>
        <v>0</v>
      </c>
      <c r="CB27" s="119">
        <f t="shared" ref="CB27:CB32" si="83">IF($H27&lt;&gt;CF$5,0,IF(CF27&gt;0,IF($J27=1,$E27*$I27/12*3,IF($J27=2,$E27*$I27/12*2,IF($J27=3,$E27*$I27/12*1,0)))))+IF(CA$5&lt;&gt;$H27,0,IF(CA27&gt;0,IF($J27=1,$E27*$I27/12*0,IF($J27=2,$E27*$I27/12*1,IF($J27=3,$E27*$I27/12*2,IF($J27&gt;=4,$E27*$I27/12*3,0))))))</f>
        <v>0</v>
      </c>
      <c r="CC27" s="120">
        <f t="shared" ref="CC27:CC32" si="84">IF($H27&lt;&gt;CF$5,0,IF(CF27&gt;0,IF(OR($J27=1,$J27=2,$J27=3,$J27=4),$E27*$I27/12*3,IF($J27=5,$E27*$I27/12*2,IF($J27=6,$E27*$I27/12*1,0)))))+IF(CA$5&lt;&gt;$H27,0,IF(CA27&gt;0,IF($J27=4,$E27*$I27/12*0,IF($J27=5,$E27*$I27/12*1,IF($J27=6,$E27*$I27/12*2,IF($J27&gt;=7,$E27*$I27/12*3,0))))))</f>
        <v>0</v>
      </c>
      <c r="CD27" s="120">
        <f t="shared" ref="CD27:CD32" si="85">IF($H27&lt;&gt;CF$5,0,IF(CF27&gt;0,IF(OR($J27=1,$J27=2,$J27=3,$J27=4,$J27=5,$J27=6,$J27=7),$E27*$I27/12*3,IF($J27=8,$E27*$I27/12*2,IF($J27=9,$E27*$I27/12*1,0)))))+IF(CA$5&lt;&gt;$H27,0,IF(CA27&gt;0,IF($J27=7,$E27*$I27/12*0,IF($J27=8,$E27*$I27/12*1,IF($J27=9,$E27*$I27/12*2,IF($J27&gt;=10,$E27*$I27/12*3,0))))))</f>
        <v>0</v>
      </c>
      <c r="CE27" s="121">
        <f t="shared" ref="CE27:CE32" si="86">IF($H27&lt;&gt;CF$5,0,IF(CF27&gt;0,IF(OR($J27=1,$J27=2,$J27=3,$J27=4,$J27=5,$J27=6,$J27=7,$J27=8,$J27=9,$J27=10),$E27*$I27/12*3,IF($J27=11,$E27*$I27/12*2,IF($J27=12,$E27*$I27/12*1,0)))))+IF(CA$5&lt;&gt;$H27,0,IF(CA27&gt;0,IF($J27=10,$E27*$I27/12*0,IF($J27=11,$E27*$I27/12*1,IF($J27=12,$E27*$I27/12*2,0)))))</f>
        <v>3.0916666666666668</v>
      </c>
      <c r="CF27" s="118">
        <f t="shared" ref="CF27:CF32" si="87">IF(AND(CA27&lt;&gt;0,CA$5=$H27),$I27*$E27-CA27,IF(CF$5=$H27,$I27*$E27*(12-$J27+1)/12,0))</f>
        <v>3.0916666666666668</v>
      </c>
      <c r="CG27" s="119">
        <f t="shared" ref="CG27:CG32" si="88">IF($H27&lt;&gt;CK$5,0,IF(CK27&gt;0,IF($J27=1,$E27*$I27/12*3,IF($J27=2,$E27*$I27/12*2,IF($J27=3,$E27*$I27/12*1,0)))))+IF(CF$5&lt;&gt;$H27,0,IF(CF27&gt;0,IF($J27=1,$E27*$I27/12*0,IF($J27=2,$E27*$I27/12*1,IF($J27=3,$E27*$I27/12*2,IF($J27&gt;=4,$E27*$I27/12*3,0))))))</f>
        <v>4.6375000000000002</v>
      </c>
      <c r="CH27" s="120">
        <f t="shared" ref="CH27:CH32" si="89">IF($H27&lt;&gt;CK$5,0,IF(CK27&gt;0,IF(OR($J27=1,$J27=2,$J27=3,$J27=4),$E27*$I27/12*3,IF($J27=5,$E27*$I27/12*2,IF($J27=6,$E27*$I27/12*1,0)))))+IF(CF$5&lt;&gt;$H27,0,IF(CF27&gt;0,IF($J27=4,$E27*$I27/12*0,IF($J27=5,$E27*$I27/12*1,IF($J27=6,$E27*$I27/12*2,IF($J27&gt;=7,$E27*$I27/12*3,0))))))</f>
        <v>4.6375000000000002</v>
      </c>
      <c r="CI27" s="120">
        <f t="shared" ref="CI27:CI32" si="90">IF($H27&lt;&gt;CK$5,0,IF(CK27&gt;0,IF(OR($J27=1,$J27=2,$J27=3,$J27=4,$J27=5,$J27=6,$J27=7),$E27*$I27/12*3,IF($J27=8,$E27*$I27/12*2,IF($J27=9,$E27*$I27/12*1,0)))))+IF(CF$5&lt;&gt;$H27,0,IF(CF27&gt;0,IF($J27=7,$E27*$I27/12*0,IF($J27=8,$E27*$I27/12*1,IF($J27=9,$E27*$I27/12*2,IF($J27&gt;=10,$E27*$I27/12*3,0))))))</f>
        <v>4.6375000000000002</v>
      </c>
      <c r="CJ27" s="121">
        <f t="shared" ref="CJ27:CJ32" si="91">IF($H27&lt;&gt;CK$5,0,IF(CK27&gt;0,IF(OR($J27=1,$J27=2,$J27=3,$J27=4,$J27=5,$J27=6,$J27=7,$J27=8,$J27=9,$J27=10),$E27*$I27/12*3,IF($J27=11,$E27*$I27/12*2,IF($J27=12,$E27*$I27/12*1,0)))))+IF(CF$5&lt;&gt;$H27,0,IF(CF27&gt;0,IF($J27=10,$E27*$I27/12*0,IF($J27=11,$E27*$I27/12*1,IF($J27=12,$E27*$I27/12*2,0)))))</f>
        <v>1.5458333333333334</v>
      </c>
      <c r="CK27" s="118">
        <f t="shared" ref="CK27:CK32" si="92">IF(AND(CF27&lt;&gt;0,CF$5=$H27),$I27*$E27-CF27,IF(CK$5=$H27,$I27*$E27*(12-$J27+1)/12,0))</f>
        <v>15.458333333333334</v>
      </c>
      <c r="CL27" s="119">
        <f t="shared" ref="CL27:CL32" si="93">IF($H27&lt;&gt;CP$5,0,IF(CP27&gt;0,IF($J27=1,$E27*$I27/12*3,IF($J27=2,$E27*$I27/12*2,IF($J27=3,$E27*$I27/12*1,0)))))+IF(CK$5&lt;&gt;$H27,0,IF(CK27&gt;0,IF($J27=1,$E27*$I27/12*0,IF($J27=2,$E27*$I27/12*1,IF($J27=3,$E27*$I27/12*2,IF($J27&gt;=4,$E27*$I27/12*3,0))))))</f>
        <v>0</v>
      </c>
      <c r="CM27" s="120">
        <f t="shared" ref="CM27:CM32" si="94">IF($H27&lt;&gt;CP$5,0,IF(CP27&gt;0,IF(OR($J27=1,$J27=2,$J27=3,$J27=4),$E27*$I27/12*3,IF($J27=5,$E27*$I27/12*2,IF($J27=6,$E27*$I27/12*1,0)))))+IF(CK$5&lt;&gt;$H27,0,IF(CK27&gt;0,IF($J27=4,$E27*$I27/12*0,IF($J27=5,$E27*$I27/12*1,IF($J27=6,$E27*$I27/12*2,IF($J27&gt;=7,$E27*$I27/12*3,0))))))</f>
        <v>0</v>
      </c>
      <c r="CN27" s="120">
        <f t="shared" ref="CN27:CN32" si="95">IF($H27&lt;&gt;CP$5,0,IF(CP27&gt;0,IF(OR($J27=1,$J27=2,$J27=3,$J27=4,$J27=5,$J27=6,$J27=7),$E27*$I27/12*3,IF($J27=8,$E27*$I27/12*2,IF($J27=9,$E27*$I27/12*1,0)))))+IF(CK$5&lt;&gt;$H27,0,IF(CK27&gt;0,IF($J27=7,$E27*$I27/12*0,IF($J27=8,$E27*$I27/12*1,IF($J27=9,$E27*$I27/12*2,IF($J27&gt;=10,$E27*$I27/12*3,0))))))</f>
        <v>0</v>
      </c>
      <c r="CO27" s="121">
        <f t="shared" ref="CO27:CO32" si="96">IF($H27&lt;&gt;CP$5,0,IF(CP27&gt;0,IF(OR($J27=1,$J27=2,$J27=3,$J27=4,$J27=5,$J27=6,$J27=7,$J27=8,$J27=9,$J27=10),$E27*$I27/12*3,IF($J27=11,$E27*$I27/12*2,IF($J27=12,$E27*$I27/12*1,0)))))+IF(CK$5&lt;&gt;$H27,0,IF(CK27&gt;0,IF($J27=10,$E27*$I27/12*0,IF($J27=11,$E27*$I27/12*1,IF($J27=12,$E27*$I27/12*2,0)))))</f>
        <v>0</v>
      </c>
      <c r="CP27" s="118">
        <f t="shared" ref="CP27:CP32" si="97">IF(AND(CK27&lt;&gt;0,CK$5=$H27),$I27*$E27-CK27,IF(CP$5=$H27,$I27*$E27*(12-$J27+1)/12,0))</f>
        <v>0</v>
      </c>
      <c r="CQ27" s="119">
        <f t="shared" ref="CQ27:CQ32" si="98">IF($H27&lt;&gt;CU$5,0,IF(CU27&gt;0,IF($J27=1,$E27*$I27/12*3,IF($J27=2,$E27*$I27/12*2,IF($J27=3,$E27*$I27/12*1,0)))))+IF(CP$5&lt;&gt;$H27,0,IF(CP27&gt;0,IF($J27=1,$E27*$I27/12*0,IF($J27=2,$E27*$I27/12*1,IF($J27=3,$E27*$I27/12*2,IF($J27&gt;=4,$E27*$I27/12*3,0))))))</f>
        <v>0</v>
      </c>
      <c r="CR27" s="120">
        <f t="shared" ref="CR27:CR32" si="99">IF($H27&lt;&gt;CU$5,0,IF(CU27&gt;0,IF(OR($J27=1,$J27=2,$J27=3,$J27=4),$E27*$I27/12*3,IF($J27=5,$E27*$I27/12*2,IF($J27=6,$E27*$I27/12*1,0)))))+IF(CP$5&lt;&gt;$H27,0,IF(CP27&gt;0,IF($J27=4,$E27*$I27/12*0,IF($J27=5,$E27*$I27/12*1,IF($J27=6,$E27*$I27/12*2,IF($J27&gt;=7,$E27*$I27/12*3,0))))))</f>
        <v>0</v>
      </c>
      <c r="CS27" s="120">
        <f t="shared" ref="CS27:CS32" si="100">IF($H27&lt;&gt;CU$5,0,IF(CU27&gt;0,IF(OR($J27=1,$J27=2,$J27=3,$J27=4,$J27=5,$J27=6,$J27=7),$E27*$I27/12*3,IF($J27=8,$E27*$I27/12*2,IF($J27=9,$E27*$I27/12*1,0)))))+IF(CP$5&lt;&gt;$H27,0,IF(CP27&gt;0,IF($J27=7,$E27*$I27/12*0,IF($J27=8,$E27*$I27/12*1,IF($J27=9,$E27*$I27/12*2,IF($J27&gt;=10,$E27*$I27/12*3,0))))))</f>
        <v>0</v>
      </c>
      <c r="CT27" s="121">
        <f t="shared" ref="CT27:CT32" si="101">IF($H27&lt;&gt;CU$5,0,IF(CU27&gt;0,IF(OR($J27=1,$J27=2,$J27=3,$J27=4,$J27=5,$J27=6,$J27=7,$J27=8,$J27=9,$J27=10),$E27*$I27/12*3,IF($J27=11,$E27*$I27/12*2,IF($J27=12,$E27*$I27/12*1,0)))))+IF(CP$5&lt;&gt;$H27,0,IF(CP27&gt;0,IF($J27=10,$E27*$I27/12*0,IF($J27=11,$E27*$I27/12*1,IF($J27=12,$E27*$I27/12*2,0)))))</f>
        <v>0</v>
      </c>
      <c r="CU27" s="118">
        <f t="shared" ref="CU27:CU32" si="102">IF(AND(CP27&lt;&gt;0,CP$5=$H27),$I27*$E27-CP27,IF(CU$5=$H27,$I27*$E27*(12-$J27+1)/12,0))</f>
        <v>0</v>
      </c>
      <c r="CV27" s="119">
        <f t="shared" ref="CV27:CV32" si="103">IF($H27&lt;&gt;CZ$5,0,IF(CZ27&gt;0,IF($J27=1,$E27*$I27/12*3,IF($J27=2,$E27*$I27/12*2,IF($J27=3,$E27*$I27/12*1,0)))))+IF(CU$5&lt;&gt;$H27,0,IF(CU27&gt;0,IF($J27=1,$E27*$I27/12*0,IF($J27=2,$E27*$I27/12*1,IF($J27=3,$E27*$I27/12*2,IF($J27&gt;=4,$E27*$I27/12*3,0))))))</f>
        <v>0</v>
      </c>
      <c r="CW27" s="120">
        <f t="shared" ref="CW27:CW32" si="104">IF($H27&lt;&gt;CZ$5,0,IF(CZ27&gt;0,IF(OR($J27=1,$J27=2,$J27=3,$J27=4),$E27*$I27/12*3,IF($J27=5,$E27*$I27/12*2,IF($J27=6,$E27*$I27/12*1,0)))))+IF(CU$5&lt;&gt;$H27,0,IF(CU27&gt;0,IF($J27=4,$E27*$I27/12*0,IF($J27=5,$E27*$I27/12*1,IF($J27=6,$E27*$I27/12*2,IF($J27&gt;=7,$E27*$I27/12*3,0))))))</f>
        <v>0</v>
      </c>
      <c r="CX27" s="120">
        <f t="shared" ref="CX27:CX32" si="105">IF($H27&lt;&gt;CZ$5,0,IF(CZ27&gt;0,IF(OR($J27=1,$J27=2,$J27=3,$J27=4,$J27=5,$J27=6,$J27=7),$E27*$I27/12*3,IF($J27=8,$E27*$I27/12*2,IF($J27=9,$E27*$I27/12*1,0)))))+IF(CU$5&lt;&gt;$H27,0,IF(CU27&gt;0,IF($J27=7,$E27*$I27/12*0,IF($J27=8,$E27*$I27/12*1,IF($J27=9,$E27*$I27/12*2,IF($J27&gt;=10,$E27*$I27/12*3,0))))))</f>
        <v>0</v>
      </c>
      <c r="CY27" s="121">
        <f t="shared" ref="CY27:CY32" si="106">IF($H27&lt;&gt;CZ$5,0,IF(CZ27&gt;0,IF(OR($J27=1,$J27=2,$J27=3,$J27=4,$J27=5,$J27=6,$J27=7,$J27=8,$J27=9,$J27=10),$E27*$I27/12*3,IF($J27=11,$E27*$I27/12*2,IF($J27=12,$E27*$I27/12*1,0)))))+IF(CU$5&lt;&gt;$H27,0,IF(CU27&gt;0,IF($J27=10,$E27*$I27/12*0,IF($J27=11,$E27*$I27/12*1,IF($J27=12,$E27*$I27/12*2,0)))))</f>
        <v>0</v>
      </c>
      <c r="CZ27" s="118">
        <f t="shared" ref="CZ27:CZ32" si="107">IF(AND(CU27&lt;&gt;0,CU$5=$H27),$I27*$E27-CU27,IF(CZ$5=$H27,$I27*$E27*(12-$J27+1)/12,0))</f>
        <v>0</v>
      </c>
    </row>
    <row r="28" spans="1:104" ht="12.75" customHeight="1">
      <c r="A28" s="7"/>
      <c r="B28" s="7"/>
      <c r="C28" s="880" t="s">
        <v>1081</v>
      </c>
      <c r="D28" s="190"/>
      <c r="E28" s="1346">
        <v>700</v>
      </c>
      <c r="F28" s="1346"/>
      <c r="G28" s="1346"/>
      <c r="H28" s="442">
        <v>2017</v>
      </c>
      <c r="I28" s="220">
        <v>0.02</v>
      </c>
      <c r="J28" s="442">
        <v>6</v>
      </c>
      <c r="K28" s="112"/>
      <c r="L28" s="270">
        <f t="shared" si="16"/>
        <v>0</v>
      </c>
      <c r="M28" s="271">
        <f t="shared" si="17"/>
        <v>0</v>
      </c>
      <c r="N28" s="272">
        <f t="shared" si="18"/>
        <v>0</v>
      </c>
      <c r="O28" s="272">
        <f t="shared" si="19"/>
        <v>0</v>
      </c>
      <c r="P28" s="1226">
        <f t="shared" si="20"/>
        <v>0</v>
      </c>
      <c r="Q28" s="270">
        <f t="shared" si="21"/>
        <v>0</v>
      </c>
      <c r="R28" s="271">
        <f t="shared" si="22"/>
        <v>0</v>
      </c>
      <c r="S28" s="272">
        <f t="shared" si="23"/>
        <v>0</v>
      </c>
      <c r="T28" s="272">
        <f t="shared" si="24"/>
        <v>0</v>
      </c>
      <c r="U28" s="1226">
        <f t="shared" si="25"/>
        <v>0</v>
      </c>
      <c r="V28" s="270">
        <f t="shared" si="26"/>
        <v>0</v>
      </c>
      <c r="W28" s="271">
        <f t="shared" si="27"/>
        <v>0</v>
      </c>
      <c r="X28" s="272">
        <f t="shared" si="28"/>
        <v>0</v>
      </c>
      <c r="Y28" s="272">
        <f t="shared" si="29"/>
        <v>0</v>
      </c>
      <c r="Z28" s="1226">
        <f t="shared" si="30"/>
        <v>0</v>
      </c>
      <c r="AA28" s="270">
        <f t="shared" si="31"/>
        <v>0</v>
      </c>
      <c r="AB28" s="271">
        <f t="shared" si="32"/>
        <v>0</v>
      </c>
      <c r="AC28" s="272">
        <f t="shared" si="33"/>
        <v>0</v>
      </c>
      <c r="AD28" s="272">
        <f t="shared" si="34"/>
        <v>0</v>
      </c>
      <c r="AE28" s="1226">
        <f t="shared" si="35"/>
        <v>0</v>
      </c>
      <c r="AF28" s="270">
        <f t="shared" si="36"/>
        <v>0</v>
      </c>
      <c r="AG28" s="271">
        <f t="shared" si="37"/>
        <v>0</v>
      </c>
      <c r="AH28" s="272">
        <f t="shared" si="38"/>
        <v>700</v>
      </c>
      <c r="AI28" s="272">
        <f t="shared" si="39"/>
        <v>0</v>
      </c>
      <c r="AJ28" s="1226">
        <f t="shared" si="40"/>
        <v>0</v>
      </c>
      <c r="AK28" s="270">
        <f t="shared" si="41"/>
        <v>700</v>
      </c>
      <c r="AL28" s="271">
        <f t="shared" si="42"/>
        <v>0</v>
      </c>
      <c r="AM28" s="272">
        <f t="shared" si="43"/>
        <v>0</v>
      </c>
      <c r="AN28" s="272">
        <f t="shared" si="44"/>
        <v>0</v>
      </c>
      <c r="AO28" s="1226">
        <f t="shared" si="45"/>
        <v>0</v>
      </c>
      <c r="AP28" s="270">
        <f t="shared" si="46"/>
        <v>0</v>
      </c>
      <c r="AQ28" s="271">
        <f t="shared" si="47"/>
        <v>0</v>
      </c>
      <c r="AR28" s="272">
        <f t="shared" si="48"/>
        <v>0</v>
      </c>
      <c r="AS28" s="272">
        <f t="shared" si="49"/>
        <v>0</v>
      </c>
      <c r="AT28" s="1226">
        <f t="shared" si="50"/>
        <v>0</v>
      </c>
      <c r="AU28" s="270">
        <f t="shared" si="51"/>
        <v>0</v>
      </c>
      <c r="AV28" s="271">
        <f t="shared" si="52"/>
        <v>0</v>
      </c>
      <c r="AW28" s="272">
        <f t="shared" si="53"/>
        <v>0</v>
      </c>
      <c r="AX28" s="272">
        <f t="shared" si="54"/>
        <v>0</v>
      </c>
      <c r="AY28" s="1226">
        <f t="shared" si="55"/>
        <v>0</v>
      </c>
      <c r="AZ28" s="270">
        <f t="shared" si="56"/>
        <v>0</v>
      </c>
      <c r="BA28" s="271">
        <f t="shared" si="57"/>
        <v>0</v>
      </c>
      <c r="BB28" s="272">
        <f t="shared" si="58"/>
        <v>0</v>
      </c>
      <c r="BC28" s="272">
        <f t="shared" si="59"/>
        <v>0</v>
      </c>
      <c r="BD28" s="1226">
        <f t="shared" si="60"/>
        <v>0</v>
      </c>
      <c r="BE28" s="270">
        <f t="shared" si="61"/>
        <v>0</v>
      </c>
      <c r="BF28" s="273"/>
      <c r="BG28" s="118">
        <f t="shared" si="62"/>
        <v>0</v>
      </c>
      <c r="BH28" s="119">
        <f t="shared" si="63"/>
        <v>0</v>
      </c>
      <c r="BI28" s="120">
        <f t="shared" si="64"/>
        <v>0</v>
      </c>
      <c r="BJ28" s="120">
        <f t="shared" si="65"/>
        <v>0</v>
      </c>
      <c r="BK28" s="121">
        <f t="shared" si="66"/>
        <v>0</v>
      </c>
      <c r="BL28" s="118">
        <f t="shared" si="67"/>
        <v>0</v>
      </c>
      <c r="BM28" s="119">
        <f t="shared" si="68"/>
        <v>0</v>
      </c>
      <c r="BN28" s="120">
        <f t="shared" si="69"/>
        <v>0</v>
      </c>
      <c r="BO28" s="120">
        <f t="shared" si="70"/>
        <v>0</v>
      </c>
      <c r="BP28" s="121">
        <f t="shared" si="71"/>
        <v>0</v>
      </c>
      <c r="BQ28" s="118">
        <f t="shared" si="72"/>
        <v>0</v>
      </c>
      <c r="BR28" s="119">
        <f t="shared" si="73"/>
        <v>0</v>
      </c>
      <c r="BS28" s="120">
        <f t="shared" si="74"/>
        <v>0</v>
      </c>
      <c r="BT28" s="120">
        <f t="shared" si="75"/>
        <v>0</v>
      </c>
      <c r="BU28" s="121">
        <f t="shared" si="76"/>
        <v>0</v>
      </c>
      <c r="BV28" s="118">
        <f t="shared" si="77"/>
        <v>0</v>
      </c>
      <c r="BW28" s="119">
        <f t="shared" si="78"/>
        <v>0</v>
      </c>
      <c r="BX28" s="120">
        <f t="shared" si="79"/>
        <v>0</v>
      </c>
      <c r="BY28" s="120">
        <f t="shared" si="80"/>
        <v>0</v>
      </c>
      <c r="BZ28" s="121">
        <f t="shared" si="81"/>
        <v>0</v>
      </c>
      <c r="CA28" s="118">
        <f t="shared" si="82"/>
        <v>0</v>
      </c>
      <c r="CB28" s="119">
        <f t="shared" si="83"/>
        <v>0</v>
      </c>
      <c r="CC28" s="120">
        <f t="shared" si="84"/>
        <v>1.1666666666666667</v>
      </c>
      <c r="CD28" s="120">
        <f t="shared" si="85"/>
        <v>3.5</v>
      </c>
      <c r="CE28" s="121">
        <f t="shared" si="86"/>
        <v>3.5</v>
      </c>
      <c r="CF28" s="118">
        <f t="shared" si="87"/>
        <v>8.1666666666666661</v>
      </c>
      <c r="CG28" s="119">
        <f t="shared" si="88"/>
        <v>3.5</v>
      </c>
      <c r="CH28" s="120">
        <f t="shared" si="89"/>
        <v>2.3333333333333335</v>
      </c>
      <c r="CI28" s="120">
        <f t="shared" si="90"/>
        <v>0</v>
      </c>
      <c r="CJ28" s="121">
        <f t="shared" si="91"/>
        <v>0</v>
      </c>
      <c r="CK28" s="118">
        <f t="shared" si="92"/>
        <v>5.8333333333333339</v>
      </c>
      <c r="CL28" s="119">
        <f t="shared" si="93"/>
        <v>0</v>
      </c>
      <c r="CM28" s="120">
        <f t="shared" si="94"/>
        <v>0</v>
      </c>
      <c r="CN28" s="120">
        <f t="shared" si="95"/>
        <v>0</v>
      </c>
      <c r="CO28" s="121">
        <f t="shared" si="96"/>
        <v>0</v>
      </c>
      <c r="CP28" s="118">
        <f t="shared" si="97"/>
        <v>0</v>
      </c>
      <c r="CQ28" s="119">
        <f t="shared" si="98"/>
        <v>0</v>
      </c>
      <c r="CR28" s="120">
        <f t="shared" si="99"/>
        <v>0</v>
      </c>
      <c r="CS28" s="120">
        <f t="shared" si="100"/>
        <v>0</v>
      </c>
      <c r="CT28" s="121">
        <f t="shared" si="101"/>
        <v>0</v>
      </c>
      <c r="CU28" s="118">
        <f t="shared" si="102"/>
        <v>0</v>
      </c>
      <c r="CV28" s="119">
        <f t="shared" si="103"/>
        <v>0</v>
      </c>
      <c r="CW28" s="120">
        <f t="shared" si="104"/>
        <v>0</v>
      </c>
      <c r="CX28" s="120">
        <f t="shared" si="105"/>
        <v>0</v>
      </c>
      <c r="CY28" s="121">
        <f t="shared" si="106"/>
        <v>0</v>
      </c>
      <c r="CZ28" s="118">
        <f t="shared" si="107"/>
        <v>0</v>
      </c>
    </row>
    <row r="29" spans="1:104" ht="12.75" customHeight="1">
      <c r="A29" s="7"/>
      <c r="B29" s="7"/>
      <c r="C29" s="189" t="s">
        <v>884</v>
      </c>
      <c r="D29" s="190"/>
      <c r="E29" s="191">
        <f>+Parent!BB42</f>
        <v>1000</v>
      </c>
      <c r="F29" s="444"/>
      <c r="G29" s="444"/>
      <c r="H29" s="219">
        <v>2018</v>
      </c>
      <c r="I29" s="220">
        <v>0.05</v>
      </c>
      <c r="J29" s="219">
        <v>1</v>
      </c>
      <c r="K29" s="112"/>
      <c r="L29" s="270">
        <f t="shared" si="16"/>
        <v>0</v>
      </c>
      <c r="M29" s="271">
        <f t="shared" si="17"/>
        <v>0</v>
      </c>
      <c r="N29" s="272">
        <f t="shared" si="18"/>
        <v>0</v>
      </c>
      <c r="O29" s="272">
        <f t="shared" si="19"/>
        <v>0</v>
      </c>
      <c r="P29" s="1226">
        <f t="shared" si="20"/>
        <v>0</v>
      </c>
      <c r="Q29" s="270">
        <f t="shared" si="21"/>
        <v>0</v>
      </c>
      <c r="R29" s="271">
        <f t="shared" si="22"/>
        <v>0</v>
      </c>
      <c r="S29" s="272">
        <f t="shared" si="23"/>
        <v>0</v>
      </c>
      <c r="T29" s="272">
        <f t="shared" si="24"/>
        <v>0</v>
      </c>
      <c r="U29" s="1226">
        <f t="shared" si="25"/>
        <v>0</v>
      </c>
      <c r="V29" s="270">
        <f t="shared" si="26"/>
        <v>0</v>
      </c>
      <c r="W29" s="271">
        <f t="shared" si="27"/>
        <v>0</v>
      </c>
      <c r="X29" s="272">
        <f t="shared" si="28"/>
        <v>0</v>
      </c>
      <c r="Y29" s="272">
        <f t="shared" si="29"/>
        <v>0</v>
      </c>
      <c r="Z29" s="1226">
        <f t="shared" si="30"/>
        <v>0</v>
      </c>
      <c r="AA29" s="270">
        <f t="shared" si="31"/>
        <v>0</v>
      </c>
      <c r="AB29" s="271">
        <f t="shared" si="32"/>
        <v>0</v>
      </c>
      <c r="AC29" s="272">
        <f t="shared" si="33"/>
        <v>0</v>
      </c>
      <c r="AD29" s="272">
        <f t="shared" si="34"/>
        <v>0</v>
      </c>
      <c r="AE29" s="1226">
        <f t="shared" si="35"/>
        <v>0</v>
      </c>
      <c r="AF29" s="270">
        <f t="shared" si="36"/>
        <v>0</v>
      </c>
      <c r="AG29" s="271">
        <f t="shared" si="37"/>
        <v>0</v>
      </c>
      <c r="AH29" s="272">
        <f t="shared" si="38"/>
        <v>0</v>
      </c>
      <c r="AI29" s="272">
        <f t="shared" si="39"/>
        <v>0</v>
      </c>
      <c r="AJ29" s="1226">
        <f t="shared" si="40"/>
        <v>0</v>
      </c>
      <c r="AK29" s="270">
        <f t="shared" si="41"/>
        <v>0</v>
      </c>
      <c r="AL29" s="271">
        <f t="shared" si="42"/>
        <v>1000</v>
      </c>
      <c r="AM29" s="272">
        <f t="shared" si="43"/>
        <v>0</v>
      </c>
      <c r="AN29" s="272">
        <f t="shared" si="44"/>
        <v>0</v>
      </c>
      <c r="AO29" s="1226">
        <f t="shared" si="45"/>
        <v>0</v>
      </c>
      <c r="AP29" s="270">
        <f t="shared" si="46"/>
        <v>1000</v>
      </c>
      <c r="AQ29" s="271">
        <f t="shared" si="47"/>
        <v>0</v>
      </c>
      <c r="AR29" s="272">
        <f t="shared" si="48"/>
        <v>0</v>
      </c>
      <c r="AS29" s="272">
        <f t="shared" si="49"/>
        <v>0</v>
      </c>
      <c r="AT29" s="1226">
        <f t="shared" si="50"/>
        <v>0</v>
      </c>
      <c r="AU29" s="270">
        <f t="shared" si="51"/>
        <v>0</v>
      </c>
      <c r="AV29" s="271">
        <f t="shared" si="52"/>
        <v>0</v>
      </c>
      <c r="AW29" s="272">
        <f t="shared" si="53"/>
        <v>0</v>
      </c>
      <c r="AX29" s="272">
        <f t="shared" si="54"/>
        <v>0</v>
      </c>
      <c r="AY29" s="1226">
        <f t="shared" si="55"/>
        <v>0</v>
      </c>
      <c r="AZ29" s="270">
        <f t="shared" si="56"/>
        <v>0</v>
      </c>
      <c r="BA29" s="271">
        <f t="shared" si="57"/>
        <v>0</v>
      </c>
      <c r="BB29" s="272">
        <f t="shared" si="58"/>
        <v>0</v>
      </c>
      <c r="BC29" s="272">
        <f t="shared" si="59"/>
        <v>0</v>
      </c>
      <c r="BD29" s="1226">
        <f t="shared" si="60"/>
        <v>0</v>
      </c>
      <c r="BE29" s="270">
        <f t="shared" si="61"/>
        <v>0</v>
      </c>
      <c r="BF29" s="273"/>
      <c r="BG29" s="118">
        <f t="shared" si="62"/>
        <v>0</v>
      </c>
      <c r="BH29" s="119">
        <f t="shared" si="63"/>
        <v>0</v>
      </c>
      <c r="BI29" s="120">
        <f t="shared" si="64"/>
        <v>0</v>
      </c>
      <c r="BJ29" s="120">
        <f t="shared" si="65"/>
        <v>0</v>
      </c>
      <c r="BK29" s="121">
        <f t="shared" si="66"/>
        <v>0</v>
      </c>
      <c r="BL29" s="118">
        <f t="shared" si="67"/>
        <v>0</v>
      </c>
      <c r="BM29" s="119">
        <f t="shared" si="68"/>
        <v>0</v>
      </c>
      <c r="BN29" s="120">
        <f t="shared" si="69"/>
        <v>0</v>
      </c>
      <c r="BO29" s="120">
        <f t="shared" si="70"/>
        <v>0</v>
      </c>
      <c r="BP29" s="121">
        <f t="shared" si="71"/>
        <v>0</v>
      </c>
      <c r="BQ29" s="118">
        <f t="shared" si="72"/>
        <v>0</v>
      </c>
      <c r="BR29" s="119">
        <f t="shared" si="73"/>
        <v>0</v>
      </c>
      <c r="BS29" s="120">
        <f t="shared" si="74"/>
        <v>0</v>
      </c>
      <c r="BT29" s="120">
        <f t="shared" si="75"/>
        <v>0</v>
      </c>
      <c r="BU29" s="121">
        <f t="shared" si="76"/>
        <v>0</v>
      </c>
      <c r="BV29" s="118">
        <f t="shared" si="77"/>
        <v>0</v>
      </c>
      <c r="BW29" s="119">
        <f t="shared" si="78"/>
        <v>0</v>
      </c>
      <c r="BX29" s="120">
        <f t="shared" si="79"/>
        <v>0</v>
      </c>
      <c r="BY29" s="120">
        <f t="shared" si="80"/>
        <v>0</v>
      </c>
      <c r="BZ29" s="121">
        <f t="shared" si="81"/>
        <v>0</v>
      </c>
      <c r="CA29" s="118">
        <f t="shared" si="82"/>
        <v>0</v>
      </c>
      <c r="CB29" s="119">
        <f t="shared" si="83"/>
        <v>0</v>
      </c>
      <c r="CC29" s="120">
        <f t="shared" si="84"/>
        <v>0</v>
      </c>
      <c r="CD29" s="120">
        <f t="shared" si="85"/>
        <v>0</v>
      </c>
      <c r="CE29" s="121">
        <f t="shared" si="86"/>
        <v>0</v>
      </c>
      <c r="CF29" s="118">
        <f t="shared" si="87"/>
        <v>0</v>
      </c>
      <c r="CG29" s="119">
        <f t="shared" si="88"/>
        <v>12.5</v>
      </c>
      <c r="CH29" s="120">
        <f t="shared" si="89"/>
        <v>12.5</v>
      </c>
      <c r="CI29" s="120">
        <f t="shared" si="90"/>
        <v>12.5</v>
      </c>
      <c r="CJ29" s="121">
        <f t="shared" si="91"/>
        <v>12.5</v>
      </c>
      <c r="CK29" s="118">
        <f t="shared" si="92"/>
        <v>50</v>
      </c>
      <c r="CL29" s="119">
        <f t="shared" si="93"/>
        <v>0</v>
      </c>
      <c r="CM29" s="120">
        <f t="shared" si="94"/>
        <v>0</v>
      </c>
      <c r="CN29" s="120">
        <f t="shared" si="95"/>
        <v>0</v>
      </c>
      <c r="CO29" s="121">
        <f t="shared" si="96"/>
        <v>0</v>
      </c>
      <c r="CP29" s="118">
        <f t="shared" si="97"/>
        <v>0</v>
      </c>
      <c r="CQ29" s="119">
        <f t="shared" si="98"/>
        <v>0</v>
      </c>
      <c r="CR29" s="120">
        <f t="shared" si="99"/>
        <v>0</v>
      </c>
      <c r="CS29" s="120">
        <f t="shared" si="100"/>
        <v>0</v>
      </c>
      <c r="CT29" s="121">
        <f t="shared" si="101"/>
        <v>0</v>
      </c>
      <c r="CU29" s="118">
        <f t="shared" si="102"/>
        <v>0</v>
      </c>
      <c r="CV29" s="119">
        <f t="shared" si="103"/>
        <v>0</v>
      </c>
      <c r="CW29" s="120">
        <f t="shared" si="104"/>
        <v>0</v>
      </c>
      <c r="CX29" s="120">
        <f t="shared" si="105"/>
        <v>0</v>
      </c>
      <c r="CY29" s="121">
        <f t="shared" si="106"/>
        <v>0</v>
      </c>
      <c r="CZ29" s="118">
        <f t="shared" si="107"/>
        <v>0</v>
      </c>
    </row>
    <row r="30" spans="1:104" ht="12.75" customHeight="1">
      <c r="A30" s="7"/>
      <c r="B30" s="7"/>
      <c r="C30" s="1508" t="s">
        <v>955</v>
      </c>
      <c r="D30" s="190"/>
      <c r="E30" s="191">
        <f>Parent!$BG$42</f>
        <v>1300</v>
      </c>
      <c r="F30" s="444"/>
      <c r="G30" s="444"/>
      <c r="H30" s="219">
        <v>2019</v>
      </c>
      <c r="I30" s="220">
        <v>0.05</v>
      </c>
      <c r="J30" s="219">
        <v>7</v>
      </c>
      <c r="K30" s="112"/>
      <c r="L30" s="270">
        <f t="shared" si="16"/>
        <v>0</v>
      </c>
      <c r="M30" s="271">
        <f t="shared" si="17"/>
        <v>0</v>
      </c>
      <c r="N30" s="272">
        <f t="shared" si="18"/>
        <v>0</v>
      </c>
      <c r="O30" s="272">
        <f t="shared" si="19"/>
        <v>0</v>
      </c>
      <c r="P30" s="1226">
        <f t="shared" si="20"/>
        <v>0</v>
      </c>
      <c r="Q30" s="270">
        <f t="shared" si="21"/>
        <v>0</v>
      </c>
      <c r="R30" s="271">
        <f t="shared" si="22"/>
        <v>0</v>
      </c>
      <c r="S30" s="272">
        <f t="shared" si="23"/>
        <v>0</v>
      </c>
      <c r="T30" s="272">
        <f t="shared" si="24"/>
        <v>0</v>
      </c>
      <c r="U30" s="1226">
        <f t="shared" si="25"/>
        <v>0</v>
      </c>
      <c r="V30" s="270">
        <f t="shared" si="26"/>
        <v>0</v>
      </c>
      <c r="W30" s="271">
        <f t="shared" si="27"/>
        <v>0</v>
      </c>
      <c r="X30" s="272">
        <f t="shared" si="28"/>
        <v>0</v>
      </c>
      <c r="Y30" s="272">
        <f t="shared" si="29"/>
        <v>0</v>
      </c>
      <c r="Z30" s="1226">
        <f t="shared" si="30"/>
        <v>0</v>
      </c>
      <c r="AA30" s="270">
        <f t="shared" si="31"/>
        <v>0</v>
      </c>
      <c r="AB30" s="271">
        <f t="shared" si="32"/>
        <v>0</v>
      </c>
      <c r="AC30" s="272">
        <f t="shared" si="33"/>
        <v>0</v>
      </c>
      <c r="AD30" s="272">
        <f t="shared" si="34"/>
        <v>0</v>
      </c>
      <c r="AE30" s="1226">
        <f t="shared" si="35"/>
        <v>0</v>
      </c>
      <c r="AF30" s="270">
        <f t="shared" si="36"/>
        <v>0</v>
      </c>
      <c r="AG30" s="271">
        <f t="shared" si="37"/>
        <v>0</v>
      </c>
      <c r="AH30" s="272">
        <f t="shared" si="38"/>
        <v>0</v>
      </c>
      <c r="AI30" s="272">
        <f t="shared" si="39"/>
        <v>0</v>
      </c>
      <c r="AJ30" s="1226">
        <f t="shared" si="40"/>
        <v>0</v>
      </c>
      <c r="AK30" s="270">
        <f t="shared" si="41"/>
        <v>0</v>
      </c>
      <c r="AL30" s="271">
        <f t="shared" si="42"/>
        <v>0</v>
      </c>
      <c r="AM30" s="272">
        <f t="shared" si="43"/>
        <v>0</v>
      </c>
      <c r="AN30" s="272">
        <f t="shared" si="44"/>
        <v>0</v>
      </c>
      <c r="AO30" s="1226">
        <f t="shared" si="45"/>
        <v>0</v>
      </c>
      <c r="AP30" s="270">
        <f t="shared" si="46"/>
        <v>0</v>
      </c>
      <c r="AQ30" s="271">
        <f t="shared" si="47"/>
        <v>0</v>
      </c>
      <c r="AR30" s="272">
        <f t="shared" si="48"/>
        <v>0</v>
      </c>
      <c r="AS30" s="272">
        <f t="shared" si="49"/>
        <v>1300</v>
      </c>
      <c r="AT30" s="1226">
        <f t="shared" si="50"/>
        <v>0</v>
      </c>
      <c r="AU30" s="270">
        <f t="shared" si="51"/>
        <v>1300</v>
      </c>
      <c r="AV30" s="271">
        <f t="shared" si="52"/>
        <v>0</v>
      </c>
      <c r="AW30" s="272">
        <f t="shared" si="53"/>
        <v>0</v>
      </c>
      <c r="AX30" s="272">
        <f t="shared" si="54"/>
        <v>0</v>
      </c>
      <c r="AY30" s="1226">
        <f t="shared" si="55"/>
        <v>0</v>
      </c>
      <c r="AZ30" s="270">
        <f t="shared" si="56"/>
        <v>0</v>
      </c>
      <c r="BA30" s="271">
        <f t="shared" si="57"/>
        <v>0</v>
      </c>
      <c r="BB30" s="272">
        <f t="shared" si="58"/>
        <v>0</v>
      </c>
      <c r="BC30" s="272">
        <f t="shared" si="59"/>
        <v>0</v>
      </c>
      <c r="BD30" s="1226">
        <f t="shared" si="60"/>
        <v>0</v>
      </c>
      <c r="BE30" s="270">
        <f t="shared" si="61"/>
        <v>0</v>
      </c>
      <c r="BF30" s="273"/>
      <c r="BG30" s="118">
        <f t="shared" si="62"/>
        <v>0</v>
      </c>
      <c r="BH30" s="119">
        <f t="shared" si="63"/>
        <v>0</v>
      </c>
      <c r="BI30" s="120">
        <f t="shared" si="64"/>
        <v>0</v>
      </c>
      <c r="BJ30" s="120">
        <f t="shared" si="65"/>
        <v>0</v>
      </c>
      <c r="BK30" s="121">
        <f t="shared" si="66"/>
        <v>0</v>
      </c>
      <c r="BL30" s="118">
        <f t="shared" si="67"/>
        <v>0</v>
      </c>
      <c r="BM30" s="119">
        <f t="shared" si="68"/>
        <v>0</v>
      </c>
      <c r="BN30" s="120">
        <f t="shared" si="69"/>
        <v>0</v>
      </c>
      <c r="BO30" s="120">
        <f t="shared" si="70"/>
        <v>0</v>
      </c>
      <c r="BP30" s="121">
        <f t="shared" si="71"/>
        <v>0</v>
      </c>
      <c r="BQ30" s="118">
        <f t="shared" si="72"/>
        <v>0</v>
      </c>
      <c r="BR30" s="119">
        <f t="shared" si="73"/>
        <v>0</v>
      </c>
      <c r="BS30" s="120">
        <f t="shared" si="74"/>
        <v>0</v>
      </c>
      <c r="BT30" s="120">
        <f t="shared" si="75"/>
        <v>0</v>
      </c>
      <c r="BU30" s="121">
        <f t="shared" si="76"/>
        <v>0</v>
      </c>
      <c r="BV30" s="118">
        <f t="shared" si="77"/>
        <v>0</v>
      </c>
      <c r="BW30" s="119">
        <f t="shared" si="78"/>
        <v>0</v>
      </c>
      <c r="BX30" s="120">
        <f t="shared" si="79"/>
        <v>0</v>
      </c>
      <c r="BY30" s="120">
        <f t="shared" si="80"/>
        <v>0</v>
      </c>
      <c r="BZ30" s="121">
        <f t="shared" si="81"/>
        <v>0</v>
      </c>
      <c r="CA30" s="118">
        <f t="shared" si="82"/>
        <v>0</v>
      </c>
      <c r="CB30" s="119">
        <f t="shared" si="83"/>
        <v>0</v>
      </c>
      <c r="CC30" s="120">
        <f t="shared" si="84"/>
        <v>0</v>
      </c>
      <c r="CD30" s="120">
        <f t="shared" si="85"/>
        <v>0</v>
      </c>
      <c r="CE30" s="121">
        <f t="shared" si="86"/>
        <v>0</v>
      </c>
      <c r="CF30" s="118">
        <f t="shared" si="87"/>
        <v>0</v>
      </c>
      <c r="CG30" s="119">
        <f t="shared" si="88"/>
        <v>0</v>
      </c>
      <c r="CH30" s="120">
        <f t="shared" si="89"/>
        <v>0</v>
      </c>
      <c r="CI30" s="120">
        <f t="shared" si="90"/>
        <v>0</v>
      </c>
      <c r="CJ30" s="121">
        <f t="shared" si="91"/>
        <v>0</v>
      </c>
      <c r="CK30" s="118">
        <f t="shared" si="92"/>
        <v>0</v>
      </c>
      <c r="CL30" s="119">
        <f t="shared" si="93"/>
        <v>0</v>
      </c>
      <c r="CM30" s="120">
        <f t="shared" si="94"/>
        <v>0</v>
      </c>
      <c r="CN30" s="120">
        <f t="shared" si="95"/>
        <v>16.25</v>
      </c>
      <c r="CO30" s="121">
        <f t="shared" si="96"/>
        <v>16.25</v>
      </c>
      <c r="CP30" s="118">
        <f t="shared" si="97"/>
        <v>32.5</v>
      </c>
      <c r="CQ30" s="119">
        <f t="shared" si="98"/>
        <v>16.25</v>
      </c>
      <c r="CR30" s="120">
        <f t="shared" si="99"/>
        <v>16.25</v>
      </c>
      <c r="CS30" s="120">
        <f t="shared" si="100"/>
        <v>0</v>
      </c>
      <c r="CT30" s="121">
        <f t="shared" si="101"/>
        <v>0</v>
      </c>
      <c r="CU30" s="118">
        <f t="shared" si="102"/>
        <v>32.5</v>
      </c>
      <c r="CV30" s="119">
        <f t="shared" si="103"/>
        <v>0</v>
      </c>
      <c r="CW30" s="120">
        <f t="shared" si="104"/>
        <v>0</v>
      </c>
      <c r="CX30" s="120">
        <f t="shared" si="105"/>
        <v>0</v>
      </c>
      <c r="CY30" s="121">
        <f t="shared" si="106"/>
        <v>0</v>
      </c>
      <c r="CZ30" s="118">
        <f t="shared" si="107"/>
        <v>0</v>
      </c>
    </row>
    <row r="31" spans="1:104" ht="12.75" customHeight="1">
      <c r="A31" s="7"/>
      <c r="B31" s="7"/>
      <c r="C31" s="1508" t="s">
        <v>956</v>
      </c>
      <c r="D31" s="190"/>
      <c r="E31" s="191">
        <f>Parent!$BL$42</f>
        <v>100</v>
      </c>
      <c r="F31" s="444"/>
      <c r="G31" s="444"/>
      <c r="H31" s="219">
        <v>2020</v>
      </c>
      <c r="I31" s="220">
        <v>0.05</v>
      </c>
      <c r="J31" s="219">
        <v>7</v>
      </c>
      <c r="K31" s="112"/>
      <c r="L31" s="270">
        <f t="shared" si="16"/>
        <v>0</v>
      </c>
      <c r="M31" s="271">
        <f t="shared" si="17"/>
        <v>0</v>
      </c>
      <c r="N31" s="272">
        <f t="shared" si="18"/>
        <v>0</v>
      </c>
      <c r="O31" s="272">
        <f t="shared" si="19"/>
        <v>0</v>
      </c>
      <c r="P31" s="1226">
        <f t="shared" si="20"/>
        <v>0</v>
      </c>
      <c r="Q31" s="270">
        <f t="shared" si="21"/>
        <v>0</v>
      </c>
      <c r="R31" s="271">
        <f t="shared" si="22"/>
        <v>0</v>
      </c>
      <c r="S31" s="272">
        <f t="shared" si="23"/>
        <v>0</v>
      </c>
      <c r="T31" s="272">
        <f t="shared" si="24"/>
        <v>0</v>
      </c>
      <c r="U31" s="1226">
        <f t="shared" si="25"/>
        <v>0</v>
      </c>
      <c r="V31" s="270">
        <f t="shared" si="26"/>
        <v>0</v>
      </c>
      <c r="W31" s="271">
        <f t="shared" si="27"/>
        <v>0</v>
      </c>
      <c r="X31" s="272">
        <f t="shared" si="28"/>
        <v>0</v>
      </c>
      <c r="Y31" s="272">
        <f t="shared" si="29"/>
        <v>0</v>
      </c>
      <c r="Z31" s="1226">
        <f t="shared" si="30"/>
        <v>0</v>
      </c>
      <c r="AA31" s="270">
        <f t="shared" si="31"/>
        <v>0</v>
      </c>
      <c r="AB31" s="271">
        <f t="shared" si="32"/>
        <v>0</v>
      </c>
      <c r="AC31" s="272">
        <f t="shared" si="33"/>
        <v>0</v>
      </c>
      <c r="AD31" s="272">
        <f t="shared" si="34"/>
        <v>0</v>
      </c>
      <c r="AE31" s="1226">
        <f t="shared" si="35"/>
        <v>0</v>
      </c>
      <c r="AF31" s="270">
        <f t="shared" si="36"/>
        <v>0</v>
      </c>
      <c r="AG31" s="271">
        <f t="shared" si="37"/>
        <v>0</v>
      </c>
      <c r="AH31" s="272">
        <f t="shared" si="38"/>
        <v>0</v>
      </c>
      <c r="AI31" s="272">
        <f t="shared" si="39"/>
        <v>0</v>
      </c>
      <c r="AJ31" s="1226">
        <f t="shared" si="40"/>
        <v>0</v>
      </c>
      <c r="AK31" s="270">
        <f t="shared" si="41"/>
        <v>0</v>
      </c>
      <c r="AL31" s="271">
        <f t="shared" si="42"/>
        <v>0</v>
      </c>
      <c r="AM31" s="272">
        <f t="shared" si="43"/>
        <v>0</v>
      </c>
      <c r="AN31" s="272">
        <f t="shared" si="44"/>
        <v>0</v>
      </c>
      <c r="AO31" s="1226">
        <f t="shared" si="45"/>
        <v>0</v>
      </c>
      <c r="AP31" s="270">
        <f t="shared" si="46"/>
        <v>0</v>
      </c>
      <c r="AQ31" s="271">
        <f t="shared" si="47"/>
        <v>0</v>
      </c>
      <c r="AR31" s="272">
        <f t="shared" si="48"/>
        <v>0</v>
      </c>
      <c r="AS31" s="272">
        <f t="shared" si="49"/>
        <v>0</v>
      </c>
      <c r="AT31" s="1226">
        <f t="shared" si="50"/>
        <v>0</v>
      </c>
      <c r="AU31" s="270">
        <f t="shared" si="51"/>
        <v>0</v>
      </c>
      <c r="AV31" s="271">
        <f t="shared" si="52"/>
        <v>0</v>
      </c>
      <c r="AW31" s="272">
        <f t="shared" si="53"/>
        <v>0</v>
      </c>
      <c r="AX31" s="272">
        <f t="shared" si="54"/>
        <v>100</v>
      </c>
      <c r="AY31" s="1226">
        <f t="shared" si="55"/>
        <v>0</v>
      </c>
      <c r="AZ31" s="270">
        <f t="shared" si="56"/>
        <v>100</v>
      </c>
      <c r="BA31" s="271">
        <f t="shared" si="57"/>
        <v>0</v>
      </c>
      <c r="BB31" s="272">
        <f t="shared" si="58"/>
        <v>0</v>
      </c>
      <c r="BC31" s="272">
        <f t="shared" si="59"/>
        <v>0</v>
      </c>
      <c r="BD31" s="1226">
        <f t="shared" si="60"/>
        <v>0</v>
      </c>
      <c r="BE31" s="270">
        <f t="shared" si="61"/>
        <v>0</v>
      </c>
      <c r="BF31" s="273"/>
      <c r="BG31" s="118">
        <f t="shared" si="62"/>
        <v>0</v>
      </c>
      <c r="BH31" s="119">
        <f t="shared" si="63"/>
        <v>0</v>
      </c>
      <c r="BI31" s="120">
        <f t="shared" si="64"/>
        <v>0</v>
      </c>
      <c r="BJ31" s="120">
        <f t="shared" si="65"/>
        <v>0</v>
      </c>
      <c r="BK31" s="121">
        <f t="shared" si="66"/>
        <v>0</v>
      </c>
      <c r="BL31" s="118">
        <f t="shared" si="67"/>
        <v>0</v>
      </c>
      <c r="BM31" s="119">
        <f t="shared" si="68"/>
        <v>0</v>
      </c>
      <c r="BN31" s="120">
        <f t="shared" si="69"/>
        <v>0</v>
      </c>
      <c r="BO31" s="120">
        <f t="shared" si="70"/>
        <v>0</v>
      </c>
      <c r="BP31" s="121">
        <f t="shared" si="71"/>
        <v>0</v>
      </c>
      <c r="BQ31" s="118">
        <f t="shared" si="72"/>
        <v>0</v>
      </c>
      <c r="BR31" s="119">
        <f t="shared" si="73"/>
        <v>0</v>
      </c>
      <c r="BS31" s="120">
        <f t="shared" si="74"/>
        <v>0</v>
      </c>
      <c r="BT31" s="120">
        <f t="shared" si="75"/>
        <v>0</v>
      </c>
      <c r="BU31" s="121">
        <f t="shared" si="76"/>
        <v>0</v>
      </c>
      <c r="BV31" s="118">
        <f t="shared" si="77"/>
        <v>0</v>
      </c>
      <c r="BW31" s="119">
        <f t="shared" si="78"/>
        <v>0</v>
      </c>
      <c r="BX31" s="120">
        <f t="shared" si="79"/>
        <v>0</v>
      </c>
      <c r="BY31" s="120">
        <f t="shared" si="80"/>
        <v>0</v>
      </c>
      <c r="BZ31" s="121">
        <f t="shared" si="81"/>
        <v>0</v>
      </c>
      <c r="CA31" s="118">
        <f t="shared" si="82"/>
        <v>0</v>
      </c>
      <c r="CB31" s="119">
        <f t="shared" si="83"/>
        <v>0</v>
      </c>
      <c r="CC31" s="120">
        <f t="shared" si="84"/>
        <v>0</v>
      </c>
      <c r="CD31" s="120">
        <f t="shared" si="85"/>
        <v>0</v>
      </c>
      <c r="CE31" s="121">
        <f t="shared" si="86"/>
        <v>0</v>
      </c>
      <c r="CF31" s="118">
        <f t="shared" si="87"/>
        <v>0</v>
      </c>
      <c r="CG31" s="119">
        <f t="shared" si="88"/>
        <v>0</v>
      </c>
      <c r="CH31" s="120">
        <f t="shared" si="89"/>
        <v>0</v>
      </c>
      <c r="CI31" s="120">
        <f t="shared" si="90"/>
        <v>0</v>
      </c>
      <c r="CJ31" s="121">
        <f t="shared" si="91"/>
        <v>0</v>
      </c>
      <c r="CK31" s="118">
        <f t="shared" si="92"/>
        <v>0</v>
      </c>
      <c r="CL31" s="119">
        <f t="shared" si="93"/>
        <v>0</v>
      </c>
      <c r="CM31" s="120">
        <f t="shared" si="94"/>
        <v>0</v>
      </c>
      <c r="CN31" s="120">
        <f t="shared" si="95"/>
        <v>0</v>
      </c>
      <c r="CO31" s="121">
        <f t="shared" si="96"/>
        <v>0</v>
      </c>
      <c r="CP31" s="118">
        <f t="shared" si="97"/>
        <v>0</v>
      </c>
      <c r="CQ31" s="119">
        <f t="shared" si="98"/>
        <v>0</v>
      </c>
      <c r="CR31" s="120">
        <f t="shared" si="99"/>
        <v>0</v>
      </c>
      <c r="CS31" s="120">
        <f t="shared" si="100"/>
        <v>1.25</v>
      </c>
      <c r="CT31" s="121">
        <f t="shared" si="101"/>
        <v>1.25</v>
      </c>
      <c r="CU31" s="118">
        <f t="shared" si="102"/>
        <v>2.5</v>
      </c>
      <c r="CV31" s="119">
        <f t="shared" si="103"/>
        <v>1.25</v>
      </c>
      <c r="CW31" s="120">
        <f t="shared" si="104"/>
        <v>1.25</v>
      </c>
      <c r="CX31" s="120">
        <f t="shared" si="105"/>
        <v>0</v>
      </c>
      <c r="CY31" s="121">
        <f t="shared" si="106"/>
        <v>0</v>
      </c>
      <c r="CZ31" s="118">
        <f t="shared" si="107"/>
        <v>2.5</v>
      </c>
    </row>
    <row r="32" spans="1:104" ht="12.75" customHeight="1">
      <c r="A32" s="7"/>
      <c r="B32" s="7"/>
      <c r="C32" s="1508" t="s">
        <v>1052</v>
      </c>
      <c r="D32" s="190"/>
      <c r="E32" s="191">
        <f>Parent!$BQ$42</f>
        <v>500</v>
      </c>
      <c r="F32" s="444"/>
      <c r="G32" s="444"/>
      <c r="H32" s="219">
        <v>2021</v>
      </c>
      <c r="I32" s="220">
        <v>0.05</v>
      </c>
      <c r="J32" s="219">
        <v>7</v>
      </c>
      <c r="K32" s="112"/>
      <c r="L32" s="270">
        <f t="shared" si="16"/>
        <v>0</v>
      </c>
      <c r="M32" s="271">
        <f t="shared" si="17"/>
        <v>0</v>
      </c>
      <c r="N32" s="272">
        <f t="shared" si="18"/>
        <v>0</v>
      </c>
      <c r="O32" s="272">
        <f t="shared" si="19"/>
        <v>0</v>
      </c>
      <c r="P32" s="1226">
        <f t="shared" si="20"/>
        <v>0</v>
      </c>
      <c r="Q32" s="270">
        <f t="shared" si="21"/>
        <v>0</v>
      </c>
      <c r="R32" s="271">
        <f t="shared" si="22"/>
        <v>0</v>
      </c>
      <c r="S32" s="272">
        <f t="shared" si="23"/>
        <v>0</v>
      </c>
      <c r="T32" s="272">
        <f t="shared" si="24"/>
        <v>0</v>
      </c>
      <c r="U32" s="1226">
        <f t="shared" si="25"/>
        <v>0</v>
      </c>
      <c r="V32" s="270">
        <f t="shared" si="26"/>
        <v>0</v>
      </c>
      <c r="W32" s="271">
        <f t="shared" si="27"/>
        <v>0</v>
      </c>
      <c r="X32" s="272">
        <f t="shared" si="28"/>
        <v>0</v>
      </c>
      <c r="Y32" s="272">
        <f t="shared" si="29"/>
        <v>0</v>
      </c>
      <c r="Z32" s="1226">
        <f t="shared" si="30"/>
        <v>0</v>
      </c>
      <c r="AA32" s="270">
        <f t="shared" si="31"/>
        <v>0</v>
      </c>
      <c r="AB32" s="271">
        <f t="shared" si="32"/>
        <v>0</v>
      </c>
      <c r="AC32" s="272">
        <f t="shared" si="33"/>
        <v>0</v>
      </c>
      <c r="AD32" s="272">
        <f t="shared" si="34"/>
        <v>0</v>
      </c>
      <c r="AE32" s="1226">
        <f t="shared" si="35"/>
        <v>0</v>
      </c>
      <c r="AF32" s="270">
        <f t="shared" si="36"/>
        <v>0</v>
      </c>
      <c r="AG32" s="271">
        <f t="shared" si="37"/>
        <v>0</v>
      </c>
      <c r="AH32" s="272">
        <f t="shared" si="38"/>
        <v>0</v>
      </c>
      <c r="AI32" s="272">
        <f t="shared" si="39"/>
        <v>0</v>
      </c>
      <c r="AJ32" s="1226">
        <f t="shared" si="40"/>
        <v>0</v>
      </c>
      <c r="AK32" s="270">
        <f t="shared" si="41"/>
        <v>0</v>
      </c>
      <c r="AL32" s="271">
        <f t="shared" si="42"/>
        <v>0</v>
      </c>
      <c r="AM32" s="272">
        <f t="shared" si="43"/>
        <v>0</v>
      </c>
      <c r="AN32" s="272">
        <f t="shared" si="44"/>
        <v>0</v>
      </c>
      <c r="AO32" s="1226">
        <f t="shared" si="45"/>
        <v>0</v>
      </c>
      <c r="AP32" s="270">
        <f t="shared" si="46"/>
        <v>0</v>
      </c>
      <c r="AQ32" s="271">
        <f t="shared" si="47"/>
        <v>0</v>
      </c>
      <c r="AR32" s="272">
        <f t="shared" si="48"/>
        <v>0</v>
      </c>
      <c r="AS32" s="272">
        <f t="shared" si="49"/>
        <v>0</v>
      </c>
      <c r="AT32" s="1226">
        <f t="shared" si="50"/>
        <v>0</v>
      </c>
      <c r="AU32" s="270">
        <f t="shared" si="51"/>
        <v>0</v>
      </c>
      <c r="AV32" s="271">
        <f t="shared" si="52"/>
        <v>0</v>
      </c>
      <c r="AW32" s="272">
        <f t="shared" si="53"/>
        <v>0</v>
      </c>
      <c r="AX32" s="272">
        <f t="shared" si="54"/>
        <v>0</v>
      </c>
      <c r="AY32" s="1226">
        <f t="shared" si="55"/>
        <v>0</v>
      </c>
      <c r="AZ32" s="270">
        <f t="shared" si="56"/>
        <v>0</v>
      </c>
      <c r="BA32" s="271">
        <f t="shared" si="57"/>
        <v>0</v>
      </c>
      <c r="BB32" s="272">
        <f t="shared" si="58"/>
        <v>0</v>
      </c>
      <c r="BC32" s="272">
        <f t="shared" si="59"/>
        <v>500</v>
      </c>
      <c r="BD32" s="1226">
        <f t="shared" si="60"/>
        <v>0</v>
      </c>
      <c r="BE32" s="270">
        <f t="shared" si="61"/>
        <v>500</v>
      </c>
      <c r="BF32" s="273"/>
      <c r="BG32" s="118">
        <f t="shared" si="62"/>
        <v>0</v>
      </c>
      <c r="BH32" s="119">
        <f t="shared" si="63"/>
        <v>0</v>
      </c>
      <c r="BI32" s="120">
        <f t="shared" si="64"/>
        <v>0</v>
      </c>
      <c r="BJ32" s="120">
        <f t="shared" si="65"/>
        <v>0</v>
      </c>
      <c r="BK32" s="121">
        <f t="shared" si="66"/>
        <v>0</v>
      </c>
      <c r="BL32" s="118">
        <f t="shared" si="67"/>
        <v>0</v>
      </c>
      <c r="BM32" s="119">
        <f t="shared" si="68"/>
        <v>0</v>
      </c>
      <c r="BN32" s="120">
        <f t="shared" si="69"/>
        <v>0</v>
      </c>
      <c r="BO32" s="120">
        <f t="shared" si="70"/>
        <v>0</v>
      </c>
      <c r="BP32" s="121">
        <f t="shared" si="71"/>
        <v>0</v>
      </c>
      <c r="BQ32" s="118">
        <f t="shared" si="72"/>
        <v>0</v>
      </c>
      <c r="BR32" s="119">
        <f t="shared" si="73"/>
        <v>0</v>
      </c>
      <c r="BS32" s="120">
        <f t="shared" si="74"/>
        <v>0</v>
      </c>
      <c r="BT32" s="120">
        <f t="shared" si="75"/>
        <v>0</v>
      </c>
      <c r="BU32" s="121">
        <f t="shared" si="76"/>
        <v>0</v>
      </c>
      <c r="BV32" s="118">
        <f t="shared" si="77"/>
        <v>0</v>
      </c>
      <c r="BW32" s="119">
        <f t="shared" si="78"/>
        <v>0</v>
      </c>
      <c r="BX32" s="120">
        <f t="shared" si="79"/>
        <v>0</v>
      </c>
      <c r="BY32" s="120">
        <f t="shared" si="80"/>
        <v>0</v>
      </c>
      <c r="BZ32" s="121">
        <f t="shared" si="81"/>
        <v>0</v>
      </c>
      <c r="CA32" s="118">
        <f t="shared" si="82"/>
        <v>0</v>
      </c>
      <c r="CB32" s="119">
        <f t="shared" si="83"/>
        <v>0</v>
      </c>
      <c r="CC32" s="120">
        <f t="shared" si="84"/>
        <v>0</v>
      </c>
      <c r="CD32" s="120">
        <f t="shared" si="85"/>
        <v>0</v>
      </c>
      <c r="CE32" s="121">
        <f t="shared" si="86"/>
        <v>0</v>
      </c>
      <c r="CF32" s="118">
        <f t="shared" si="87"/>
        <v>0</v>
      </c>
      <c r="CG32" s="119">
        <f t="shared" si="88"/>
        <v>0</v>
      </c>
      <c r="CH32" s="120">
        <f t="shared" si="89"/>
        <v>0</v>
      </c>
      <c r="CI32" s="120">
        <f t="shared" si="90"/>
        <v>0</v>
      </c>
      <c r="CJ32" s="121">
        <f t="shared" si="91"/>
        <v>0</v>
      </c>
      <c r="CK32" s="118">
        <f t="shared" si="92"/>
        <v>0</v>
      </c>
      <c r="CL32" s="119">
        <f t="shared" si="93"/>
        <v>0</v>
      </c>
      <c r="CM32" s="120">
        <f t="shared" si="94"/>
        <v>0</v>
      </c>
      <c r="CN32" s="120">
        <f t="shared" si="95"/>
        <v>0</v>
      </c>
      <c r="CO32" s="121">
        <f t="shared" si="96"/>
        <v>0</v>
      </c>
      <c r="CP32" s="118">
        <f t="shared" si="97"/>
        <v>0</v>
      </c>
      <c r="CQ32" s="119">
        <f t="shared" si="98"/>
        <v>0</v>
      </c>
      <c r="CR32" s="120">
        <f t="shared" si="99"/>
        <v>0</v>
      </c>
      <c r="CS32" s="120">
        <f t="shared" si="100"/>
        <v>0</v>
      </c>
      <c r="CT32" s="121">
        <f t="shared" si="101"/>
        <v>0</v>
      </c>
      <c r="CU32" s="118">
        <f t="shared" si="102"/>
        <v>0</v>
      </c>
      <c r="CV32" s="119">
        <f t="shared" si="103"/>
        <v>0</v>
      </c>
      <c r="CW32" s="120">
        <f t="shared" si="104"/>
        <v>0</v>
      </c>
      <c r="CX32" s="120">
        <f t="shared" si="105"/>
        <v>6.25</v>
      </c>
      <c r="CY32" s="121">
        <f t="shared" si="106"/>
        <v>6.25</v>
      </c>
      <c r="CZ32" s="118">
        <f t="shared" si="107"/>
        <v>12.5</v>
      </c>
    </row>
    <row r="33" spans="1:104" ht="12.75" customHeight="1">
      <c r="A33" s="7"/>
      <c r="B33" s="7"/>
      <c r="C33" s="223"/>
      <c r="D33" s="224"/>
      <c r="E33" s="127"/>
      <c r="F33" s="128"/>
      <c r="G33" s="128"/>
      <c r="H33" s="225"/>
      <c r="I33" s="226"/>
      <c r="J33" s="227"/>
      <c r="K33" s="228"/>
      <c r="L33" s="229"/>
      <c r="M33" s="230"/>
      <c r="N33" s="231"/>
      <c r="O33" s="231"/>
      <c r="P33" s="232"/>
      <c r="Q33" s="229"/>
      <c r="R33" s="230"/>
      <c r="S33" s="231"/>
      <c r="T33" s="231"/>
      <c r="U33" s="232"/>
      <c r="V33" s="229"/>
      <c r="W33" s="230"/>
      <c r="X33" s="231"/>
      <c r="Y33" s="231"/>
      <c r="Z33" s="232"/>
      <c r="AA33" s="229"/>
      <c r="AB33" s="230"/>
      <c r="AC33" s="231"/>
      <c r="AD33" s="231"/>
      <c r="AE33" s="232"/>
      <c r="AF33" s="229"/>
      <c r="AG33" s="230"/>
      <c r="AH33" s="231"/>
      <c r="AI33" s="231"/>
      <c r="AJ33" s="232"/>
      <c r="AK33" s="229"/>
      <c r="AL33" s="230"/>
      <c r="AM33" s="231"/>
      <c r="AN33" s="231"/>
      <c r="AO33" s="232"/>
      <c r="AP33" s="229"/>
      <c r="AQ33" s="230"/>
      <c r="AR33" s="231"/>
      <c r="AS33" s="231"/>
      <c r="AT33" s="232"/>
      <c r="AU33" s="229"/>
      <c r="AV33" s="230"/>
      <c r="AW33" s="231"/>
      <c r="AX33" s="231"/>
      <c r="AY33" s="232"/>
      <c r="AZ33" s="229"/>
      <c r="BA33" s="230"/>
      <c r="BB33" s="231"/>
      <c r="BC33" s="231"/>
      <c r="BD33" s="232"/>
      <c r="BE33" s="229"/>
      <c r="BF33" s="233"/>
      <c r="BG33" s="138"/>
      <c r="BH33" s="139"/>
      <c r="BI33" s="140"/>
      <c r="BJ33" s="140"/>
      <c r="BK33" s="141"/>
      <c r="BL33" s="138"/>
      <c r="BM33" s="139"/>
      <c r="BN33" s="140"/>
      <c r="BO33" s="140"/>
      <c r="BP33" s="141"/>
      <c r="BQ33" s="138"/>
      <c r="BR33" s="139"/>
      <c r="BS33" s="140"/>
      <c r="BT33" s="140"/>
      <c r="BU33" s="141"/>
      <c r="BV33" s="138"/>
      <c r="BW33" s="139"/>
      <c r="BX33" s="140"/>
      <c r="BY33" s="140"/>
      <c r="BZ33" s="141"/>
      <c r="CA33" s="138"/>
      <c r="CB33" s="139"/>
      <c r="CC33" s="140"/>
      <c r="CD33" s="140"/>
      <c r="CE33" s="141"/>
      <c r="CF33" s="138"/>
      <c r="CG33" s="139"/>
      <c r="CH33" s="140"/>
      <c r="CI33" s="140"/>
      <c r="CJ33" s="141"/>
      <c r="CK33" s="138"/>
      <c r="CL33" s="139"/>
      <c r="CM33" s="140"/>
      <c r="CN33" s="140"/>
      <c r="CO33" s="141"/>
      <c r="CP33" s="138"/>
      <c r="CQ33" s="139"/>
      <c r="CR33" s="140"/>
      <c r="CS33" s="140"/>
      <c r="CT33" s="141"/>
      <c r="CU33" s="138"/>
      <c r="CV33" s="139"/>
      <c r="CW33" s="140"/>
      <c r="CX33" s="140"/>
      <c r="CY33" s="141"/>
      <c r="CZ33" s="138"/>
    </row>
    <row r="34" spans="1:104" ht="12.75" customHeight="1">
      <c r="A34" s="203"/>
      <c r="B34" s="203"/>
      <c r="C34" s="204" t="s">
        <v>449</v>
      </c>
      <c r="D34" s="123"/>
      <c r="E34" s="142">
        <f>SUM(E27:E33)</f>
        <v>4300</v>
      </c>
      <c r="F34" s="156"/>
      <c r="G34" s="156"/>
      <c r="H34" s="144"/>
      <c r="I34" s="145"/>
      <c r="J34" s="146"/>
      <c r="K34" s="234"/>
      <c r="L34" s="147">
        <f t="shared" ref="L34:BE34" si="108">SUM(L27:L33)</f>
        <v>0</v>
      </c>
      <c r="M34" s="148">
        <f t="shared" si="108"/>
        <v>0</v>
      </c>
      <c r="N34" s="149">
        <f t="shared" si="108"/>
        <v>0</v>
      </c>
      <c r="O34" s="149">
        <f t="shared" si="108"/>
        <v>0</v>
      </c>
      <c r="P34" s="150">
        <f t="shared" si="108"/>
        <v>0</v>
      </c>
      <c r="Q34" s="147">
        <f t="shared" si="108"/>
        <v>0</v>
      </c>
      <c r="R34" s="148">
        <f t="shared" si="108"/>
        <v>0</v>
      </c>
      <c r="S34" s="149">
        <f t="shared" si="108"/>
        <v>0</v>
      </c>
      <c r="T34" s="149">
        <f t="shared" si="108"/>
        <v>0</v>
      </c>
      <c r="U34" s="150">
        <f t="shared" si="108"/>
        <v>0</v>
      </c>
      <c r="V34" s="147">
        <f t="shared" si="108"/>
        <v>0</v>
      </c>
      <c r="W34" s="148">
        <f t="shared" si="108"/>
        <v>0</v>
      </c>
      <c r="X34" s="149">
        <f t="shared" si="108"/>
        <v>0</v>
      </c>
      <c r="Y34" s="149">
        <f t="shared" si="108"/>
        <v>0</v>
      </c>
      <c r="Z34" s="150">
        <f t="shared" si="108"/>
        <v>0</v>
      </c>
      <c r="AA34" s="147">
        <f t="shared" si="108"/>
        <v>0</v>
      </c>
      <c r="AB34" s="148">
        <f t="shared" si="108"/>
        <v>0</v>
      </c>
      <c r="AC34" s="149">
        <f t="shared" si="108"/>
        <v>0</v>
      </c>
      <c r="AD34" s="149">
        <f t="shared" si="108"/>
        <v>0</v>
      </c>
      <c r="AE34" s="150">
        <f t="shared" si="108"/>
        <v>0</v>
      </c>
      <c r="AF34" s="147">
        <f t="shared" si="108"/>
        <v>0</v>
      </c>
      <c r="AG34" s="148">
        <f t="shared" si="108"/>
        <v>0</v>
      </c>
      <c r="AH34" s="149">
        <f t="shared" si="108"/>
        <v>700</v>
      </c>
      <c r="AI34" s="149">
        <f t="shared" si="108"/>
        <v>0</v>
      </c>
      <c r="AJ34" s="150">
        <f t="shared" si="108"/>
        <v>700</v>
      </c>
      <c r="AK34" s="147">
        <f t="shared" si="108"/>
        <v>1400</v>
      </c>
      <c r="AL34" s="148">
        <f t="shared" si="108"/>
        <v>1000</v>
      </c>
      <c r="AM34" s="149">
        <f t="shared" si="108"/>
        <v>0</v>
      </c>
      <c r="AN34" s="149">
        <f t="shared" si="108"/>
        <v>0</v>
      </c>
      <c r="AO34" s="150">
        <f t="shared" si="108"/>
        <v>0</v>
      </c>
      <c r="AP34" s="147">
        <f t="shared" si="108"/>
        <v>1000</v>
      </c>
      <c r="AQ34" s="148">
        <f t="shared" si="108"/>
        <v>0</v>
      </c>
      <c r="AR34" s="149">
        <f t="shared" si="108"/>
        <v>0</v>
      </c>
      <c r="AS34" s="149">
        <f t="shared" si="108"/>
        <v>1300</v>
      </c>
      <c r="AT34" s="150">
        <f t="shared" si="108"/>
        <v>0</v>
      </c>
      <c r="AU34" s="147">
        <f t="shared" si="108"/>
        <v>1300</v>
      </c>
      <c r="AV34" s="148">
        <f t="shared" si="108"/>
        <v>0</v>
      </c>
      <c r="AW34" s="149">
        <f t="shared" si="108"/>
        <v>0</v>
      </c>
      <c r="AX34" s="149">
        <f t="shared" si="108"/>
        <v>100</v>
      </c>
      <c r="AY34" s="150">
        <f t="shared" si="108"/>
        <v>0</v>
      </c>
      <c r="AZ34" s="147">
        <f t="shared" si="108"/>
        <v>100</v>
      </c>
      <c r="BA34" s="148">
        <f t="shared" si="108"/>
        <v>0</v>
      </c>
      <c r="BB34" s="149">
        <f t="shared" si="108"/>
        <v>0</v>
      </c>
      <c r="BC34" s="149">
        <f t="shared" si="108"/>
        <v>500</v>
      </c>
      <c r="BD34" s="150">
        <f t="shared" si="108"/>
        <v>0</v>
      </c>
      <c r="BE34" s="147">
        <f t="shared" si="108"/>
        <v>500</v>
      </c>
      <c r="BF34" s="235"/>
      <c r="BG34" s="152">
        <f t="shared" ref="BG34:CZ34" si="109">SUM(BG27:BG33)</f>
        <v>0</v>
      </c>
      <c r="BH34" s="153">
        <f t="shared" si="109"/>
        <v>0</v>
      </c>
      <c r="BI34" s="154">
        <f t="shared" si="109"/>
        <v>0</v>
      </c>
      <c r="BJ34" s="154">
        <f t="shared" si="109"/>
        <v>0</v>
      </c>
      <c r="BK34" s="155">
        <f t="shared" si="109"/>
        <v>0</v>
      </c>
      <c r="BL34" s="152">
        <f t="shared" si="109"/>
        <v>0</v>
      </c>
      <c r="BM34" s="153">
        <f t="shared" si="109"/>
        <v>0</v>
      </c>
      <c r="BN34" s="154">
        <f t="shared" si="109"/>
        <v>0</v>
      </c>
      <c r="BO34" s="154">
        <f t="shared" si="109"/>
        <v>0</v>
      </c>
      <c r="BP34" s="155">
        <f t="shared" si="109"/>
        <v>0</v>
      </c>
      <c r="BQ34" s="152">
        <f t="shared" si="109"/>
        <v>0</v>
      </c>
      <c r="BR34" s="153">
        <f t="shared" si="109"/>
        <v>0</v>
      </c>
      <c r="BS34" s="154">
        <f t="shared" si="109"/>
        <v>0</v>
      </c>
      <c r="BT34" s="154">
        <f t="shared" si="109"/>
        <v>0</v>
      </c>
      <c r="BU34" s="155">
        <f t="shared" si="109"/>
        <v>0</v>
      </c>
      <c r="BV34" s="152">
        <f t="shared" si="109"/>
        <v>0</v>
      </c>
      <c r="BW34" s="153">
        <f t="shared" si="109"/>
        <v>0</v>
      </c>
      <c r="BX34" s="154">
        <f t="shared" si="109"/>
        <v>0</v>
      </c>
      <c r="BY34" s="154">
        <f t="shared" si="109"/>
        <v>0</v>
      </c>
      <c r="BZ34" s="155">
        <f t="shared" si="109"/>
        <v>0</v>
      </c>
      <c r="CA34" s="152">
        <f t="shared" si="109"/>
        <v>0</v>
      </c>
      <c r="CB34" s="153">
        <f t="shared" si="109"/>
        <v>0</v>
      </c>
      <c r="CC34" s="154">
        <f t="shared" si="109"/>
        <v>1.1666666666666667</v>
      </c>
      <c r="CD34" s="154">
        <f t="shared" si="109"/>
        <v>3.5</v>
      </c>
      <c r="CE34" s="155">
        <f t="shared" si="109"/>
        <v>6.5916666666666668</v>
      </c>
      <c r="CF34" s="152">
        <f t="shared" si="109"/>
        <v>11.258333333333333</v>
      </c>
      <c r="CG34" s="153">
        <f t="shared" si="109"/>
        <v>20.637499999999999</v>
      </c>
      <c r="CH34" s="154">
        <f t="shared" si="109"/>
        <v>19.470833333333331</v>
      </c>
      <c r="CI34" s="154">
        <f t="shared" si="109"/>
        <v>17.137499999999999</v>
      </c>
      <c r="CJ34" s="155">
        <f t="shared" si="109"/>
        <v>14.045833333333334</v>
      </c>
      <c r="CK34" s="152">
        <f t="shared" si="109"/>
        <v>71.291666666666671</v>
      </c>
      <c r="CL34" s="153">
        <f t="shared" si="109"/>
        <v>0</v>
      </c>
      <c r="CM34" s="154">
        <f t="shared" si="109"/>
        <v>0</v>
      </c>
      <c r="CN34" s="154">
        <f t="shared" si="109"/>
        <v>16.25</v>
      </c>
      <c r="CO34" s="155">
        <f t="shared" si="109"/>
        <v>16.25</v>
      </c>
      <c r="CP34" s="152">
        <f t="shared" si="109"/>
        <v>32.5</v>
      </c>
      <c r="CQ34" s="153">
        <f t="shared" si="109"/>
        <v>16.25</v>
      </c>
      <c r="CR34" s="154">
        <f t="shared" si="109"/>
        <v>16.25</v>
      </c>
      <c r="CS34" s="154">
        <f t="shared" si="109"/>
        <v>1.25</v>
      </c>
      <c r="CT34" s="155">
        <f t="shared" si="109"/>
        <v>1.25</v>
      </c>
      <c r="CU34" s="152">
        <f t="shared" si="109"/>
        <v>35</v>
      </c>
      <c r="CV34" s="153">
        <f t="shared" si="109"/>
        <v>1.25</v>
      </c>
      <c r="CW34" s="154">
        <f t="shared" si="109"/>
        <v>1.25</v>
      </c>
      <c r="CX34" s="154">
        <f t="shared" si="109"/>
        <v>6.25</v>
      </c>
      <c r="CY34" s="155">
        <f t="shared" si="109"/>
        <v>6.25</v>
      </c>
      <c r="CZ34" s="152">
        <f t="shared" si="109"/>
        <v>15</v>
      </c>
    </row>
    <row r="35" spans="1:104" ht="12.75" customHeight="1">
      <c r="A35" s="7"/>
      <c r="B35" s="7"/>
      <c r="C35" s="123"/>
      <c r="D35" s="123"/>
      <c r="E35" s="107"/>
      <c r="F35" s="108"/>
      <c r="G35" s="108"/>
      <c r="H35" s="109"/>
      <c r="I35" s="110"/>
      <c r="J35" s="111"/>
      <c r="K35" s="112"/>
      <c r="L35" s="113"/>
      <c r="M35" s="114"/>
      <c r="N35" s="115"/>
      <c r="O35" s="115"/>
      <c r="P35" s="116"/>
      <c r="Q35" s="113"/>
      <c r="R35" s="114"/>
      <c r="S35" s="115"/>
      <c r="T35" s="115"/>
      <c r="U35" s="116"/>
      <c r="V35" s="113"/>
      <c r="W35" s="114"/>
      <c r="X35" s="115"/>
      <c r="Y35" s="115"/>
      <c r="Z35" s="116"/>
      <c r="AA35" s="113"/>
      <c r="AB35" s="114"/>
      <c r="AC35" s="115"/>
      <c r="AD35" s="115"/>
      <c r="AE35" s="116"/>
      <c r="AF35" s="113"/>
      <c r="AG35" s="114"/>
      <c r="AH35" s="115"/>
      <c r="AI35" s="115"/>
      <c r="AJ35" s="116"/>
      <c r="AK35" s="113"/>
      <c r="AL35" s="114"/>
      <c r="AM35" s="115"/>
      <c r="AN35" s="115"/>
      <c r="AO35" s="116"/>
      <c r="AP35" s="113"/>
      <c r="AQ35" s="114"/>
      <c r="AR35" s="115"/>
      <c r="AS35" s="115"/>
      <c r="AT35" s="116"/>
      <c r="AU35" s="113"/>
      <c r="AV35" s="114"/>
      <c r="AW35" s="115"/>
      <c r="AX35" s="115"/>
      <c r="AY35" s="116"/>
      <c r="AZ35" s="113"/>
      <c r="BA35" s="114"/>
      <c r="BB35" s="115"/>
      <c r="BC35" s="115"/>
      <c r="BD35" s="116"/>
      <c r="BE35" s="113"/>
      <c r="BF35" s="222"/>
      <c r="BG35" s="118"/>
      <c r="BH35" s="119"/>
      <c r="BI35" s="120"/>
      <c r="BJ35" s="120"/>
      <c r="BK35" s="121"/>
      <c r="BL35" s="118"/>
      <c r="BM35" s="119"/>
      <c r="BN35" s="120"/>
      <c r="BO35" s="120"/>
      <c r="BP35" s="121"/>
      <c r="BQ35" s="118"/>
      <c r="BR35" s="119"/>
      <c r="BS35" s="120"/>
      <c r="BT35" s="120"/>
      <c r="BU35" s="121"/>
      <c r="BV35" s="118"/>
      <c r="BW35" s="119"/>
      <c r="BX35" s="120"/>
      <c r="BY35" s="120"/>
      <c r="BZ35" s="121"/>
      <c r="CA35" s="118"/>
      <c r="CB35" s="119"/>
      <c r="CC35" s="120"/>
      <c r="CD35" s="120"/>
      <c r="CE35" s="121"/>
      <c r="CF35" s="118"/>
      <c r="CG35" s="119"/>
      <c r="CH35" s="120"/>
      <c r="CI35" s="120"/>
      <c r="CJ35" s="121"/>
      <c r="CK35" s="118"/>
      <c r="CL35" s="119"/>
      <c r="CM35" s="120"/>
      <c r="CN35" s="120"/>
      <c r="CO35" s="121"/>
      <c r="CP35" s="118"/>
      <c r="CQ35" s="119"/>
      <c r="CR35" s="120"/>
      <c r="CS35" s="120"/>
      <c r="CT35" s="121"/>
      <c r="CU35" s="118"/>
      <c r="CV35" s="119"/>
      <c r="CW35" s="120"/>
      <c r="CX35" s="120"/>
      <c r="CY35" s="121"/>
      <c r="CZ35" s="118"/>
    </row>
    <row r="36" spans="1:104" ht="12.75" customHeight="1">
      <c r="A36" s="7"/>
      <c r="B36" s="7"/>
      <c r="C36" s="123" t="s">
        <v>583</v>
      </c>
      <c r="D36" s="123"/>
      <c r="E36" s="142"/>
      <c r="F36" s="156"/>
      <c r="G36" s="156"/>
      <c r="H36" s="144"/>
      <c r="I36" s="145"/>
      <c r="J36" s="146"/>
      <c r="K36" s="234"/>
      <c r="L36" s="147">
        <f t="shared" ref="L36:BE36" si="110">+L24+L34</f>
        <v>0</v>
      </c>
      <c r="M36" s="148">
        <f t="shared" si="110"/>
        <v>0</v>
      </c>
      <c r="N36" s="149">
        <f t="shared" si="110"/>
        <v>0</v>
      </c>
      <c r="O36" s="149">
        <f t="shared" si="110"/>
        <v>0</v>
      </c>
      <c r="P36" s="150">
        <f t="shared" si="110"/>
        <v>0</v>
      </c>
      <c r="Q36" s="147">
        <f t="shared" si="110"/>
        <v>0</v>
      </c>
      <c r="R36" s="148">
        <f t="shared" si="110"/>
        <v>0</v>
      </c>
      <c r="S36" s="149">
        <f t="shared" si="110"/>
        <v>0</v>
      </c>
      <c r="T36" s="149">
        <f t="shared" si="110"/>
        <v>0</v>
      </c>
      <c r="U36" s="150">
        <f t="shared" si="110"/>
        <v>0</v>
      </c>
      <c r="V36" s="147">
        <f t="shared" si="110"/>
        <v>0</v>
      </c>
      <c r="W36" s="148">
        <f t="shared" si="110"/>
        <v>0</v>
      </c>
      <c r="X36" s="149">
        <f t="shared" si="110"/>
        <v>0</v>
      </c>
      <c r="Y36" s="149">
        <f t="shared" si="110"/>
        <v>0</v>
      </c>
      <c r="Z36" s="150">
        <f t="shared" si="110"/>
        <v>0</v>
      </c>
      <c r="AA36" s="147">
        <f t="shared" si="110"/>
        <v>0</v>
      </c>
      <c r="AB36" s="148">
        <f t="shared" si="110"/>
        <v>0</v>
      </c>
      <c r="AC36" s="149">
        <f t="shared" si="110"/>
        <v>0</v>
      </c>
      <c r="AD36" s="149">
        <f t="shared" si="110"/>
        <v>0</v>
      </c>
      <c r="AE36" s="150">
        <f t="shared" si="110"/>
        <v>0</v>
      </c>
      <c r="AF36" s="147">
        <f t="shared" si="110"/>
        <v>0</v>
      </c>
      <c r="AG36" s="148">
        <f t="shared" si="110"/>
        <v>0</v>
      </c>
      <c r="AH36" s="149">
        <f t="shared" si="110"/>
        <v>700</v>
      </c>
      <c r="AI36" s="149">
        <f t="shared" si="110"/>
        <v>0</v>
      </c>
      <c r="AJ36" s="150">
        <f t="shared" si="110"/>
        <v>200</v>
      </c>
      <c r="AK36" s="147">
        <f t="shared" si="110"/>
        <v>900</v>
      </c>
      <c r="AL36" s="148">
        <f t="shared" si="110"/>
        <v>1000</v>
      </c>
      <c r="AM36" s="149">
        <f t="shared" si="110"/>
        <v>0</v>
      </c>
      <c r="AN36" s="149">
        <f t="shared" si="110"/>
        <v>0</v>
      </c>
      <c r="AO36" s="150">
        <f t="shared" si="110"/>
        <v>0</v>
      </c>
      <c r="AP36" s="147">
        <f t="shared" si="110"/>
        <v>1000</v>
      </c>
      <c r="AQ36" s="148">
        <f t="shared" si="110"/>
        <v>0</v>
      </c>
      <c r="AR36" s="149">
        <f t="shared" si="110"/>
        <v>-700</v>
      </c>
      <c r="AS36" s="149">
        <f t="shared" si="110"/>
        <v>1300</v>
      </c>
      <c r="AT36" s="150">
        <f t="shared" si="110"/>
        <v>-400</v>
      </c>
      <c r="AU36" s="147">
        <f t="shared" si="110"/>
        <v>200</v>
      </c>
      <c r="AV36" s="148">
        <f t="shared" si="110"/>
        <v>0</v>
      </c>
      <c r="AW36" s="149">
        <f t="shared" si="110"/>
        <v>0</v>
      </c>
      <c r="AX36" s="149">
        <f t="shared" si="110"/>
        <v>100</v>
      </c>
      <c r="AY36" s="150">
        <f t="shared" si="110"/>
        <v>0</v>
      </c>
      <c r="AZ36" s="147">
        <f t="shared" si="110"/>
        <v>100</v>
      </c>
      <c r="BA36" s="148">
        <f t="shared" si="110"/>
        <v>0</v>
      </c>
      <c r="BB36" s="149">
        <f t="shared" si="110"/>
        <v>0</v>
      </c>
      <c r="BC36" s="149">
        <f t="shared" si="110"/>
        <v>500</v>
      </c>
      <c r="BD36" s="150">
        <f t="shared" si="110"/>
        <v>-300</v>
      </c>
      <c r="BE36" s="147">
        <f t="shared" si="110"/>
        <v>200</v>
      </c>
      <c r="BF36" s="235"/>
      <c r="BG36" s="152">
        <f t="shared" ref="BG36:CZ36" si="111">+BG24+BG34</f>
        <v>0</v>
      </c>
      <c r="BH36" s="153">
        <f t="shared" si="111"/>
        <v>0</v>
      </c>
      <c r="BI36" s="154">
        <f t="shared" si="111"/>
        <v>0</v>
      </c>
      <c r="BJ36" s="154">
        <f t="shared" si="111"/>
        <v>0</v>
      </c>
      <c r="BK36" s="155">
        <f t="shared" si="111"/>
        <v>0</v>
      </c>
      <c r="BL36" s="152">
        <f t="shared" si="111"/>
        <v>0</v>
      </c>
      <c r="BM36" s="153">
        <f t="shared" si="111"/>
        <v>0</v>
      </c>
      <c r="BN36" s="154">
        <f t="shared" si="111"/>
        <v>0</v>
      </c>
      <c r="BO36" s="154">
        <f t="shared" si="111"/>
        <v>0</v>
      </c>
      <c r="BP36" s="155">
        <f t="shared" si="111"/>
        <v>0</v>
      </c>
      <c r="BQ36" s="152">
        <f t="shared" si="111"/>
        <v>0</v>
      </c>
      <c r="BR36" s="153">
        <f t="shared" si="111"/>
        <v>0</v>
      </c>
      <c r="BS36" s="154">
        <f t="shared" si="111"/>
        <v>0</v>
      </c>
      <c r="BT36" s="154">
        <f t="shared" si="111"/>
        <v>0</v>
      </c>
      <c r="BU36" s="155">
        <f t="shared" si="111"/>
        <v>0</v>
      </c>
      <c r="BV36" s="152">
        <f t="shared" si="111"/>
        <v>0</v>
      </c>
      <c r="BW36" s="153">
        <f t="shared" si="111"/>
        <v>0</v>
      </c>
      <c r="BX36" s="154">
        <f t="shared" si="111"/>
        <v>0</v>
      </c>
      <c r="BY36" s="154">
        <f t="shared" si="111"/>
        <v>0</v>
      </c>
      <c r="BZ36" s="155">
        <f t="shared" si="111"/>
        <v>0</v>
      </c>
      <c r="CA36" s="152">
        <f t="shared" si="111"/>
        <v>0</v>
      </c>
      <c r="CB36" s="153">
        <f t="shared" si="111"/>
        <v>0</v>
      </c>
      <c r="CC36" s="154">
        <f t="shared" si="111"/>
        <v>1.1666666666666667</v>
      </c>
      <c r="CD36" s="154">
        <f t="shared" si="111"/>
        <v>3.5</v>
      </c>
      <c r="CE36" s="155">
        <f t="shared" si="111"/>
        <v>2.4249999999999998</v>
      </c>
      <c r="CF36" s="152">
        <f t="shared" si="111"/>
        <v>7.0916666666666659</v>
      </c>
      <c r="CG36" s="153">
        <f t="shared" si="111"/>
        <v>14.387499999999999</v>
      </c>
      <c r="CH36" s="154">
        <f t="shared" si="111"/>
        <v>13.220833333333331</v>
      </c>
      <c r="CI36" s="154">
        <f t="shared" si="111"/>
        <v>10.887499999999999</v>
      </c>
      <c r="CJ36" s="155">
        <f t="shared" si="111"/>
        <v>11.9625</v>
      </c>
      <c r="CK36" s="152">
        <f t="shared" si="111"/>
        <v>50.458333333333343</v>
      </c>
      <c r="CL36" s="153">
        <f t="shared" si="111"/>
        <v>0</v>
      </c>
      <c r="CM36" s="154">
        <f t="shared" si="111"/>
        <v>-1.1666666666666667</v>
      </c>
      <c r="CN36" s="154">
        <f t="shared" si="111"/>
        <v>12.75</v>
      </c>
      <c r="CO36" s="155">
        <f t="shared" si="111"/>
        <v>11.683333333333334</v>
      </c>
      <c r="CP36" s="152">
        <f t="shared" si="111"/>
        <v>23.266666666666666</v>
      </c>
      <c r="CQ36" s="153">
        <f t="shared" si="111"/>
        <v>11.15</v>
      </c>
      <c r="CR36" s="154">
        <f t="shared" si="111"/>
        <v>12.316666666666666</v>
      </c>
      <c r="CS36" s="154">
        <f t="shared" si="111"/>
        <v>-0.35000000000000009</v>
      </c>
      <c r="CT36" s="155">
        <f t="shared" si="111"/>
        <v>0.71666666666666667</v>
      </c>
      <c r="CU36" s="152">
        <f t="shared" si="111"/>
        <v>23.833333333333332</v>
      </c>
      <c r="CV36" s="153">
        <f t="shared" si="111"/>
        <v>1.25</v>
      </c>
      <c r="CW36" s="154">
        <f t="shared" si="111"/>
        <v>1.25</v>
      </c>
      <c r="CX36" s="154">
        <f t="shared" si="111"/>
        <v>6.25</v>
      </c>
      <c r="CY36" s="155">
        <f t="shared" si="111"/>
        <v>5.25</v>
      </c>
      <c r="CZ36" s="152">
        <f t="shared" si="111"/>
        <v>14</v>
      </c>
    </row>
    <row r="37" spans="1:104" ht="12.75" customHeight="1">
      <c r="A37" s="7"/>
      <c r="B37" s="7"/>
      <c r="C37" s="123"/>
      <c r="D37" s="123"/>
      <c r="E37" s="142"/>
      <c r="F37" s="156"/>
      <c r="G37" s="156"/>
      <c r="H37" s="144"/>
      <c r="I37" s="145"/>
      <c r="J37" s="146"/>
      <c r="K37" s="234"/>
      <c r="L37" s="147"/>
      <c r="M37" s="148"/>
      <c r="N37" s="149"/>
      <c r="O37" s="149"/>
      <c r="P37" s="150"/>
      <c r="Q37" s="147"/>
      <c r="R37" s="148"/>
      <c r="S37" s="149"/>
      <c r="T37" s="149"/>
      <c r="U37" s="150"/>
      <c r="V37" s="147"/>
      <c r="W37" s="148"/>
      <c r="X37" s="149"/>
      <c r="Y37" s="149"/>
      <c r="Z37" s="150"/>
      <c r="AA37" s="147"/>
      <c r="AB37" s="148"/>
      <c r="AC37" s="149"/>
      <c r="AD37" s="149"/>
      <c r="AE37" s="150"/>
      <c r="AF37" s="147"/>
      <c r="AG37" s="148"/>
      <c r="AH37" s="149"/>
      <c r="AI37" s="149"/>
      <c r="AJ37" s="150"/>
      <c r="AK37" s="147"/>
      <c r="AL37" s="148"/>
      <c r="AM37" s="149"/>
      <c r="AN37" s="149"/>
      <c r="AO37" s="150"/>
      <c r="AP37" s="147"/>
      <c r="AQ37" s="148"/>
      <c r="AR37" s="149"/>
      <c r="AS37" s="149"/>
      <c r="AT37" s="150"/>
      <c r="AU37" s="147"/>
      <c r="AV37" s="148"/>
      <c r="AW37" s="149"/>
      <c r="AX37" s="149"/>
      <c r="AY37" s="150"/>
      <c r="AZ37" s="147"/>
      <c r="BA37" s="148"/>
      <c r="BB37" s="149"/>
      <c r="BC37" s="149"/>
      <c r="BD37" s="150"/>
      <c r="BE37" s="147"/>
      <c r="BF37" s="235"/>
      <c r="BG37" s="152"/>
      <c r="BH37" s="153"/>
      <c r="BI37" s="154"/>
      <c r="BJ37" s="154"/>
      <c r="BK37" s="155"/>
      <c r="BL37" s="152"/>
      <c r="BM37" s="153"/>
      <c r="BN37" s="154"/>
      <c r="BO37" s="154"/>
      <c r="BP37" s="155"/>
      <c r="BQ37" s="152"/>
      <c r="BR37" s="153"/>
      <c r="BS37" s="154"/>
      <c r="BT37" s="154"/>
      <c r="BU37" s="155"/>
      <c r="BV37" s="152"/>
      <c r="BW37" s="153"/>
      <c r="BX37" s="154"/>
      <c r="BY37" s="154"/>
      <c r="BZ37" s="155"/>
      <c r="CA37" s="152"/>
      <c r="CB37" s="153"/>
      <c r="CC37" s="154"/>
      <c r="CD37" s="154"/>
      <c r="CE37" s="155"/>
      <c r="CF37" s="152"/>
      <c r="CG37" s="153"/>
      <c r="CH37" s="154"/>
      <c r="CI37" s="154"/>
      <c r="CJ37" s="155"/>
      <c r="CK37" s="152"/>
      <c r="CL37" s="153"/>
      <c r="CM37" s="154"/>
      <c r="CN37" s="154"/>
      <c r="CO37" s="155"/>
      <c r="CP37" s="152"/>
      <c r="CQ37" s="153"/>
      <c r="CR37" s="154"/>
      <c r="CS37" s="154"/>
      <c r="CT37" s="155"/>
      <c r="CU37" s="152"/>
      <c r="CV37" s="153"/>
      <c r="CW37" s="154"/>
      <c r="CX37" s="154"/>
      <c r="CY37" s="155"/>
      <c r="CZ37" s="152"/>
    </row>
    <row r="38" spans="1:104" ht="12.75" customHeight="1" thickBot="1">
      <c r="A38" s="7"/>
      <c r="B38" s="93"/>
      <c r="C38" s="157"/>
      <c r="D38" s="157"/>
      <c r="E38" s="236"/>
      <c r="F38" s="237"/>
      <c r="G38" s="237"/>
      <c r="H38" s="158"/>
      <c r="I38" s="159"/>
      <c r="J38" s="160"/>
      <c r="K38" s="238"/>
      <c r="L38" s="161"/>
      <c r="M38" s="239"/>
      <c r="N38" s="240"/>
      <c r="O38" s="240"/>
      <c r="P38" s="241"/>
      <c r="Q38" s="161"/>
      <c r="R38" s="239"/>
      <c r="S38" s="240"/>
      <c r="T38" s="240"/>
      <c r="U38" s="241"/>
      <c r="V38" s="161"/>
      <c r="W38" s="239"/>
      <c r="X38" s="240"/>
      <c r="Y38" s="240"/>
      <c r="Z38" s="241"/>
      <c r="AA38" s="161"/>
      <c r="AB38" s="239"/>
      <c r="AC38" s="240"/>
      <c r="AD38" s="240"/>
      <c r="AE38" s="241"/>
      <c r="AF38" s="161"/>
      <c r="AG38" s="239"/>
      <c r="AH38" s="240"/>
      <c r="AI38" s="240"/>
      <c r="AJ38" s="241"/>
      <c r="AK38" s="161"/>
      <c r="AL38" s="239"/>
      <c r="AM38" s="240"/>
      <c r="AN38" s="240"/>
      <c r="AO38" s="241"/>
      <c r="AP38" s="161"/>
      <c r="AQ38" s="239"/>
      <c r="AR38" s="240"/>
      <c r="AS38" s="240"/>
      <c r="AT38" s="241"/>
      <c r="AU38" s="161"/>
      <c r="AV38" s="239"/>
      <c r="AW38" s="240"/>
      <c r="AX38" s="240"/>
      <c r="AY38" s="241"/>
      <c r="AZ38" s="161"/>
      <c r="BA38" s="239"/>
      <c r="BB38" s="240"/>
      <c r="BC38" s="240"/>
      <c r="BD38" s="241"/>
      <c r="BE38" s="161"/>
      <c r="BF38" s="242"/>
      <c r="BG38" s="162"/>
      <c r="BH38" s="243"/>
      <c r="BI38" s="244"/>
      <c r="BJ38" s="244"/>
      <c r="BK38" s="245"/>
      <c r="BL38" s="162"/>
      <c r="BM38" s="243"/>
      <c r="BN38" s="244"/>
      <c r="BO38" s="244"/>
      <c r="BP38" s="245"/>
      <c r="BQ38" s="162"/>
      <c r="BR38" s="243"/>
      <c r="BS38" s="244"/>
      <c r="BT38" s="244"/>
      <c r="BU38" s="245"/>
      <c r="BV38" s="162"/>
      <c r="BW38" s="243"/>
      <c r="BX38" s="244"/>
      <c r="BY38" s="244"/>
      <c r="BZ38" s="245"/>
      <c r="CA38" s="162"/>
      <c r="CB38" s="243"/>
      <c r="CC38" s="244"/>
      <c r="CD38" s="244"/>
      <c r="CE38" s="245"/>
      <c r="CF38" s="162"/>
      <c r="CG38" s="243"/>
      <c r="CH38" s="244"/>
      <c r="CI38" s="244"/>
      <c r="CJ38" s="245"/>
      <c r="CK38" s="162"/>
      <c r="CL38" s="243"/>
      <c r="CM38" s="244"/>
      <c r="CN38" s="244"/>
      <c r="CO38" s="245"/>
      <c r="CP38" s="162"/>
      <c r="CQ38" s="243"/>
      <c r="CR38" s="244"/>
      <c r="CS38" s="244"/>
      <c r="CT38" s="245"/>
      <c r="CU38" s="162"/>
      <c r="CV38" s="243"/>
      <c r="CW38" s="244"/>
      <c r="CX38" s="244"/>
      <c r="CY38" s="245"/>
      <c r="CZ38" s="162"/>
    </row>
    <row r="39" spans="1:104" ht="13.5" customHeight="1">
      <c r="A39" s="7"/>
      <c r="B39" s="105" t="s">
        <v>466</v>
      </c>
      <c r="C39" s="106"/>
      <c r="D39" s="19"/>
      <c r="E39" s="107"/>
      <c r="F39" s="108"/>
      <c r="G39" s="108"/>
      <c r="H39" s="109"/>
      <c r="I39" s="110"/>
      <c r="J39" s="111"/>
      <c r="K39" s="112"/>
      <c r="L39" s="113"/>
      <c r="M39" s="114"/>
      <c r="N39" s="115"/>
      <c r="O39" s="115"/>
      <c r="P39" s="116"/>
      <c r="Q39" s="113"/>
      <c r="R39" s="114"/>
      <c r="S39" s="115"/>
      <c r="T39" s="115"/>
      <c r="U39" s="116"/>
      <c r="V39" s="113"/>
      <c r="W39" s="114"/>
      <c r="X39" s="115"/>
      <c r="Y39" s="115"/>
      <c r="Z39" s="116"/>
      <c r="AA39" s="113"/>
      <c r="AB39" s="114"/>
      <c r="AC39" s="115"/>
      <c r="AD39" s="115"/>
      <c r="AE39" s="116"/>
      <c r="AF39" s="113"/>
      <c r="AG39" s="114"/>
      <c r="AH39" s="115"/>
      <c r="AI39" s="115"/>
      <c r="AJ39" s="116"/>
      <c r="AK39" s="113"/>
      <c r="AL39" s="114"/>
      <c r="AM39" s="115"/>
      <c r="AN39" s="115"/>
      <c r="AO39" s="116"/>
      <c r="AP39" s="113"/>
      <c r="AQ39" s="114"/>
      <c r="AR39" s="115"/>
      <c r="AS39" s="115"/>
      <c r="AT39" s="116"/>
      <c r="AU39" s="113"/>
      <c r="AV39" s="114"/>
      <c r="AW39" s="115"/>
      <c r="AX39" s="115"/>
      <c r="AY39" s="116"/>
      <c r="AZ39" s="113"/>
      <c r="BA39" s="114"/>
      <c r="BB39" s="115"/>
      <c r="BC39" s="115"/>
      <c r="BD39" s="116"/>
      <c r="BE39" s="113"/>
      <c r="BF39" s="222"/>
      <c r="BG39" s="118"/>
      <c r="BH39" s="119"/>
      <c r="BI39" s="120"/>
      <c r="BJ39" s="120"/>
      <c r="BK39" s="121"/>
      <c r="BL39" s="118"/>
      <c r="BM39" s="119"/>
      <c r="BN39" s="120"/>
      <c r="BO39" s="120"/>
      <c r="BP39" s="121"/>
      <c r="BQ39" s="118"/>
      <c r="BR39" s="119"/>
      <c r="BS39" s="120"/>
      <c r="BT39" s="120"/>
      <c r="BU39" s="121"/>
      <c r="BV39" s="118"/>
      <c r="BW39" s="119"/>
      <c r="BX39" s="120"/>
      <c r="BY39" s="120"/>
      <c r="BZ39" s="121"/>
      <c r="CA39" s="118"/>
      <c r="CB39" s="119"/>
      <c r="CC39" s="120"/>
      <c r="CD39" s="120"/>
      <c r="CE39" s="121"/>
      <c r="CF39" s="118"/>
      <c r="CG39" s="119"/>
      <c r="CH39" s="120"/>
      <c r="CI39" s="120"/>
      <c r="CJ39" s="121"/>
      <c r="CK39" s="118"/>
      <c r="CL39" s="119"/>
      <c r="CM39" s="120"/>
      <c r="CN39" s="120"/>
      <c r="CO39" s="121"/>
      <c r="CP39" s="118"/>
      <c r="CQ39" s="119"/>
      <c r="CR39" s="120"/>
      <c r="CS39" s="120"/>
      <c r="CT39" s="121"/>
      <c r="CU39" s="118"/>
      <c r="CV39" s="119"/>
      <c r="CW39" s="120"/>
      <c r="CX39" s="120"/>
      <c r="CY39" s="121"/>
      <c r="CZ39" s="118"/>
    </row>
    <row r="40" spans="1:104" ht="13.5" customHeight="1">
      <c r="A40" s="7"/>
      <c r="B40" s="7"/>
      <c r="C40" s="123"/>
      <c r="D40" s="123"/>
      <c r="E40" s="107"/>
      <c r="F40" s="108"/>
      <c r="G40" s="108"/>
      <c r="H40" s="165"/>
      <c r="I40" s="165"/>
      <c r="J40" s="246"/>
      <c r="K40" s="112"/>
      <c r="L40" s="113"/>
      <c r="M40" s="114"/>
      <c r="N40" s="115"/>
      <c r="O40" s="115"/>
      <c r="P40" s="116"/>
      <c r="Q40" s="113"/>
      <c r="R40" s="114"/>
      <c r="S40" s="115"/>
      <c r="T40" s="115"/>
      <c r="U40" s="116"/>
      <c r="V40" s="113"/>
      <c r="W40" s="114"/>
      <c r="X40" s="115"/>
      <c r="Y40" s="115"/>
      <c r="Z40" s="116"/>
      <c r="AA40" s="113"/>
      <c r="AB40" s="114"/>
      <c r="AC40" s="115"/>
      <c r="AD40" s="115"/>
      <c r="AE40" s="116"/>
      <c r="AF40" s="113"/>
      <c r="AG40" s="114"/>
      <c r="AH40" s="115"/>
      <c r="AI40" s="115"/>
      <c r="AJ40" s="116"/>
      <c r="AK40" s="113"/>
      <c r="AL40" s="114"/>
      <c r="AM40" s="115"/>
      <c r="AN40" s="115"/>
      <c r="AO40" s="116"/>
      <c r="AP40" s="113"/>
      <c r="AQ40" s="114"/>
      <c r="AR40" s="115"/>
      <c r="AS40" s="115"/>
      <c r="AT40" s="116"/>
      <c r="AU40" s="113"/>
      <c r="AV40" s="114"/>
      <c r="AW40" s="115"/>
      <c r="AX40" s="115"/>
      <c r="AY40" s="116"/>
      <c r="AZ40" s="113"/>
      <c r="BA40" s="114"/>
      <c r="BB40" s="115"/>
      <c r="BC40" s="115"/>
      <c r="BD40" s="116"/>
      <c r="BE40" s="113"/>
      <c r="BF40" s="222"/>
      <c r="BG40" s="118"/>
      <c r="BH40" s="119"/>
      <c r="BI40" s="120"/>
      <c r="BJ40" s="120"/>
      <c r="BK40" s="121"/>
      <c r="BL40" s="118"/>
      <c r="BM40" s="119"/>
      <c r="BN40" s="120"/>
      <c r="BO40" s="120"/>
      <c r="BP40" s="121"/>
      <c r="BQ40" s="118"/>
      <c r="BR40" s="119"/>
      <c r="BS40" s="120"/>
      <c r="BT40" s="120"/>
      <c r="BU40" s="121"/>
      <c r="BV40" s="118"/>
      <c r="BW40" s="119"/>
      <c r="BX40" s="120"/>
      <c r="BY40" s="120"/>
      <c r="BZ40" s="121"/>
      <c r="CA40" s="118"/>
      <c r="CB40" s="119"/>
      <c r="CC40" s="120"/>
      <c r="CD40" s="120"/>
      <c r="CE40" s="121"/>
      <c r="CF40" s="118"/>
      <c r="CG40" s="119"/>
      <c r="CH40" s="120"/>
      <c r="CI40" s="120"/>
      <c r="CJ40" s="121"/>
      <c r="CK40" s="118"/>
      <c r="CL40" s="119"/>
      <c r="CM40" s="120"/>
      <c r="CN40" s="120"/>
      <c r="CO40" s="121"/>
      <c r="CP40" s="118"/>
      <c r="CQ40" s="119"/>
      <c r="CR40" s="120"/>
      <c r="CS40" s="120"/>
      <c r="CT40" s="121"/>
      <c r="CU40" s="118"/>
      <c r="CV40" s="119"/>
      <c r="CW40" s="120"/>
      <c r="CX40" s="120"/>
      <c r="CY40" s="121"/>
      <c r="CZ40" s="118"/>
    </row>
    <row r="41" spans="1:104" ht="12.75" customHeight="1">
      <c r="A41" s="7"/>
      <c r="B41" s="7"/>
      <c r="C41" s="181" t="s">
        <v>582</v>
      </c>
      <c r="D41" s="181"/>
      <c r="E41" s="267"/>
      <c r="F41" s="165"/>
      <c r="G41" s="165"/>
      <c r="H41" s="165"/>
      <c r="I41" s="165"/>
      <c r="J41" s="111"/>
      <c r="K41" s="247"/>
      <c r="L41" s="113"/>
      <c r="M41" s="114"/>
      <c r="N41" s="115"/>
      <c r="O41" s="115"/>
      <c r="P41" s="116"/>
      <c r="Q41" s="113"/>
      <c r="R41" s="114"/>
      <c r="S41" s="115"/>
      <c r="T41" s="115"/>
      <c r="U41" s="116"/>
      <c r="V41" s="113"/>
      <c r="W41" s="114"/>
      <c r="X41" s="115"/>
      <c r="Y41" s="115"/>
      <c r="Z41" s="116"/>
      <c r="AA41" s="113"/>
      <c r="AB41" s="114"/>
      <c r="AC41" s="115"/>
      <c r="AD41" s="115"/>
      <c r="AE41" s="116"/>
      <c r="AF41" s="113"/>
      <c r="AG41" s="114"/>
      <c r="AH41" s="115"/>
      <c r="AI41" s="115"/>
      <c r="AJ41" s="116"/>
      <c r="AK41" s="113"/>
      <c r="AL41" s="114"/>
      <c r="AM41" s="115"/>
      <c r="AN41" s="115"/>
      <c r="AO41" s="116"/>
      <c r="AP41" s="113"/>
      <c r="AQ41" s="114"/>
      <c r="AR41" s="115"/>
      <c r="AS41" s="115"/>
      <c r="AT41" s="116"/>
      <c r="AU41" s="113"/>
      <c r="AV41" s="114"/>
      <c r="AW41" s="115"/>
      <c r="AX41" s="115"/>
      <c r="AY41" s="116"/>
      <c r="AZ41" s="113"/>
      <c r="BA41" s="114"/>
      <c r="BB41" s="115"/>
      <c r="BC41" s="115"/>
      <c r="BD41" s="116"/>
      <c r="BE41" s="113"/>
      <c r="BF41" s="222"/>
      <c r="BG41" s="118"/>
      <c r="BH41" s="119"/>
      <c r="BI41" s="120"/>
      <c r="BJ41" s="120"/>
      <c r="BK41" s="121"/>
      <c r="BL41" s="118"/>
      <c r="BM41" s="119"/>
      <c r="BN41" s="120"/>
      <c r="BO41" s="120"/>
      <c r="BP41" s="121"/>
      <c r="BQ41" s="118"/>
      <c r="BR41" s="119"/>
      <c r="BS41" s="120"/>
      <c r="BT41" s="120"/>
      <c r="BU41" s="121"/>
      <c r="BV41" s="118"/>
      <c r="BW41" s="119"/>
      <c r="BX41" s="120"/>
      <c r="BY41" s="120"/>
      <c r="BZ41" s="121"/>
      <c r="CA41" s="118"/>
      <c r="CB41" s="119"/>
      <c r="CC41" s="120"/>
      <c r="CD41" s="120"/>
      <c r="CE41" s="121"/>
      <c r="CF41" s="118"/>
      <c r="CG41" s="119"/>
      <c r="CH41" s="120"/>
      <c r="CI41" s="120"/>
      <c r="CJ41" s="121"/>
      <c r="CK41" s="118"/>
      <c r="CL41" s="119"/>
      <c r="CM41" s="120"/>
      <c r="CN41" s="120"/>
      <c r="CO41" s="121"/>
      <c r="CP41" s="118"/>
      <c r="CQ41" s="119"/>
      <c r="CR41" s="120"/>
      <c r="CS41" s="120"/>
      <c r="CT41" s="121"/>
      <c r="CU41" s="118"/>
      <c r="CV41" s="119"/>
      <c r="CW41" s="120"/>
      <c r="CX41" s="120"/>
      <c r="CY41" s="121"/>
      <c r="CZ41" s="118"/>
    </row>
    <row r="42" spans="1:104" ht="12.75" customHeight="1">
      <c r="A42" s="7"/>
      <c r="B42" s="7"/>
      <c r="C42" s="268" t="s">
        <v>276</v>
      </c>
      <c r="D42" s="181"/>
      <c r="E42" s="267"/>
      <c r="F42" s="165"/>
      <c r="G42" s="165"/>
      <c r="H42" s="214"/>
      <c r="I42" s="110"/>
      <c r="J42" s="111"/>
      <c r="K42" s="247"/>
      <c r="L42" s="113"/>
      <c r="M42" s="114"/>
      <c r="N42" s="115"/>
      <c r="O42" s="115"/>
      <c r="P42" s="116"/>
      <c r="Q42" s="113"/>
      <c r="R42" s="114"/>
      <c r="S42" s="115"/>
      <c r="T42" s="115"/>
      <c r="U42" s="116"/>
      <c r="V42" s="113"/>
      <c r="W42" s="114"/>
      <c r="X42" s="115"/>
      <c r="Y42" s="115"/>
      <c r="Z42" s="116"/>
      <c r="AA42" s="113"/>
      <c r="AB42" s="114"/>
      <c r="AC42" s="115"/>
      <c r="AD42" s="115"/>
      <c r="AE42" s="116"/>
      <c r="AF42" s="113"/>
      <c r="AG42" s="114"/>
      <c r="AH42" s="115"/>
      <c r="AI42" s="115"/>
      <c r="AJ42" s="116"/>
      <c r="AK42" s="113"/>
      <c r="AL42" s="114"/>
      <c r="AM42" s="115"/>
      <c r="AN42" s="115"/>
      <c r="AO42" s="116"/>
      <c r="AP42" s="113"/>
      <c r="AQ42" s="114"/>
      <c r="AR42" s="115"/>
      <c r="AS42" s="115"/>
      <c r="AT42" s="116"/>
      <c r="AU42" s="113"/>
      <c r="AV42" s="114"/>
      <c r="AW42" s="115"/>
      <c r="AX42" s="115"/>
      <c r="AY42" s="116"/>
      <c r="AZ42" s="113"/>
      <c r="BA42" s="114"/>
      <c r="BB42" s="115"/>
      <c r="BC42" s="115"/>
      <c r="BD42" s="116"/>
      <c r="BE42" s="113"/>
      <c r="BF42" s="222"/>
      <c r="BG42" s="118"/>
      <c r="BH42" s="119"/>
      <c r="BI42" s="120"/>
      <c r="BJ42" s="120"/>
      <c r="BK42" s="121"/>
      <c r="BL42" s="118"/>
      <c r="BM42" s="119"/>
      <c r="BN42" s="120"/>
      <c r="BO42" s="120"/>
      <c r="BP42" s="121"/>
      <c r="BQ42" s="118"/>
      <c r="BR42" s="119"/>
      <c r="BS42" s="120"/>
      <c r="BT42" s="120"/>
      <c r="BU42" s="121"/>
      <c r="BV42" s="118"/>
      <c r="BW42" s="119"/>
      <c r="BX42" s="120"/>
      <c r="BY42" s="120"/>
      <c r="BZ42" s="121"/>
      <c r="CA42" s="118"/>
      <c r="CB42" s="119"/>
      <c r="CC42" s="120"/>
      <c r="CD42" s="120"/>
      <c r="CE42" s="121"/>
      <c r="CF42" s="118"/>
      <c r="CG42" s="119"/>
      <c r="CH42" s="120"/>
      <c r="CI42" s="120"/>
      <c r="CJ42" s="121"/>
      <c r="CK42" s="118"/>
      <c r="CL42" s="119"/>
      <c r="CM42" s="120"/>
      <c r="CN42" s="120"/>
      <c r="CO42" s="121"/>
      <c r="CP42" s="118"/>
      <c r="CQ42" s="119"/>
      <c r="CR42" s="120"/>
      <c r="CS42" s="120"/>
      <c r="CT42" s="121"/>
      <c r="CU42" s="118"/>
      <c r="CV42" s="119"/>
      <c r="CW42" s="120"/>
      <c r="CX42" s="120"/>
      <c r="CY42" s="121"/>
      <c r="CZ42" s="118"/>
    </row>
    <row r="43" spans="1:104" ht="12.75" customHeight="1">
      <c r="A43" s="7"/>
      <c r="B43" s="7"/>
      <c r="C43" s="7" t="s">
        <v>500</v>
      </c>
      <c r="D43" s="195"/>
      <c r="E43" s="191">
        <f t="shared" ref="E43:E69" si="112">IF(F43=0,G43,F43)</f>
        <v>134</v>
      </c>
      <c r="F43" s="193">
        <v>134</v>
      </c>
      <c r="G43" s="193">
        <v>134</v>
      </c>
      <c r="H43" s="1217">
        <v>2021</v>
      </c>
      <c r="I43" s="1218">
        <v>9.2499999999999999E-2</v>
      </c>
      <c r="J43" s="1217">
        <v>6</v>
      </c>
      <c r="K43" s="112"/>
      <c r="L43" s="113">
        <f t="shared" ref="L43:L72" si="113">IF(L$5=$H43,-$E43,0)</f>
        <v>0</v>
      </c>
      <c r="M43" s="114">
        <f t="shared" ref="M43:M67" si="114">IF(Q43=0,0,IF(Q43&lt;0,IF($J43=3,Q43,IF($J43=2,Q43,IF($J43=1,Q43,0)))))</f>
        <v>0</v>
      </c>
      <c r="N43" s="115">
        <f t="shared" ref="N43:N67" si="115">IF(Q43=0,0,IF(Q43&lt;0,IF($J43=6,Q43,IF($J43=5,Q43,IF($J43=4,Q43,0)))))</f>
        <v>0</v>
      </c>
      <c r="O43" s="115">
        <f t="shared" ref="O43:O67" si="116">IF(Q43=0,0,IF(Q43&lt;0,IF($J43=9,Q43,IF($J43=8,Q43,IF($J43=7,Q43,0)))))</f>
        <v>0</v>
      </c>
      <c r="P43" s="116">
        <f t="shared" ref="P43:P67" si="117">IF(Q43=0,0,IF(Q43&lt;0,IF($J43=12,Q43,IF($J43=11,Q43,IF($J43=10,Q43,0)))))</f>
        <v>0</v>
      </c>
      <c r="Q43" s="113">
        <f t="shared" ref="Q43:Q72" si="118">IF(Q$5=$H43,-$E43,0)</f>
        <v>0</v>
      </c>
      <c r="R43" s="114">
        <f t="shared" ref="R43:R67" si="119">IF(V43=0,0,IF(V43&lt;0,IF($J43=3,V43,IF($J43=2,V43,IF($J43=1,V43,0)))))</f>
        <v>0</v>
      </c>
      <c r="S43" s="115">
        <f t="shared" ref="S43:S67" si="120">IF(V43=0,0,IF(V43&lt;0,IF($J43=6,V43,IF($J43=5,V43,IF($J43=4,V43,0)))))</f>
        <v>0</v>
      </c>
      <c r="T43" s="115">
        <f t="shared" ref="T43:T67" si="121">IF(V43=0,0,IF(V43&lt;0,IF($J43=9,V43,IF($J43=8,V43,IF($J43=7,V43,0)))))</f>
        <v>0</v>
      </c>
      <c r="U43" s="116">
        <f t="shared" ref="U43:U67" si="122">IF(V43=0,0,IF(V43&lt;0,IF($J43=12,V43,IF($J43=11,V43,IF($J43=10,V43,0)))))</f>
        <v>0</v>
      </c>
      <c r="V43" s="113">
        <f t="shared" ref="V43:V72" si="123">IF(V$5=$H43,-$E43,0)</f>
        <v>0</v>
      </c>
      <c r="W43" s="114">
        <f t="shared" ref="W43:W67" si="124">IF(AA43=0,0,IF(AA43&lt;0,IF($J43=3,AA43,IF($J43=2,AA43,IF($J43=1,AA43,0)))))</f>
        <v>0</v>
      </c>
      <c r="X43" s="115">
        <f t="shared" ref="X43:X67" si="125">IF(AA43=0,0,IF(AA43&lt;0,IF($J43=6,AA43,IF($J43=5,AA43,IF($J43=4,AA43,0)))))</f>
        <v>0</v>
      </c>
      <c r="Y43" s="115">
        <f t="shared" ref="Y43:Y67" si="126">IF(AA43=0,0,IF(AA43&lt;0,IF($J43=9,AA43,IF($J43=8,AA43,IF($J43=7,AA43,0)))))</f>
        <v>0</v>
      </c>
      <c r="Z43" s="116">
        <f t="shared" ref="Z43:Z67" si="127">IF(AA43=0,0,IF(AA43&lt;0,IF($J43=12,AA43,IF($J43=11,AA43,IF($J43=10,AA43,0)))))</f>
        <v>0</v>
      </c>
      <c r="AA43" s="113">
        <f t="shared" ref="AA43:AA72" si="128">IF(AA$5=$H43,-$E43,0)</f>
        <v>0</v>
      </c>
      <c r="AB43" s="114">
        <f t="shared" ref="AB43:AB67" si="129">IF(AF43=0,0,IF(AF43&lt;0,IF($J43=3,AF43,IF($J43=2,AF43,IF($J43=1,AF43,0)))))</f>
        <v>0</v>
      </c>
      <c r="AC43" s="115">
        <f t="shared" ref="AC43:AC67" si="130">IF(AF43=0,0,IF(AF43&lt;0,IF($J43=6,AF43,IF($J43=5,AF43,IF($J43=4,AF43,0)))))</f>
        <v>0</v>
      </c>
      <c r="AD43" s="115">
        <f t="shared" ref="AD43:AD67" si="131">IF(AF43=0,0,IF(AF43&lt;0,IF($J43=9,AF43,IF($J43=8,AF43,IF($J43=7,AF43,0)))))</f>
        <v>0</v>
      </c>
      <c r="AE43" s="116">
        <f t="shared" ref="AE43:AE67" si="132">IF(AF43=0,0,IF(AF43&lt;0,IF($J43=12,AF43,IF($J43=11,AF43,IF($J43=10,AF43,0)))))</f>
        <v>0</v>
      </c>
      <c r="AF43" s="113">
        <f t="shared" ref="AF43:AF72" si="133">IF(AF$5=$H43,-$E43,0)</f>
        <v>0</v>
      </c>
      <c r="AG43" s="114">
        <f t="shared" ref="AG43:AG67" si="134">IF(AK43=0,0,IF(AK43&lt;0,IF($J43=3,AK43,IF($J43=2,AK43,IF($J43=1,AK43,0)))))</f>
        <v>0</v>
      </c>
      <c r="AH43" s="115">
        <f t="shared" ref="AH43:AH67" si="135">IF(AK43=0,0,IF(AK43&lt;0,IF($J43=6,AK43,IF($J43=5,AK43,IF($J43=4,AK43,0)))))</f>
        <v>0</v>
      </c>
      <c r="AI43" s="115">
        <f t="shared" ref="AI43:AI67" si="136">IF(AK43=0,0,IF(AK43&lt;0,IF($J43=9,AK43,IF($J43=8,AK43,IF($J43=7,AK43,0)))))</f>
        <v>0</v>
      </c>
      <c r="AJ43" s="116">
        <f t="shared" ref="AJ43:AJ67" si="137">IF(AK43=0,0,IF(AK43&lt;0,IF($J43=12,AK43,IF($J43=11,AK43,IF($J43=10,AK43,0)))))</f>
        <v>0</v>
      </c>
      <c r="AK43" s="113">
        <f t="shared" ref="AK43:AK72" si="138">IF(AK$5=$H43,-$E43,0)</f>
        <v>0</v>
      </c>
      <c r="AL43" s="114">
        <f>IF(AP43=0,0,IF(AP43&lt;0,IF($J43=3,AP43,IF($J43=2,AP43,IF($J43=1,AP43,0)))))</f>
        <v>0</v>
      </c>
      <c r="AM43" s="115">
        <f>IF(AP43=0,0,IF(AP43&lt;0,IF($J43=6,AP43,IF($J43=5,AP43,IF($J43=4,AP43,0)))))</f>
        <v>0</v>
      </c>
      <c r="AN43" s="115">
        <f>IF(AP43=0,0,IF(AP43&lt;0,IF($J43=9,AP43,IF($J43=8,AP43,IF($J43=7,AP43,0)))))</f>
        <v>0</v>
      </c>
      <c r="AO43" s="116">
        <f>IF(AP43=0,0,IF(AP43&lt;0,IF($J43=12,AP43,IF($J43=11,AP43,IF($J43=10,AP43,0)))))</f>
        <v>0</v>
      </c>
      <c r="AP43" s="113">
        <f t="shared" ref="AP43:AP72" si="139">IF(AP$5=$H43,-$E43,0)</f>
        <v>0</v>
      </c>
      <c r="AQ43" s="114">
        <f>IF(AU43=0,0,IF(AU43&lt;0,IF($J43=3,AU43,IF($J43=2,AU43,IF($J43=1,AU43,0)))))</f>
        <v>0</v>
      </c>
      <c r="AR43" s="115">
        <f>IF(AU43=0,0,IF(AU43&lt;0,IF($J43=6,AU43,IF($J43=5,AU43,IF($J43=4,AU43,0)))))</f>
        <v>0</v>
      </c>
      <c r="AS43" s="115">
        <f>IF(AU43=0,0,IF(AU43&lt;0,IF($J43=9,AU43,IF($J43=8,AU43,IF($J43=7,AU43,0)))))</f>
        <v>0</v>
      </c>
      <c r="AT43" s="116">
        <f>IF(AU43=0,0,IF(AU43&lt;0,IF($J43=12,AU43,IF($J43=11,AU43,IF($J43=10,AU43,0)))))</f>
        <v>0</v>
      </c>
      <c r="AU43" s="113">
        <f t="shared" ref="AU43:AU72" si="140">IF(AU$5=$H43,-$E43,0)</f>
        <v>0</v>
      </c>
      <c r="AV43" s="114">
        <f t="shared" ref="AV43:AV51" si="141">IF(AZ43=0,0,IF(AZ43&lt;0,IF($J43=3,AZ43,IF($J43=2,AZ43,IF($J43=1,AZ43,0)))))</f>
        <v>0</v>
      </c>
      <c r="AW43" s="115">
        <f t="shared" ref="AW43:AW51" si="142">IF(AZ43=0,0,IF(AZ43&lt;0,IF($J43=6,AZ43,IF($J43=5,AZ43,IF($J43=4,AZ43,0)))))</f>
        <v>0</v>
      </c>
      <c r="AX43" s="115">
        <f t="shared" ref="AX43:AX51" si="143">IF(AZ43=0,0,IF(AZ43&lt;0,IF($J43=9,AZ43,IF($J43=8,AZ43,IF($J43=7,AZ43,0)))))</f>
        <v>0</v>
      </c>
      <c r="AY43" s="116">
        <f t="shared" ref="AY43:AY51" si="144">IF(AZ43=0,0,IF(AZ43&lt;0,IF($J43=12,AZ43,IF($J43=11,AZ43,IF($J43=10,AZ43,0)))))</f>
        <v>0</v>
      </c>
      <c r="AZ43" s="113">
        <f t="shared" ref="AZ43:AZ72" si="145">IF(AZ$5=$H43,-$E43,0)</f>
        <v>0</v>
      </c>
      <c r="BA43" s="114">
        <f t="shared" ref="BA43:BA71" si="146">IF(BE43=0,0,IF(BE43&lt;0,IF($J43=3,BE43,IF($J43=2,BE43,IF($J43=1,BE43,0)))))</f>
        <v>0</v>
      </c>
      <c r="BB43" s="115">
        <f t="shared" ref="BB43:BB71" si="147">IF(BE43=0,0,IF(BE43&lt;0,IF($J43=6,BE43,IF($J43=5,BE43,IF($J43=4,BE43,0)))))</f>
        <v>-134</v>
      </c>
      <c r="BC43" s="115">
        <f t="shared" ref="BC43:BC71" si="148">IF(BE43=0,0,IF(BE43&lt;0,IF($J43=9,BE43,IF($J43=8,BE43,IF($J43=7,BE43,0)))))</f>
        <v>0</v>
      </c>
      <c r="BD43" s="116">
        <f t="shared" ref="BD43:BD71" si="149">IF(BE43=0,0,IF(BE43&lt;0,IF($J43=12,BE43,IF($J43=11,BE43,IF($J43=10,BE43,0)))))</f>
        <v>0</v>
      </c>
      <c r="BE43" s="113">
        <f t="shared" ref="BE43:BE72" si="150">IF(BE$5=$H43,-$E43,0)</f>
        <v>-134</v>
      </c>
      <c r="BF43" s="194"/>
      <c r="BG43" s="118">
        <f t="shared" ref="BG43:BG67" si="151">IF(AND(BF43&lt;&gt;0,BF$5=$H43),-$I43*$E43-BF43,IF(BG$5=$H43,-$I43*$E43*(12-$J43+1)/12,0))</f>
        <v>0</v>
      </c>
      <c r="BH43" s="119">
        <f t="shared" ref="BH43:BH67" si="152">IF($H43&lt;&gt;BL$5,0,IF(BL43&lt;0,IF($J43=1,-$E43*$I43/12*3,IF($J43=2,-$E43*$I43/12*2,IF($J43=3,-$E43*$I43/12*1,0)))))+IF(BG$5&lt;&gt;$H43,0,IF(BG43&lt;0,IF($J43=1,-$E43*$I43/12*0,IF($J43=2,-$E43*$I43/12*1,IF($J43=3,-$E43*$I43/12*2,IF($J43&gt;=4,-$E43*$I43/12*3,0))))))</f>
        <v>0</v>
      </c>
      <c r="BI43" s="120">
        <f t="shared" ref="BI43:BI67" si="153">IF($H43&lt;&gt;BL$5,0,IF(BL43&lt;0,IF(OR($J43=1,$J43=2,$J43=3,$J43=4),-$E43*$I43/12*3,IF($J43=5,-$E43*$I43/12*2,IF($J43=6,-$E43*$I43/12*1,0)))))+IF(BG$5&lt;&gt;$H43,0,IF(BG43&lt;0,IF($J43=4,-$E43*$I43/12*0,IF($J43=5,-$E43*$I43/12*1,IF($J43=6,-$E43*$I43/12*2,IF($J43&gt;=7,-$E43*$I43/12*3,0))))))</f>
        <v>0</v>
      </c>
      <c r="BJ43" s="120">
        <f t="shared" ref="BJ43:BJ67" si="154">IF($H43&lt;&gt;BL$5,0,IF(BL43&lt;0,IF(OR($J43=1,$J43=2,$J43=3,$J43=4,$J43=5,$J43=6,$J43=7),-$E43*$I43/12*3,IF($J43=8,-$E43*$I43/12*2,IF($J43=9,-$E43*$I43/12*1,0)))))+IF(BG$5&lt;&gt;$H43,0,IF(BG43&lt;0,IF($J43=7,-$E43*$I43/12*0,IF($J43=8,-$E43*$I43/12*1,IF($J43=9,-$E43*$I43/12*2,IF($J43&gt;=10,-$E43*$I43/12*3,0))))))</f>
        <v>0</v>
      </c>
      <c r="BK43" s="121">
        <f t="shared" ref="BK43:BK67" si="155">IF($H43&lt;&gt;BL$5,0,IF(BL43&lt;0,IF(OR($J43=1,$J43=2,$J43=3,$J43=4,$J43=5,$J43=6,$J43=7,$J43=8,$J43=9,$J43=10),-$E43*$I43/12*3,IF($J43=11,-$E43*$I43/12*2,IF($J43=12,-$E43*$I43/12*1,0)))))+IF(BG$5&lt;&gt;$H43,0,IF(BG43&lt;0,IF($J43=10,-$E43*$I43/12*0,IF($J43=11,-$E43*$I43/12*1,IF($J43=12,-$E43*$I43/12*2,0)))))</f>
        <v>0</v>
      </c>
      <c r="BL43" s="118">
        <f t="shared" ref="BL43:BL67" si="156">IF(AND(BG43&lt;&gt;0,BG$5=$H43),-$I43*$E43-BG43,IF(BL$5=$H43,-$I43*$E43*(12-$J43+1)/12,0))</f>
        <v>0</v>
      </c>
      <c r="BM43" s="119">
        <f t="shared" ref="BM43:BM67" si="157">IF($H43&lt;&gt;BQ$5,0,IF(BQ43&lt;0,IF($J43=1,-$E43*$I43/12*3,IF($J43=2,-$E43*$I43/12*2,IF($J43=3,-$E43*$I43/12*1,0)))))+IF(BL$5&lt;&gt;$H43,0,IF(BL43&lt;0,IF($J43=1,-$E43*$I43/12*0,IF($J43=2,-$E43*$I43/12*1,IF($J43=3,-$E43*$I43/12*2,IF($J43&gt;=4,-$E43*$I43/12*3,0))))))</f>
        <v>0</v>
      </c>
      <c r="BN43" s="120">
        <f t="shared" ref="BN43:BN67" si="158">IF($H43&lt;&gt;BQ$5,0,IF(BQ43&lt;0,IF(OR($J43=1,$J43=2,$J43=3,$J43=4),-$E43*$I43/12*3,IF($J43=5,-$E43*$I43/12*2,IF($J43=6,-$E43*$I43/12*1,0)))))+IF(BL$5&lt;&gt;$H43,0,IF(BL43&lt;0,IF($J43=4,-$E43*$I43/12*0,IF($J43=5,-$E43*$I43/12*1,IF($J43=6,-$E43*$I43/12*2,IF($J43&gt;=7,-$E43*$I43/12*3,0))))))</f>
        <v>0</v>
      </c>
      <c r="BO43" s="120">
        <f t="shared" ref="BO43:BO67" si="159">IF($H43&lt;&gt;BQ$5,0,IF(BQ43&lt;0,IF(OR($J43=1,$J43=2,$J43=3,$J43=4,$J43=5,$J43=6,$J43=7),-$E43*$I43/12*3,IF($J43=8,-$E43*$I43/12*2,IF($J43=9,-$E43*$I43/12*1,0)))))+IF(BL$5&lt;&gt;$H43,0,IF(BL43&lt;0,IF($J43=7,-$E43*$I43/12*0,IF($J43=8,-$E43*$I43/12*1,IF($J43=9,-$E43*$I43/12*2,IF($J43&gt;=10,-$E43*$I43/12*3,0))))))</f>
        <v>0</v>
      </c>
      <c r="BP43" s="121">
        <f t="shared" ref="BP43:BP67" si="160">IF($H43&lt;&gt;BQ$5,0,IF(BQ43&lt;0,IF(OR($J43=1,$J43=2,$J43=3,$J43=4,$J43=5,$J43=6,$J43=7,$J43=8,$J43=9,$J43=10),-$E43*$I43/12*3,IF($J43=11,-$E43*$I43/12*2,IF($J43=12,-$E43*$I43/12*1,0)))))+IF(BL$5&lt;&gt;$H43,0,IF(BL43&lt;0,IF($J43=10,-$E43*$I43/12*0,IF($J43=11,-$E43*$I43/12*1,IF($J43=12,-$E43*$I43/12*2,0)))))</f>
        <v>0</v>
      </c>
      <c r="BQ43" s="118">
        <f t="shared" ref="BQ43:BQ67" si="161">IF(AND(BL43&lt;&gt;0,BL$5=$H43),-$I43*$E43-BL43,IF(BQ$5=$H43,-$I43*$E43*(12-$J43+1)/12,0))</f>
        <v>0</v>
      </c>
      <c r="BR43" s="119">
        <f t="shared" ref="BR43:BR67" si="162">IF($H43&lt;&gt;BV$5,0,IF(BV43&lt;0,IF($J43=1,-$E43*$I43/12*3,IF($J43=2,-$E43*$I43/12*2,IF($J43=3,-$E43*$I43/12*1,0)))))+IF(BQ$5&lt;&gt;$H43,0,IF(BQ43&lt;0,IF($J43=1,-$E43*$I43/12*0,IF($J43=2,-$E43*$I43/12*1,IF($J43=3,-$E43*$I43/12*2,IF($J43&gt;=4,-$E43*$I43/12*3,0))))))</f>
        <v>0</v>
      </c>
      <c r="BS43" s="120">
        <f t="shared" ref="BS43:BS67" si="163">IF($H43&lt;&gt;BV$5,0,IF(BV43&lt;0,IF(OR($J43=1,$J43=2,$J43=3,$J43=4),-$E43*$I43/12*3,IF($J43=5,-$E43*$I43/12*2,IF($J43=6,-$E43*$I43/12*1,0)))))+IF(BQ$5&lt;&gt;$H43,0,IF(BQ43&lt;0,IF($J43=4,-$E43*$I43/12*0,IF($J43=5,-$E43*$I43/12*1,IF($J43=6,-$E43*$I43/12*2,IF($J43&gt;=7,-$E43*$I43/12*3,0))))))</f>
        <v>0</v>
      </c>
      <c r="BT43" s="120">
        <f t="shared" ref="BT43:BT67" si="164">IF($H43&lt;&gt;BV$5,0,IF(BV43&lt;0,IF(OR($J43=1,$J43=2,$J43=3,$J43=4,$J43=5,$J43=6,$J43=7),-$E43*$I43/12*3,IF($J43=8,-$E43*$I43/12*2,IF($J43=9,-$E43*$I43/12*1,0)))))+IF(BQ$5&lt;&gt;$H43,0,IF(BQ43&lt;0,IF($J43=7,-$E43*$I43/12*0,IF($J43=8,-$E43*$I43/12*1,IF($J43=9,-$E43*$I43/12*2,IF($J43&gt;=10,-$E43*$I43/12*3,0))))))</f>
        <v>0</v>
      </c>
      <c r="BU43" s="121">
        <f t="shared" ref="BU43:BU67" si="165">IF($H43&lt;&gt;BV$5,0,IF(BV43&lt;0,IF(OR($J43=1,$J43=2,$J43=3,$J43=4,$J43=5,$J43=6,$J43=7,$J43=8,$J43=9,$J43=10),-$E43*$I43/12*3,IF($J43=11,-$E43*$I43/12*2,IF($J43=12,-$E43*$I43/12*1,0)))))+IF(BQ$5&lt;&gt;$H43,0,IF(BQ43&lt;0,IF($J43=10,-$E43*$I43/12*0,IF($J43=11,-$E43*$I43/12*1,IF($J43=12,-$E43*$I43/12*2,0)))))</f>
        <v>0</v>
      </c>
      <c r="BV43" s="118">
        <f t="shared" ref="BV43:BV67" si="166">IF(AND(BQ43&lt;&gt;0,BQ$5=$H43),-$I43*$E43-BQ43,IF(BV$5=$H43,-$I43*$E43*(12-$J43+1)/12,0))</f>
        <v>0</v>
      </c>
      <c r="BW43" s="119">
        <f t="shared" ref="BW43:BW67" si="167">IF($H43&lt;&gt;CA$5,0,IF(CA43&lt;0,IF($J43=1,-$E43*$I43/12*3,IF($J43=2,-$E43*$I43/12*2,IF($J43=3,-$E43*$I43/12*1,0)))))+IF(BV$5&lt;&gt;$H43,0,IF(BV43&lt;0,IF($J43=1,-$E43*$I43/12*0,IF($J43=2,-$E43*$I43/12*1,IF($J43=3,-$E43*$I43/12*2,IF($J43&gt;=4,-$E43*$I43/12*3,0))))))</f>
        <v>0</v>
      </c>
      <c r="BX43" s="120">
        <f t="shared" ref="BX43:BX67" si="168">IF($H43&lt;&gt;CA$5,0,IF(CA43&lt;0,IF(OR($J43=1,$J43=2,$J43=3,$J43=4),-$E43*$I43/12*3,IF($J43=5,-$E43*$I43/12*2,IF($J43=6,-$E43*$I43/12*1,0)))))+IF(BV$5&lt;&gt;$H43,0,IF(BV43&lt;0,IF($J43=4,-$E43*$I43/12*0,IF($J43=5,-$E43*$I43/12*1,IF($J43=6,-$E43*$I43/12*2,IF($J43&gt;=7,-$E43*$I43/12*3,0))))))</f>
        <v>0</v>
      </c>
      <c r="BY43" s="120">
        <f t="shared" ref="BY43:BY67" si="169">IF($H43&lt;&gt;CA$5,0,IF(CA43&lt;0,IF(OR($J43=1,$J43=2,$J43=3,$J43=4,$J43=5,$J43=6,$J43=7),-$E43*$I43/12*3,IF($J43=8,-$E43*$I43/12*2,IF($J43=9,-$E43*$I43/12*1,0)))))+IF(BV$5&lt;&gt;$H43,0,IF(BV43&lt;0,IF($J43=7,-$E43*$I43/12*0,IF($J43=8,-$E43*$I43/12*1,IF($J43=9,-$E43*$I43/12*2,IF($J43&gt;=10,-$E43*$I43/12*3,0))))))</f>
        <v>0</v>
      </c>
      <c r="BZ43" s="121">
        <f t="shared" ref="BZ43:BZ67" si="170">IF($H43&lt;&gt;CA$5,0,IF(CA43&lt;0,IF(OR($J43=1,$J43=2,$J43=3,$J43=4,$J43=5,$J43=6,$J43=7,$J43=8,$J43=9,$J43=10),-$E43*$I43/12*3,IF($J43=11,-$E43*$I43/12*2,IF($J43=12,-$E43*$I43/12*1,0)))))+IF(BV$5&lt;&gt;$H43,0,IF(BV43&lt;0,IF($J43=10,-$E43*$I43/12*0,IF($J43=11,-$E43*$I43/12*1,IF($J43=12,-$E43*$I43/12*2,0)))))</f>
        <v>0</v>
      </c>
      <c r="CA43" s="118">
        <f t="shared" ref="CA43:CA67" si="171">IF(AND(BV43&lt;&gt;0,BV$5=$H43),-$I43*$E43-BV43,IF(CA$5=$H43,-$I43*$E43*(12-$J43+1)/12,0))</f>
        <v>0</v>
      </c>
      <c r="CB43" s="119">
        <f t="shared" ref="CB43:CB67" si="172">IF($H43&lt;&gt;CF$5,0,IF(CF43&lt;0,IF($J43=1,-$E43*$I43/12*3,IF($J43=2,-$E43*$I43/12*2,IF($J43=3,-$E43*$I43/12*1,0)))))+IF(CA$5&lt;&gt;$H43,0,IF(CA43&lt;0,IF($J43=1,-$E43*$I43/12*0,IF($J43=2,-$E43*$I43/12*1,IF($J43=3,-$E43*$I43/12*2,IF($J43&gt;=4,-$E43*$I43/12*3,0))))))</f>
        <v>0</v>
      </c>
      <c r="CC43" s="120">
        <f t="shared" ref="CC43:CC67" si="173">IF($H43&lt;&gt;CF$5,0,IF(CF43&lt;0,IF(OR($J43=1,$J43=2,$J43=3,$J43=4),-$E43*$I43/12*3,IF($J43=5,-$E43*$I43/12*2,IF($J43=6,-$E43*$I43/12*1,0)))))+IF(CA$5&lt;&gt;$H43,0,IF(CA43&lt;0,IF($J43=4,-$E43*$I43/12*0,IF($J43=5,-$E43*$I43/12*1,IF($J43=6,-$E43*$I43/12*2,IF($J43&gt;=7,-$E43*$I43/12*3,0))))))</f>
        <v>0</v>
      </c>
      <c r="CD43" s="120">
        <f t="shared" ref="CD43:CD67" si="174">IF($H43&lt;&gt;CF$5,0,IF(CF43&lt;0,IF(OR($J43=1,$J43=2,$J43=3,$J43=4,$J43=5,$J43=6,$J43=7),-$E43*$I43/12*3,IF($J43=8,-$E43*$I43/12*2,IF($J43=9,-$E43*$I43/12*1,0)))))+IF(CA$5&lt;&gt;$H43,0,IF(CA43&lt;0,IF($J43=7,-$E43*$I43/12*0,IF($J43=8,-$E43*$I43/12*1,IF($J43=9,-$E43*$I43/12*2,IF($J43&gt;=10,-$E43*$I43/12*3,0))))))</f>
        <v>0</v>
      </c>
      <c r="CE43" s="121">
        <f t="shared" ref="CE43:CE67" si="175">IF($H43&lt;&gt;CF$5,0,IF(CF43&lt;0,IF(OR($J43=1,$J43=2,$J43=3,$J43=4,$J43=5,$J43=6,$J43=7,$J43=8,$J43=9,$J43=10),-$E43*$I43/12*3,IF($J43=11,-$E43*$I43/12*2,IF($J43=12,-$E43*$I43/12*1,0)))))+IF(CA$5&lt;&gt;$H43,0,IF(CA43&lt;0,IF($J43=10,-$E43*$I43/12*0,IF($J43=11,-$E43*$I43/12*1,IF($J43=12,-$E43*$I43/12*2,0)))))</f>
        <v>0</v>
      </c>
      <c r="CF43" s="118">
        <f t="shared" ref="CF43:CF67" si="176">IF(AND(CA43&lt;&gt;0,CA$5=$H43),-$I43*$E43-CA43,IF(CF$5=$H43,-$I43*$E43*(12-$J43+1)/12,0))</f>
        <v>0</v>
      </c>
      <c r="CG43" s="119">
        <f>IF($H43&lt;&gt;CK$5,0,IF(CK43&lt;0,IF($J43=1,-$E43*$I43/12*3,IF($J43=2,-$E43*$I43/12*2,IF($J43=3,-$E43*$I43/12*1,0)))))+IF(CF$5&lt;&gt;$H43,0,IF(CF43&lt;0,IF($J43=1,-$E43*$I43/12*0,IF($J43=2,-$E43*$I43/12*1,IF($J43=3,-$E43*$I43/12*2,IF($J43&gt;=4,-$E43*$I43/12*3,0))))))</f>
        <v>0</v>
      </c>
      <c r="CH43" s="120">
        <f>IF($H43&lt;&gt;CK$5,0,IF(CK43&lt;0,IF(OR($J43=1,$J43=2,$J43=3,$J43=4),-$E43*$I43/12*3,IF($J43=5,-$E43*$I43/12*2,IF($J43=6,-$E43*$I43/12*1,0)))))+IF(CF$5&lt;&gt;$H43,0,IF(CF43&lt;0,IF($J43=4,-$E43*$I43/12*0,IF($J43=5,-$E43*$I43/12*1,IF($J43=6,-$E43*$I43/12*2,IF($J43&gt;=7,-$E43*$I43/12*3,0))))))</f>
        <v>0</v>
      </c>
      <c r="CI43" s="120">
        <f>IF($H43&lt;&gt;CK$5,0,IF(CK43&lt;0,IF(OR($J43=1,$J43=2,$J43=3,$J43=4,$J43=5,$J43=6,$J43=7),-$E43*$I43/12*3,IF($J43=8,-$E43*$I43/12*2,IF($J43=9,-$E43*$I43/12*1,0)))))+IF(CF$5&lt;&gt;$H43,0,IF(CF43&lt;0,IF($J43=7,-$E43*$I43/12*0,IF($J43=8,-$E43*$I43/12*1,IF($J43=9,-$E43*$I43/12*2,IF($J43&gt;=10,-$E43*$I43/12*3,0))))))</f>
        <v>0</v>
      </c>
      <c r="CJ43" s="121">
        <f>IF($H43&lt;&gt;CK$5,0,IF(CK43&lt;0,IF(OR($J43=1,$J43=2,$J43=3,$J43=4,$J43=5,$J43=6,$J43=7,$J43=8,$J43=9,$J43=10),-$E43*$I43/12*3,IF($J43=11,-$E43*$I43/12*2,IF($J43=12,-$E43*$I43/12*1,0)))))+IF(CF$5&lt;&gt;$H43,0,IF(CF43&lt;0,IF($J43=10,-$E43*$I43/12*0,IF($J43=11,-$E43*$I43/12*1,IF($J43=12,-$E43*$I43/12*2,0)))))</f>
        <v>0</v>
      </c>
      <c r="CK43" s="118">
        <f>IF(AND(CF43&lt;&gt;0,CF$5=$H43),-$I43*$E43-CF43,IF(CK$5=$H43,-$I43*$E43*(12-$J43+1)/12,0))</f>
        <v>0</v>
      </c>
      <c r="CL43" s="119">
        <f>IF($H43&lt;&gt;CP$5,0,IF(CP43&lt;0,IF($J43=1,-$E43*$I43/12*3,IF($J43=2,-$E43*$I43/12*2,IF($J43=3,-$E43*$I43/12*1,0)))))+IF(CK$5&lt;&gt;$H43,0,IF(CK43&lt;0,IF($J43=1,-$E43*$I43/12*0,IF($J43=2,-$E43*$I43/12*1,IF($J43=3,-$E43*$I43/12*2,IF($J43&gt;=4,-$E43*$I43/12*3,0))))))</f>
        <v>0</v>
      </c>
      <c r="CM43" s="120">
        <f>IF($H43&lt;&gt;CP$5,0,IF(CP43&lt;0,IF(OR($J43=1,$J43=2,$J43=3,$J43=4),-$E43*$I43/12*3,IF($J43=5,-$E43*$I43/12*2,IF($J43=6,-$E43*$I43/12*1,0)))))+IF(CK$5&lt;&gt;$H43,0,IF(CK43&lt;0,IF($J43=4,-$E43*$I43/12*0,IF($J43=5,-$E43*$I43/12*1,IF($J43=6,-$E43*$I43/12*2,IF($J43&gt;=7,-$E43*$I43/12*3,0))))))</f>
        <v>0</v>
      </c>
      <c r="CN43" s="120">
        <f>IF($H43&lt;&gt;CP$5,0,IF(CP43&lt;0,IF(OR($J43=1,$J43=2,$J43=3,$J43=4,$J43=5,$J43=6,$J43=7),-$E43*$I43/12*3,IF($J43=8,-$E43*$I43/12*2,IF($J43=9,-$E43*$I43/12*1,0)))))+IF(CK$5&lt;&gt;$H43,0,IF(CK43&lt;0,IF($J43=7,-$E43*$I43/12*0,IF($J43=8,-$E43*$I43/12*1,IF($J43=9,-$E43*$I43/12*2,IF($J43&gt;=10,-$E43*$I43/12*3,0))))))</f>
        <v>0</v>
      </c>
      <c r="CO43" s="121">
        <f>IF($H43&lt;&gt;CP$5,0,IF(CP43&lt;0,IF(OR($J43=1,$J43=2,$J43=3,$J43=4,$J43=5,$J43=6,$J43=7,$J43=8,$J43=9,$J43=10),-$E43*$I43/12*3,IF($J43=11,-$E43*$I43/12*2,IF($J43=12,-$E43*$I43/12*1,0)))))+IF(CK$5&lt;&gt;$H43,0,IF(CK43&lt;0,IF($J43=10,-$E43*$I43/12*0,IF($J43=11,-$E43*$I43/12*1,IF($J43=12,-$E43*$I43/12*2,0)))))</f>
        <v>0</v>
      </c>
      <c r="CP43" s="118">
        <f>IF(AND(CK43&lt;&gt;0,CK$5=$H43),-$I43*$E43-CK43,IF(CP$5=$H43,-$I43*$E43*(12-$J43+1)/12,0))</f>
        <v>0</v>
      </c>
      <c r="CQ43" s="119">
        <f t="shared" ref="CQ43:CQ65" si="177">IF($H43&lt;&gt;CU$5,0,IF(CU43&lt;0,IF($J43=1,-$E43*$I43/12*3,IF($J43=2,-$E43*$I43/12*2,IF($J43=3,-$E43*$I43/12*1,0)))))+IF(CP$5&lt;&gt;$H43,0,IF(CP43&lt;0,IF($J43=1,-$E43*$I43/12*0,IF($J43=2,-$E43*$I43/12*1,IF($J43=3,-$E43*$I43/12*2,IF($J43&gt;=4,-$E43*$I43/12*3,0))))))</f>
        <v>0</v>
      </c>
      <c r="CR43" s="120">
        <f>IF($H43&lt;&gt;CU$5,0,IF(CU43&lt;0,IF(OR($J43=1,$J43=2,$J43=3,$J43=4),-$E43*$I43/12*3,IF($J43=5,-$E43*$I43/12*2,IF($J43=6,-$E43*$I43/12*1,0)))))+IF(CP$5&lt;&gt;$H43,0,IF(CP43&lt;0,IF($J43=4,-$E43*$I43/12*0,IF($J43=5,-$E43*$I43/12*1,IF($J43=6,-$E43*$I43/12*2,IF($J43&gt;=7,-$E43*$I43/12*3,0))))))</f>
        <v>0</v>
      </c>
      <c r="CS43" s="120">
        <f>IF($H43&lt;&gt;CU$5,0,IF(CU43&lt;0,IF(OR($J43=1,$J43=2,$J43=3,$J43=4,$J43=5,$J43=6,$J43=7),-$E43*$I43/12*3,IF($J43=8,-$E43*$I43/12*2,IF($J43=9,-$E43*$I43/12*1,0)))))+IF(CP$5&lt;&gt;$H43,0,IF(CP43&lt;0,IF($J43=7,-$E43*$I43/12*0,IF($J43=8,-$E43*$I43/12*1,IF($J43=9,-$E43*$I43/12*2,IF($J43&gt;=10,-$E43*$I43/12*3,0))))))</f>
        <v>0</v>
      </c>
      <c r="CT43" s="121">
        <f>IF($H43&lt;&gt;CU$5,0,IF(CU43&lt;0,IF(OR($J43=1,$J43=2,$J43=3,$J43=4,$J43=5,$J43=6,$J43=7,$J43=8,$J43=9,$J43=10),-$E43*$I43/12*3,IF($J43=11,-$E43*$I43/12*2,IF($J43=12,-$E43*$I43/12*1,0)))))+IF(CP$5&lt;&gt;$H43,0,IF(CP43&lt;0,IF($J43=10,-$E43*$I43/12*0,IF($J43=11,-$E43*$I43/12*1,IF($J43=12,-$E43*$I43/12*2,0)))))</f>
        <v>0</v>
      </c>
      <c r="CU43" s="118">
        <f>IF(AND(CP43&lt;&gt;0,CP$5=$H43),-$I43*$E43-CP43,IF(CU$5=$H43,-$I43*$E43*(12-$J43+1)/12,0))</f>
        <v>0</v>
      </c>
      <c r="CV43" s="119">
        <f t="shared" ref="CV43:CV70" si="178">IF($H43&lt;&gt;CZ$5,0,IF(CZ43&lt;0,IF($J43=1,-$E43*$I43/12*3,IF($J43=2,-$E43*$I43/12*2,IF($J43=3,-$E43*$I43/12*1,0)))))+IF(CU$5&lt;&gt;$H43,0,IF(CU43&lt;0,IF($J43=1,-$E43*$I43/12*0,IF($J43=2,-$E43*$I43/12*1,IF($J43=3,-$E43*$I43/12*2,IF($J43&gt;=4,-$E43*$I43/12*3,0))))))</f>
        <v>0</v>
      </c>
      <c r="CW43" s="120">
        <f t="shared" ref="CW43:CW71" si="179">IF($H43&lt;&gt;CZ$5,0,IF(CZ43&lt;0,IF(OR($J43=1,$J43=2,$J43=3,$J43=4),-$E43*$I43/12*3,IF($J43=5,-$E43*$I43/12*2,IF($J43=6,-$E43*$I43/12*1,0)))))+IF(CU$5&lt;&gt;$H43,0,IF(CU43&lt;0,IF($J43=4,-$E43*$I43/12*0,IF($J43=5,-$E43*$I43/12*1,IF($J43=6,-$E43*$I43/12*2,IF($J43&gt;=7,-$E43*$I43/12*3,0))))))</f>
        <v>-1.0329166666666667</v>
      </c>
      <c r="CX43" s="120">
        <f t="shared" ref="CX43:CX71" si="180">IF($H43&lt;&gt;CZ$5,0,IF(CZ43&lt;0,IF(OR($J43=1,$J43=2,$J43=3,$J43=4,$J43=5,$J43=6,$J43=7),-$E43*$I43/12*3,IF($J43=8,-$E43*$I43/12*2,IF($J43=9,-$E43*$I43/12*1,0)))))+IF(CU$5&lt;&gt;$H43,0,IF(CU43&lt;0,IF($J43=7,-$E43*$I43/12*0,IF($J43=8,-$E43*$I43/12*1,IF($J43=9,-$E43*$I43/12*2,IF($J43&gt;=10,-$E43*$I43/12*3,0))))))</f>
        <v>-3.0987499999999999</v>
      </c>
      <c r="CY43" s="121">
        <f t="shared" ref="CY43:CY71" si="181">IF($H43&lt;&gt;CZ$5,0,IF(CZ43&lt;0,IF(OR($J43=1,$J43=2,$J43=3,$J43=4,$J43=5,$J43=6,$J43=7,$J43=8,$J43=9,$J43=10),-$E43*$I43/12*3,IF($J43=11,-$E43*$I43/12*2,IF($J43=12,-$E43*$I43/12*1,0)))))+IF(CU$5&lt;&gt;$H43,0,IF(CU43&lt;0,IF($J43=10,-$E43*$I43/12*0,IF($J43=11,-$E43*$I43/12*1,IF($J43=12,-$E43*$I43/12*2,0)))))</f>
        <v>-3.0987499999999999</v>
      </c>
      <c r="CZ43" s="118">
        <f t="shared" ref="CZ43:CZ71" si="182">IF(AND(CU43&lt;&gt;0,CU$5=$H43),-$I43*$E43-CU43,IF(CZ$5=$H43,-$I43*$E43*(12-$J43+1)/12,0))</f>
        <v>-7.2304166666666667</v>
      </c>
    </row>
    <row r="44" spans="1:104" ht="12.75" customHeight="1">
      <c r="A44" s="7"/>
      <c r="B44" s="7"/>
      <c r="C44" s="7" t="s">
        <v>502</v>
      </c>
      <c r="D44" s="195"/>
      <c r="E44" s="191">
        <f t="shared" si="112"/>
        <v>7</v>
      </c>
      <c r="F44" s="193">
        <v>7</v>
      </c>
      <c r="G44" s="193">
        <v>7</v>
      </c>
      <c r="H44" s="1217">
        <v>2037</v>
      </c>
      <c r="I44" s="1218">
        <v>0.08</v>
      </c>
      <c r="J44" s="1217">
        <v>6</v>
      </c>
      <c r="K44" s="112"/>
      <c r="L44" s="113">
        <f t="shared" si="113"/>
        <v>0</v>
      </c>
      <c r="M44" s="114">
        <f t="shared" si="114"/>
        <v>0</v>
      </c>
      <c r="N44" s="115">
        <f t="shared" si="115"/>
        <v>0</v>
      </c>
      <c r="O44" s="115">
        <f t="shared" si="116"/>
        <v>0</v>
      </c>
      <c r="P44" s="116">
        <f t="shared" si="117"/>
        <v>0</v>
      </c>
      <c r="Q44" s="113">
        <f t="shared" si="118"/>
        <v>0</v>
      </c>
      <c r="R44" s="114">
        <f t="shared" si="119"/>
        <v>0</v>
      </c>
      <c r="S44" s="115">
        <f t="shared" si="120"/>
        <v>0</v>
      </c>
      <c r="T44" s="115">
        <f t="shared" si="121"/>
        <v>0</v>
      </c>
      <c r="U44" s="116">
        <f t="shared" si="122"/>
        <v>0</v>
      </c>
      <c r="V44" s="113">
        <f t="shared" si="123"/>
        <v>0</v>
      </c>
      <c r="W44" s="114">
        <f t="shared" si="124"/>
        <v>0</v>
      </c>
      <c r="X44" s="115">
        <f t="shared" si="125"/>
        <v>0</v>
      </c>
      <c r="Y44" s="115">
        <f t="shared" si="126"/>
        <v>0</v>
      </c>
      <c r="Z44" s="116">
        <f t="shared" si="127"/>
        <v>0</v>
      </c>
      <c r="AA44" s="113">
        <f t="shared" si="128"/>
        <v>0</v>
      </c>
      <c r="AB44" s="114">
        <f t="shared" si="129"/>
        <v>0</v>
      </c>
      <c r="AC44" s="115">
        <f t="shared" si="130"/>
        <v>0</v>
      </c>
      <c r="AD44" s="115">
        <f t="shared" si="131"/>
        <v>0</v>
      </c>
      <c r="AE44" s="116">
        <f t="shared" si="132"/>
        <v>0</v>
      </c>
      <c r="AF44" s="113">
        <f t="shared" si="133"/>
        <v>0</v>
      </c>
      <c r="AG44" s="114">
        <f t="shared" si="134"/>
        <v>0</v>
      </c>
      <c r="AH44" s="115">
        <f t="shared" si="135"/>
        <v>0</v>
      </c>
      <c r="AI44" s="115">
        <f t="shared" si="136"/>
        <v>0</v>
      </c>
      <c r="AJ44" s="116">
        <f t="shared" si="137"/>
        <v>0</v>
      </c>
      <c r="AK44" s="113">
        <f t="shared" si="138"/>
        <v>0</v>
      </c>
      <c r="AL44" s="114">
        <f>IF(AP44=0,0,IF(AP44&lt;0,IF($J44=3,AP44,IF($J44=2,AP44,IF($J44=1,AP44,0)))))</f>
        <v>0</v>
      </c>
      <c r="AM44" s="115">
        <f>IF(AP44=0,0,IF(AP44&lt;0,IF($J44=6,AP44,IF($J44=5,AP44,IF($J44=4,AP44,0)))))</f>
        <v>0</v>
      </c>
      <c r="AN44" s="115">
        <f>IF(AP44=0,0,IF(AP44&lt;0,IF($J44=9,AP44,IF($J44=8,AP44,IF($J44=7,AP44,0)))))</f>
        <v>0</v>
      </c>
      <c r="AO44" s="116">
        <f>IF(AP44=0,0,IF(AP44&lt;0,IF($J44=12,AP44,IF($J44=11,AP44,IF($J44=10,AP44,0)))))</f>
        <v>0</v>
      </c>
      <c r="AP44" s="113">
        <f t="shared" si="139"/>
        <v>0</v>
      </c>
      <c r="AQ44" s="114">
        <f>IF(AU44=0,0,IF(AU44&lt;0,IF($J44=3,AU44,IF($J44=2,AU44,IF($J44=1,AU44,0)))))</f>
        <v>0</v>
      </c>
      <c r="AR44" s="115">
        <f>IF(AU44=0,0,IF(AU44&lt;0,IF($J44=6,AU44,IF($J44=5,AU44,IF($J44=4,AU44,0)))))</f>
        <v>0</v>
      </c>
      <c r="AS44" s="115">
        <f>IF(AU44=0,0,IF(AU44&lt;0,IF($J44=9,AU44,IF($J44=8,AU44,IF($J44=7,AU44,0)))))</f>
        <v>0</v>
      </c>
      <c r="AT44" s="116">
        <f>IF(AU44=0,0,IF(AU44&lt;0,IF($J44=12,AU44,IF($J44=11,AU44,IF($J44=10,AU44,0)))))</f>
        <v>0</v>
      </c>
      <c r="AU44" s="113">
        <f t="shared" si="140"/>
        <v>0</v>
      </c>
      <c r="AV44" s="114">
        <f t="shared" si="141"/>
        <v>0</v>
      </c>
      <c r="AW44" s="115">
        <f t="shared" si="142"/>
        <v>0</v>
      </c>
      <c r="AX44" s="115">
        <f t="shared" si="143"/>
        <v>0</v>
      </c>
      <c r="AY44" s="116">
        <f t="shared" si="144"/>
        <v>0</v>
      </c>
      <c r="AZ44" s="113">
        <f t="shared" si="145"/>
        <v>0</v>
      </c>
      <c r="BA44" s="114">
        <f t="shared" si="146"/>
        <v>0</v>
      </c>
      <c r="BB44" s="115">
        <f t="shared" si="147"/>
        <v>0</v>
      </c>
      <c r="BC44" s="115">
        <f t="shared" si="148"/>
        <v>0</v>
      </c>
      <c r="BD44" s="116">
        <f t="shared" si="149"/>
        <v>0</v>
      </c>
      <c r="BE44" s="113">
        <f t="shared" si="150"/>
        <v>0</v>
      </c>
      <c r="BF44" s="194"/>
      <c r="BG44" s="118">
        <f t="shared" si="151"/>
        <v>0</v>
      </c>
      <c r="BH44" s="119">
        <f t="shared" si="152"/>
        <v>0</v>
      </c>
      <c r="BI44" s="120">
        <f t="shared" si="153"/>
        <v>0</v>
      </c>
      <c r="BJ44" s="120">
        <f t="shared" si="154"/>
        <v>0</v>
      </c>
      <c r="BK44" s="121">
        <f t="shared" si="155"/>
        <v>0</v>
      </c>
      <c r="BL44" s="118">
        <f t="shared" si="156"/>
        <v>0</v>
      </c>
      <c r="BM44" s="119">
        <f t="shared" si="157"/>
        <v>0</v>
      </c>
      <c r="BN44" s="120">
        <f t="shared" si="158"/>
        <v>0</v>
      </c>
      <c r="BO44" s="120">
        <f t="shared" si="159"/>
        <v>0</v>
      </c>
      <c r="BP44" s="121">
        <f t="shared" si="160"/>
        <v>0</v>
      </c>
      <c r="BQ44" s="118">
        <f t="shared" si="161"/>
        <v>0</v>
      </c>
      <c r="BR44" s="119">
        <f t="shared" si="162"/>
        <v>0</v>
      </c>
      <c r="BS44" s="120">
        <f t="shared" si="163"/>
        <v>0</v>
      </c>
      <c r="BT44" s="120">
        <f t="shared" si="164"/>
        <v>0</v>
      </c>
      <c r="BU44" s="121">
        <f t="shared" si="165"/>
        <v>0</v>
      </c>
      <c r="BV44" s="118">
        <f t="shared" si="166"/>
        <v>0</v>
      </c>
      <c r="BW44" s="119">
        <f t="shared" si="167"/>
        <v>0</v>
      </c>
      <c r="BX44" s="120">
        <f t="shared" si="168"/>
        <v>0</v>
      </c>
      <c r="BY44" s="120">
        <f t="shared" si="169"/>
        <v>0</v>
      </c>
      <c r="BZ44" s="121">
        <f t="shared" si="170"/>
        <v>0</v>
      </c>
      <c r="CA44" s="118">
        <f t="shared" si="171"/>
        <v>0</v>
      </c>
      <c r="CB44" s="119">
        <f t="shared" si="172"/>
        <v>0</v>
      </c>
      <c r="CC44" s="120">
        <f t="shared" si="173"/>
        <v>0</v>
      </c>
      <c r="CD44" s="120">
        <f t="shared" si="174"/>
        <v>0</v>
      </c>
      <c r="CE44" s="121">
        <f t="shared" si="175"/>
        <v>0</v>
      </c>
      <c r="CF44" s="118">
        <f t="shared" si="176"/>
        <v>0</v>
      </c>
      <c r="CG44" s="119">
        <f>IF($H44&lt;&gt;CK$5,0,IF(CK44&lt;0,IF($J44=1,-$E44*$I44/12*3,IF($J44=2,-$E44*$I44/12*2,IF($J44=3,-$E44*$I44/12*1,0)))))+IF(CF$5&lt;&gt;$H44,0,IF(CF44&lt;0,IF($J44=1,-$E44*$I44/12*0,IF($J44=2,-$E44*$I44/12*1,IF($J44=3,-$E44*$I44/12*2,IF($J44&gt;=4,-$E44*$I44/12*3,0))))))</f>
        <v>0</v>
      </c>
      <c r="CH44" s="120">
        <f>IF($H44&lt;&gt;CK$5,0,IF(CK44&lt;0,IF(OR($J44=1,$J44=2,$J44=3,$J44=4),-$E44*$I44/12*3,IF($J44=5,-$E44*$I44/12*2,IF($J44=6,-$E44*$I44/12*1,0)))))+IF(CF$5&lt;&gt;$H44,0,IF(CF44&lt;0,IF($J44=4,-$E44*$I44/12*0,IF($J44=5,-$E44*$I44/12*1,IF($J44=6,-$E44*$I44/12*2,IF($J44&gt;=7,-$E44*$I44/12*3,0))))))</f>
        <v>0</v>
      </c>
      <c r="CI44" s="120">
        <f>IF($H44&lt;&gt;CK$5,0,IF(CK44&lt;0,IF(OR($J44=1,$J44=2,$J44=3,$J44=4,$J44=5,$J44=6,$J44=7),-$E44*$I44/12*3,IF($J44=8,-$E44*$I44/12*2,IF($J44=9,-$E44*$I44/12*1,0)))))+IF(CF$5&lt;&gt;$H44,0,IF(CF44&lt;0,IF($J44=7,-$E44*$I44/12*0,IF($J44=8,-$E44*$I44/12*1,IF($J44=9,-$E44*$I44/12*2,IF($J44&gt;=10,-$E44*$I44/12*3,0))))))</f>
        <v>0</v>
      </c>
      <c r="CJ44" s="121">
        <f>IF($H44&lt;&gt;CK$5,0,IF(CK44&lt;0,IF(OR($J44=1,$J44=2,$J44=3,$J44=4,$J44=5,$J44=6,$J44=7,$J44=8,$J44=9,$J44=10),-$E44*$I44/12*3,IF($J44=11,-$E44*$I44/12*2,IF($J44=12,-$E44*$I44/12*1,0)))))+IF(CF$5&lt;&gt;$H44,0,IF(CF44&lt;0,IF($J44=10,-$E44*$I44/12*0,IF($J44=11,-$E44*$I44/12*1,IF($J44=12,-$E44*$I44/12*2,0)))))</f>
        <v>0</v>
      </c>
      <c r="CK44" s="118">
        <f>IF(AND(CF44&lt;&gt;0,CF$5=$H44),-$I44*$E44-CF44,IF(CK$5=$H44,-$I44*$E44*(12-$J44+1)/12,0))</f>
        <v>0</v>
      </c>
      <c r="CL44" s="119">
        <f>IF($H44&lt;&gt;CP$5,0,IF(CP44&lt;0,IF($J44=1,-$E44*$I44/12*3,IF($J44=2,-$E44*$I44/12*2,IF($J44=3,-$E44*$I44/12*1,0)))))+IF(CK$5&lt;&gt;$H44,0,IF(CK44&lt;0,IF($J44=1,-$E44*$I44/12*0,IF($J44=2,-$E44*$I44/12*1,IF($J44=3,-$E44*$I44/12*2,IF($J44&gt;=4,-$E44*$I44/12*3,0))))))</f>
        <v>0</v>
      </c>
      <c r="CM44" s="120">
        <f>IF($H44&lt;&gt;CP$5,0,IF(CP44&lt;0,IF(OR($J44=1,$J44=2,$J44=3,$J44=4),-$E44*$I44/12*3,IF($J44=5,-$E44*$I44/12*2,IF($J44=6,-$E44*$I44/12*1,0)))))+IF(CK$5&lt;&gt;$H44,0,IF(CK44&lt;0,IF($J44=4,-$E44*$I44/12*0,IF($J44=5,-$E44*$I44/12*1,IF($J44=6,-$E44*$I44/12*2,IF($J44&gt;=7,-$E44*$I44/12*3,0))))))</f>
        <v>0</v>
      </c>
      <c r="CN44" s="120">
        <f>IF($H44&lt;&gt;CP$5,0,IF(CP44&lt;0,IF(OR($J44=1,$J44=2,$J44=3,$J44=4,$J44=5,$J44=6,$J44=7),-$E44*$I44/12*3,IF($J44=8,-$E44*$I44/12*2,IF($J44=9,-$E44*$I44/12*1,0)))))+IF(CK$5&lt;&gt;$H44,0,IF(CK44&lt;0,IF($J44=7,-$E44*$I44/12*0,IF($J44=8,-$E44*$I44/12*1,IF($J44=9,-$E44*$I44/12*2,IF($J44&gt;=10,-$E44*$I44/12*3,0))))))</f>
        <v>0</v>
      </c>
      <c r="CO44" s="121">
        <f>IF($H44&lt;&gt;CP$5,0,IF(CP44&lt;0,IF(OR($J44=1,$J44=2,$J44=3,$J44=4,$J44=5,$J44=6,$J44=7,$J44=8,$J44=9,$J44=10),-$E44*$I44/12*3,IF($J44=11,-$E44*$I44/12*2,IF($J44=12,-$E44*$I44/12*1,0)))))+IF(CK$5&lt;&gt;$H44,0,IF(CK44&lt;0,IF($J44=10,-$E44*$I44/12*0,IF($J44=11,-$E44*$I44/12*1,IF($J44=12,-$E44*$I44/12*2,0)))))</f>
        <v>0</v>
      </c>
      <c r="CP44" s="118">
        <f>IF(AND(CK44&lt;&gt;0,CK$5=$H44),-$I44*$E44-CK44,IF(CP$5=$H44,-$I44*$E44*(12-$J44+1)/12,0))</f>
        <v>0</v>
      </c>
      <c r="CQ44" s="119">
        <f t="shared" si="177"/>
        <v>0</v>
      </c>
      <c r="CR44" s="120">
        <f>IF($H44&lt;&gt;CU$5,0,IF(CU44&lt;0,IF(OR($J44=1,$J44=2,$J44=3,$J44=4),-$E44*$I44/12*3,IF($J44=5,-$E44*$I44/12*2,IF($J44=6,-$E44*$I44/12*1,0)))))+IF(CP$5&lt;&gt;$H44,0,IF(CP44&lt;0,IF($J44=4,-$E44*$I44/12*0,IF($J44=5,-$E44*$I44/12*1,IF($J44=6,-$E44*$I44/12*2,IF($J44&gt;=7,-$E44*$I44/12*3,0))))))</f>
        <v>0</v>
      </c>
      <c r="CS44" s="120">
        <f>IF($H44&lt;&gt;CU$5,0,IF(CU44&lt;0,IF(OR($J44=1,$J44=2,$J44=3,$J44=4,$J44=5,$J44=6,$J44=7),-$E44*$I44/12*3,IF($J44=8,-$E44*$I44/12*2,IF($J44=9,-$E44*$I44/12*1,0)))))+IF(CP$5&lt;&gt;$H44,0,IF(CP44&lt;0,IF($J44=7,-$E44*$I44/12*0,IF($J44=8,-$E44*$I44/12*1,IF($J44=9,-$E44*$I44/12*2,IF($J44&gt;=10,-$E44*$I44/12*3,0))))))</f>
        <v>0</v>
      </c>
      <c r="CT44" s="121">
        <f>IF($H44&lt;&gt;CU$5,0,IF(CU44&lt;0,IF(OR($J44=1,$J44=2,$J44=3,$J44=4,$J44=5,$J44=6,$J44=7,$J44=8,$J44=9,$J44=10),-$E44*$I44/12*3,IF($J44=11,-$E44*$I44/12*2,IF($J44=12,-$E44*$I44/12*1,0)))))+IF(CP$5&lt;&gt;$H44,0,IF(CP44&lt;0,IF($J44=10,-$E44*$I44/12*0,IF($J44=11,-$E44*$I44/12*1,IF($J44=12,-$E44*$I44/12*2,0)))))</f>
        <v>0</v>
      </c>
      <c r="CU44" s="118">
        <f>IF(AND(CP44&lt;&gt;0,CP$5=$H44),-$I44*$E44-CP44,IF(CU$5=$H44,-$I44*$E44*(12-$J44+1)/12,0))</f>
        <v>0</v>
      </c>
      <c r="CV44" s="119">
        <f t="shared" si="178"/>
        <v>0</v>
      </c>
      <c r="CW44" s="120">
        <f t="shared" si="179"/>
        <v>0</v>
      </c>
      <c r="CX44" s="120">
        <f t="shared" si="180"/>
        <v>0</v>
      </c>
      <c r="CY44" s="121">
        <f t="shared" si="181"/>
        <v>0</v>
      </c>
      <c r="CZ44" s="118">
        <f t="shared" si="182"/>
        <v>0</v>
      </c>
    </row>
    <row r="45" spans="1:104" ht="12.75" customHeight="1">
      <c r="A45" s="7"/>
      <c r="B45" s="7"/>
      <c r="C45" s="7" t="s">
        <v>501</v>
      </c>
      <c r="D45" s="195"/>
      <c r="E45" s="191">
        <f t="shared" si="112"/>
        <v>8</v>
      </c>
      <c r="F45" s="193">
        <v>8</v>
      </c>
      <c r="G45" s="193">
        <v>8</v>
      </c>
      <c r="H45" s="1217">
        <v>2037</v>
      </c>
      <c r="I45" s="1218">
        <v>0.05</v>
      </c>
      <c r="J45" s="1217">
        <v>6</v>
      </c>
      <c r="K45" s="112"/>
      <c r="L45" s="113">
        <f t="shared" si="113"/>
        <v>0</v>
      </c>
      <c r="M45" s="114">
        <f t="shared" si="114"/>
        <v>0</v>
      </c>
      <c r="N45" s="115">
        <f t="shared" si="115"/>
        <v>0</v>
      </c>
      <c r="O45" s="115">
        <f t="shared" si="116"/>
        <v>0</v>
      </c>
      <c r="P45" s="116">
        <f t="shared" si="117"/>
        <v>0</v>
      </c>
      <c r="Q45" s="113">
        <f t="shared" si="118"/>
        <v>0</v>
      </c>
      <c r="R45" s="114">
        <f t="shared" si="119"/>
        <v>0</v>
      </c>
      <c r="S45" s="115">
        <f t="shared" si="120"/>
        <v>0</v>
      </c>
      <c r="T45" s="115">
        <f t="shared" si="121"/>
        <v>0</v>
      </c>
      <c r="U45" s="116">
        <f t="shared" si="122"/>
        <v>0</v>
      </c>
      <c r="V45" s="113">
        <f t="shared" si="123"/>
        <v>0</v>
      </c>
      <c r="W45" s="114">
        <f t="shared" si="124"/>
        <v>0</v>
      </c>
      <c r="X45" s="115">
        <f t="shared" si="125"/>
        <v>0</v>
      </c>
      <c r="Y45" s="115">
        <f t="shared" si="126"/>
        <v>0</v>
      </c>
      <c r="Z45" s="116">
        <f t="shared" si="127"/>
        <v>0</v>
      </c>
      <c r="AA45" s="113">
        <f t="shared" si="128"/>
        <v>0</v>
      </c>
      <c r="AB45" s="114">
        <f t="shared" si="129"/>
        <v>0</v>
      </c>
      <c r="AC45" s="115">
        <f t="shared" si="130"/>
        <v>0</v>
      </c>
      <c r="AD45" s="115">
        <f t="shared" si="131"/>
        <v>0</v>
      </c>
      <c r="AE45" s="116">
        <f t="shared" si="132"/>
        <v>0</v>
      </c>
      <c r="AF45" s="113">
        <f t="shared" si="133"/>
        <v>0</v>
      </c>
      <c r="AG45" s="114">
        <f t="shared" si="134"/>
        <v>0</v>
      </c>
      <c r="AH45" s="115">
        <f t="shared" si="135"/>
        <v>0</v>
      </c>
      <c r="AI45" s="115">
        <f t="shared" si="136"/>
        <v>0</v>
      </c>
      <c r="AJ45" s="116">
        <f t="shared" si="137"/>
        <v>0</v>
      </c>
      <c r="AK45" s="113">
        <f t="shared" si="138"/>
        <v>0</v>
      </c>
      <c r="AL45" s="114">
        <f>IF(AP45=0,0,IF(AP45&lt;0,IF($J45=3,AP45,IF($J45=2,AP45,IF($J45=1,AP45,0)))))</f>
        <v>0</v>
      </c>
      <c r="AM45" s="115">
        <f>IF(AP45=0,0,IF(AP45&lt;0,IF($J45=6,AP45,IF($J45=5,AP45,IF($J45=4,AP45,0)))))</f>
        <v>0</v>
      </c>
      <c r="AN45" s="115">
        <f>IF(AP45=0,0,IF(AP45&lt;0,IF($J45=9,AP45,IF($J45=8,AP45,IF($J45=7,AP45,0)))))</f>
        <v>0</v>
      </c>
      <c r="AO45" s="116">
        <f>IF(AP45=0,0,IF(AP45&lt;0,IF($J45=12,AP45,IF($J45=11,AP45,IF($J45=10,AP45,0)))))</f>
        <v>0</v>
      </c>
      <c r="AP45" s="113">
        <f t="shared" si="139"/>
        <v>0</v>
      </c>
      <c r="AQ45" s="114">
        <f>IF(AU45=0,0,IF(AU45&lt;0,IF($J45=3,AU45,IF($J45=2,AU45,IF($J45=1,AU45,0)))))</f>
        <v>0</v>
      </c>
      <c r="AR45" s="115">
        <f>IF(AU45=0,0,IF(AU45&lt;0,IF($J45=6,AU45,IF($J45=5,AU45,IF($J45=4,AU45,0)))))</f>
        <v>0</v>
      </c>
      <c r="AS45" s="115">
        <f>IF(AU45=0,0,IF(AU45&lt;0,IF($J45=9,AU45,IF($J45=8,AU45,IF($J45=7,AU45,0)))))</f>
        <v>0</v>
      </c>
      <c r="AT45" s="116">
        <f>IF(AU45=0,0,IF(AU45&lt;0,IF($J45=12,AU45,IF($J45=11,AU45,IF($J45=10,AU45,0)))))</f>
        <v>0</v>
      </c>
      <c r="AU45" s="113">
        <f t="shared" si="140"/>
        <v>0</v>
      </c>
      <c r="AV45" s="114">
        <f t="shared" si="141"/>
        <v>0</v>
      </c>
      <c r="AW45" s="115">
        <f t="shared" si="142"/>
        <v>0</v>
      </c>
      <c r="AX45" s="115">
        <f t="shared" si="143"/>
        <v>0</v>
      </c>
      <c r="AY45" s="116">
        <f t="shared" si="144"/>
        <v>0</v>
      </c>
      <c r="AZ45" s="113">
        <f t="shared" si="145"/>
        <v>0</v>
      </c>
      <c r="BA45" s="114">
        <f t="shared" si="146"/>
        <v>0</v>
      </c>
      <c r="BB45" s="115">
        <f t="shared" si="147"/>
        <v>0</v>
      </c>
      <c r="BC45" s="115">
        <f t="shared" si="148"/>
        <v>0</v>
      </c>
      <c r="BD45" s="116">
        <f t="shared" si="149"/>
        <v>0</v>
      </c>
      <c r="BE45" s="113">
        <f t="shared" si="150"/>
        <v>0</v>
      </c>
      <c r="BF45" s="194"/>
      <c r="BG45" s="118">
        <f t="shared" si="151"/>
        <v>0</v>
      </c>
      <c r="BH45" s="119">
        <f t="shared" si="152"/>
        <v>0</v>
      </c>
      <c r="BI45" s="120">
        <f t="shared" si="153"/>
        <v>0</v>
      </c>
      <c r="BJ45" s="120">
        <f t="shared" si="154"/>
        <v>0</v>
      </c>
      <c r="BK45" s="121">
        <f t="shared" si="155"/>
        <v>0</v>
      </c>
      <c r="BL45" s="118">
        <f t="shared" si="156"/>
        <v>0</v>
      </c>
      <c r="BM45" s="119">
        <f t="shared" si="157"/>
        <v>0</v>
      </c>
      <c r="BN45" s="120">
        <f t="shared" si="158"/>
        <v>0</v>
      </c>
      <c r="BO45" s="120">
        <f t="shared" si="159"/>
        <v>0</v>
      </c>
      <c r="BP45" s="121">
        <f t="shared" si="160"/>
        <v>0</v>
      </c>
      <c r="BQ45" s="118">
        <f t="shared" si="161"/>
        <v>0</v>
      </c>
      <c r="BR45" s="119">
        <f t="shared" si="162"/>
        <v>0</v>
      </c>
      <c r="BS45" s="120">
        <f t="shared" si="163"/>
        <v>0</v>
      </c>
      <c r="BT45" s="120">
        <f t="shared" si="164"/>
        <v>0</v>
      </c>
      <c r="BU45" s="121">
        <f t="shared" si="165"/>
        <v>0</v>
      </c>
      <c r="BV45" s="118">
        <f t="shared" si="166"/>
        <v>0</v>
      </c>
      <c r="BW45" s="119">
        <f t="shared" si="167"/>
        <v>0</v>
      </c>
      <c r="BX45" s="120">
        <f t="shared" si="168"/>
        <v>0</v>
      </c>
      <c r="BY45" s="120">
        <f t="shared" si="169"/>
        <v>0</v>
      </c>
      <c r="BZ45" s="121">
        <f t="shared" si="170"/>
        <v>0</v>
      </c>
      <c r="CA45" s="118">
        <f t="shared" si="171"/>
        <v>0</v>
      </c>
      <c r="CB45" s="119">
        <f t="shared" si="172"/>
        <v>0</v>
      </c>
      <c r="CC45" s="120">
        <f t="shared" si="173"/>
        <v>0</v>
      </c>
      <c r="CD45" s="120">
        <f t="shared" si="174"/>
        <v>0</v>
      </c>
      <c r="CE45" s="121">
        <f t="shared" si="175"/>
        <v>0</v>
      </c>
      <c r="CF45" s="118">
        <f t="shared" si="176"/>
        <v>0</v>
      </c>
      <c r="CG45" s="119">
        <f>IF($H45&lt;&gt;CK$5,0,IF(CK45&lt;0,IF($J45=1,-$E45*$I45/12*3,IF($J45=2,-$E45*$I45/12*2,IF($J45=3,-$E45*$I45/12*1,0)))))+IF(CF$5&lt;&gt;$H45,0,IF(CF45&lt;0,IF($J45=1,-$E45*$I45/12*0,IF($J45=2,-$E45*$I45/12*1,IF($J45=3,-$E45*$I45/12*2,IF($J45&gt;=4,-$E45*$I45/12*3,0))))))</f>
        <v>0</v>
      </c>
      <c r="CH45" s="120">
        <f>IF($H45&lt;&gt;CK$5,0,IF(CK45&lt;0,IF(OR($J45=1,$J45=2,$J45=3,$J45=4),-$E45*$I45/12*3,IF($J45=5,-$E45*$I45/12*2,IF($J45=6,-$E45*$I45/12*1,0)))))+IF(CF$5&lt;&gt;$H45,0,IF(CF45&lt;0,IF($J45=4,-$E45*$I45/12*0,IF($J45=5,-$E45*$I45/12*1,IF($J45=6,-$E45*$I45/12*2,IF($J45&gt;=7,-$E45*$I45/12*3,0))))))</f>
        <v>0</v>
      </c>
      <c r="CI45" s="120">
        <f>IF($H45&lt;&gt;CK$5,0,IF(CK45&lt;0,IF(OR($J45=1,$J45=2,$J45=3,$J45=4,$J45=5,$J45=6,$J45=7),-$E45*$I45/12*3,IF($J45=8,-$E45*$I45/12*2,IF($J45=9,-$E45*$I45/12*1,0)))))+IF(CF$5&lt;&gt;$H45,0,IF(CF45&lt;0,IF($J45=7,-$E45*$I45/12*0,IF($J45=8,-$E45*$I45/12*1,IF($J45=9,-$E45*$I45/12*2,IF($J45&gt;=10,-$E45*$I45/12*3,0))))))</f>
        <v>0</v>
      </c>
      <c r="CJ45" s="121">
        <f>IF($H45&lt;&gt;CK$5,0,IF(CK45&lt;0,IF(OR($J45=1,$J45=2,$J45=3,$J45=4,$J45=5,$J45=6,$J45=7,$J45=8,$J45=9,$J45=10),-$E45*$I45/12*3,IF($J45=11,-$E45*$I45/12*2,IF($J45=12,-$E45*$I45/12*1,0)))))+IF(CF$5&lt;&gt;$H45,0,IF(CF45&lt;0,IF($J45=10,-$E45*$I45/12*0,IF($J45=11,-$E45*$I45/12*1,IF($J45=12,-$E45*$I45/12*2,0)))))</f>
        <v>0</v>
      </c>
      <c r="CK45" s="118">
        <f>IF(AND(CF45&lt;&gt;0,CF$5=$H45),-$I45*$E45-CF45,IF(CK$5=$H45,-$I45*$E45*(12-$J45+1)/12,0))</f>
        <v>0</v>
      </c>
      <c r="CL45" s="119">
        <f>IF($H45&lt;&gt;CP$5,0,IF(CP45&lt;0,IF($J45=1,-$E45*$I45/12*3,IF($J45=2,-$E45*$I45/12*2,IF($J45=3,-$E45*$I45/12*1,0)))))+IF(CK$5&lt;&gt;$H45,0,IF(CK45&lt;0,IF($J45=1,-$E45*$I45/12*0,IF($J45=2,-$E45*$I45/12*1,IF($J45=3,-$E45*$I45/12*2,IF($J45&gt;=4,-$E45*$I45/12*3,0))))))</f>
        <v>0</v>
      </c>
      <c r="CM45" s="120">
        <f>IF($H45&lt;&gt;CP$5,0,IF(CP45&lt;0,IF(OR($J45=1,$J45=2,$J45=3,$J45=4),-$E45*$I45/12*3,IF($J45=5,-$E45*$I45/12*2,IF($J45=6,-$E45*$I45/12*1,0)))))+IF(CK$5&lt;&gt;$H45,0,IF(CK45&lt;0,IF($J45=4,-$E45*$I45/12*0,IF($J45=5,-$E45*$I45/12*1,IF($J45=6,-$E45*$I45/12*2,IF($J45&gt;=7,-$E45*$I45/12*3,0))))))</f>
        <v>0</v>
      </c>
      <c r="CN45" s="120">
        <f>IF($H45&lt;&gt;CP$5,0,IF(CP45&lt;0,IF(OR($J45=1,$J45=2,$J45=3,$J45=4,$J45=5,$J45=6,$J45=7),-$E45*$I45/12*3,IF($J45=8,-$E45*$I45/12*2,IF($J45=9,-$E45*$I45/12*1,0)))))+IF(CK$5&lt;&gt;$H45,0,IF(CK45&lt;0,IF($J45=7,-$E45*$I45/12*0,IF($J45=8,-$E45*$I45/12*1,IF($J45=9,-$E45*$I45/12*2,IF($J45&gt;=10,-$E45*$I45/12*3,0))))))</f>
        <v>0</v>
      </c>
      <c r="CO45" s="121">
        <f>IF($H45&lt;&gt;CP$5,0,IF(CP45&lt;0,IF(OR($J45=1,$J45=2,$J45=3,$J45=4,$J45=5,$J45=6,$J45=7,$J45=8,$J45=9,$J45=10),-$E45*$I45/12*3,IF($J45=11,-$E45*$I45/12*2,IF($J45=12,-$E45*$I45/12*1,0)))))+IF(CK$5&lt;&gt;$H45,0,IF(CK45&lt;0,IF($J45=10,-$E45*$I45/12*0,IF($J45=11,-$E45*$I45/12*1,IF($J45=12,-$E45*$I45/12*2,0)))))</f>
        <v>0</v>
      </c>
      <c r="CP45" s="118">
        <f>IF(AND(CK45&lt;&gt;0,CK$5=$H45),-$I45*$E45-CK45,IF(CP$5=$H45,-$I45*$E45*(12-$J45+1)/12,0))</f>
        <v>0</v>
      </c>
      <c r="CQ45" s="119">
        <f t="shared" si="177"/>
        <v>0</v>
      </c>
      <c r="CR45" s="120">
        <f>IF($H45&lt;&gt;CU$5,0,IF(CU45&lt;0,IF(OR($J45=1,$J45=2,$J45=3,$J45=4),-$E45*$I45/12*3,IF($J45=5,-$E45*$I45/12*2,IF($J45=6,-$E45*$I45/12*1,0)))))+IF(CP$5&lt;&gt;$H45,0,IF(CP45&lt;0,IF($J45=4,-$E45*$I45/12*0,IF($J45=5,-$E45*$I45/12*1,IF($J45=6,-$E45*$I45/12*2,IF($J45&gt;=7,-$E45*$I45/12*3,0))))))</f>
        <v>0</v>
      </c>
      <c r="CS45" s="120">
        <f>IF($H45&lt;&gt;CU$5,0,IF(CU45&lt;0,IF(OR($J45=1,$J45=2,$J45=3,$J45=4,$J45=5,$J45=6,$J45=7),-$E45*$I45/12*3,IF($J45=8,-$E45*$I45/12*2,IF($J45=9,-$E45*$I45/12*1,0)))))+IF(CP$5&lt;&gt;$H45,0,IF(CP45&lt;0,IF($J45=7,-$E45*$I45/12*0,IF($J45=8,-$E45*$I45/12*1,IF($J45=9,-$E45*$I45/12*2,IF($J45&gt;=10,-$E45*$I45/12*3,0))))))</f>
        <v>0</v>
      </c>
      <c r="CT45" s="121">
        <f>IF($H45&lt;&gt;CU$5,0,IF(CU45&lt;0,IF(OR($J45=1,$J45=2,$J45=3,$J45=4,$J45=5,$J45=6,$J45=7,$J45=8,$J45=9,$J45=10),-$E45*$I45/12*3,IF($J45=11,-$E45*$I45/12*2,IF($J45=12,-$E45*$I45/12*1,0)))))+IF(CP$5&lt;&gt;$H45,0,IF(CP45&lt;0,IF($J45=10,-$E45*$I45/12*0,IF($J45=11,-$E45*$I45/12*1,IF($J45=12,-$E45*$I45/12*2,0)))))</f>
        <v>0</v>
      </c>
      <c r="CU45" s="118">
        <f>IF(AND(CP45&lt;&gt;0,CP$5=$H45),-$I45*$E45-CP45,IF(CU$5=$H45,-$I45*$E45*(12-$J45+1)/12,0))</f>
        <v>0</v>
      </c>
      <c r="CV45" s="119">
        <f t="shared" si="178"/>
        <v>0</v>
      </c>
      <c r="CW45" s="120">
        <f t="shared" si="179"/>
        <v>0</v>
      </c>
      <c r="CX45" s="120">
        <f t="shared" si="180"/>
        <v>0</v>
      </c>
      <c r="CY45" s="121">
        <f t="shared" si="181"/>
        <v>0</v>
      </c>
      <c r="CZ45" s="118">
        <f t="shared" si="182"/>
        <v>0</v>
      </c>
    </row>
    <row r="46" spans="1:104" ht="12.75" customHeight="1">
      <c r="A46" s="7"/>
      <c r="B46" s="7"/>
      <c r="C46" s="7" t="s">
        <v>497</v>
      </c>
      <c r="D46" s="195"/>
      <c r="E46" s="191">
        <f t="shared" si="112"/>
        <v>400</v>
      </c>
      <c r="F46" s="193">
        <v>400</v>
      </c>
      <c r="G46" s="193">
        <v>400</v>
      </c>
      <c r="H46" s="1217">
        <v>2018</v>
      </c>
      <c r="I46" s="1218">
        <v>5.2999999999999999E-2</v>
      </c>
      <c r="J46" s="1217">
        <v>5</v>
      </c>
      <c r="K46" s="112"/>
      <c r="L46" s="113">
        <f t="shared" si="113"/>
        <v>0</v>
      </c>
      <c r="M46" s="114">
        <f t="shared" si="114"/>
        <v>0</v>
      </c>
      <c r="N46" s="115">
        <f t="shared" si="115"/>
        <v>0</v>
      </c>
      <c r="O46" s="115">
        <f t="shared" si="116"/>
        <v>0</v>
      </c>
      <c r="P46" s="116">
        <f t="shared" si="117"/>
        <v>0</v>
      </c>
      <c r="Q46" s="113">
        <f t="shared" si="118"/>
        <v>0</v>
      </c>
      <c r="R46" s="114">
        <f t="shared" si="119"/>
        <v>0</v>
      </c>
      <c r="S46" s="115">
        <f t="shared" si="120"/>
        <v>0</v>
      </c>
      <c r="T46" s="115">
        <f t="shared" si="121"/>
        <v>0</v>
      </c>
      <c r="U46" s="116">
        <f t="shared" si="122"/>
        <v>0</v>
      </c>
      <c r="V46" s="113">
        <f t="shared" si="123"/>
        <v>0</v>
      </c>
      <c r="W46" s="114">
        <f t="shared" si="124"/>
        <v>0</v>
      </c>
      <c r="X46" s="115">
        <f t="shared" si="125"/>
        <v>0</v>
      </c>
      <c r="Y46" s="115">
        <f t="shared" si="126"/>
        <v>0</v>
      </c>
      <c r="Z46" s="116">
        <f t="shared" si="127"/>
        <v>0</v>
      </c>
      <c r="AA46" s="113">
        <f t="shared" si="128"/>
        <v>0</v>
      </c>
      <c r="AB46" s="114">
        <f t="shared" si="129"/>
        <v>0</v>
      </c>
      <c r="AC46" s="115">
        <f t="shared" si="130"/>
        <v>0</v>
      </c>
      <c r="AD46" s="115">
        <f t="shared" si="131"/>
        <v>0</v>
      </c>
      <c r="AE46" s="116">
        <f t="shared" si="132"/>
        <v>0</v>
      </c>
      <c r="AF46" s="113">
        <f t="shared" si="133"/>
        <v>0</v>
      </c>
      <c r="AG46" s="114">
        <f t="shared" si="134"/>
        <v>0</v>
      </c>
      <c r="AH46" s="115">
        <f t="shared" si="135"/>
        <v>0</v>
      </c>
      <c r="AI46" s="115">
        <f t="shared" si="136"/>
        <v>0</v>
      </c>
      <c r="AJ46" s="116">
        <f t="shared" si="137"/>
        <v>0</v>
      </c>
      <c r="AK46" s="113">
        <f t="shared" si="138"/>
        <v>0</v>
      </c>
      <c r="AL46" s="114">
        <f>IF(AP46=0,0,IF(AP46&lt;0,IF($J46=3,AP46,IF($J46=2,AP46,IF($J46=1,AP46,0)))))</f>
        <v>0</v>
      </c>
      <c r="AM46" s="115">
        <f>IF(AP46=0,0,IF(AP46&lt;0,IF($J46=6,AP46,IF($J46=5,AP46,IF($J46=4,AP46,0)))))</f>
        <v>-400</v>
      </c>
      <c r="AN46" s="115">
        <f>IF(AP46=0,0,IF(AP46&lt;0,IF($J46=9,AP46,IF($J46=8,AP46,IF($J46=7,AP46,0)))))</f>
        <v>0</v>
      </c>
      <c r="AO46" s="116">
        <f>IF(AP46=0,0,IF(AP46&lt;0,IF($J46=12,AP46,IF($J46=11,AP46,IF($J46=10,AP46,0)))))</f>
        <v>0</v>
      </c>
      <c r="AP46" s="113">
        <f t="shared" si="139"/>
        <v>-400</v>
      </c>
      <c r="AQ46" s="114">
        <f>IF(AU46=0,0,IF(AU46&lt;0,IF($J46=3,AU46,IF($J46=2,AU46,IF($J46=1,AU46,0)))))</f>
        <v>0</v>
      </c>
      <c r="AR46" s="115">
        <f>IF(AU46=0,0,IF(AU46&lt;0,IF($J46=6,AU46,IF($J46=5,AU46,IF($J46=4,AU46,0)))))</f>
        <v>0</v>
      </c>
      <c r="AS46" s="115">
        <f>IF(AU46=0,0,IF(AU46&lt;0,IF($J46=9,AU46,IF($J46=8,AU46,IF($J46=7,AU46,0)))))</f>
        <v>0</v>
      </c>
      <c r="AT46" s="116">
        <f>IF(AU46=0,0,IF(AU46&lt;0,IF($J46=12,AU46,IF($J46=11,AU46,IF($J46=10,AU46,0)))))</f>
        <v>0</v>
      </c>
      <c r="AU46" s="113">
        <f t="shared" si="140"/>
        <v>0</v>
      </c>
      <c r="AV46" s="114">
        <f t="shared" si="141"/>
        <v>0</v>
      </c>
      <c r="AW46" s="115">
        <f t="shared" si="142"/>
        <v>0</v>
      </c>
      <c r="AX46" s="115">
        <f t="shared" si="143"/>
        <v>0</v>
      </c>
      <c r="AY46" s="116">
        <f t="shared" si="144"/>
        <v>0</v>
      </c>
      <c r="AZ46" s="113">
        <f t="shared" si="145"/>
        <v>0</v>
      </c>
      <c r="BA46" s="114">
        <f t="shared" si="146"/>
        <v>0</v>
      </c>
      <c r="BB46" s="115">
        <f t="shared" si="147"/>
        <v>0</v>
      </c>
      <c r="BC46" s="115">
        <f t="shared" si="148"/>
        <v>0</v>
      </c>
      <c r="BD46" s="116">
        <f t="shared" si="149"/>
        <v>0</v>
      </c>
      <c r="BE46" s="113">
        <f t="shared" si="150"/>
        <v>0</v>
      </c>
      <c r="BF46" s="194"/>
      <c r="BG46" s="118">
        <f t="shared" si="151"/>
        <v>0</v>
      </c>
      <c r="BH46" s="119">
        <f t="shared" si="152"/>
        <v>0</v>
      </c>
      <c r="BI46" s="120">
        <f t="shared" si="153"/>
        <v>0</v>
      </c>
      <c r="BJ46" s="120">
        <f t="shared" si="154"/>
        <v>0</v>
      </c>
      <c r="BK46" s="121">
        <f t="shared" si="155"/>
        <v>0</v>
      </c>
      <c r="BL46" s="118">
        <f t="shared" si="156"/>
        <v>0</v>
      </c>
      <c r="BM46" s="119">
        <f t="shared" si="157"/>
        <v>0</v>
      </c>
      <c r="BN46" s="120">
        <f t="shared" si="158"/>
        <v>0</v>
      </c>
      <c r="BO46" s="120">
        <f t="shared" si="159"/>
        <v>0</v>
      </c>
      <c r="BP46" s="121">
        <f t="shared" si="160"/>
        <v>0</v>
      </c>
      <c r="BQ46" s="118">
        <f t="shared" si="161"/>
        <v>0</v>
      </c>
      <c r="BR46" s="119">
        <f t="shared" si="162"/>
        <v>0</v>
      </c>
      <c r="BS46" s="120">
        <f t="shared" si="163"/>
        <v>0</v>
      </c>
      <c r="BT46" s="120">
        <f t="shared" si="164"/>
        <v>0</v>
      </c>
      <c r="BU46" s="121">
        <f t="shared" si="165"/>
        <v>0</v>
      </c>
      <c r="BV46" s="118">
        <f t="shared" si="166"/>
        <v>0</v>
      </c>
      <c r="BW46" s="119">
        <f t="shared" si="167"/>
        <v>0</v>
      </c>
      <c r="BX46" s="120">
        <f t="shared" si="168"/>
        <v>0</v>
      </c>
      <c r="BY46" s="120">
        <f t="shared" si="169"/>
        <v>0</v>
      </c>
      <c r="BZ46" s="121">
        <f t="shared" si="170"/>
        <v>0</v>
      </c>
      <c r="CA46" s="118">
        <f t="shared" si="171"/>
        <v>0</v>
      </c>
      <c r="CB46" s="119">
        <f t="shared" si="172"/>
        <v>0</v>
      </c>
      <c r="CC46" s="120">
        <f t="shared" si="173"/>
        <v>0</v>
      </c>
      <c r="CD46" s="120">
        <f t="shared" si="174"/>
        <v>0</v>
      </c>
      <c r="CE46" s="121">
        <f t="shared" si="175"/>
        <v>0</v>
      </c>
      <c r="CF46" s="118">
        <f t="shared" si="176"/>
        <v>0</v>
      </c>
      <c r="CG46" s="119">
        <f>IF($H46&lt;&gt;CK$5,0,IF(CK46&lt;0,IF($J46=1,-$E46*$I46/12*3,IF($J46=2,-$E46*$I46/12*2,IF($J46=3,-$E46*$I46/12*1,0)))))+IF(CF$5&lt;&gt;$H46,0,IF(CF46&lt;0,IF($J46=1,-$E46*$I46/12*0,IF($J46=2,-$E46*$I46/12*1,IF($J46=3,-$E46*$I46/12*2,IF($J46&gt;=4,-$E46*$I46/12*3,0))))))</f>
        <v>0</v>
      </c>
      <c r="CH46" s="120">
        <f>IF($H46&lt;&gt;CK$5,0,IF(CK46&lt;0,IF(OR($J46=1,$J46=2,$J46=3,$J46=4),-$E46*$I46/12*3,IF($J46=5,-$E46*$I46/12*2,IF($J46=6,-$E46*$I46/12*1,0)))))+IF(CF$5&lt;&gt;$H46,0,IF(CF46&lt;0,IF($J46=4,-$E46*$I46/12*0,IF($J46=5,-$E46*$I46/12*1,IF($J46=6,-$E46*$I46/12*2,IF($J46&gt;=7,-$E46*$I46/12*3,0))))))</f>
        <v>-3.5333333333333332</v>
      </c>
      <c r="CI46" s="120">
        <f>IF($H46&lt;&gt;CK$5,0,IF(CK46&lt;0,IF(OR($J46=1,$J46=2,$J46=3,$J46=4,$J46=5,$J46=6,$J46=7),-$E46*$I46/12*3,IF($J46=8,-$E46*$I46/12*2,IF($J46=9,-$E46*$I46/12*1,0)))))+IF(CF$5&lt;&gt;$H46,0,IF(CF46&lt;0,IF($J46=7,-$E46*$I46/12*0,IF($J46=8,-$E46*$I46/12*1,IF($J46=9,-$E46*$I46/12*2,IF($J46&gt;=10,-$E46*$I46/12*3,0))))))</f>
        <v>-5.3</v>
      </c>
      <c r="CJ46" s="121">
        <f>IF($H46&lt;&gt;CK$5,0,IF(CK46&lt;0,IF(OR($J46=1,$J46=2,$J46=3,$J46=4,$J46=5,$J46=6,$J46=7,$J46=8,$J46=9,$J46=10),-$E46*$I46/12*3,IF($J46=11,-$E46*$I46/12*2,IF($J46=12,-$E46*$I46/12*1,0)))))+IF(CF$5&lt;&gt;$H46,0,IF(CF46&lt;0,IF($J46=10,-$E46*$I46/12*0,IF($J46=11,-$E46*$I46/12*1,IF($J46=12,-$E46*$I46/12*2,0)))))</f>
        <v>-5.3</v>
      </c>
      <c r="CK46" s="118">
        <f>IF(AND(CF46&lt;&gt;0,CF$5=$H46),-$I46*$E46-CF46,IF(CK$5=$H46,-$I46*$E46*(12-$J46+1)/12,0))</f>
        <v>-14.133333333333333</v>
      </c>
      <c r="CL46" s="119">
        <f>IF($H46&lt;&gt;CP$5,0,IF(CP46&lt;0,IF($J46=1,-$E46*$I46/12*3,IF($J46=2,-$E46*$I46/12*2,IF($J46=3,-$E46*$I46/12*1,0)))))+IF(CK$5&lt;&gt;$H46,0,IF(CK46&lt;0,IF($J46=1,-$E46*$I46/12*0,IF($J46=2,-$E46*$I46/12*1,IF($J46=3,-$E46*$I46/12*2,IF($J46&gt;=4,-$E46*$I46/12*3,0))))))</f>
        <v>-5.3</v>
      </c>
      <c r="CM46" s="120">
        <f>IF($H46&lt;&gt;CP$5,0,IF(CP46&lt;0,IF(OR($J46=1,$J46=2,$J46=3,$J46=4),-$E46*$I46/12*3,IF($J46=5,-$E46*$I46/12*2,IF($J46=6,-$E46*$I46/12*1,0)))))+IF(CK$5&lt;&gt;$H46,0,IF(CK46&lt;0,IF($J46=4,-$E46*$I46/12*0,IF($J46=5,-$E46*$I46/12*1,IF($J46=6,-$E46*$I46/12*2,IF($J46&gt;=7,-$E46*$I46/12*3,0))))))</f>
        <v>-1.7666666666666666</v>
      </c>
      <c r="CN46" s="120">
        <f>IF($H46&lt;&gt;CP$5,0,IF(CP46&lt;0,IF(OR($J46=1,$J46=2,$J46=3,$J46=4,$J46=5,$J46=6,$J46=7),-$E46*$I46/12*3,IF($J46=8,-$E46*$I46/12*2,IF($J46=9,-$E46*$I46/12*1,0)))))+IF(CK$5&lt;&gt;$H46,0,IF(CK46&lt;0,IF($J46=7,-$E46*$I46/12*0,IF($J46=8,-$E46*$I46/12*1,IF($J46=9,-$E46*$I46/12*2,IF($J46&gt;=10,-$E46*$I46/12*3,0))))))</f>
        <v>0</v>
      </c>
      <c r="CO46" s="121">
        <f>IF($H46&lt;&gt;CP$5,0,IF(CP46&lt;0,IF(OR($J46=1,$J46=2,$J46=3,$J46=4,$J46=5,$J46=6,$J46=7,$J46=8,$J46=9,$J46=10),-$E46*$I46/12*3,IF($J46=11,-$E46*$I46/12*2,IF($J46=12,-$E46*$I46/12*1,0)))))+IF(CK$5&lt;&gt;$H46,0,IF(CK46&lt;0,IF($J46=10,-$E46*$I46/12*0,IF($J46=11,-$E46*$I46/12*1,IF($J46=12,-$E46*$I46/12*2,0)))))</f>
        <v>0</v>
      </c>
      <c r="CP46" s="118">
        <f>IF(AND(CK46&lt;&gt;0,CK$5=$H46),-$I46*$E46-CK46,IF(CP$5=$H46,-$I46*$E46*(12-$J46+1)/12,0))</f>
        <v>-7.0666666666666664</v>
      </c>
      <c r="CQ46" s="119">
        <f t="shared" si="177"/>
        <v>0</v>
      </c>
      <c r="CR46" s="120">
        <f>IF($H46&lt;&gt;CU$5,0,IF(CU46&lt;0,IF(OR($J46=1,$J46=2,$J46=3,$J46=4),-$E46*$I46/12*3,IF($J46=5,-$E46*$I46/12*2,IF($J46=6,-$E46*$I46/12*1,0)))))+IF(CP$5&lt;&gt;$H46,0,IF(CP46&lt;0,IF($J46=4,-$E46*$I46/12*0,IF($J46=5,-$E46*$I46/12*1,IF($J46=6,-$E46*$I46/12*2,IF($J46&gt;=7,-$E46*$I46/12*3,0))))))</f>
        <v>0</v>
      </c>
      <c r="CS46" s="120">
        <f>IF($H46&lt;&gt;CU$5,0,IF(CU46&lt;0,IF(OR($J46=1,$J46=2,$J46=3,$J46=4,$J46=5,$J46=6,$J46=7),-$E46*$I46/12*3,IF($J46=8,-$E46*$I46/12*2,IF($J46=9,-$E46*$I46/12*1,0)))))+IF(CP$5&lt;&gt;$H46,0,IF(CP46&lt;0,IF($J46=7,-$E46*$I46/12*0,IF($J46=8,-$E46*$I46/12*1,IF($J46=9,-$E46*$I46/12*2,IF($J46&gt;=10,-$E46*$I46/12*3,0))))))</f>
        <v>0</v>
      </c>
      <c r="CT46" s="121">
        <f>IF($H46&lt;&gt;CU$5,0,IF(CU46&lt;0,IF(OR($J46=1,$J46=2,$J46=3,$J46=4,$J46=5,$J46=6,$J46=7,$J46=8,$J46=9,$J46=10),-$E46*$I46/12*3,IF($J46=11,-$E46*$I46/12*2,IF($J46=12,-$E46*$I46/12*1,0)))))+IF(CP$5&lt;&gt;$H46,0,IF(CP46&lt;0,IF($J46=10,-$E46*$I46/12*0,IF($J46=11,-$E46*$I46/12*1,IF($J46=12,-$E46*$I46/12*2,0)))))</f>
        <v>0</v>
      </c>
      <c r="CU46" s="118">
        <f>IF(AND(CP46&lt;&gt;0,CP$5=$H46),-$I46*$E46-CP46,IF(CU$5=$H46,-$I46*$E46*(12-$J46+1)/12,0))</f>
        <v>0</v>
      </c>
      <c r="CV46" s="119">
        <f t="shared" si="178"/>
        <v>0</v>
      </c>
      <c r="CW46" s="120">
        <f t="shared" si="179"/>
        <v>0</v>
      </c>
      <c r="CX46" s="120">
        <f t="shared" si="180"/>
        <v>0</v>
      </c>
      <c r="CY46" s="121">
        <f t="shared" si="181"/>
        <v>0</v>
      </c>
      <c r="CZ46" s="118">
        <f t="shared" si="182"/>
        <v>0</v>
      </c>
    </row>
    <row r="47" spans="1:104" ht="12.75" customHeight="1">
      <c r="A47" s="7"/>
      <c r="B47" s="7"/>
      <c r="C47" s="7" t="s">
        <v>933</v>
      </c>
      <c r="D47" s="195"/>
      <c r="E47" s="191">
        <f>IF(F47=0,G47,F47)</f>
        <v>350</v>
      </c>
      <c r="F47" s="193">
        <v>350</v>
      </c>
      <c r="G47" s="193">
        <v>350</v>
      </c>
      <c r="H47" s="1217">
        <v>2018</v>
      </c>
      <c r="I47" s="1218">
        <v>2.3E-2</v>
      </c>
      <c r="J47" s="1217">
        <v>5</v>
      </c>
      <c r="K47" s="112"/>
      <c r="L47" s="113">
        <f>IF(L$5=$H47,-$E47,0)</f>
        <v>0</v>
      </c>
      <c r="M47" s="114">
        <f>IF(Q47=0,0,IF(Q47&lt;0,IF($J47=3,Q47,IF($J47=2,Q47,IF($J47=1,Q47,0)))))</f>
        <v>0</v>
      </c>
      <c r="N47" s="115">
        <f>IF(Q47=0,0,IF(Q47&lt;0,IF($J47=6,Q47,IF($J47=5,Q47,IF($J47=4,Q47,0)))))</f>
        <v>0</v>
      </c>
      <c r="O47" s="115">
        <f>IF(Q47=0,0,IF(Q47&lt;0,IF($J47=9,Q47,IF($J47=8,Q47,IF($J47=7,Q47,0)))))</f>
        <v>0</v>
      </c>
      <c r="P47" s="116">
        <f>IF(Q47=0,0,IF(Q47&lt;0,IF($J47=12,Q47,IF($J47=11,Q47,IF($J47=10,Q47,0)))))</f>
        <v>0</v>
      </c>
      <c r="Q47" s="113">
        <f>IF(Q$5=$H47,-$E47,0)</f>
        <v>0</v>
      </c>
      <c r="R47" s="114">
        <f>IF(V47=0,0,IF(V47&lt;0,IF($J47=3,V47,IF($J47=2,V47,IF($J47=1,V47,0)))))</f>
        <v>0</v>
      </c>
      <c r="S47" s="115">
        <f>IF(V47=0,0,IF(V47&lt;0,IF($J47=6,V47,IF($J47=5,V47,IF($J47=4,V47,0)))))</f>
        <v>0</v>
      </c>
      <c r="T47" s="115">
        <f>IF(V47=0,0,IF(V47&lt;0,IF($J47=9,V47,IF($J47=8,V47,IF($J47=7,V47,0)))))</f>
        <v>0</v>
      </c>
      <c r="U47" s="116">
        <f>IF(V47=0,0,IF(V47&lt;0,IF($J47=12,V47,IF($J47=11,V47,IF($J47=10,V47,0)))))</f>
        <v>0</v>
      </c>
      <c r="V47" s="113">
        <f>IF(V$5=$H47,-$E47,0)</f>
        <v>0</v>
      </c>
      <c r="W47" s="114">
        <f>IF(AA47=0,0,IF(AA47&lt;0,IF($J47=3,AA47,IF($J47=2,AA47,IF($J47=1,AA47,0)))))</f>
        <v>0</v>
      </c>
      <c r="X47" s="115">
        <f>IF(AA47=0,0,IF(AA47&lt;0,IF($J47=6,AA47,IF($J47=5,AA47,IF($J47=4,AA47,0)))))</f>
        <v>0</v>
      </c>
      <c r="Y47" s="115">
        <f>IF(AA47=0,0,IF(AA47&lt;0,IF($J47=9,AA47,IF($J47=8,AA47,IF($J47=7,AA47,0)))))</f>
        <v>0</v>
      </c>
      <c r="Z47" s="116">
        <f>IF(AA47=0,0,IF(AA47&lt;0,IF($J47=12,AA47,IF($J47=11,AA47,IF($J47=10,AA47,0)))))</f>
        <v>0</v>
      </c>
      <c r="AA47" s="113">
        <f>IF(AA$5=$H47,-$E47,0)</f>
        <v>0</v>
      </c>
      <c r="AB47" s="114">
        <f>IF(AF47=0,0,IF(AF47&lt;0,IF($J47=3,AF47,IF($J47=2,AF47,IF($J47=1,AF47,0)))))</f>
        <v>0</v>
      </c>
      <c r="AC47" s="115">
        <f>IF(AF47=0,0,IF(AF47&lt;0,IF($J47=6,AF47,IF($J47=5,AF47,IF($J47=4,AF47,0)))))</f>
        <v>0</v>
      </c>
      <c r="AD47" s="115">
        <f>IF(AF47=0,0,IF(AF47&lt;0,IF($J47=9,AF47,IF($J47=8,AF47,IF($J47=7,AF47,0)))))</f>
        <v>0</v>
      </c>
      <c r="AE47" s="116">
        <f>IF(AF47=0,0,IF(AF47&lt;0,IF($J47=12,AF47,IF($J47=11,AF47,IF($J47=10,AF47,0)))))</f>
        <v>0</v>
      </c>
      <c r="AF47" s="113">
        <f>IF(AF$5=$H47,-$E47,0)</f>
        <v>0</v>
      </c>
      <c r="AG47" s="114">
        <f>IF(AK47=0,0,IF(AK47&lt;0,IF($J47=3,AK47,IF($J47=2,AK47,IF($J47=1,AK47,0)))))</f>
        <v>0</v>
      </c>
      <c r="AH47" s="115">
        <f>IF(AK47=0,0,IF(AK47&lt;0,IF($J47=6,AK47,IF($J47=5,AK47,IF($J47=4,AK47,0)))))</f>
        <v>0</v>
      </c>
      <c r="AI47" s="115">
        <f>IF(AK47=0,0,IF(AK47&lt;0,IF($J47=9,AK47,IF($J47=8,AK47,IF($J47=7,AK47,0)))))</f>
        <v>0</v>
      </c>
      <c r="AJ47" s="116">
        <f>IF(AK47=0,0,IF(AK47&lt;0,IF($J47=12,AK47,IF($J47=11,AK47,IF($J47=10,AK47,0)))))</f>
        <v>0</v>
      </c>
      <c r="AK47" s="113">
        <f>IF(AK$5=$H47,-$E47,0)</f>
        <v>0</v>
      </c>
      <c r="AL47" s="114">
        <f t="shared" ref="AL47:AL67" si="183">IF(AP47=0,0,IF(AP47&lt;0,IF($J47=3,AP47,IF($J47=2,AP47,IF($J47=1,AP47,0)))))</f>
        <v>0</v>
      </c>
      <c r="AM47" s="115">
        <f t="shared" ref="AM47:AM67" si="184">IF(AP47=0,0,IF(AP47&lt;0,IF($J47=6,AP47,IF($J47=5,AP47,IF($J47=4,AP47,0)))))</f>
        <v>-350</v>
      </c>
      <c r="AN47" s="115">
        <f t="shared" ref="AN47:AN67" si="185">IF(AP47=0,0,IF(AP47&lt;0,IF($J47=9,AP47,IF($J47=8,AP47,IF($J47=7,AP47,0)))))</f>
        <v>0</v>
      </c>
      <c r="AO47" s="116">
        <f t="shared" ref="AO47:AO67" si="186">IF(AP47=0,0,IF(AP47&lt;0,IF($J47=12,AP47,IF($J47=11,AP47,IF($J47=10,AP47,0)))))</f>
        <v>0</v>
      </c>
      <c r="AP47" s="113">
        <f>IF(AP$5=$H47,-$E47,0)</f>
        <v>-350</v>
      </c>
      <c r="AQ47" s="114">
        <f t="shared" ref="AQ47:AQ56" si="187">IF(AU47=0,0,IF(AU47&lt;0,IF($J47=3,AU47,IF($J47=2,AU47,IF($J47=1,AU47,0)))))</f>
        <v>0</v>
      </c>
      <c r="AR47" s="115">
        <f t="shared" ref="AR47:AR56" si="188">IF(AU47=0,0,IF(AU47&lt;0,IF($J47=6,AU47,IF($J47=5,AU47,IF($J47=4,AU47,0)))))</f>
        <v>0</v>
      </c>
      <c r="AS47" s="115">
        <f t="shared" ref="AS47:AS56" si="189">IF(AU47=0,0,IF(AU47&lt;0,IF($J47=9,AU47,IF($J47=8,AU47,IF($J47=7,AU47,0)))))</f>
        <v>0</v>
      </c>
      <c r="AT47" s="116">
        <f t="shared" ref="AT47:AT56" si="190">IF(AU47=0,0,IF(AU47&lt;0,IF($J47=12,AU47,IF($J47=11,AU47,IF($J47=10,AU47,0)))))</f>
        <v>0</v>
      </c>
      <c r="AU47" s="113">
        <f>IF(AU$5=$H47,-$E47,0)</f>
        <v>0</v>
      </c>
      <c r="AV47" s="114">
        <f t="shared" si="141"/>
        <v>0</v>
      </c>
      <c r="AW47" s="115">
        <f t="shared" si="142"/>
        <v>0</v>
      </c>
      <c r="AX47" s="115">
        <f t="shared" si="143"/>
        <v>0</v>
      </c>
      <c r="AY47" s="116">
        <f t="shared" si="144"/>
        <v>0</v>
      </c>
      <c r="AZ47" s="113">
        <f>IF(AZ$5=$H47,-$E47,0)</f>
        <v>0</v>
      </c>
      <c r="BA47" s="114">
        <f t="shared" si="146"/>
        <v>0</v>
      </c>
      <c r="BB47" s="115">
        <f t="shared" si="147"/>
        <v>0</v>
      </c>
      <c r="BC47" s="115">
        <f t="shared" si="148"/>
        <v>0</v>
      </c>
      <c r="BD47" s="116">
        <f t="shared" si="149"/>
        <v>0</v>
      </c>
      <c r="BE47" s="113">
        <f>IF(BE$5=$H47,-$E47,0)</f>
        <v>0</v>
      </c>
      <c r="BF47" s="194"/>
      <c r="BG47" s="118">
        <f t="shared" si="151"/>
        <v>0</v>
      </c>
      <c r="BH47" s="119">
        <f>IF($H47&lt;&gt;BL$5,0,IF(BL47&lt;0,IF($J47=1,-$E47*$I47/12*3,IF($J47=2,-$E47*$I47/12*2,IF($J47=3,-$E47*$I47/12*1,0)))))+IF(BG$5&lt;&gt;$H47,0,IF(BG47&lt;0,IF($J47=1,-$E47*$I47/12*0,IF($J47=2,-$E47*$I47/12*1,IF($J47=3,-$E47*$I47/12*2,IF($J47&gt;=4,-$E47*$I47/12*3,0))))))</f>
        <v>0</v>
      </c>
      <c r="BI47" s="120">
        <f>IF($H47&lt;&gt;BL$5,0,IF(BL47&lt;0,IF(OR($J47=1,$J47=2,$J47=3,$J47=4),-$E47*$I47/12*3,IF($J47=5,-$E47*$I47/12*2,IF($J47=6,-$E47*$I47/12*1,0)))))+IF(BG$5&lt;&gt;$H47,0,IF(BG47&lt;0,IF($J47=4,-$E47*$I47/12*0,IF($J47=5,-$E47*$I47/12*1,IF($J47=6,-$E47*$I47/12*2,IF($J47&gt;=7,-$E47*$I47/12*3,0))))))</f>
        <v>0</v>
      </c>
      <c r="BJ47" s="120">
        <f>IF($H47&lt;&gt;BL$5,0,IF(BL47&lt;0,IF(OR($J47=1,$J47=2,$J47=3,$J47=4,$J47=5,$J47=6,$J47=7),-$E47*$I47/12*3,IF($J47=8,-$E47*$I47/12*2,IF($J47=9,-$E47*$I47/12*1,0)))))+IF(BG$5&lt;&gt;$H47,0,IF(BG47&lt;0,IF($J47=7,-$E47*$I47/12*0,IF($J47=8,-$E47*$I47/12*1,IF($J47=9,-$E47*$I47/12*2,IF($J47&gt;=10,-$E47*$I47/12*3,0))))))</f>
        <v>0</v>
      </c>
      <c r="BK47" s="121">
        <f>IF($H47&lt;&gt;BL$5,0,IF(BL47&lt;0,IF(OR($J47=1,$J47=2,$J47=3,$J47=4,$J47=5,$J47=6,$J47=7,$J47=8,$J47=9,$J47=10),-$E47*$I47/12*3,IF($J47=11,-$E47*$I47/12*2,IF($J47=12,-$E47*$I47/12*1,0)))))+IF(BG$5&lt;&gt;$H47,0,IF(BG47&lt;0,IF($J47=10,-$E47*$I47/12*0,IF($J47=11,-$E47*$I47/12*1,IF($J47=12,-$E47*$I47/12*2,0)))))</f>
        <v>0</v>
      </c>
      <c r="BL47" s="118">
        <f>IF(AND(BG47&lt;&gt;0,BG$5=$H47),-$I47*$E47-BG47,IF(BL$5=$H47,-$I47*$E47*(12-$J47+1)/12,0))</f>
        <v>0</v>
      </c>
      <c r="BM47" s="119">
        <f>IF($H47&lt;&gt;BQ$5,0,IF(BQ47&lt;0,IF($J47=1,-$E47*$I47/12*3,IF($J47=2,-$E47*$I47/12*2,IF($J47=3,-$E47*$I47/12*1,0)))))+IF(BL$5&lt;&gt;$H47,0,IF(BL47&lt;0,IF($J47=1,-$E47*$I47/12*0,IF($J47=2,-$E47*$I47/12*1,IF($J47=3,-$E47*$I47/12*2,IF($J47&gt;=4,-$E47*$I47/12*3,0))))))</f>
        <v>0</v>
      </c>
      <c r="BN47" s="120">
        <f>IF($H47&lt;&gt;BQ$5,0,IF(BQ47&lt;0,IF(OR($J47=1,$J47=2,$J47=3,$J47=4),-$E47*$I47/12*3,IF($J47=5,-$E47*$I47/12*2,IF($J47=6,-$E47*$I47/12*1,0)))))+IF(BL$5&lt;&gt;$H47,0,IF(BL47&lt;0,IF($J47=4,-$E47*$I47/12*0,IF($J47=5,-$E47*$I47/12*1,IF($J47=6,-$E47*$I47/12*2,IF($J47&gt;=7,-$E47*$I47/12*3,0))))))</f>
        <v>0</v>
      </c>
      <c r="BO47" s="120">
        <f>IF($H47&lt;&gt;BQ$5,0,IF(BQ47&lt;0,IF(OR($J47=1,$J47=2,$J47=3,$J47=4,$J47=5,$J47=6,$J47=7),-$E47*$I47/12*3,IF($J47=8,-$E47*$I47/12*2,IF($J47=9,-$E47*$I47/12*1,0)))))+IF(BL$5&lt;&gt;$H47,0,IF(BL47&lt;0,IF($J47=7,-$E47*$I47/12*0,IF($J47=8,-$E47*$I47/12*1,IF($J47=9,-$E47*$I47/12*2,IF($J47&gt;=10,-$E47*$I47/12*3,0))))))</f>
        <v>0</v>
      </c>
      <c r="BP47" s="121">
        <f>IF($H47&lt;&gt;BQ$5,0,IF(BQ47&lt;0,IF(OR($J47=1,$J47=2,$J47=3,$J47=4,$J47=5,$J47=6,$J47=7,$J47=8,$J47=9,$J47=10),-$E47*$I47/12*3,IF($J47=11,-$E47*$I47/12*2,IF($J47=12,-$E47*$I47/12*1,0)))))+IF(BL$5&lt;&gt;$H47,0,IF(BL47&lt;0,IF($J47=10,-$E47*$I47/12*0,IF($J47=11,-$E47*$I47/12*1,IF($J47=12,-$E47*$I47/12*2,0)))))</f>
        <v>0</v>
      </c>
      <c r="BQ47" s="118">
        <f>IF(AND(BL47&lt;&gt;0,BL$5=$H47),-$I47*$E47-BL47,IF(BQ$5=$H47,-$I47*$E47*(12-$J47+1)/12,0))</f>
        <v>0</v>
      </c>
      <c r="BR47" s="119">
        <f>IF($H47&lt;&gt;BV$5,0,IF(BV47&lt;0,IF($J47=1,-$E47*$I47/12*3,IF($J47=2,-$E47*$I47/12*2,IF($J47=3,-$E47*$I47/12*1,0)))))+IF(BQ$5&lt;&gt;$H47,0,IF(BQ47&lt;0,IF($J47=1,-$E47*$I47/12*0,IF($J47=2,-$E47*$I47/12*1,IF($J47=3,-$E47*$I47/12*2,IF($J47&gt;=4,-$E47*$I47/12*3,0))))))</f>
        <v>0</v>
      </c>
      <c r="BS47" s="120">
        <f>IF($H47&lt;&gt;BV$5,0,IF(BV47&lt;0,IF(OR($J47=1,$J47=2,$J47=3,$J47=4),-$E47*$I47/12*3,IF($J47=5,-$E47*$I47/12*2,IF($J47=6,-$E47*$I47/12*1,0)))))+IF(BQ$5&lt;&gt;$H47,0,IF(BQ47&lt;0,IF($J47=4,-$E47*$I47/12*0,IF($J47=5,-$E47*$I47/12*1,IF($J47=6,-$E47*$I47/12*2,IF($J47&gt;=7,-$E47*$I47/12*3,0))))))</f>
        <v>0</v>
      </c>
      <c r="BT47" s="120">
        <f>IF($H47&lt;&gt;BV$5,0,IF(BV47&lt;0,IF(OR($J47=1,$J47=2,$J47=3,$J47=4,$J47=5,$J47=6,$J47=7),-$E47*$I47/12*3,IF($J47=8,-$E47*$I47/12*2,IF($J47=9,-$E47*$I47/12*1,0)))))+IF(BQ$5&lt;&gt;$H47,0,IF(BQ47&lt;0,IF($J47=7,-$E47*$I47/12*0,IF($J47=8,-$E47*$I47/12*1,IF($J47=9,-$E47*$I47/12*2,IF($J47&gt;=10,-$E47*$I47/12*3,0))))))</f>
        <v>0</v>
      </c>
      <c r="BU47" s="121">
        <f>IF($H47&lt;&gt;BV$5,0,IF(BV47&lt;0,IF(OR($J47=1,$J47=2,$J47=3,$J47=4,$J47=5,$J47=6,$J47=7,$J47=8,$J47=9,$J47=10),-$E47*$I47/12*3,IF($J47=11,-$E47*$I47/12*2,IF($J47=12,-$E47*$I47/12*1,0)))))+IF(BQ$5&lt;&gt;$H47,0,IF(BQ47&lt;0,IF($J47=10,-$E47*$I47/12*0,IF($J47=11,-$E47*$I47/12*1,IF($J47=12,-$E47*$I47/12*2,0)))))</f>
        <v>0</v>
      </c>
      <c r="BV47" s="118">
        <f>IF(AND(BQ47&lt;&gt;0,BQ$5=$H47),-$I47*$E47-BQ47,IF(BV$5=$H47,-$I47*$E47*(12-$J47+1)/12,0))</f>
        <v>0</v>
      </c>
      <c r="BW47" s="119">
        <f>IF($H47&lt;&gt;CA$5,0,IF(CA47&lt;0,IF($J47=1,-$E47*$I47/12*3,IF($J47=2,-$E47*$I47/12*2,IF($J47=3,-$E47*$I47/12*1,0)))))+IF(BV$5&lt;&gt;$H47,0,IF(BV47&lt;0,IF($J47=1,-$E47*$I47/12*0,IF($J47=2,-$E47*$I47/12*1,IF($J47=3,-$E47*$I47/12*2,IF($J47&gt;=4,-$E47*$I47/12*3,0))))))</f>
        <v>0</v>
      </c>
      <c r="BX47" s="120">
        <f>IF($H47&lt;&gt;CA$5,0,IF(CA47&lt;0,IF(OR($J47=1,$J47=2,$J47=3,$J47=4),-$E47*$I47/12*3,IF($J47=5,-$E47*$I47/12*2,IF($J47=6,-$E47*$I47/12*1,0)))))+IF(BV$5&lt;&gt;$H47,0,IF(BV47&lt;0,IF($J47=4,-$E47*$I47/12*0,IF($J47=5,-$E47*$I47/12*1,IF($J47=6,-$E47*$I47/12*2,IF($J47&gt;=7,-$E47*$I47/12*3,0))))))</f>
        <v>0</v>
      </c>
      <c r="BY47" s="120">
        <f>IF($H47&lt;&gt;CA$5,0,IF(CA47&lt;0,IF(OR($J47=1,$J47=2,$J47=3,$J47=4,$J47=5,$J47=6,$J47=7),-$E47*$I47/12*3,IF($J47=8,-$E47*$I47/12*2,IF($J47=9,-$E47*$I47/12*1,0)))))+IF(BV$5&lt;&gt;$H47,0,IF(BV47&lt;0,IF($J47=7,-$E47*$I47/12*0,IF($J47=8,-$E47*$I47/12*1,IF($J47=9,-$E47*$I47/12*2,IF($J47&gt;=10,-$E47*$I47/12*3,0))))))</f>
        <v>0</v>
      </c>
      <c r="BZ47" s="121">
        <f>IF($H47&lt;&gt;CA$5,0,IF(CA47&lt;0,IF(OR($J47=1,$J47=2,$J47=3,$J47=4,$J47=5,$J47=6,$J47=7,$J47=8,$J47=9,$J47=10),-$E47*$I47/12*3,IF($J47=11,-$E47*$I47/12*2,IF($J47=12,-$E47*$I47/12*1,0)))))+IF(BV$5&lt;&gt;$H47,0,IF(BV47&lt;0,IF($J47=10,-$E47*$I47/12*0,IF($J47=11,-$E47*$I47/12*1,IF($J47=12,-$E47*$I47/12*2,0)))))</f>
        <v>0</v>
      </c>
      <c r="CA47" s="118">
        <f>IF(AND(BV47&lt;&gt;0,BV$5=$H47),-$I47*$E47-BV47,IF(CA$5=$H47,-$I47*$E47*(12-$J47+1)/12,0))</f>
        <v>0</v>
      </c>
      <c r="CB47" s="119">
        <f>IF($H47&lt;&gt;CF$5,0,IF(CF47&lt;0,IF($J47=1,-$E47*$I47/12*3,IF($J47=2,-$E47*$I47/12*2,IF($J47=3,-$E47*$I47/12*1,0)))))+IF(CA$5&lt;&gt;$H47,0,IF(CA47&lt;0,IF($J47=1,-$E47*$I47/12*0,IF($J47=2,-$E47*$I47/12*1,IF($J47=3,-$E47*$I47/12*2,IF($J47&gt;=4,-$E47*$I47/12*3,0))))))</f>
        <v>0</v>
      </c>
      <c r="CC47" s="120">
        <f>IF($H47&lt;&gt;CF$5,0,IF(CF47&lt;0,IF(OR($J47=1,$J47=2,$J47=3,$J47=4),-$E47*$I47/12*3,IF($J47=5,-$E47*$I47/12*2,IF($J47=6,-$E47*$I47/12*1,0)))))+IF(CA$5&lt;&gt;$H47,0,IF(CA47&lt;0,IF($J47=4,-$E47*$I47/12*0,IF($J47=5,-$E47*$I47/12*1,IF($J47=6,-$E47*$I47/12*2,IF($J47&gt;=7,-$E47*$I47/12*3,0))))))</f>
        <v>0</v>
      </c>
      <c r="CD47" s="120">
        <f>IF($H47&lt;&gt;CF$5,0,IF(CF47&lt;0,IF(OR($J47=1,$J47=2,$J47=3,$J47=4,$J47=5,$J47=6,$J47=7),-$E47*$I47/12*3,IF($J47=8,-$E47*$I47/12*2,IF($J47=9,-$E47*$I47/12*1,0)))))+IF(CA$5&lt;&gt;$H47,0,IF(CA47&lt;0,IF($J47=7,-$E47*$I47/12*0,IF($J47=8,-$E47*$I47/12*1,IF($J47=9,-$E47*$I47/12*2,IF($J47&gt;=10,-$E47*$I47/12*3,0))))))</f>
        <v>0</v>
      </c>
      <c r="CE47" s="121">
        <f>IF($H47&lt;&gt;CF$5,0,IF(CF47&lt;0,IF(OR($J47=1,$J47=2,$J47=3,$J47=4,$J47=5,$J47=6,$J47=7,$J47=8,$J47=9,$J47=10),-$E47*$I47/12*3,IF($J47=11,-$E47*$I47/12*2,IF($J47=12,-$E47*$I47/12*1,0)))))+IF(CA$5&lt;&gt;$H47,0,IF(CA47&lt;0,IF($J47=10,-$E47*$I47/12*0,IF($J47=11,-$E47*$I47/12*1,IF($J47=12,-$E47*$I47/12*2,0)))))</f>
        <v>0</v>
      </c>
      <c r="CF47" s="118">
        <f>IF(AND(CA47&lt;&gt;0,CA$5=$H47),-$I47*$E47-CA47,IF(CF$5=$H47,-$I47*$E47*(12-$J47+1)/12,0))</f>
        <v>0</v>
      </c>
      <c r="CG47" s="119">
        <f t="shared" ref="CG47:CG56" si="191">IF($H47&lt;&gt;CK$5,0,IF(CK47&lt;0,IF($J47=1,-$E47*$I47/12*3,IF($J47=2,-$E47*$I47/12*2,IF($J47=3,-$E47*$I47/12*1,0)))))+IF(CF$5&lt;&gt;$H47,0,IF(CF47&lt;0,IF($J47=1,-$E47*$I47/12*0,IF($J47=2,-$E47*$I47/12*1,IF($J47=3,-$E47*$I47/12*2,IF($J47&gt;=4,-$E47*$I47/12*3,0))))))</f>
        <v>0</v>
      </c>
      <c r="CH47" s="120">
        <f t="shared" ref="CH47:CH67" si="192">IF($H47&lt;&gt;CK$5,0,IF(CK47&lt;0,IF(OR($J47=1,$J47=2,$J47=3,$J47=4),-$E47*$I47/12*3,IF($J47=5,-$E47*$I47/12*2,IF($J47=6,-$E47*$I47/12*1,0)))))+IF(CF$5&lt;&gt;$H47,0,IF(CF47&lt;0,IF($J47=4,-$E47*$I47/12*0,IF($J47=5,-$E47*$I47/12*1,IF($J47=6,-$E47*$I47/12*2,IF($J47&gt;=7,-$E47*$I47/12*3,0))))))</f>
        <v>-1.3416666666666668</v>
      </c>
      <c r="CI47" s="120">
        <f t="shared" ref="CI47:CI67" si="193">IF($H47&lt;&gt;CK$5,0,IF(CK47&lt;0,IF(OR($J47=1,$J47=2,$J47=3,$J47=4,$J47=5,$J47=6,$J47=7),-$E47*$I47/12*3,IF($J47=8,-$E47*$I47/12*2,IF($J47=9,-$E47*$I47/12*1,0)))))+IF(CF$5&lt;&gt;$H47,0,IF(CF47&lt;0,IF($J47=7,-$E47*$I47/12*0,IF($J47=8,-$E47*$I47/12*1,IF($J47=9,-$E47*$I47/12*2,IF($J47&gt;=10,-$E47*$I47/12*3,0))))))</f>
        <v>-2.0125000000000002</v>
      </c>
      <c r="CJ47" s="121">
        <f t="shared" ref="CJ47:CJ67" si="194">IF($H47&lt;&gt;CK$5,0,IF(CK47&lt;0,IF(OR($J47=1,$J47=2,$J47=3,$J47=4,$J47=5,$J47=6,$J47=7,$J47=8,$J47=9,$J47=10),-$E47*$I47/12*3,IF($J47=11,-$E47*$I47/12*2,IF($J47=12,-$E47*$I47/12*1,0)))))+IF(CF$5&lt;&gt;$H47,0,IF(CF47&lt;0,IF($J47=10,-$E47*$I47/12*0,IF($J47=11,-$E47*$I47/12*1,IF($J47=12,-$E47*$I47/12*2,0)))))</f>
        <v>-2.0125000000000002</v>
      </c>
      <c r="CK47" s="118">
        <f t="shared" ref="CK47:CK67" si="195">IF(AND(CF47&lt;&gt;0,CF$5=$H47),-$I47*$E47-CF47,IF(CK$5=$H47,-$I47*$E47*(12-$J47+1)/12,0))</f>
        <v>-5.3666666666666671</v>
      </c>
      <c r="CL47" s="119">
        <f t="shared" ref="CL47:CL56" si="196">IF($H47&lt;&gt;CP$5,0,IF(CP47&lt;0,IF($J47=1,-$E47*$I47/12*3,IF($J47=2,-$E47*$I47/12*2,IF($J47=3,-$E47*$I47/12*1,0)))))+IF(CK$5&lt;&gt;$H47,0,IF(CK47&lt;0,IF($J47=1,-$E47*$I47/12*0,IF($J47=2,-$E47*$I47/12*1,IF($J47=3,-$E47*$I47/12*2,IF($J47&gt;=4,-$E47*$I47/12*3,0))))))</f>
        <v>-2.0125000000000002</v>
      </c>
      <c r="CM47" s="120">
        <f t="shared" ref="CM47:CM56" si="197">IF($H47&lt;&gt;CP$5,0,IF(CP47&lt;0,IF(OR($J47=1,$J47=2,$J47=3,$J47=4),-$E47*$I47/12*3,IF($J47=5,-$E47*$I47/12*2,IF($J47=6,-$E47*$I47/12*1,0)))))+IF(CK$5&lt;&gt;$H47,0,IF(CK47&lt;0,IF($J47=4,-$E47*$I47/12*0,IF($J47=5,-$E47*$I47/12*1,IF($J47=6,-$E47*$I47/12*2,IF($J47&gt;=7,-$E47*$I47/12*3,0))))))</f>
        <v>-0.67083333333333339</v>
      </c>
      <c r="CN47" s="120">
        <f t="shared" ref="CN47:CN56" si="198">IF($H47&lt;&gt;CP$5,0,IF(CP47&lt;0,IF(OR($J47=1,$J47=2,$J47=3,$J47=4,$J47=5,$J47=6,$J47=7),-$E47*$I47/12*3,IF($J47=8,-$E47*$I47/12*2,IF($J47=9,-$E47*$I47/12*1,0)))))+IF(CK$5&lt;&gt;$H47,0,IF(CK47&lt;0,IF($J47=7,-$E47*$I47/12*0,IF($J47=8,-$E47*$I47/12*1,IF($J47=9,-$E47*$I47/12*2,IF($J47&gt;=10,-$E47*$I47/12*3,0))))))</f>
        <v>0</v>
      </c>
      <c r="CO47" s="121">
        <f t="shared" ref="CO47:CO56" si="199">IF($H47&lt;&gt;CP$5,0,IF(CP47&lt;0,IF(OR($J47=1,$J47=2,$J47=3,$J47=4,$J47=5,$J47=6,$J47=7,$J47=8,$J47=9,$J47=10),-$E47*$I47/12*3,IF($J47=11,-$E47*$I47/12*2,IF($J47=12,-$E47*$I47/12*1,0)))))+IF(CK$5&lt;&gt;$H47,0,IF(CK47&lt;0,IF($J47=10,-$E47*$I47/12*0,IF($J47=11,-$E47*$I47/12*1,IF($J47=12,-$E47*$I47/12*2,0)))))</f>
        <v>0</v>
      </c>
      <c r="CP47" s="118">
        <f t="shared" ref="CP47:CP56" si="200">IF(AND(CK47&lt;&gt;0,CK$5=$H47),-$I47*$E47-CK47,IF(CP$5=$H47,-$I47*$E47*(12-$J47+1)/12,0))</f>
        <v>-2.6833333333333336</v>
      </c>
      <c r="CQ47" s="119">
        <f t="shared" si="177"/>
        <v>0</v>
      </c>
      <c r="CR47" s="120">
        <f>IF($H47&lt;&gt;CU$5,0,IF(CU47&lt;0,IF(OR($J47=1,$J47=2,$J47=3,$J47=4),-$E47*$I47/12*3,IF($J47=5,-$E47*$I47/12*2,IF($J47=6,-$E47*$I47/12*1,0)))))+IF(CP$5&lt;&gt;$H47,0,IF(CP47&lt;0,IF($J47=4,-$E47*$I47/12*0,IF($J47=5,-$E47*$I47/12*1,IF($J47=6,-$E47*$I47/12*2,IF($J47&gt;=7,-$E47*$I47/12*3,0))))))</f>
        <v>0</v>
      </c>
      <c r="CS47" s="120">
        <f>IF($H47&lt;&gt;CU$5,0,IF(CU47&lt;0,IF(OR($J47=1,$J47=2,$J47=3,$J47=4,$J47=5,$J47=6,$J47=7),-$E47*$I47/12*3,IF($J47=8,-$E47*$I47/12*2,IF($J47=9,-$E47*$I47/12*1,0)))))+IF(CP$5&lt;&gt;$H47,0,IF(CP47&lt;0,IF($J47=7,-$E47*$I47/12*0,IF($J47=8,-$E47*$I47/12*1,IF($J47=9,-$E47*$I47/12*2,IF($J47&gt;=10,-$E47*$I47/12*3,0))))))</f>
        <v>0</v>
      </c>
      <c r="CT47" s="121">
        <f>IF($H47&lt;&gt;CU$5,0,IF(CU47&lt;0,IF(OR($J47=1,$J47=2,$J47=3,$J47=4,$J47=5,$J47=6,$J47=7,$J47=8,$J47=9,$J47=10),-$E47*$I47/12*3,IF($J47=11,-$E47*$I47/12*2,IF($J47=12,-$E47*$I47/12*1,0)))))+IF(CP$5&lt;&gt;$H47,0,IF(CP47&lt;0,IF($J47=10,-$E47*$I47/12*0,IF($J47=11,-$E47*$I47/12*1,IF($J47=12,-$E47*$I47/12*2,0)))))</f>
        <v>0</v>
      </c>
      <c r="CU47" s="118">
        <f>IF(AND(CP47&lt;&gt;0,CP$5=$H47),-$I47*$E47-CP47,IF(CU$5=$H47,-$I47*$E47*(12-$J47+1)/12,0))</f>
        <v>0</v>
      </c>
      <c r="CV47" s="119">
        <f t="shared" si="178"/>
        <v>0</v>
      </c>
      <c r="CW47" s="120">
        <f t="shared" si="179"/>
        <v>0</v>
      </c>
      <c r="CX47" s="120">
        <f t="shared" si="180"/>
        <v>0</v>
      </c>
      <c r="CY47" s="121">
        <f t="shared" si="181"/>
        <v>0</v>
      </c>
      <c r="CZ47" s="118">
        <f t="shared" si="182"/>
        <v>0</v>
      </c>
    </row>
    <row r="48" spans="1:104" ht="12.75" customHeight="1">
      <c r="A48" s="7"/>
      <c r="B48" s="7"/>
      <c r="C48" s="189" t="s">
        <v>893</v>
      </c>
      <c r="D48" s="190"/>
      <c r="E48" s="191">
        <f>IF(F48=0,G48,F48)</f>
        <v>250</v>
      </c>
      <c r="F48" s="193">
        <v>250</v>
      </c>
      <c r="G48" s="193">
        <v>250</v>
      </c>
      <c r="H48" s="1346">
        <v>2019</v>
      </c>
      <c r="I48" s="1363">
        <v>1.7999999999999999E-2</v>
      </c>
      <c r="J48" s="1346">
        <v>6</v>
      </c>
      <c r="K48" s="112"/>
      <c r="L48" s="113">
        <f>IF(L$5=$H48,-$E48,0)</f>
        <v>0</v>
      </c>
      <c r="M48" s="114">
        <f>IF(Q48=0,0,IF(Q48&lt;0,IF($J48=3,Q48,IF($J48=2,Q48,IF($J48=1,Q48,0)))))</f>
        <v>0</v>
      </c>
      <c r="N48" s="115">
        <f>IF(Q48=0,0,IF(Q48&lt;0,IF($J48=6,Q48,IF($J48=5,Q48,IF($J48=4,Q48,0)))))</f>
        <v>0</v>
      </c>
      <c r="O48" s="115">
        <f>IF(Q48=0,0,IF(Q48&lt;0,IF($J48=9,Q48,IF($J48=8,Q48,IF($J48=7,Q48,0)))))</f>
        <v>0</v>
      </c>
      <c r="P48" s="116">
        <f>IF(Q48=0,0,IF(Q48&lt;0,IF($J48=12,Q48,IF($J48=11,Q48,IF($J48=10,Q48,0)))))</f>
        <v>0</v>
      </c>
      <c r="Q48" s="113">
        <f>IF(Q$5=$H48,-$E48,0)</f>
        <v>0</v>
      </c>
      <c r="R48" s="114">
        <f>IF(V48=0,0,IF(V48&lt;0,IF($J48=3,V48,IF($J48=2,V48,IF($J48=1,V48,0)))))</f>
        <v>0</v>
      </c>
      <c r="S48" s="115">
        <f>IF(V48=0,0,IF(V48&lt;0,IF($J48=6,V48,IF($J48=5,V48,IF($J48=4,V48,0)))))</f>
        <v>0</v>
      </c>
      <c r="T48" s="115">
        <f>IF(V48=0,0,IF(V48&lt;0,IF($J48=9,V48,IF($J48=8,V48,IF($J48=7,V48,0)))))</f>
        <v>0</v>
      </c>
      <c r="U48" s="116">
        <f>IF(V48=0,0,IF(V48&lt;0,IF($J48=12,V48,IF($J48=11,V48,IF($J48=10,V48,0)))))</f>
        <v>0</v>
      </c>
      <c r="V48" s="113">
        <f>IF(V$5=$H48,-$E48,0)</f>
        <v>0</v>
      </c>
      <c r="W48" s="114">
        <f>IF(AA48=0,0,IF(AA48&lt;0,IF($J48=3,AA48,IF($J48=2,AA48,IF($J48=1,AA48,0)))))</f>
        <v>0</v>
      </c>
      <c r="X48" s="115">
        <f>IF(AA48=0,0,IF(AA48&lt;0,IF($J48=6,AA48,IF($J48=5,AA48,IF($J48=4,AA48,0)))))</f>
        <v>0</v>
      </c>
      <c r="Y48" s="115">
        <f>IF(AA48=0,0,IF(AA48&lt;0,IF($J48=9,AA48,IF($J48=8,AA48,IF($J48=7,AA48,0)))))</f>
        <v>0</v>
      </c>
      <c r="Z48" s="116">
        <f>IF(AA48=0,0,IF(AA48&lt;0,IF($J48=12,AA48,IF($J48=11,AA48,IF($J48=10,AA48,0)))))</f>
        <v>0</v>
      </c>
      <c r="AA48" s="113">
        <f>IF(AA$5=$H48,-$E48,0)</f>
        <v>0</v>
      </c>
      <c r="AB48" s="114">
        <f>IF(AF48=0,0,IF(AF48&lt;0,IF($J48=3,AF48,IF($J48=2,AF48,IF($J48=1,AF48,0)))))</f>
        <v>0</v>
      </c>
      <c r="AC48" s="115">
        <f>IF(AF48=0,0,IF(AF48&lt;0,IF($J48=6,AF48,IF($J48=5,AF48,IF($J48=4,AF48,0)))))</f>
        <v>0</v>
      </c>
      <c r="AD48" s="115">
        <f>IF(AF48=0,0,IF(AF48&lt;0,IF($J48=9,AF48,IF($J48=8,AF48,IF($J48=7,AF48,0)))))</f>
        <v>0</v>
      </c>
      <c r="AE48" s="116">
        <f>IF(AF48=0,0,IF(AF48&lt;0,IF($J48=12,AF48,IF($J48=11,AF48,IF($J48=10,AF48,0)))))</f>
        <v>0</v>
      </c>
      <c r="AF48" s="113">
        <f>IF(AF$5=$H48,-$E48,0)</f>
        <v>0</v>
      </c>
      <c r="AG48" s="114">
        <f>IF(AK48=0,0,IF(AK48&lt;0,IF($J48=3,AK48,IF($J48=2,AK48,IF($J48=1,AK48,0)))))</f>
        <v>0</v>
      </c>
      <c r="AH48" s="115">
        <f>IF(AK48=0,0,IF(AK48&lt;0,IF($J48=6,AK48,IF($J48=5,AK48,IF($J48=4,AK48,0)))))</f>
        <v>0</v>
      </c>
      <c r="AI48" s="115">
        <f>IF(AK48=0,0,IF(AK48&lt;0,IF($J48=9,AK48,IF($J48=8,AK48,IF($J48=7,AK48,0)))))</f>
        <v>0</v>
      </c>
      <c r="AJ48" s="116">
        <f>IF(AK48=0,0,IF(AK48&lt;0,IF($J48=12,AK48,IF($J48=11,AK48,IF($J48=10,AK48,0)))))</f>
        <v>0</v>
      </c>
      <c r="AK48" s="113">
        <f>IF(AK$5=$H48,-$E48,0)</f>
        <v>0</v>
      </c>
      <c r="AL48" s="114">
        <f>IF(AP48=0,0,IF(AP48&lt;0,IF($J48=3,AP48,IF($J48=2,AP48,IF($J48=1,AP48,0)))))</f>
        <v>0</v>
      </c>
      <c r="AM48" s="115">
        <f>IF(AP48=0,0,IF(AP48&lt;0,IF($J48=6,AP48,IF($J48=5,AP48,IF($J48=4,AP48,0)))))</f>
        <v>0</v>
      </c>
      <c r="AN48" s="115">
        <f>IF(AP48=0,0,IF(AP48&lt;0,IF($J48=9,AP48,IF($J48=8,AP48,IF($J48=7,AP48,0)))))</f>
        <v>0</v>
      </c>
      <c r="AO48" s="116">
        <f>IF(AP48=0,0,IF(AP48&lt;0,IF($J48=12,AP48,IF($J48=11,AP48,IF($J48=10,AP48,0)))))</f>
        <v>0</v>
      </c>
      <c r="AP48" s="113">
        <f>IF(AP$5=$H48,-$E48,0)</f>
        <v>0</v>
      </c>
      <c r="AQ48" s="114">
        <f t="shared" si="187"/>
        <v>0</v>
      </c>
      <c r="AR48" s="115">
        <f t="shared" si="188"/>
        <v>-250</v>
      </c>
      <c r="AS48" s="115">
        <f t="shared" si="189"/>
        <v>0</v>
      </c>
      <c r="AT48" s="116">
        <f t="shared" si="190"/>
        <v>0</v>
      </c>
      <c r="AU48" s="113">
        <f>IF(AU$5=$H48,-$E48,0)</f>
        <v>-250</v>
      </c>
      <c r="AV48" s="114">
        <f t="shared" si="141"/>
        <v>0</v>
      </c>
      <c r="AW48" s="115">
        <f t="shared" si="142"/>
        <v>0</v>
      </c>
      <c r="AX48" s="115">
        <f t="shared" si="143"/>
        <v>0</v>
      </c>
      <c r="AY48" s="116">
        <f t="shared" si="144"/>
        <v>0</v>
      </c>
      <c r="AZ48" s="113">
        <f>IF(AZ$5=$H48,-$E48,0)</f>
        <v>0</v>
      </c>
      <c r="BA48" s="114">
        <f t="shared" si="146"/>
        <v>0</v>
      </c>
      <c r="BB48" s="115">
        <f t="shared" si="147"/>
        <v>0</v>
      </c>
      <c r="BC48" s="115">
        <f t="shared" si="148"/>
        <v>0</v>
      </c>
      <c r="BD48" s="116">
        <f t="shared" si="149"/>
        <v>0</v>
      </c>
      <c r="BE48" s="113">
        <f>IF(BE$5=$H48,-$E48,0)</f>
        <v>0</v>
      </c>
      <c r="BF48" s="194"/>
      <c r="BG48" s="118">
        <f>IF(AND(BF48&lt;&gt;0,BF$5=$H48),-$I48*$E48-BF48,IF(BG$5=$H48,-$I48*$E48*(12-$J48+1)/12,0))</f>
        <v>0</v>
      </c>
      <c r="BH48" s="119">
        <f>IF($H48&lt;&gt;BL$5,0,IF(BL48&lt;0,IF($J48=1,-$E48*$I48/12*3,IF($J48=2,-$E48*$I48/12*2,IF($J48=3,-$E48*$I48/12*1,0)))))+IF(BG$5&lt;&gt;$H48,0,IF(BG48&lt;0,IF($J48=1,-$E48*$I48/12*0,IF($J48=2,-$E48*$I48/12*1,IF($J48=3,-$E48*$I48/12*2,IF($J48&gt;=4,-$E48*$I48/12*3,0))))))</f>
        <v>0</v>
      </c>
      <c r="BI48" s="120">
        <f>IF($H48&lt;&gt;BL$5,0,IF(BL48&lt;0,IF(OR($J48=1,$J48=2,$J48=3,$J48=4),-$E48*$I48/12*3,IF($J48=5,-$E48*$I48/12*2,IF($J48=6,-$E48*$I48/12*1,0)))))+IF(BG$5&lt;&gt;$H48,0,IF(BG48&lt;0,IF($J48=4,-$E48*$I48/12*0,IF($J48=5,-$E48*$I48/12*1,IF($J48=6,-$E48*$I48/12*2,IF($J48&gt;=7,-$E48*$I48/12*3,0))))))</f>
        <v>0</v>
      </c>
      <c r="BJ48" s="120">
        <f>IF($H48&lt;&gt;BL$5,0,IF(BL48&lt;0,IF(OR($J48=1,$J48=2,$J48=3,$J48=4,$J48=5,$J48=6,$J48=7),-$E48*$I48/12*3,IF($J48=8,-$E48*$I48/12*2,IF($J48=9,-$E48*$I48/12*1,0)))))+IF(BG$5&lt;&gt;$H48,0,IF(BG48&lt;0,IF($J48=7,-$E48*$I48/12*0,IF($J48=8,-$E48*$I48/12*1,IF($J48=9,-$E48*$I48/12*2,IF($J48&gt;=10,-$E48*$I48/12*3,0))))))</f>
        <v>0</v>
      </c>
      <c r="BK48" s="121">
        <f>IF($H48&lt;&gt;BL$5,0,IF(BL48&lt;0,IF(OR($J48=1,$J48=2,$J48=3,$J48=4,$J48=5,$J48=6,$J48=7,$J48=8,$J48=9,$J48=10),-$E48*$I48/12*3,IF($J48=11,-$E48*$I48/12*2,IF($J48=12,-$E48*$I48/12*1,0)))))+IF(BG$5&lt;&gt;$H48,0,IF(BG48&lt;0,IF($J48=10,-$E48*$I48/12*0,IF($J48=11,-$E48*$I48/12*1,IF($J48=12,-$E48*$I48/12*2,0)))))</f>
        <v>0</v>
      </c>
      <c r="BL48" s="118">
        <f>IF(AND(BG48&lt;&gt;0,BG$5=$H48),-$I48*$E48-BG48,IF(BL$5=$H48,-$I48*$E48*(12-$J48+1)/12,0))</f>
        <v>0</v>
      </c>
      <c r="BM48" s="119">
        <f>IF($H48&lt;&gt;BQ$5,0,IF(BQ48&lt;0,IF($J48=1,-$E48*$I48/12*3,IF($J48=2,-$E48*$I48/12*2,IF($J48=3,-$E48*$I48/12*1,0)))))+IF(BL$5&lt;&gt;$H48,0,IF(BL48&lt;0,IF($J48=1,-$E48*$I48/12*0,IF($J48=2,-$E48*$I48/12*1,IF($J48=3,-$E48*$I48/12*2,IF($J48&gt;=4,-$E48*$I48/12*3,0))))))</f>
        <v>0</v>
      </c>
      <c r="BN48" s="120">
        <f>IF($H48&lt;&gt;BQ$5,0,IF(BQ48&lt;0,IF(OR($J48=1,$J48=2,$J48=3,$J48=4),-$E48*$I48/12*3,IF($J48=5,-$E48*$I48/12*2,IF($J48=6,-$E48*$I48/12*1,0)))))+IF(BL$5&lt;&gt;$H48,0,IF(BL48&lt;0,IF($J48=4,-$E48*$I48/12*0,IF($J48=5,-$E48*$I48/12*1,IF($J48=6,-$E48*$I48/12*2,IF($J48&gt;=7,-$E48*$I48/12*3,0))))))</f>
        <v>0</v>
      </c>
      <c r="BO48" s="120">
        <f>IF($H48&lt;&gt;BQ$5,0,IF(BQ48&lt;0,IF(OR($J48=1,$J48=2,$J48=3,$J48=4,$J48=5,$J48=6,$J48=7),-$E48*$I48/12*3,IF($J48=8,-$E48*$I48/12*2,IF($J48=9,-$E48*$I48/12*1,0)))))+IF(BL$5&lt;&gt;$H48,0,IF(BL48&lt;0,IF($J48=7,-$E48*$I48/12*0,IF($J48=8,-$E48*$I48/12*1,IF($J48=9,-$E48*$I48/12*2,IF($J48&gt;=10,-$E48*$I48/12*3,0))))))</f>
        <v>0</v>
      </c>
      <c r="BP48" s="121">
        <f>IF($H48&lt;&gt;BQ$5,0,IF(BQ48&lt;0,IF(OR($J48=1,$J48=2,$J48=3,$J48=4,$J48=5,$J48=6,$J48=7,$J48=8,$J48=9,$J48=10),-$E48*$I48/12*3,IF($J48=11,-$E48*$I48/12*2,IF($J48=12,-$E48*$I48/12*1,0)))))+IF(BL$5&lt;&gt;$H48,0,IF(BL48&lt;0,IF($J48=10,-$E48*$I48/12*0,IF($J48=11,-$E48*$I48/12*1,IF($J48=12,-$E48*$I48/12*2,0)))))</f>
        <v>0</v>
      </c>
      <c r="BQ48" s="118">
        <f>IF(AND(BL48&lt;&gt;0,BL$5=$H48),-$I48*$E48-BL48,IF(BQ$5=$H48,-$I48*$E48*(12-$J48+1)/12,0))</f>
        <v>0</v>
      </c>
      <c r="BR48" s="119">
        <f>IF($H48&lt;&gt;BV$5,0,IF(BV48&lt;0,IF($J48=1,-$E48*$I48/12*3,IF($J48=2,-$E48*$I48/12*2,IF($J48=3,-$E48*$I48/12*1,0)))))+IF(BQ$5&lt;&gt;$H48,0,IF(BQ48&lt;0,IF($J48=1,-$E48*$I48/12*0,IF($J48=2,-$E48*$I48/12*1,IF($J48=3,-$E48*$I48/12*2,IF($J48&gt;=4,-$E48*$I48/12*3,0))))))</f>
        <v>0</v>
      </c>
      <c r="BS48" s="120">
        <f>IF($H48&lt;&gt;BV$5,0,IF(BV48&lt;0,IF(OR($J48=1,$J48=2,$J48=3,$J48=4),-$E48*$I48/12*3,IF($J48=5,-$E48*$I48/12*2,IF($J48=6,-$E48*$I48/12*1,0)))))+IF(BQ$5&lt;&gt;$H48,0,IF(BQ48&lt;0,IF($J48=4,-$E48*$I48/12*0,IF($J48=5,-$E48*$I48/12*1,IF($J48=6,-$E48*$I48/12*2,IF($J48&gt;=7,-$E48*$I48/12*3,0))))))</f>
        <v>0</v>
      </c>
      <c r="BT48" s="120">
        <f>IF($H48&lt;&gt;BV$5,0,IF(BV48&lt;0,IF(OR($J48=1,$J48=2,$J48=3,$J48=4,$J48=5,$J48=6,$J48=7),-$E48*$I48/12*3,IF($J48=8,-$E48*$I48/12*2,IF($J48=9,-$E48*$I48/12*1,0)))))+IF(BQ$5&lt;&gt;$H48,0,IF(BQ48&lt;0,IF($J48=7,-$E48*$I48/12*0,IF($J48=8,-$E48*$I48/12*1,IF($J48=9,-$E48*$I48/12*2,IF($J48&gt;=10,-$E48*$I48/12*3,0))))))</f>
        <v>0</v>
      </c>
      <c r="BU48" s="121">
        <f>IF($H48&lt;&gt;BV$5,0,IF(BV48&lt;0,IF(OR($J48=1,$J48=2,$J48=3,$J48=4,$J48=5,$J48=6,$J48=7,$J48=8,$J48=9,$J48=10),-$E48*$I48/12*3,IF($J48=11,-$E48*$I48/12*2,IF($J48=12,-$E48*$I48/12*1,0)))))+IF(BQ$5&lt;&gt;$H48,0,IF(BQ48&lt;0,IF($J48=10,-$E48*$I48/12*0,IF($J48=11,-$E48*$I48/12*1,IF($J48=12,-$E48*$I48/12*2,0)))))</f>
        <v>0</v>
      </c>
      <c r="BV48" s="118">
        <f>IF(AND(BQ48&lt;&gt;0,BQ$5=$H48),-$I48*$E48-BQ48,IF(BV$5=$H48,-$I48*$E48*(12-$J48+1)/12,0))</f>
        <v>0</v>
      </c>
      <c r="BW48" s="119">
        <f>IF($H48&lt;&gt;CA$5,0,IF(CA48&lt;0,IF($J48=1,-$E48*$I48/12*3,IF($J48=2,-$E48*$I48/12*2,IF($J48=3,-$E48*$I48/12*1,0)))))+IF(BV$5&lt;&gt;$H48,0,IF(BV48&lt;0,IF($J48=1,-$E48*$I48/12*0,IF($J48=2,-$E48*$I48/12*1,IF($J48=3,-$E48*$I48/12*2,IF($J48&gt;=4,-$E48*$I48/12*3,0))))))</f>
        <v>0</v>
      </c>
      <c r="BX48" s="120">
        <f>IF($H48&lt;&gt;CA$5,0,IF(CA48&lt;0,IF(OR($J48=1,$J48=2,$J48=3,$J48=4),-$E48*$I48/12*3,IF($J48=5,-$E48*$I48/12*2,IF($J48=6,-$E48*$I48/12*1,0)))))+IF(BV$5&lt;&gt;$H48,0,IF(BV48&lt;0,IF($J48=4,-$E48*$I48/12*0,IF($J48=5,-$E48*$I48/12*1,IF($J48=6,-$E48*$I48/12*2,IF($J48&gt;=7,-$E48*$I48/12*3,0))))))</f>
        <v>0</v>
      </c>
      <c r="BY48" s="120">
        <f>IF($H48&lt;&gt;CA$5,0,IF(CA48&lt;0,IF(OR($J48=1,$J48=2,$J48=3,$J48=4,$J48=5,$J48=6,$J48=7),-$E48*$I48/12*3,IF($J48=8,-$E48*$I48/12*2,IF($J48=9,-$E48*$I48/12*1,0)))))+IF(BV$5&lt;&gt;$H48,0,IF(BV48&lt;0,IF($J48=7,-$E48*$I48/12*0,IF($J48=8,-$E48*$I48/12*1,IF($J48=9,-$E48*$I48/12*2,IF($J48&gt;=10,-$E48*$I48/12*3,0))))))</f>
        <v>0</v>
      </c>
      <c r="BZ48" s="121">
        <f>IF($H48&lt;&gt;CA$5,0,IF(CA48&lt;0,IF(OR($J48=1,$J48=2,$J48=3,$J48=4,$J48=5,$J48=6,$J48=7,$J48=8,$J48=9,$J48=10),-$E48*$I48/12*3,IF($J48=11,-$E48*$I48/12*2,IF($J48=12,-$E48*$I48/12*1,0)))))+IF(BV$5&lt;&gt;$H48,0,IF(BV48&lt;0,IF($J48=10,-$E48*$I48/12*0,IF($J48=11,-$E48*$I48/12*1,IF($J48=12,-$E48*$I48/12*2,0)))))</f>
        <v>0</v>
      </c>
      <c r="CA48" s="118">
        <f>IF(AND(BV48&lt;&gt;0,BV$5=$H48),-$I48*$E48-BV48,IF(CA$5=$H48,-$I48*$E48*(12-$J48+1)/12,0))</f>
        <v>0</v>
      </c>
      <c r="CB48" s="119">
        <f>IF($H48&lt;&gt;CF$5,0,IF(CF48&lt;0,IF($J48=1,-$E48*$I48/12*3,IF($J48=2,-$E48*$I48/12*2,IF($J48=3,-$E48*$I48/12*1,0)))))+IF(CA$5&lt;&gt;$H48,0,IF(CA48&lt;0,IF($J48=1,-$E48*$I48/12*0,IF($J48=2,-$E48*$I48/12*1,IF($J48=3,-$E48*$I48/12*2,IF($J48&gt;=4,-$E48*$I48/12*3,0))))))</f>
        <v>0</v>
      </c>
      <c r="CC48" s="120">
        <f>IF($H48&lt;&gt;CF$5,0,IF(CF48&lt;0,IF(OR($J48=1,$J48=2,$J48=3,$J48=4),-$E48*$I48/12*3,IF($J48=5,-$E48*$I48/12*2,IF($J48=6,-$E48*$I48/12*1,0)))))+IF(CA$5&lt;&gt;$H48,0,IF(CA48&lt;0,IF($J48=4,-$E48*$I48/12*0,IF($J48=5,-$E48*$I48/12*1,IF($J48=6,-$E48*$I48/12*2,IF($J48&gt;=7,-$E48*$I48/12*3,0))))))</f>
        <v>0</v>
      </c>
      <c r="CD48" s="120">
        <f>IF($H48&lt;&gt;CF$5,0,IF(CF48&lt;0,IF(OR($J48=1,$J48=2,$J48=3,$J48=4,$J48=5,$J48=6,$J48=7),-$E48*$I48/12*3,IF($J48=8,-$E48*$I48/12*2,IF($J48=9,-$E48*$I48/12*1,0)))))+IF(CA$5&lt;&gt;$H48,0,IF(CA48&lt;0,IF($J48=7,-$E48*$I48/12*0,IF($J48=8,-$E48*$I48/12*1,IF($J48=9,-$E48*$I48/12*2,IF($J48&gt;=10,-$E48*$I48/12*3,0))))))</f>
        <v>0</v>
      </c>
      <c r="CE48" s="121">
        <f>IF($H48&lt;&gt;CF$5,0,IF(CF48&lt;0,IF(OR($J48=1,$J48=2,$J48=3,$J48=4,$J48=5,$J48=6,$J48=7,$J48=8,$J48=9,$J48=10),-$E48*$I48/12*3,IF($J48=11,-$E48*$I48/12*2,IF($J48=12,-$E48*$I48/12*1,0)))))+IF(CA$5&lt;&gt;$H48,0,IF(CA48&lt;0,IF($J48=10,-$E48*$I48/12*0,IF($J48=11,-$E48*$I48/12*1,IF($J48=12,-$E48*$I48/12*2,0)))))</f>
        <v>0</v>
      </c>
      <c r="CF48" s="118">
        <f>IF(AND(CA48&lt;&gt;0,CA$5=$H48),-$I48*$E48-CA48,IF(CF$5=$H48,-$I48*$E48*(12-$J48+1)/12,0))</f>
        <v>0</v>
      </c>
      <c r="CG48" s="119">
        <f t="shared" si="191"/>
        <v>0</v>
      </c>
      <c r="CH48" s="120">
        <f>IF($H48&lt;&gt;CK$5,0,IF(CK48&lt;0,IF(OR($J48=1,$J48=2,$J48=3,$J48=4),-$E48*$I48/12*3,IF($J48=5,-$E48*$I48/12*2,IF($J48=6,-$E48*$I48/12*1,0)))))+IF(CF$5&lt;&gt;$H48,0,IF(CF48&lt;0,IF($J48=4,-$E48*$I48/12*0,IF($J48=5,-$E48*$I48/12*1,IF($J48=6,-$E48*$I48/12*2,IF($J48&gt;=7,-$E48*$I48/12*3,0))))))</f>
        <v>0</v>
      </c>
      <c r="CI48" s="120">
        <f>IF($H48&lt;&gt;CK$5,0,IF(CK48&lt;0,IF(OR($J48=1,$J48=2,$J48=3,$J48=4,$J48=5,$J48=6,$J48=7),-$E48*$I48/12*3,IF($J48=8,-$E48*$I48/12*2,IF($J48=9,-$E48*$I48/12*1,0)))))+IF(CF$5&lt;&gt;$H48,0,IF(CF48&lt;0,IF($J48=7,-$E48*$I48/12*0,IF($J48=8,-$E48*$I48/12*1,IF($J48=9,-$E48*$I48/12*2,IF($J48&gt;=10,-$E48*$I48/12*3,0))))))</f>
        <v>0</v>
      </c>
      <c r="CJ48" s="121">
        <f>IF($H48&lt;&gt;CK$5,0,IF(CK48&lt;0,IF(OR($J48=1,$J48=2,$J48=3,$J48=4,$J48=5,$J48=6,$J48=7,$J48=8,$J48=9,$J48=10),-$E48*$I48/12*3,IF($J48=11,-$E48*$I48/12*2,IF($J48=12,-$E48*$I48/12*1,0)))))+IF(CF$5&lt;&gt;$H48,0,IF(CF48&lt;0,IF($J48=10,-$E48*$I48/12*0,IF($J48=11,-$E48*$I48/12*1,IF($J48=12,-$E48*$I48/12*2,0)))))</f>
        <v>0</v>
      </c>
      <c r="CK48" s="118">
        <f>IF(AND(CF48&lt;&gt;0,CF$5=$H48),-$I48*$E48-CF48,IF(CK$5=$H48,-$I48*$E48*(12-$J48+1)/12,0))</f>
        <v>0</v>
      </c>
      <c r="CL48" s="119">
        <f t="shared" si="196"/>
        <v>0</v>
      </c>
      <c r="CM48" s="120">
        <f t="shared" si="197"/>
        <v>-0.375</v>
      </c>
      <c r="CN48" s="120">
        <f t="shared" si="198"/>
        <v>-1.125</v>
      </c>
      <c r="CO48" s="121">
        <f t="shared" si="199"/>
        <v>-1.125</v>
      </c>
      <c r="CP48" s="118">
        <f t="shared" si="200"/>
        <v>-2.625</v>
      </c>
      <c r="CQ48" s="119">
        <f t="shared" si="177"/>
        <v>-1.125</v>
      </c>
      <c r="CR48" s="120">
        <f t="shared" ref="CR48:CR56" si="201">IF($H48&lt;&gt;CU$5,0,IF(CU48&lt;0,IF(OR($J48=1,$J48=2,$J48=3,$J48=4),-$E48*$I48/12*3,IF($J48=5,-$E48*$I48/12*2,IF($J48=6,-$E48*$I48/12*1,0)))))+IF(CP$5&lt;&gt;$H48,0,IF(CP48&lt;0,IF($J48=4,-$E48*$I48/12*0,IF($J48=5,-$E48*$I48/12*1,IF($J48=6,-$E48*$I48/12*2,IF($J48&gt;=7,-$E48*$I48/12*3,0))))))</f>
        <v>-0.75</v>
      </c>
      <c r="CS48" s="120">
        <f t="shared" ref="CS48:CS56" si="202">IF($H48&lt;&gt;CU$5,0,IF(CU48&lt;0,IF(OR($J48=1,$J48=2,$J48=3,$J48=4,$J48=5,$J48=6,$J48=7),-$E48*$I48/12*3,IF($J48=8,-$E48*$I48/12*2,IF($J48=9,-$E48*$I48/12*1,0)))))+IF(CP$5&lt;&gt;$H48,0,IF(CP48&lt;0,IF($J48=7,-$E48*$I48/12*0,IF($J48=8,-$E48*$I48/12*1,IF($J48=9,-$E48*$I48/12*2,IF($J48&gt;=10,-$E48*$I48/12*3,0))))))</f>
        <v>0</v>
      </c>
      <c r="CT48" s="121">
        <f t="shared" ref="CT48:CT56" si="203">IF($H48&lt;&gt;CU$5,0,IF(CU48&lt;0,IF(OR($J48=1,$J48=2,$J48=3,$J48=4,$J48=5,$J48=6,$J48=7,$J48=8,$J48=9,$J48=10),-$E48*$I48/12*3,IF($J48=11,-$E48*$I48/12*2,IF($J48=12,-$E48*$I48/12*1,0)))))+IF(CP$5&lt;&gt;$H48,0,IF(CP48&lt;0,IF($J48=10,-$E48*$I48/12*0,IF($J48=11,-$E48*$I48/12*1,IF($J48=12,-$E48*$I48/12*2,0)))))</f>
        <v>0</v>
      </c>
      <c r="CU48" s="118">
        <f t="shared" ref="CU48:CU56" si="204">IF(AND(CP48&lt;&gt;0,CP$5=$H48),-$I48*$E48-CP48,IF(CU$5=$H48,-$I48*$E48*(12-$J48+1)/12,0))</f>
        <v>-1.875</v>
      </c>
      <c r="CV48" s="119">
        <f t="shared" si="178"/>
        <v>0</v>
      </c>
      <c r="CW48" s="120">
        <f t="shared" si="179"/>
        <v>0</v>
      </c>
      <c r="CX48" s="120">
        <f t="shared" si="180"/>
        <v>0</v>
      </c>
      <c r="CY48" s="121">
        <f t="shared" si="181"/>
        <v>0</v>
      </c>
      <c r="CZ48" s="118">
        <f t="shared" si="182"/>
        <v>0</v>
      </c>
    </row>
    <row r="49" spans="1:104" ht="12.75" customHeight="1">
      <c r="A49" s="7"/>
      <c r="B49" s="7"/>
      <c r="C49" s="189" t="s">
        <v>934</v>
      </c>
      <c r="D49" s="190"/>
      <c r="E49" s="191">
        <f>IF(F49=0,G49,F49)</f>
        <v>250</v>
      </c>
      <c r="F49" s="193">
        <v>250</v>
      </c>
      <c r="G49" s="193">
        <v>250</v>
      </c>
      <c r="H49" s="1346">
        <v>2019</v>
      </c>
      <c r="I49" s="1363">
        <v>0.02</v>
      </c>
      <c r="J49" s="1346">
        <v>8</v>
      </c>
      <c r="K49" s="112"/>
      <c r="L49" s="113">
        <f>IF(L$5=$H49,-$E49,0)</f>
        <v>0</v>
      </c>
      <c r="M49" s="114">
        <f>IF(Q49=0,0,IF(Q49&lt;0,IF($J49=3,Q49,IF($J49=2,Q49,IF($J49=1,Q49,0)))))</f>
        <v>0</v>
      </c>
      <c r="N49" s="115">
        <f>IF(Q49=0,0,IF(Q49&lt;0,IF($J49=6,Q49,IF($J49=5,Q49,IF($J49=4,Q49,0)))))</f>
        <v>0</v>
      </c>
      <c r="O49" s="115">
        <f>IF(Q49=0,0,IF(Q49&lt;0,IF($J49=9,Q49,IF($J49=8,Q49,IF($J49=7,Q49,0)))))</f>
        <v>0</v>
      </c>
      <c r="P49" s="116">
        <f>IF(Q49=0,0,IF(Q49&lt;0,IF($J49=12,Q49,IF($J49=11,Q49,IF($J49=10,Q49,0)))))</f>
        <v>0</v>
      </c>
      <c r="Q49" s="113">
        <f>IF(Q$5=$H49,-$E49,0)</f>
        <v>0</v>
      </c>
      <c r="R49" s="114">
        <f>IF(V49=0,0,IF(V49&lt;0,IF($J49=3,V49,IF($J49=2,V49,IF($J49=1,V49,0)))))</f>
        <v>0</v>
      </c>
      <c r="S49" s="115">
        <f>IF(V49=0,0,IF(V49&lt;0,IF($J49=6,V49,IF($J49=5,V49,IF($J49=4,V49,0)))))</f>
        <v>0</v>
      </c>
      <c r="T49" s="115">
        <f>IF(V49=0,0,IF(V49&lt;0,IF($J49=9,V49,IF($J49=8,V49,IF($J49=7,V49,0)))))</f>
        <v>0</v>
      </c>
      <c r="U49" s="116">
        <f>IF(V49=0,0,IF(V49&lt;0,IF($J49=12,V49,IF($J49=11,V49,IF($J49=10,V49,0)))))</f>
        <v>0</v>
      </c>
      <c r="V49" s="113">
        <f>IF(V$5=$H49,-$E49,0)</f>
        <v>0</v>
      </c>
      <c r="W49" s="114">
        <f>IF(AA49=0,0,IF(AA49&lt;0,IF($J49=3,AA49,IF($J49=2,AA49,IF($J49=1,AA49,0)))))</f>
        <v>0</v>
      </c>
      <c r="X49" s="115">
        <f>IF(AA49=0,0,IF(AA49&lt;0,IF($J49=6,AA49,IF($J49=5,AA49,IF($J49=4,AA49,0)))))</f>
        <v>0</v>
      </c>
      <c r="Y49" s="115">
        <f>IF(AA49=0,0,IF(AA49&lt;0,IF($J49=9,AA49,IF($J49=8,AA49,IF($J49=7,AA49,0)))))</f>
        <v>0</v>
      </c>
      <c r="Z49" s="116">
        <f>IF(AA49=0,0,IF(AA49&lt;0,IF($J49=12,AA49,IF($J49=11,AA49,IF($J49=10,AA49,0)))))</f>
        <v>0</v>
      </c>
      <c r="AA49" s="113">
        <f>IF(AA$5=$H49,-$E49,0)</f>
        <v>0</v>
      </c>
      <c r="AB49" s="114">
        <f>IF(AF49=0,0,IF(AF49&lt;0,IF($J49=3,AF49,IF($J49=2,AF49,IF($J49=1,AF49,0)))))</f>
        <v>0</v>
      </c>
      <c r="AC49" s="115">
        <f>IF(AF49=0,0,IF(AF49&lt;0,IF($J49=6,AF49,IF($J49=5,AF49,IF($J49=4,AF49,0)))))</f>
        <v>0</v>
      </c>
      <c r="AD49" s="115">
        <f>IF(AF49=0,0,IF(AF49&lt;0,IF($J49=9,AF49,IF($J49=8,AF49,IF($J49=7,AF49,0)))))</f>
        <v>0</v>
      </c>
      <c r="AE49" s="116">
        <f>IF(AF49=0,0,IF(AF49&lt;0,IF($J49=12,AF49,IF($J49=11,AF49,IF($J49=10,AF49,0)))))</f>
        <v>0</v>
      </c>
      <c r="AF49" s="113">
        <f>IF(AF$5=$H49,-$E49,0)</f>
        <v>0</v>
      </c>
      <c r="AG49" s="114">
        <f>IF(AK49=0,0,IF(AK49&lt;0,IF($J49=3,AK49,IF($J49=2,AK49,IF($J49=1,AK49,0)))))</f>
        <v>0</v>
      </c>
      <c r="AH49" s="115">
        <f>IF(AK49=0,0,IF(AK49&lt;0,IF($J49=6,AK49,IF($J49=5,AK49,IF($J49=4,AK49,0)))))</f>
        <v>0</v>
      </c>
      <c r="AI49" s="115">
        <f>IF(AK49=0,0,IF(AK49&lt;0,IF($J49=9,AK49,IF($J49=8,AK49,IF($J49=7,AK49,0)))))</f>
        <v>0</v>
      </c>
      <c r="AJ49" s="116">
        <f>IF(AK49=0,0,IF(AK49&lt;0,IF($J49=12,AK49,IF($J49=11,AK49,IF($J49=10,AK49,0)))))</f>
        <v>0</v>
      </c>
      <c r="AK49" s="113">
        <f>IF(AK$5=$H49,-$E49,0)</f>
        <v>0</v>
      </c>
      <c r="AL49" s="114">
        <f>IF(AP49=0,0,IF(AP49&lt;0,IF($J49=3,AP49,IF($J49=2,AP49,IF($J49=1,AP49,0)))))</f>
        <v>0</v>
      </c>
      <c r="AM49" s="115">
        <f>IF(AP49=0,0,IF(AP49&lt;0,IF($J49=6,AP49,IF($J49=5,AP49,IF($J49=4,AP49,0)))))</f>
        <v>0</v>
      </c>
      <c r="AN49" s="115">
        <f>IF(AP49=0,0,IF(AP49&lt;0,IF($J49=9,AP49,IF($J49=8,AP49,IF($J49=7,AP49,0)))))</f>
        <v>0</v>
      </c>
      <c r="AO49" s="116">
        <f>IF(AP49=0,0,IF(AP49&lt;0,IF($J49=12,AP49,IF($J49=11,AP49,IF($J49=10,AP49,0)))))</f>
        <v>0</v>
      </c>
      <c r="AP49" s="113">
        <f>IF(AP$5=$H49,-$E49,0)</f>
        <v>0</v>
      </c>
      <c r="AQ49" s="114">
        <f t="shared" si="187"/>
        <v>0</v>
      </c>
      <c r="AR49" s="115">
        <f t="shared" si="188"/>
        <v>0</v>
      </c>
      <c r="AS49" s="115">
        <f t="shared" si="189"/>
        <v>-250</v>
      </c>
      <c r="AT49" s="116">
        <f t="shared" si="190"/>
        <v>0</v>
      </c>
      <c r="AU49" s="113">
        <f>IF(AU$5=$H49,-$E49,0)</f>
        <v>-250</v>
      </c>
      <c r="AV49" s="114">
        <f t="shared" si="141"/>
        <v>0</v>
      </c>
      <c r="AW49" s="115">
        <f t="shared" si="142"/>
        <v>0</v>
      </c>
      <c r="AX49" s="115">
        <f t="shared" si="143"/>
        <v>0</v>
      </c>
      <c r="AY49" s="116">
        <f t="shared" si="144"/>
        <v>0</v>
      </c>
      <c r="AZ49" s="113">
        <f>IF(AZ$5=$H49,-$E49,0)</f>
        <v>0</v>
      </c>
      <c r="BA49" s="114">
        <f t="shared" si="146"/>
        <v>0</v>
      </c>
      <c r="BB49" s="115">
        <f t="shared" si="147"/>
        <v>0</v>
      </c>
      <c r="BC49" s="115">
        <f t="shared" si="148"/>
        <v>0</v>
      </c>
      <c r="BD49" s="116">
        <f t="shared" si="149"/>
        <v>0</v>
      </c>
      <c r="BE49" s="113">
        <f>IF(BE$5=$H49,-$E49,0)</f>
        <v>0</v>
      </c>
      <c r="BF49" s="194"/>
      <c r="BG49" s="118">
        <f>IF(AND(BF49&lt;&gt;0,BF$5=$H49),-$I49*$E49-BF49,IF(BG$5=$H49,-$I49*$E49*(12-$J49+1)/12,0))</f>
        <v>0</v>
      </c>
      <c r="BH49" s="119">
        <f>IF($H49&lt;&gt;BL$5,0,IF(BL49&lt;0,IF($J49=1,-$E49*$I49/12*3,IF($J49=2,-$E49*$I49/12*2,IF($J49=3,-$E49*$I49/12*1,0)))))+IF(BG$5&lt;&gt;$H49,0,IF(BG49&lt;0,IF($J49=1,-$E49*$I49/12*0,IF($J49=2,-$E49*$I49/12*1,IF($J49=3,-$E49*$I49/12*2,IF($J49&gt;=4,-$E49*$I49/12*3,0))))))</f>
        <v>0</v>
      </c>
      <c r="BI49" s="120">
        <f>IF($H49&lt;&gt;BL$5,0,IF(BL49&lt;0,IF(OR($J49=1,$J49=2,$J49=3,$J49=4),-$E49*$I49/12*3,IF($J49=5,-$E49*$I49/12*2,IF($J49=6,-$E49*$I49/12*1,0)))))+IF(BG$5&lt;&gt;$H49,0,IF(BG49&lt;0,IF($J49=4,-$E49*$I49/12*0,IF($J49=5,-$E49*$I49/12*1,IF($J49=6,-$E49*$I49/12*2,IF($J49&gt;=7,-$E49*$I49/12*3,0))))))</f>
        <v>0</v>
      </c>
      <c r="BJ49" s="120">
        <f>IF($H49&lt;&gt;BL$5,0,IF(BL49&lt;0,IF(OR($J49=1,$J49=2,$J49=3,$J49=4,$J49=5,$J49=6,$J49=7),-$E49*$I49/12*3,IF($J49=8,-$E49*$I49/12*2,IF($J49=9,-$E49*$I49/12*1,0)))))+IF(BG$5&lt;&gt;$H49,0,IF(BG49&lt;0,IF($J49=7,-$E49*$I49/12*0,IF($J49=8,-$E49*$I49/12*1,IF($J49=9,-$E49*$I49/12*2,IF($J49&gt;=10,-$E49*$I49/12*3,0))))))</f>
        <v>0</v>
      </c>
      <c r="BK49" s="121">
        <f>IF($H49&lt;&gt;BL$5,0,IF(BL49&lt;0,IF(OR($J49=1,$J49=2,$J49=3,$J49=4,$J49=5,$J49=6,$J49=7,$J49=8,$J49=9,$J49=10),-$E49*$I49/12*3,IF($J49=11,-$E49*$I49/12*2,IF($J49=12,-$E49*$I49/12*1,0)))))+IF(BG$5&lt;&gt;$H49,0,IF(BG49&lt;0,IF($J49=10,-$E49*$I49/12*0,IF($J49=11,-$E49*$I49/12*1,IF($J49=12,-$E49*$I49/12*2,0)))))</f>
        <v>0</v>
      </c>
      <c r="BL49" s="118">
        <f>IF(AND(BG49&lt;&gt;0,BG$5=$H49),-$I49*$E49-BG49,IF(BL$5=$H49,-$I49*$E49*(12-$J49+1)/12,0))</f>
        <v>0</v>
      </c>
      <c r="BM49" s="119">
        <f>IF($H49&lt;&gt;BQ$5,0,IF(BQ49&lt;0,IF($J49=1,-$E49*$I49/12*3,IF($J49=2,-$E49*$I49/12*2,IF($J49=3,-$E49*$I49/12*1,0)))))+IF(BL$5&lt;&gt;$H49,0,IF(BL49&lt;0,IF($J49=1,-$E49*$I49/12*0,IF($J49=2,-$E49*$I49/12*1,IF($J49=3,-$E49*$I49/12*2,IF($J49&gt;=4,-$E49*$I49/12*3,0))))))</f>
        <v>0</v>
      </c>
      <c r="BN49" s="120">
        <f>IF($H49&lt;&gt;BQ$5,0,IF(BQ49&lt;0,IF(OR($J49=1,$J49=2,$J49=3,$J49=4),-$E49*$I49/12*3,IF($J49=5,-$E49*$I49/12*2,IF($J49=6,-$E49*$I49/12*1,0)))))+IF(BL$5&lt;&gt;$H49,0,IF(BL49&lt;0,IF($J49=4,-$E49*$I49/12*0,IF($J49=5,-$E49*$I49/12*1,IF($J49=6,-$E49*$I49/12*2,IF($J49&gt;=7,-$E49*$I49/12*3,0))))))</f>
        <v>0</v>
      </c>
      <c r="BO49" s="120">
        <f>IF($H49&lt;&gt;BQ$5,0,IF(BQ49&lt;0,IF(OR($J49=1,$J49=2,$J49=3,$J49=4,$J49=5,$J49=6,$J49=7),-$E49*$I49/12*3,IF($J49=8,-$E49*$I49/12*2,IF($J49=9,-$E49*$I49/12*1,0)))))+IF(BL$5&lt;&gt;$H49,0,IF(BL49&lt;0,IF($J49=7,-$E49*$I49/12*0,IF($J49=8,-$E49*$I49/12*1,IF($J49=9,-$E49*$I49/12*2,IF($J49&gt;=10,-$E49*$I49/12*3,0))))))</f>
        <v>0</v>
      </c>
      <c r="BP49" s="121">
        <f>IF($H49&lt;&gt;BQ$5,0,IF(BQ49&lt;0,IF(OR($J49=1,$J49=2,$J49=3,$J49=4,$J49=5,$J49=6,$J49=7,$J49=8,$J49=9,$J49=10),-$E49*$I49/12*3,IF($J49=11,-$E49*$I49/12*2,IF($J49=12,-$E49*$I49/12*1,0)))))+IF(BL$5&lt;&gt;$H49,0,IF(BL49&lt;0,IF($J49=10,-$E49*$I49/12*0,IF($J49=11,-$E49*$I49/12*1,IF($J49=12,-$E49*$I49/12*2,0)))))</f>
        <v>0</v>
      </c>
      <c r="BQ49" s="118">
        <f>IF(AND(BL49&lt;&gt;0,BL$5=$H49),-$I49*$E49-BL49,IF(BQ$5=$H49,-$I49*$E49*(12-$J49+1)/12,0))</f>
        <v>0</v>
      </c>
      <c r="BR49" s="119">
        <f>IF($H49&lt;&gt;BV$5,0,IF(BV49&lt;0,IF($J49=1,-$E49*$I49/12*3,IF($J49=2,-$E49*$I49/12*2,IF($J49=3,-$E49*$I49/12*1,0)))))+IF(BQ$5&lt;&gt;$H49,0,IF(BQ49&lt;0,IF($J49=1,-$E49*$I49/12*0,IF($J49=2,-$E49*$I49/12*1,IF($J49=3,-$E49*$I49/12*2,IF($J49&gt;=4,-$E49*$I49/12*3,0))))))</f>
        <v>0</v>
      </c>
      <c r="BS49" s="120">
        <f>IF($H49&lt;&gt;BV$5,0,IF(BV49&lt;0,IF(OR($J49=1,$J49=2,$J49=3,$J49=4),-$E49*$I49/12*3,IF($J49=5,-$E49*$I49/12*2,IF($J49=6,-$E49*$I49/12*1,0)))))+IF(BQ$5&lt;&gt;$H49,0,IF(BQ49&lt;0,IF($J49=4,-$E49*$I49/12*0,IF($J49=5,-$E49*$I49/12*1,IF($J49=6,-$E49*$I49/12*2,IF($J49&gt;=7,-$E49*$I49/12*3,0))))))</f>
        <v>0</v>
      </c>
      <c r="BT49" s="120">
        <f>IF($H49&lt;&gt;BV$5,0,IF(BV49&lt;0,IF(OR($J49=1,$J49=2,$J49=3,$J49=4,$J49=5,$J49=6,$J49=7),-$E49*$I49/12*3,IF($J49=8,-$E49*$I49/12*2,IF($J49=9,-$E49*$I49/12*1,0)))))+IF(BQ$5&lt;&gt;$H49,0,IF(BQ49&lt;0,IF($J49=7,-$E49*$I49/12*0,IF($J49=8,-$E49*$I49/12*1,IF($J49=9,-$E49*$I49/12*2,IF($J49&gt;=10,-$E49*$I49/12*3,0))))))</f>
        <v>0</v>
      </c>
      <c r="BU49" s="121">
        <f>IF($H49&lt;&gt;BV$5,0,IF(BV49&lt;0,IF(OR($J49=1,$J49=2,$J49=3,$J49=4,$J49=5,$J49=6,$J49=7,$J49=8,$J49=9,$J49=10),-$E49*$I49/12*3,IF($J49=11,-$E49*$I49/12*2,IF($J49=12,-$E49*$I49/12*1,0)))))+IF(BQ$5&lt;&gt;$H49,0,IF(BQ49&lt;0,IF($J49=10,-$E49*$I49/12*0,IF($J49=11,-$E49*$I49/12*1,IF($J49=12,-$E49*$I49/12*2,0)))))</f>
        <v>0</v>
      </c>
      <c r="BV49" s="118">
        <f>IF(AND(BQ49&lt;&gt;0,BQ$5=$H49),-$I49*$E49-BQ49,IF(BV$5=$H49,-$I49*$E49*(12-$J49+1)/12,0))</f>
        <v>0</v>
      </c>
      <c r="BW49" s="119">
        <f>IF($H49&lt;&gt;CA$5,0,IF(CA49&lt;0,IF($J49=1,-$E49*$I49/12*3,IF($J49=2,-$E49*$I49/12*2,IF($J49=3,-$E49*$I49/12*1,0)))))+IF(BV$5&lt;&gt;$H49,0,IF(BV49&lt;0,IF($J49=1,-$E49*$I49/12*0,IF($J49=2,-$E49*$I49/12*1,IF($J49=3,-$E49*$I49/12*2,IF($J49&gt;=4,-$E49*$I49/12*3,0))))))</f>
        <v>0</v>
      </c>
      <c r="BX49" s="120">
        <f>IF($H49&lt;&gt;CA$5,0,IF(CA49&lt;0,IF(OR($J49=1,$J49=2,$J49=3,$J49=4),-$E49*$I49/12*3,IF($J49=5,-$E49*$I49/12*2,IF($J49=6,-$E49*$I49/12*1,0)))))+IF(BV$5&lt;&gt;$H49,0,IF(BV49&lt;0,IF($J49=4,-$E49*$I49/12*0,IF($J49=5,-$E49*$I49/12*1,IF($J49=6,-$E49*$I49/12*2,IF($J49&gt;=7,-$E49*$I49/12*3,0))))))</f>
        <v>0</v>
      </c>
      <c r="BY49" s="120">
        <f>IF($H49&lt;&gt;CA$5,0,IF(CA49&lt;0,IF(OR($J49=1,$J49=2,$J49=3,$J49=4,$J49=5,$J49=6,$J49=7),-$E49*$I49/12*3,IF($J49=8,-$E49*$I49/12*2,IF($J49=9,-$E49*$I49/12*1,0)))))+IF(BV$5&lt;&gt;$H49,0,IF(BV49&lt;0,IF($J49=7,-$E49*$I49/12*0,IF($J49=8,-$E49*$I49/12*1,IF($J49=9,-$E49*$I49/12*2,IF($J49&gt;=10,-$E49*$I49/12*3,0))))))</f>
        <v>0</v>
      </c>
      <c r="BZ49" s="121">
        <f>IF($H49&lt;&gt;CA$5,0,IF(CA49&lt;0,IF(OR($J49=1,$J49=2,$J49=3,$J49=4,$J49=5,$J49=6,$J49=7,$J49=8,$J49=9,$J49=10),-$E49*$I49/12*3,IF($J49=11,-$E49*$I49/12*2,IF($J49=12,-$E49*$I49/12*1,0)))))+IF(BV$5&lt;&gt;$H49,0,IF(BV49&lt;0,IF($J49=10,-$E49*$I49/12*0,IF($J49=11,-$E49*$I49/12*1,IF($J49=12,-$E49*$I49/12*2,0)))))</f>
        <v>0</v>
      </c>
      <c r="CA49" s="118">
        <f>IF(AND(BV49&lt;&gt;0,BV$5=$H49),-$I49*$E49-BV49,IF(CA$5=$H49,-$I49*$E49*(12-$J49+1)/12,0))</f>
        <v>0</v>
      </c>
      <c r="CB49" s="119">
        <f>IF($H49&lt;&gt;CF$5,0,IF(CF49&lt;0,IF($J49=1,-$E49*$I49/12*3,IF($J49=2,-$E49*$I49/12*2,IF($J49=3,-$E49*$I49/12*1,0)))))+IF(CA$5&lt;&gt;$H49,0,IF(CA49&lt;0,IF($J49=1,-$E49*$I49/12*0,IF($J49=2,-$E49*$I49/12*1,IF($J49=3,-$E49*$I49/12*2,IF($J49&gt;=4,-$E49*$I49/12*3,0))))))</f>
        <v>0</v>
      </c>
      <c r="CC49" s="120">
        <f>IF($H49&lt;&gt;CF$5,0,IF(CF49&lt;0,IF(OR($J49=1,$J49=2,$J49=3,$J49=4),-$E49*$I49/12*3,IF($J49=5,-$E49*$I49/12*2,IF($J49=6,-$E49*$I49/12*1,0)))))+IF(CA$5&lt;&gt;$H49,0,IF(CA49&lt;0,IF($J49=4,-$E49*$I49/12*0,IF($J49=5,-$E49*$I49/12*1,IF($J49=6,-$E49*$I49/12*2,IF($J49&gt;=7,-$E49*$I49/12*3,0))))))</f>
        <v>0</v>
      </c>
      <c r="CD49" s="120">
        <f>IF($H49&lt;&gt;CF$5,0,IF(CF49&lt;0,IF(OR($J49=1,$J49=2,$J49=3,$J49=4,$J49=5,$J49=6,$J49=7),-$E49*$I49/12*3,IF($J49=8,-$E49*$I49/12*2,IF($J49=9,-$E49*$I49/12*1,0)))))+IF(CA$5&lt;&gt;$H49,0,IF(CA49&lt;0,IF($J49=7,-$E49*$I49/12*0,IF($J49=8,-$E49*$I49/12*1,IF($J49=9,-$E49*$I49/12*2,IF($J49&gt;=10,-$E49*$I49/12*3,0))))))</f>
        <v>0</v>
      </c>
      <c r="CE49" s="121">
        <f>IF($H49&lt;&gt;CF$5,0,IF(CF49&lt;0,IF(OR($J49=1,$J49=2,$J49=3,$J49=4,$J49=5,$J49=6,$J49=7,$J49=8,$J49=9,$J49=10),-$E49*$I49/12*3,IF($J49=11,-$E49*$I49/12*2,IF($J49=12,-$E49*$I49/12*1,0)))))+IF(CA$5&lt;&gt;$H49,0,IF(CA49&lt;0,IF($J49=10,-$E49*$I49/12*0,IF($J49=11,-$E49*$I49/12*1,IF($J49=12,-$E49*$I49/12*2,0)))))</f>
        <v>0</v>
      </c>
      <c r="CF49" s="118">
        <f>IF(AND(CA49&lt;&gt;0,CA$5=$H49),-$I49*$E49-CA49,IF(CF$5=$H49,-$I49*$E49*(12-$J49+1)/12,0))</f>
        <v>0</v>
      </c>
      <c r="CG49" s="119">
        <f t="shared" si="191"/>
        <v>0</v>
      </c>
      <c r="CH49" s="120">
        <f>IF($H49&lt;&gt;CK$5,0,IF(CK49&lt;0,IF(OR($J49=1,$J49=2,$J49=3,$J49=4),-$E49*$I49/12*3,IF($J49=5,-$E49*$I49/12*2,IF($J49=6,-$E49*$I49/12*1,0)))))+IF(CF$5&lt;&gt;$H49,0,IF(CF49&lt;0,IF($J49=4,-$E49*$I49/12*0,IF($J49=5,-$E49*$I49/12*1,IF($J49=6,-$E49*$I49/12*2,IF($J49&gt;=7,-$E49*$I49/12*3,0))))))</f>
        <v>0</v>
      </c>
      <c r="CI49" s="120">
        <f>IF($H49&lt;&gt;CK$5,0,IF(CK49&lt;0,IF(OR($J49=1,$J49=2,$J49=3,$J49=4,$J49=5,$J49=6,$J49=7),-$E49*$I49/12*3,IF($J49=8,-$E49*$I49/12*2,IF($J49=9,-$E49*$I49/12*1,0)))))+IF(CF$5&lt;&gt;$H49,0,IF(CF49&lt;0,IF($J49=7,-$E49*$I49/12*0,IF($J49=8,-$E49*$I49/12*1,IF($J49=9,-$E49*$I49/12*2,IF($J49&gt;=10,-$E49*$I49/12*3,0))))))</f>
        <v>0</v>
      </c>
      <c r="CJ49" s="121">
        <f>IF($H49&lt;&gt;CK$5,0,IF(CK49&lt;0,IF(OR($J49=1,$J49=2,$J49=3,$J49=4,$J49=5,$J49=6,$J49=7,$J49=8,$J49=9,$J49=10),-$E49*$I49/12*3,IF($J49=11,-$E49*$I49/12*2,IF($J49=12,-$E49*$I49/12*1,0)))))+IF(CF$5&lt;&gt;$H49,0,IF(CF49&lt;0,IF($J49=10,-$E49*$I49/12*0,IF($J49=11,-$E49*$I49/12*1,IF($J49=12,-$E49*$I49/12*2,0)))))</f>
        <v>0</v>
      </c>
      <c r="CK49" s="118">
        <f>IF(AND(CF49&lt;&gt;0,CF$5=$H49),-$I49*$E49-CF49,IF(CK$5=$H49,-$I49*$E49*(12-$J49+1)/12,0))</f>
        <v>0</v>
      </c>
      <c r="CL49" s="119">
        <f t="shared" si="196"/>
        <v>0</v>
      </c>
      <c r="CM49" s="120">
        <f t="shared" si="197"/>
        <v>0</v>
      </c>
      <c r="CN49" s="120">
        <f t="shared" si="198"/>
        <v>-0.83333333333333337</v>
      </c>
      <c r="CO49" s="121">
        <f t="shared" si="199"/>
        <v>-1.25</v>
      </c>
      <c r="CP49" s="118">
        <f t="shared" si="200"/>
        <v>-2.0833333333333335</v>
      </c>
      <c r="CQ49" s="119">
        <f t="shared" si="177"/>
        <v>-1.25</v>
      </c>
      <c r="CR49" s="120">
        <f t="shared" si="201"/>
        <v>-1.25</v>
      </c>
      <c r="CS49" s="120">
        <f t="shared" si="202"/>
        <v>-0.41666666666666669</v>
      </c>
      <c r="CT49" s="121">
        <f t="shared" si="203"/>
        <v>0</v>
      </c>
      <c r="CU49" s="118">
        <f t="shared" si="204"/>
        <v>-2.9166666666666665</v>
      </c>
      <c r="CV49" s="119">
        <f t="shared" si="178"/>
        <v>0</v>
      </c>
      <c r="CW49" s="120">
        <f t="shared" si="179"/>
        <v>0</v>
      </c>
      <c r="CX49" s="120">
        <f t="shared" si="180"/>
        <v>0</v>
      </c>
      <c r="CY49" s="121">
        <f t="shared" si="181"/>
        <v>0</v>
      </c>
      <c r="CZ49" s="118">
        <f t="shared" si="182"/>
        <v>0</v>
      </c>
    </row>
    <row r="50" spans="1:104" ht="12.75" customHeight="1">
      <c r="A50" s="7"/>
      <c r="B50" s="7"/>
      <c r="C50" s="7" t="s">
        <v>275</v>
      </c>
      <c r="D50" s="195"/>
      <c r="E50" s="191">
        <f t="shared" si="112"/>
        <v>9</v>
      </c>
      <c r="F50" s="193">
        <v>9</v>
      </c>
      <c r="G50" s="193">
        <v>9</v>
      </c>
      <c r="H50" s="1217">
        <v>2020</v>
      </c>
      <c r="I50" s="1218">
        <v>7.0400000000000004E-2</v>
      </c>
      <c r="J50" s="1217">
        <v>11</v>
      </c>
      <c r="K50" s="112"/>
      <c r="L50" s="113">
        <f t="shared" si="113"/>
        <v>0</v>
      </c>
      <c r="M50" s="114">
        <f t="shared" si="114"/>
        <v>0</v>
      </c>
      <c r="N50" s="115">
        <f t="shared" si="115"/>
        <v>0</v>
      </c>
      <c r="O50" s="115">
        <f t="shared" si="116"/>
        <v>0</v>
      </c>
      <c r="P50" s="116">
        <f t="shared" si="117"/>
        <v>0</v>
      </c>
      <c r="Q50" s="113">
        <f t="shared" si="118"/>
        <v>0</v>
      </c>
      <c r="R50" s="114">
        <f t="shared" si="119"/>
        <v>0</v>
      </c>
      <c r="S50" s="115">
        <f t="shared" si="120"/>
        <v>0</v>
      </c>
      <c r="T50" s="115">
        <f t="shared" si="121"/>
        <v>0</v>
      </c>
      <c r="U50" s="116">
        <f t="shared" si="122"/>
        <v>0</v>
      </c>
      <c r="V50" s="113">
        <f t="shared" si="123"/>
        <v>0</v>
      </c>
      <c r="W50" s="114">
        <f t="shared" si="124"/>
        <v>0</v>
      </c>
      <c r="X50" s="115">
        <f t="shared" si="125"/>
        <v>0</v>
      </c>
      <c r="Y50" s="115">
        <f t="shared" si="126"/>
        <v>0</v>
      </c>
      <c r="Z50" s="116">
        <f t="shared" si="127"/>
        <v>0</v>
      </c>
      <c r="AA50" s="113">
        <f t="shared" si="128"/>
        <v>0</v>
      </c>
      <c r="AB50" s="114">
        <f t="shared" si="129"/>
        <v>0</v>
      </c>
      <c r="AC50" s="115">
        <f t="shared" si="130"/>
        <v>0</v>
      </c>
      <c r="AD50" s="115">
        <f t="shared" si="131"/>
        <v>0</v>
      </c>
      <c r="AE50" s="116">
        <f t="shared" si="132"/>
        <v>0</v>
      </c>
      <c r="AF50" s="113">
        <f t="shared" si="133"/>
        <v>0</v>
      </c>
      <c r="AG50" s="114">
        <f t="shared" si="134"/>
        <v>0</v>
      </c>
      <c r="AH50" s="115">
        <f t="shared" si="135"/>
        <v>0</v>
      </c>
      <c r="AI50" s="115">
        <f t="shared" si="136"/>
        <v>0</v>
      </c>
      <c r="AJ50" s="116">
        <f t="shared" si="137"/>
        <v>0</v>
      </c>
      <c r="AK50" s="113">
        <f t="shared" si="138"/>
        <v>0</v>
      </c>
      <c r="AL50" s="114">
        <f t="shared" si="183"/>
        <v>0</v>
      </c>
      <c r="AM50" s="115">
        <f t="shared" si="184"/>
        <v>0</v>
      </c>
      <c r="AN50" s="115">
        <f t="shared" si="185"/>
        <v>0</v>
      </c>
      <c r="AO50" s="116">
        <f t="shared" si="186"/>
        <v>0</v>
      </c>
      <c r="AP50" s="113">
        <f t="shared" si="139"/>
        <v>0</v>
      </c>
      <c r="AQ50" s="114">
        <f t="shared" si="187"/>
        <v>0</v>
      </c>
      <c r="AR50" s="115">
        <f t="shared" si="188"/>
        <v>0</v>
      </c>
      <c r="AS50" s="115">
        <f t="shared" si="189"/>
        <v>0</v>
      </c>
      <c r="AT50" s="116">
        <f t="shared" si="190"/>
        <v>0</v>
      </c>
      <c r="AU50" s="113">
        <f t="shared" si="140"/>
        <v>0</v>
      </c>
      <c r="AV50" s="114">
        <f t="shared" si="141"/>
        <v>0</v>
      </c>
      <c r="AW50" s="115">
        <f t="shared" si="142"/>
        <v>0</v>
      </c>
      <c r="AX50" s="115">
        <f t="shared" si="143"/>
        <v>0</v>
      </c>
      <c r="AY50" s="116">
        <f t="shared" si="144"/>
        <v>-9</v>
      </c>
      <c r="AZ50" s="113">
        <f t="shared" si="145"/>
        <v>-9</v>
      </c>
      <c r="BA50" s="114">
        <f t="shared" si="146"/>
        <v>0</v>
      </c>
      <c r="BB50" s="115">
        <f t="shared" si="147"/>
        <v>0</v>
      </c>
      <c r="BC50" s="115">
        <f t="shared" si="148"/>
        <v>0</v>
      </c>
      <c r="BD50" s="116">
        <f t="shared" si="149"/>
        <v>0</v>
      </c>
      <c r="BE50" s="113">
        <f t="shared" si="150"/>
        <v>0</v>
      </c>
      <c r="BF50" s="194"/>
      <c r="BG50" s="118">
        <f t="shared" si="151"/>
        <v>0</v>
      </c>
      <c r="BH50" s="119">
        <f t="shared" si="152"/>
        <v>0</v>
      </c>
      <c r="BI50" s="120">
        <f t="shared" si="153"/>
        <v>0</v>
      </c>
      <c r="BJ50" s="120">
        <f t="shared" si="154"/>
        <v>0</v>
      </c>
      <c r="BK50" s="121">
        <f t="shared" si="155"/>
        <v>0</v>
      </c>
      <c r="BL50" s="118">
        <f t="shared" si="156"/>
        <v>0</v>
      </c>
      <c r="BM50" s="119">
        <f t="shared" si="157"/>
        <v>0</v>
      </c>
      <c r="BN50" s="120">
        <f t="shared" si="158"/>
        <v>0</v>
      </c>
      <c r="BO50" s="120">
        <f t="shared" si="159"/>
        <v>0</v>
      </c>
      <c r="BP50" s="121">
        <f t="shared" si="160"/>
        <v>0</v>
      </c>
      <c r="BQ50" s="118">
        <f t="shared" si="161"/>
        <v>0</v>
      </c>
      <c r="BR50" s="119">
        <f t="shared" si="162"/>
        <v>0</v>
      </c>
      <c r="BS50" s="120">
        <f t="shared" si="163"/>
        <v>0</v>
      </c>
      <c r="BT50" s="120">
        <f t="shared" si="164"/>
        <v>0</v>
      </c>
      <c r="BU50" s="121">
        <f t="shared" si="165"/>
        <v>0</v>
      </c>
      <c r="BV50" s="118">
        <f t="shared" si="166"/>
        <v>0</v>
      </c>
      <c r="BW50" s="119">
        <f t="shared" si="167"/>
        <v>0</v>
      </c>
      <c r="BX50" s="120">
        <f t="shared" si="168"/>
        <v>0</v>
      </c>
      <c r="BY50" s="120">
        <f t="shared" si="169"/>
        <v>0</v>
      </c>
      <c r="BZ50" s="121">
        <f t="shared" si="170"/>
        <v>0</v>
      </c>
      <c r="CA50" s="118">
        <f t="shared" si="171"/>
        <v>0</v>
      </c>
      <c r="CB50" s="119">
        <f t="shared" si="172"/>
        <v>0</v>
      </c>
      <c r="CC50" s="120">
        <f t="shared" si="173"/>
        <v>0</v>
      </c>
      <c r="CD50" s="120">
        <f t="shared" si="174"/>
        <v>0</v>
      </c>
      <c r="CE50" s="121">
        <f t="shared" si="175"/>
        <v>0</v>
      </c>
      <c r="CF50" s="118">
        <f t="shared" si="176"/>
        <v>0</v>
      </c>
      <c r="CG50" s="119">
        <f t="shared" si="191"/>
        <v>0</v>
      </c>
      <c r="CH50" s="120">
        <f t="shared" si="192"/>
        <v>0</v>
      </c>
      <c r="CI50" s="120">
        <f t="shared" si="193"/>
        <v>0</v>
      </c>
      <c r="CJ50" s="121">
        <f t="shared" si="194"/>
        <v>0</v>
      </c>
      <c r="CK50" s="118">
        <f t="shared" si="195"/>
        <v>0</v>
      </c>
      <c r="CL50" s="119">
        <f t="shared" si="196"/>
        <v>0</v>
      </c>
      <c r="CM50" s="120">
        <f t="shared" si="197"/>
        <v>0</v>
      </c>
      <c r="CN50" s="120">
        <f t="shared" si="198"/>
        <v>0</v>
      </c>
      <c r="CO50" s="121">
        <f t="shared" si="199"/>
        <v>0</v>
      </c>
      <c r="CP50" s="118">
        <f t="shared" si="200"/>
        <v>0</v>
      </c>
      <c r="CQ50" s="119">
        <f t="shared" si="177"/>
        <v>0</v>
      </c>
      <c r="CR50" s="120">
        <f t="shared" si="201"/>
        <v>0</v>
      </c>
      <c r="CS50" s="120">
        <f t="shared" si="202"/>
        <v>0</v>
      </c>
      <c r="CT50" s="121">
        <f t="shared" si="203"/>
        <v>-0.10560000000000001</v>
      </c>
      <c r="CU50" s="118">
        <f t="shared" si="204"/>
        <v>-0.10560000000000001</v>
      </c>
      <c r="CV50" s="119">
        <f t="shared" si="178"/>
        <v>-0.15840000000000001</v>
      </c>
      <c r="CW50" s="120">
        <f t="shared" si="179"/>
        <v>-0.15840000000000001</v>
      </c>
      <c r="CX50" s="120">
        <f t="shared" si="180"/>
        <v>-0.15840000000000001</v>
      </c>
      <c r="CY50" s="121">
        <f t="shared" si="181"/>
        <v>-5.2800000000000007E-2</v>
      </c>
      <c r="CZ50" s="118">
        <f t="shared" si="182"/>
        <v>-0.52800000000000002</v>
      </c>
    </row>
    <row r="51" spans="1:104" ht="12.75" customHeight="1">
      <c r="A51" s="7"/>
      <c r="B51" s="7"/>
      <c r="C51" s="7" t="s">
        <v>494</v>
      </c>
      <c r="D51" s="195"/>
      <c r="E51" s="191">
        <f t="shared" si="112"/>
        <v>250</v>
      </c>
      <c r="F51" s="193">
        <v>250</v>
      </c>
      <c r="G51" s="193">
        <v>250</v>
      </c>
      <c r="H51" s="1217">
        <v>2020</v>
      </c>
      <c r="I51" s="1218">
        <v>3.5000000000000003E-2</v>
      </c>
      <c r="J51" s="1217">
        <v>5</v>
      </c>
      <c r="K51" s="112"/>
      <c r="L51" s="113">
        <f t="shared" si="113"/>
        <v>0</v>
      </c>
      <c r="M51" s="114">
        <f t="shared" si="114"/>
        <v>0</v>
      </c>
      <c r="N51" s="115">
        <f t="shared" si="115"/>
        <v>0</v>
      </c>
      <c r="O51" s="115">
        <f t="shared" si="116"/>
        <v>0</v>
      </c>
      <c r="P51" s="116">
        <f t="shared" si="117"/>
        <v>0</v>
      </c>
      <c r="Q51" s="113">
        <f t="shared" si="118"/>
        <v>0</v>
      </c>
      <c r="R51" s="114">
        <f t="shared" si="119"/>
        <v>0</v>
      </c>
      <c r="S51" s="115">
        <f t="shared" si="120"/>
        <v>0</v>
      </c>
      <c r="T51" s="115">
        <f t="shared" si="121"/>
        <v>0</v>
      </c>
      <c r="U51" s="116">
        <f t="shared" si="122"/>
        <v>0</v>
      </c>
      <c r="V51" s="113">
        <f t="shared" si="123"/>
        <v>0</v>
      </c>
      <c r="W51" s="114">
        <f t="shared" si="124"/>
        <v>0</v>
      </c>
      <c r="X51" s="115">
        <f t="shared" si="125"/>
        <v>0</v>
      </c>
      <c r="Y51" s="115">
        <f t="shared" si="126"/>
        <v>0</v>
      </c>
      <c r="Z51" s="116">
        <f t="shared" si="127"/>
        <v>0</v>
      </c>
      <c r="AA51" s="113">
        <f t="shared" si="128"/>
        <v>0</v>
      </c>
      <c r="AB51" s="114">
        <f t="shared" si="129"/>
        <v>0</v>
      </c>
      <c r="AC51" s="115">
        <f t="shared" si="130"/>
        <v>0</v>
      </c>
      <c r="AD51" s="115">
        <f t="shared" si="131"/>
        <v>0</v>
      </c>
      <c r="AE51" s="116">
        <f t="shared" si="132"/>
        <v>0</v>
      </c>
      <c r="AF51" s="113">
        <f t="shared" si="133"/>
        <v>0</v>
      </c>
      <c r="AG51" s="114">
        <f t="shared" si="134"/>
        <v>0</v>
      </c>
      <c r="AH51" s="115">
        <f t="shared" si="135"/>
        <v>0</v>
      </c>
      <c r="AI51" s="115">
        <f t="shared" si="136"/>
        <v>0</v>
      </c>
      <c r="AJ51" s="116">
        <f t="shared" si="137"/>
        <v>0</v>
      </c>
      <c r="AK51" s="113">
        <f t="shared" si="138"/>
        <v>0</v>
      </c>
      <c r="AL51" s="114">
        <f t="shared" si="183"/>
        <v>0</v>
      </c>
      <c r="AM51" s="115">
        <f t="shared" si="184"/>
        <v>0</v>
      </c>
      <c r="AN51" s="115">
        <f t="shared" si="185"/>
        <v>0</v>
      </c>
      <c r="AO51" s="116">
        <f t="shared" si="186"/>
        <v>0</v>
      </c>
      <c r="AP51" s="113">
        <f t="shared" si="139"/>
        <v>0</v>
      </c>
      <c r="AQ51" s="114">
        <f t="shared" si="187"/>
        <v>0</v>
      </c>
      <c r="AR51" s="115">
        <f t="shared" si="188"/>
        <v>0</v>
      </c>
      <c r="AS51" s="115">
        <f t="shared" si="189"/>
        <v>0</v>
      </c>
      <c r="AT51" s="116">
        <f t="shared" si="190"/>
        <v>0</v>
      </c>
      <c r="AU51" s="113">
        <f t="shared" si="140"/>
        <v>0</v>
      </c>
      <c r="AV51" s="114">
        <f t="shared" si="141"/>
        <v>0</v>
      </c>
      <c r="AW51" s="115">
        <f t="shared" si="142"/>
        <v>-250</v>
      </c>
      <c r="AX51" s="115">
        <f t="shared" si="143"/>
        <v>0</v>
      </c>
      <c r="AY51" s="116">
        <f t="shared" si="144"/>
        <v>0</v>
      </c>
      <c r="AZ51" s="113">
        <f t="shared" si="145"/>
        <v>-250</v>
      </c>
      <c r="BA51" s="114">
        <f t="shared" si="146"/>
        <v>0</v>
      </c>
      <c r="BB51" s="115">
        <f t="shared" si="147"/>
        <v>0</v>
      </c>
      <c r="BC51" s="115">
        <f t="shared" si="148"/>
        <v>0</v>
      </c>
      <c r="BD51" s="116">
        <f t="shared" si="149"/>
        <v>0</v>
      </c>
      <c r="BE51" s="113">
        <f t="shared" si="150"/>
        <v>0</v>
      </c>
      <c r="BF51" s="194"/>
      <c r="BG51" s="118">
        <f t="shared" si="151"/>
        <v>0</v>
      </c>
      <c r="BH51" s="119">
        <f t="shared" si="152"/>
        <v>0</v>
      </c>
      <c r="BI51" s="120">
        <f t="shared" si="153"/>
        <v>0</v>
      </c>
      <c r="BJ51" s="120">
        <f t="shared" si="154"/>
        <v>0</v>
      </c>
      <c r="BK51" s="121">
        <f t="shared" si="155"/>
        <v>0</v>
      </c>
      <c r="BL51" s="118">
        <f t="shared" si="156"/>
        <v>0</v>
      </c>
      <c r="BM51" s="119">
        <f t="shared" si="157"/>
        <v>0</v>
      </c>
      <c r="BN51" s="120">
        <f t="shared" si="158"/>
        <v>0</v>
      </c>
      <c r="BO51" s="120">
        <f t="shared" si="159"/>
        <v>0</v>
      </c>
      <c r="BP51" s="121">
        <f t="shared" si="160"/>
        <v>0</v>
      </c>
      <c r="BQ51" s="118">
        <f t="shared" si="161"/>
        <v>0</v>
      </c>
      <c r="BR51" s="119">
        <f t="shared" si="162"/>
        <v>0</v>
      </c>
      <c r="BS51" s="120">
        <f t="shared" si="163"/>
        <v>0</v>
      </c>
      <c r="BT51" s="120">
        <f t="shared" si="164"/>
        <v>0</v>
      </c>
      <c r="BU51" s="121">
        <f t="shared" si="165"/>
        <v>0</v>
      </c>
      <c r="BV51" s="118">
        <f t="shared" si="166"/>
        <v>0</v>
      </c>
      <c r="BW51" s="119">
        <f t="shared" si="167"/>
        <v>0</v>
      </c>
      <c r="BX51" s="120">
        <f t="shared" si="168"/>
        <v>0</v>
      </c>
      <c r="BY51" s="120">
        <f t="shared" si="169"/>
        <v>0</v>
      </c>
      <c r="BZ51" s="121">
        <f t="shared" si="170"/>
        <v>0</v>
      </c>
      <c r="CA51" s="118">
        <f t="shared" si="171"/>
        <v>0</v>
      </c>
      <c r="CB51" s="119">
        <f t="shared" si="172"/>
        <v>0</v>
      </c>
      <c r="CC51" s="120">
        <f t="shared" si="173"/>
        <v>0</v>
      </c>
      <c r="CD51" s="120">
        <f t="shared" si="174"/>
        <v>0</v>
      </c>
      <c r="CE51" s="121">
        <f t="shared" si="175"/>
        <v>0</v>
      </c>
      <c r="CF51" s="118">
        <f t="shared" si="176"/>
        <v>0</v>
      </c>
      <c r="CG51" s="119">
        <f t="shared" si="191"/>
        <v>0</v>
      </c>
      <c r="CH51" s="120">
        <f t="shared" si="192"/>
        <v>0</v>
      </c>
      <c r="CI51" s="120">
        <f t="shared" si="193"/>
        <v>0</v>
      </c>
      <c r="CJ51" s="121">
        <f t="shared" si="194"/>
        <v>0</v>
      </c>
      <c r="CK51" s="118">
        <f t="shared" si="195"/>
        <v>0</v>
      </c>
      <c r="CL51" s="119">
        <f t="shared" si="196"/>
        <v>0</v>
      </c>
      <c r="CM51" s="120">
        <f t="shared" si="197"/>
        <v>0</v>
      </c>
      <c r="CN51" s="120">
        <f t="shared" si="198"/>
        <v>0</v>
      </c>
      <c r="CO51" s="121">
        <f t="shared" si="199"/>
        <v>0</v>
      </c>
      <c r="CP51" s="118">
        <f t="shared" si="200"/>
        <v>0</v>
      </c>
      <c r="CQ51" s="119">
        <f t="shared" si="177"/>
        <v>0</v>
      </c>
      <c r="CR51" s="120">
        <f t="shared" si="201"/>
        <v>-1.4583333333333333</v>
      </c>
      <c r="CS51" s="120">
        <f t="shared" si="202"/>
        <v>-2.1875</v>
      </c>
      <c r="CT51" s="121">
        <f t="shared" si="203"/>
        <v>-2.1875</v>
      </c>
      <c r="CU51" s="118">
        <f t="shared" si="204"/>
        <v>-5.833333333333333</v>
      </c>
      <c r="CV51" s="119">
        <f t="shared" si="178"/>
        <v>-2.1875</v>
      </c>
      <c r="CW51" s="120">
        <f t="shared" si="179"/>
        <v>-0.72916666666666663</v>
      </c>
      <c r="CX51" s="120">
        <f t="shared" si="180"/>
        <v>0</v>
      </c>
      <c r="CY51" s="121">
        <f t="shared" si="181"/>
        <v>0</v>
      </c>
      <c r="CZ51" s="118">
        <f t="shared" si="182"/>
        <v>-2.916666666666667</v>
      </c>
    </row>
    <row r="52" spans="1:104" ht="12.75" customHeight="1">
      <c r="A52" s="7"/>
      <c r="B52" s="7"/>
      <c r="C52" s="1508" t="s">
        <v>1029</v>
      </c>
      <c r="D52" s="190"/>
      <c r="E52" s="191">
        <f t="shared" si="112"/>
        <v>300</v>
      </c>
      <c r="F52" s="193">
        <v>300</v>
      </c>
      <c r="G52" s="193">
        <v>300</v>
      </c>
      <c r="H52" s="1346">
        <v>2021</v>
      </c>
      <c r="I52" s="1363">
        <v>1.9E-2</v>
      </c>
      <c r="J52" s="1346">
        <v>3</v>
      </c>
      <c r="K52" s="112"/>
      <c r="L52" s="113">
        <f t="shared" ref="L52:L58" si="205">IF(L$5=$H52,-$E52,0)</f>
        <v>0</v>
      </c>
      <c r="M52" s="114">
        <f t="shared" ref="M52:M58" si="206">IF(Q52=0,0,IF(Q52&lt;0,IF($J52=3,Q52,IF($J52=2,Q52,IF($J52=1,Q52,0)))))</f>
        <v>0</v>
      </c>
      <c r="N52" s="115">
        <f t="shared" ref="N52:N58" si="207">IF(Q52=0,0,IF(Q52&lt;0,IF($J52=6,Q52,IF($J52=5,Q52,IF($J52=4,Q52,0)))))</f>
        <v>0</v>
      </c>
      <c r="O52" s="115">
        <f t="shared" ref="O52:O58" si="208">IF(Q52=0,0,IF(Q52&lt;0,IF($J52=9,Q52,IF($J52=8,Q52,IF($J52=7,Q52,0)))))</f>
        <v>0</v>
      </c>
      <c r="P52" s="116">
        <f t="shared" ref="P52:P58" si="209">IF(Q52=0,0,IF(Q52&lt;0,IF($J52=12,Q52,IF($J52=11,Q52,IF($J52=10,Q52,0)))))</f>
        <v>0</v>
      </c>
      <c r="Q52" s="113">
        <f t="shared" ref="Q52:Q58" si="210">IF(Q$5=$H52,-$E52,0)</f>
        <v>0</v>
      </c>
      <c r="R52" s="114">
        <f t="shared" ref="R52:R58" si="211">IF(V52=0,0,IF(V52&lt;0,IF($J52=3,V52,IF($J52=2,V52,IF($J52=1,V52,0)))))</f>
        <v>0</v>
      </c>
      <c r="S52" s="115">
        <f t="shared" ref="S52:S58" si="212">IF(V52=0,0,IF(V52&lt;0,IF($J52=6,V52,IF($J52=5,V52,IF($J52=4,V52,0)))))</f>
        <v>0</v>
      </c>
      <c r="T52" s="115">
        <f t="shared" ref="T52:T58" si="213">IF(V52=0,0,IF(V52&lt;0,IF($J52=9,V52,IF($J52=8,V52,IF($J52=7,V52,0)))))</f>
        <v>0</v>
      </c>
      <c r="U52" s="116">
        <f t="shared" ref="U52:U58" si="214">IF(V52=0,0,IF(V52&lt;0,IF($J52=12,V52,IF($J52=11,V52,IF($J52=10,V52,0)))))</f>
        <v>0</v>
      </c>
      <c r="V52" s="113">
        <f t="shared" ref="V52:V58" si="215">IF(V$5=$H52,-$E52,0)</f>
        <v>0</v>
      </c>
      <c r="W52" s="114">
        <f t="shared" ref="W52:W58" si="216">IF(AA52=0,0,IF(AA52&lt;0,IF($J52=3,AA52,IF($J52=2,AA52,IF($J52=1,AA52,0)))))</f>
        <v>0</v>
      </c>
      <c r="X52" s="115">
        <f t="shared" ref="X52:X58" si="217">IF(AA52=0,0,IF(AA52&lt;0,IF($J52=6,AA52,IF($J52=5,AA52,IF($J52=4,AA52,0)))))</f>
        <v>0</v>
      </c>
      <c r="Y52" s="115">
        <f t="shared" ref="Y52:Y58" si="218">IF(AA52=0,0,IF(AA52&lt;0,IF($J52=9,AA52,IF($J52=8,AA52,IF($J52=7,AA52,0)))))</f>
        <v>0</v>
      </c>
      <c r="Z52" s="116">
        <f t="shared" ref="Z52:Z58" si="219">IF(AA52=0,0,IF(AA52&lt;0,IF($J52=12,AA52,IF($J52=11,AA52,IF($J52=10,AA52,0)))))</f>
        <v>0</v>
      </c>
      <c r="AA52" s="113">
        <f t="shared" ref="AA52:AA58" si="220">IF(AA$5=$H52,-$E52,0)</f>
        <v>0</v>
      </c>
      <c r="AB52" s="114">
        <f t="shared" ref="AB52:AB58" si="221">IF(AF52=0,0,IF(AF52&lt;0,IF($J52=3,AF52,IF($J52=2,AF52,IF($J52=1,AF52,0)))))</f>
        <v>0</v>
      </c>
      <c r="AC52" s="115">
        <f t="shared" ref="AC52:AC58" si="222">IF(AF52=0,0,IF(AF52&lt;0,IF($J52=6,AF52,IF($J52=5,AF52,IF($J52=4,AF52,0)))))</f>
        <v>0</v>
      </c>
      <c r="AD52" s="115">
        <f t="shared" ref="AD52:AD58" si="223">IF(AF52=0,0,IF(AF52&lt;0,IF($J52=9,AF52,IF($J52=8,AF52,IF($J52=7,AF52,0)))))</f>
        <v>0</v>
      </c>
      <c r="AE52" s="116">
        <f t="shared" ref="AE52:AE58" si="224">IF(AF52=0,0,IF(AF52&lt;0,IF($J52=12,AF52,IF($J52=11,AF52,IF($J52=10,AF52,0)))))</f>
        <v>0</v>
      </c>
      <c r="AF52" s="113">
        <f t="shared" ref="AF52:AF58" si="225">IF(AF$5=$H52,-$E52,0)</f>
        <v>0</v>
      </c>
      <c r="AG52" s="114">
        <f t="shared" ref="AG52:AG58" si="226">IF(AK52=0,0,IF(AK52&lt;0,IF($J52=3,AK52,IF($J52=2,AK52,IF($J52=1,AK52,0)))))</f>
        <v>0</v>
      </c>
      <c r="AH52" s="115">
        <f t="shared" ref="AH52:AH58" si="227">IF(AK52=0,0,IF(AK52&lt;0,IF($J52=6,AK52,IF($J52=5,AK52,IF($J52=4,AK52,0)))))</f>
        <v>0</v>
      </c>
      <c r="AI52" s="115">
        <f t="shared" ref="AI52:AI58" si="228">IF(AK52=0,0,IF(AK52&lt;0,IF($J52=9,AK52,IF($J52=8,AK52,IF($J52=7,AK52,0)))))</f>
        <v>0</v>
      </c>
      <c r="AJ52" s="116">
        <f t="shared" ref="AJ52:AJ58" si="229">IF(AK52=0,0,IF(AK52&lt;0,IF($J52=12,AK52,IF($J52=11,AK52,IF($J52=10,AK52,0)))))</f>
        <v>0</v>
      </c>
      <c r="AK52" s="113">
        <f t="shared" ref="AK52:AK58" si="230">IF(AK$5=$H52,-$E52,0)</f>
        <v>0</v>
      </c>
      <c r="AL52" s="114">
        <f>IF(AP52=0,0,IF(AP52&lt;0,IF($J52=3,AP52,IF($J52=2,AP52,IF($J52=1,AP52,0)))))</f>
        <v>0</v>
      </c>
      <c r="AM52" s="115">
        <f>IF(AP52=0,0,IF(AP52&lt;0,IF($J52=6,AP52,IF($J52=5,AP52,IF($J52=4,AP52,0)))))</f>
        <v>0</v>
      </c>
      <c r="AN52" s="115">
        <f>IF(AP52=0,0,IF(AP52&lt;0,IF($J52=9,AP52,IF($J52=8,AP52,IF($J52=7,AP52,0)))))</f>
        <v>0</v>
      </c>
      <c r="AO52" s="116">
        <f>IF(AP52=0,0,IF(AP52&lt;0,IF($J52=12,AP52,IF($J52=11,AP52,IF($J52=10,AP52,0)))))</f>
        <v>0</v>
      </c>
      <c r="AP52" s="113">
        <f t="shared" ref="AP52:AP58" si="231">IF(AP$5=$H52,-$E52,0)</f>
        <v>0</v>
      </c>
      <c r="AQ52" s="114">
        <f>IF(AU52=0,0,IF(AU52&lt;0,IF($J52=3,AU52,IF($J52=2,AU52,IF($J52=1,AU52,0)))))</f>
        <v>0</v>
      </c>
      <c r="AR52" s="115">
        <f>IF(AU52=0,0,IF(AU52&lt;0,IF($J52=6,AU52,IF($J52=5,AU52,IF($J52=4,AU52,0)))))</f>
        <v>0</v>
      </c>
      <c r="AS52" s="115">
        <f>IF(AU52=0,0,IF(AU52&lt;0,IF($J52=9,AU52,IF($J52=8,AU52,IF($J52=7,AU52,0)))))</f>
        <v>0</v>
      </c>
      <c r="AT52" s="116">
        <f>IF(AU52=0,0,IF(AU52&lt;0,IF($J52=12,AU52,IF($J52=11,AU52,IF($J52=10,AU52,0)))))</f>
        <v>0</v>
      </c>
      <c r="AU52" s="113">
        <f t="shared" ref="AU52:AU58" si="232">IF(AU$5=$H52,-$E52,0)</f>
        <v>0</v>
      </c>
      <c r="AV52" s="114">
        <f t="shared" ref="AV52:AV59" si="233">IF(AZ52=0,0,IF(AZ52&lt;0,IF($J52=3,AZ52,IF($J52=2,AZ52,IF($J52=1,AZ52,0)))))</f>
        <v>0</v>
      </c>
      <c r="AW52" s="115">
        <f t="shared" ref="AW52:AW59" si="234">IF(AZ52=0,0,IF(AZ52&lt;0,IF($J52=6,AZ52,IF($J52=5,AZ52,IF($J52=4,AZ52,0)))))</f>
        <v>0</v>
      </c>
      <c r="AX52" s="115">
        <f t="shared" ref="AX52:AX59" si="235">IF(AZ52=0,0,IF(AZ52&lt;0,IF($J52=9,AZ52,IF($J52=8,AZ52,IF($J52=7,AZ52,0)))))</f>
        <v>0</v>
      </c>
      <c r="AY52" s="116">
        <f t="shared" ref="AY52:AY59" si="236">IF(AZ52=0,0,IF(AZ52&lt;0,IF($J52=12,AZ52,IF($J52=11,AZ52,IF($J52=10,AZ52,0)))))</f>
        <v>0</v>
      </c>
      <c r="AZ52" s="113">
        <f t="shared" si="145"/>
        <v>0</v>
      </c>
      <c r="BA52" s="114">
        <f>IF(BE52=0,0,IF(BE52&lt;0,IF($J52=3,BE52,IF($J52=2,BE52,IF($J52=1,BE52,0)))))</f>
        <v>-300</v>
      </c>
      <c r="BB52" s="115">
        <f>IF(BE52=0,0,IF(BE52&lt;0,IF($J52=6,BE52,IF($J52=5,BE52,IF($J52=4,BE52,0)))))</f>
        <v>0</v>
      </c>
      <c r="BC52" s="115">
        <f>IF(BE52=0,0,IF(BE52&lt;0,IF($J52=9,BE52,IF($J52=8,BE52,IF($J52=7,BE52,0)))))</f>
        <v>0</v>
      </c>
      <c r="BD52" s="116">
        <f>IF(BE52=0,0,IF(BE52&lt;0,IF($J52=12,BE52,IF($J52=11,BE52,IF($J52=10,BE52,0)))))</f>
        <v>0</v>
      </c>
      <c r="BE52" s="113">
        <f t="shared" ref="BE52:BE58" si="237">IF(BE$5=$H52,-$E52,0)</f>
        <v>-300</v>
      </c>
      <c r="BF52" s="194"/>
      <c r="BG52" s="118">
        <f>IF(AND(BF52&lt;&gt;0,BF$5=$H52),-$I52*$E52-BF52,IF(BG$5=$H52,-$I52*$E52*(12-$J52+1)/12,0))</f>
        <v>0</v>
      </c>
      <c r="BH52" s="119">
        <f t="shared" ref="BH52:BH58" si="238">IF($H52&lt;&gt;BL$5,0,IF(BL52&lt;0,IF($J52=1,-$E52*$I52/12*3,IF($J52=2,-$E52*$I52/12*2,IF($J52=3,-$E52*$I52/12*1,0)))))+IF(BG$5&lt;&gt;$H52,0,IF(BG52&lt;0,IF($J52=1,-$E52*$I52/12*0,IF($J52=2,-$E52*$I52/12*1,IF($J52=3,-$E52*$I52/12*2,IF($J52&gt;=4,-$E52*$I52/12*3,0))))))</f>
        <v>0</v>
      </c>
      <c r="BI52" s="120">
        <f t="shared" ref="BI52:BI58" si="239">IF($H52&lt;&gt;BL$5,0,IF(BL52&lt;0,IF(OR($J52=1,$J52=2,$J52=3,$J52=4),-$E52*$I52/12*3,IF($J52=5,-$E52*$I52/12*2,IF($J52=6,-$E52*$I52/12*1,0)))))+IF(BG$5&lt;&gt;$H52,0,IF(BG52&lt;0,IF($J52=4,-$E52*$I52/12*0,IF($J52=5,-$E52*$I52/12*1,IF($J52=6,-$E52*$I52/12*2,IF($J52&gt;=7,-$E52*$I52/12*3,0))))))</f>
        <v>0</v>
      </c>
      <c r="BJ52" s="120">
        <f t="shared" ref="BJ52:BJ58" si="240">IF($H52&lt;&gt;BL$5,0,IF(BL52&lt;0,IF(OR($J52=1,$J52=2,$J52=3,$J52=4,$J52=5,$J52=6,$J52=7),-$E52*$I52/12*3,IF($J52=8,-$E52*$I52/12*2,IF($J52=9,-$E52*$I52/12*1,0)))))+IF(BG$5&lt;&gt;$H52,0,IF(BG52&lt;0,IF($J52=7,-$E52*$I52/12*0,IF($J52=8,-$E52*$I52/12*1,IF($J52=9,-$E52*$I52/12*2,IF($J52&gt;=10,-$E52*$I52/12*3,0))))))</f>
        <v>0</v>
      </c>
      <c r="BK52" s="121">
        <f t="shared" ref="BK52:BK58" si="241">IF($H52&lt;&gt;BL$5,0,IF(BL52&lt;0,IF(OR($J52=1,$J52=2,$J52=3,$J52=4,$J52=5,$J52=6,$J52=7,$J52=8,$J52=9,$J52=10),-$E52*$I52/12*3,IF($J52=11,-$E52*$I52/12*2,IF($J52=12,-$E52*$I52/12*1,0)))))+IF(BG$5&lt;&gt;$H52,0,IF(BG52&lt;0,IF($J52=10,-$E52*$I52/12*0,IF($J52=11,-$E52*$I52/12*1,IF($J52=12,-$E52*$I52/12*2,0)))))</f>
        <v>0</v>
      </c>
      <c r="BL52" s="118">
        <f t="shared" ref="BL52:BL58" si="242">IF(AND(BG52&lt;&gt;0,BG$5=$H52),-$I52*$E52-BG52,IF(BL$5=$H52,-$I52*$E52*(12-$J52+1)/12,0))</f>
        <v>0</v>
      </c>
      <c r="BM52" s="119">
        <f t="shared" ref="BM52:BM58" si="243">IF($H52&lt;&gt;BQ$5,0,IF(BQ52&lt;0,IF($J52=1,-$E52*$I52/12*3,IF($J52=2,-$E52*$I52/12*2,IF($J52=3,-$E52*$I52/12*1,0)))))+IF(BL$5&lt;&gt;$H52,0,IF(BL52&lt;0,IF($J52=1,-$E52*$I52/12*0,IF($J52=2,-$E52*$I52/12*1,IF($J52=3,-$E52*$I52/12*2,IF($J52&gt;=4,-$E52*$I52/12*3,0))))))</f>
        <v>0</v>
      </c>
      <c r="BN52" s="120">
        <f t="shared" ref="BN52:BN58" si="244">IF($H52&lt;&gt;BQ$5,0,IF(BQ52&lt;0,IF(OR($J52=1,$J52=2,$J52=3,$J52=4),-$E52*$I52/12*3,IF($J52=5,-$E52*$I52/12*2,IF($J52=6,-$E52*$I52/12*1,0)))))+IF(BL$5&lt;&gt;$H52,0,IF(BL52&lt;0,IF($J52=4,-$E52*$I52/12*0,IF($J52=5,-$E52*$I52/12*1,IF($J52=6,-$E52*$I52/12*2,IF($J52&gt;=7,-$E52*$I52/12*3,0))))))</f>
        <v>0</v>
      </c>
      <c r="BO52" s="120">
        <f t="shared" ref="BO52:BO58" si="245">IF($H52&lt;&gt;BQ$5,0,IF(BQ52&lt;0,IF(OR($J52=1,$J52=2,$J52=3,$J52=4,$J52=5,$J52=6,$J52=7),-$E52*$I52/12*3,IF($J52=8,-$E52*$I52/12*2,IF($J52=9,-$E52*$I52/12*1,0)))))+IF(BL$5&lt;&gt;$H52,0,IF(BL52&lt;0,IF($J52=7,-$E52*$I52/12*0,IF($J52=8,-$E52*$I52/12*1,IF($J52=9,-$E52*$I52/12*2,IF($J52&gt;=10,-$E52*$I52/12*3,0))))))</f>
        <v>0</v>
      </c>
      <c r="BP52" s="121">
        <f t="shared" ref="BP52:BP58" si="246">IF($H52&lt;&gt;BQ$5,0,IF(BQ52&lt;0,IF(OR($J52=1,$J52=2,$J52=3,$J52=4,$J52=5,$J52=6,$J52=7,$J52=8,$J52=9,$J52=10),-$E52*$I52/12*3,IF($J52=11,-$E52*$I52/12*2,IF($J52=12,-$E52*$I52/12*1,0)))))+IF(BL$5&lt;&gt;$H52,0,IF(BL52&lt;0,IF($J52=10,-$E52*$I52/12*0,IF($J52=11,-$E52*$I52/12*1,IF($J52=12,-$E52*$I52/12*2,0)))))</f>
        <v>0</v>
      </c>
      <c r="BQ52" s="118">
        <f t="shared" ref="BQ52:BQ58" si="247">IF(AND(BL52&lt;&gt;0,BL$5=$H52),-$I52*$E52-BL52,IF(BQ$5=$H52,-$I52*$E52*(12-$J52+1)/12,0))</f>
        <v>0</v>
      </c>
      <c r="BR52" s="119">
        <f t="shared" ref="BR52:BR58" si="248">IF($H52&lt;&gt;BV$5,0,IF(BV52&lt;0,IF($J52=1,-$E52*$I52/12*3,IF($J52=2,-$E52*$I52/12*2,IF($J52=3,-$E52*$I52/12*1,0)))))+IF(BQ$5&lt;&gt;$H52,0,IF(BQ52&lt;0,IF($J52=1,-$E52*$I52/12*0,IF($J52=2,-$E52*$I52/12*1,IF($J52=3,-$E52*$I52/12*2,IF($J52&gt;=4,-$E52*$I52/12*3,0))))))</f>
        <v>0</v>
      </c>
      <c r="BS52" s="120">
        <f t="shared" ref="BS52:BS58" si="249">IF($H52&lt;&gt;BV$5,0,IF(BV52&lt;0,IF(OR($J52=1,$J52=2,$J52=3,$J52=4),-$E52*$I52/12*3,IF($J52=5,-$E52*$I52/12*2,IF($J52=6,-$E52*$I52/12*1,0)))))+IF(BQ$5&lt;&gt;$H52,0,IF(BQ52&lt;0,IF($J52=4,-$E52*$I52/12*0,IF($J52=5,-$E52*$I52/12*1,IF($J52=6,-$E52*$I52/12*2,IF($J52&gt;=7,-$E52*$I52/12*3,0))))))</f>
        <v>0</v>
      </c>
      <c r="BT52" s="120">
        <f t="shared" ref="BT52:BT58" si="250">IF($H52&lt;&gt;BV$5,0,IF(BV52&lt;0,IF(OR($J52=1,$J52=2,$J52=3,$J52=4,$J52=5,$J52=6,$J52=7),-$E52*$I52/12*3,IF($J52=8,-$E52*$I52/12*2,IF($J52=9,-$E52*$I52/12*1,0)))))+IF(BQ$5&lt;&gt;$H52,0,IF(BQ52&lt;0,IF($J52=7,-$E52*$I52/12*0,IF($J52=8,-$E52*$I52/12*1,IF($J52=9,-$E52*$I52/12*2,IF($J52&gt;=10,-$E52*$I52/12*3,0))))))</f>
        <v>0</v>
      </c>
      <c r="BU52" s="121">
        <f t="shared" ref="BU52:BU58" si="251">IF($H52&lt;&gt;BV$5,0,IF(BV52&lt;0,IF(OR($J52=1,$J52=2,$J52=3,$J52=4,$J52=5,$J52=6,$J52=7,$J52=8,$J52=9,$J52=10),-$E52*$I52/12*3,IF($J52=11,-$E52*$I52/12*2,IF($J52=12,-$E52*$I52/12*1,0)))))+IF(BQ$5&lt;&gt;$H52,0,IF(BQ52&lt;0,IF($J52=10,-$E52*$I52/12*0,IF($J52=11,-$E52*$I52/12*1,IF($J52=12,-$E52*$I52/12*2,0)))))</f>
        <v>0</v>
      </c>
      <c r="BV52" s="118">
        <f t="shared" ref="BV52:BV58" si="252">IF(AND(BQ52&lt;&gt;0,BQ$5=$H52),-$I52*$E52-BQ52,IF(BV$5=$H52,-$I52*$E52*(12-$J52+1)/12,0))</f>
        <v>0</v>
      </c>
      <c r="BW52" s="119">
        <f t="shared" ref="BW52:BW58" si="253">IF($H52&lt;&gt;CA$5,0,IF(CA52&lt;0,IF($J52=1,-$E52*$I52/12*3,IF($J52=2,-$E52*$I52/12*2,IF($J52=3,-$E52*$I52/12*1,0)))))+IF(BV$5&lt;&gt;$H52,0,IF(BV52&lt;0,IF($J52=1,-$E52*$I52/12*0,IF($J52=2,-$E52*$I52/12*1,IF($J52=3,-$E52*$I52/12*2,IF($J52&gt;=4,-$E52*$I52/12*3,0))))))</f>
        <v>0</v>
      </c>
      <c r="BX52" s="120">
        <f t="shared" ref="BX52:BX58" si="254">IF($H52&lt;&gt;CA$5,0,IF(CA52&lt;0,IF(OR($J52=1,$J52=2,$J52=3,$J52=4),-$E52*$I52/12*3,IF($J52=5,-$E52*$I52/12*2,IF($J52=6,-$E52*$I52/12*1,0)))))+IF(BV$5&lt;&gt;$H52,0,IF(BV52&lt;0,IF($J52=4,-$E52*$I52/12*0,IF($J52=5,-$E52*$I52/12*1,IF($J52=6,-$E52*$I52/12*2,IF($J52&gt;=7,-$E52*$I52/12*3,0))))))</f>
        <v>0</v>
      </c>
      <c r="BY52" s="120">
        <f t="shared" ref="BY52:BY58" si="255">IF($H52&lt;&gt;CA$5,0,IF(CA52&lt;0,IF(OR($J52=1,$J52=2,$J52=3,$J52=4,$J52=5,$J52=6,$J52=7),-$E52*$I52/12*3,IF($J52=8,-$E52*$I52/12*2,IF($J52=9,-$E52*$I52/12*1,0)))))+IF(BV$5&lt;&gt;$H52,0,IF(BV52&lt;0,IF($J52=7,-$E52*$I52/12*0,IF($J52=8,-$E52*$I52/12*1,IF($J52=9,-$E52*$I52/12*2,IF($J52&gt;=10,-$E52*$I52/12*3,0))))))</f>
        <v>0</v>
      </c>
      <c r="BZ52" s="121">
        <f t="shared" ref="BZ52:BZ58" si="256">IF($H52&lt;&gt;CA$5,0,IF(CA52&lt;0,IF(OR($J52=1,$J52=2,$J52=3,$J52=4,$J52=5,$J52=6,$J52=7,$J52=8,$J52=9,$J52=10),-$E52*$I52/12*3,IF($J52=11,-$E52*$I52/12*2,IF($J52=12,-$E52*$I52/12*1,0)))))+IF(BV$5&lt;&gt;$H52,0,IF(BV52&lt;0,IF($J52=10,-$E52*$I52/12*0,IF($J52=11,-$E52*$I52/12*1,IF($J52=12,-$E52*$I52/12*2,0)))))</f>
        <v>0</v>
      </c>
      <c r="CA52" s="118">
        <f t="shared" ref="CA52:CA58" si="257">IF(AND(BV52&lt;&gt;0,BV$5=$H52),-$I52*$E52-BV52,IF(CA$5=$H52,-$I52*$E52*(12-$J52+1)/12,0))</f>
        <v>0</v>
      </c>
      <c r="CB52" s="119">
        <f t="shared" ref="CB52:CB58" si="258">IF($H52&lt;&gt;CF$5,0,IF(CF52&lt;0,IF($J52=1,-$E52*$I52/12*3,IF($J52=2,-$E52*$I52/12*2,IF($J52=3,-$E52*$I52/12*1,0)))))+IF(CA$5&lt;&gt;$H52,0,IF(CA52&lt;0,IF($J52=1,-$E52*$I52/12*0,IF($J52=2,-$E52*$I52/12*1,IF($J52=3,-$E52*$I52/12*2,IF($J52&gt;=4,-$E52*$I52/12*3,0))))))</f>
        <v>0</v>
      </c>
      <c r="CC52" s="120">
        <f t="shared" ref="CC52:CC58" si="259">IF($H52&lt;&gt;CF$5,0,IF(CF52&lt;0,IF(OR($J52=1,$J52=2,$J52=3,$J52=4),-$E52*$I52/12*3,IF($J52=5,-$E52*$I52/12*2,IF($J52=6,-$E52*$I52/12*1,0)))))+IF(CA$5&lt;&gt;$H52,0,IF(CA52&lt;0,IF($J52=4,-$E52*$I52/12*0,IF($J52=5,-$E52*$I52/12*1,IF($J52=6,-$E52*$I52/12*2,IF($J52&gt;=7,-$E52*$I52/12*3,0))))))</f>
        <v>0</v>
      </c>
      <c r="CD52" s="120">
        <f t="shared" ref="CD52:CD58" si="260">IF($H52&lt;&gt;CF$5,0,IF(CF52&lt;0,IF(OR($J52=1,$J52=2,$J52=3,$J52=4,$J52=5,$J52=6,$J52=7),-$E52*$I52/12*3,IF($J52=8,-$E52*$I52/12*2,IF($J52=9,-$E52*$I52/12*1,0)))))+IF(CA$5&lt;&gt;$H52,0,IF(CA52&lt;0,IF($J52=7,-$E52*$I52/12*0,IF($J52=8,-$E52*$I52/12*1,IF($J52=9,-$E52*$I52/12*2,IF($J52&gt;=10,-$E52*$I52/12*3,0))))))</f>
        <v>0</v>
      </c>
      <c r="CE52" s="121">
        <f t="shared" ref="CE52:CE58" si="261">IF($H52&lt;&gt;CF$5,0,IF(CF52&lt;0,IF(OR($J52=1,$J52=2,$J52=3,$J52=4,$J52=5,$J52=6,$J52=7,$J52=8,$J52=9,$J52=10),-$E52*$I52/12*3,IF($J52=11,-$E52*$I52/12*2,IF($J52=12,-$E52*$I52/12*1,0)))))+IF(CA$5&lt;&gt;$H52,0,IF(CA52&lt;0,IF($J52=10,-$E52*$I52/12*0,IF($J52=11,-$E52*$I52/12*1,IF($J52=12,-$E52*$I52/12*2,0)))))</f>
        <v>0</v>
      </c>
      <c r="CF52" s="118">
        <f t="shared" ref="CF52:CF58" si="262">IF(AND(CA52&lt;&gt;0,CA$5=$H52),-$I52*$E52-CA52,IF(CF$5=$H52,-$I52*$E52*(12-$J52+1)/12,0))</f>
        <v>0</v>
      </c>
      <c r="CG52" s="119">
        <f>IF($H52&lt;&gt;CK$5,0,IF(CK52&lt;0,IF($J52=1,-$E52*$I52/12*3,IF($J52=2,-$E52*$I52/12*2,IF($J52=3,-$E52*$I52/12*1,0)))))+IF(CF$5&lt;&gt;$H52,0,IF(CF52&lt;0,IF($J52=1,-$E52*$I52/12*0,IF($J52=2,-$E52*$I52/12*1,IF($J52=3,-$E52*$I52/12*2,IF($J52&gt;=4,-$E52*$I52/12*3,0))))))</f>
        <v>0</v>
      </c>
      <c r="CH52" s="120">
        <f>IF($H52&lt;&gt;CK$5,0,IF(CK52&lt;0,IF(OR($J52=1,$J52=2,$J52=3,$J52=4),-$E52*$I52/12*3,IF($J52=5,-$E52*$I52/12*2,IF($J52=6,-$E52*$I52/12*1,0)))))+IF(CF$5&lt;&gt;$H52,0,IF(CF52&lt;0,IF($J52=4,-$E52*$I52/12*0,IF($J52=5,-$E52*$I52/12*1,IF($J52=6,-$E52*$I52/12*2,IF($J52&gt;=7,-$E52*$I52/12*3,0))))))</f>
        <v>0</v>
      </c>
      <c r="CI52" s="120">
        <f>IF($H52&lt;&gt;CK$5,0,IF(CK52&lt;0,IF(OR($J52=1,$J52=2,$J52=3,$J52=4,$J52=5,$J52=6,$J52=7),-$E52*$I52/12*3,IF($J52=8,-$E52*$I52/12*2,IF($J52=9,-$E52*$I52/12*1,0)))))+IF(CF$5&lt;&gt;$H52,0,IF(CF52&lt;0,IF($J52=7,-$E52*$I52/12*0,IF($J52=8,-$E52*$I52/12*1,IF($J52=9,-$E52*$I52/12*2,IF($J52&gt;=10,-$E52*$I52/12*3,0))))))</f>
        <v>0</v>
      </c>
      <c r="CJ52" s="121">
        <f>IF($H52&lt;&gt;CK$5,0,IF(CK52&lt;0,IF(OR($J52=1,$J52=2,$J52=3,$J52=4,$J52=5,$J52=6,$J52=7,$J52=8,$J52=9,$J52=10),-$E52*$I52/12*3,IF($J52=11,-$E52*$I52/12*2,IF($J52=12,-$E52*$I52/12*1,0)))))+IF(CF$5&lt;&gt;$H52,0,IF(CF52&lt;0,IF($J52=10,-$E52*$I52/12*0,IF($J52=11,-$E52*$I52/12*1,IF($J52=12,-$E52*$I52/12*2,0)))))</f>
        <v>0</v>
      </c>
      <c r="CK52" s="118">
        <f>IF(AND(CF52&lt;&gt;0,CF$5=$H52),-$I52*$E52-CF52,IF(CK$5=$H52,-$I52*$E52*(12-$J52+1)/12,0))</f>
        <v>0</v>
      </c>
      <c r="CL52" s="119">
        <f>IF($H52&lt;&gt;CP$5,0,IF(CP52&lt;0,IF($J52=1,-$E52*$I52/12*3,IF($J52=2,-$E52*$I52/12*2,IF($J52=3,-$E52*$I52/12*1,0)))))+IF(CK$5&lt;&gt;$H52,0,IF(CK52&lt;0,IF($J52=1,-$E52*$I52/12*0,IF($J52=2,-$E52*$I52/12*1,IF($J52=3,-$E52*$I52/12*2,IF($J52&gt;=4,-$E52*$I52/12*3,0))))))</f>
        <v>0</v>
      </c>
      <c r="CM52" s="120">
        <f>IF($H52&lt;&gt;CP$5,0,IF(CP52&lt;0,IF(OR($J52=1,$J52=2,$J52=3,$J52=4),-$E52*$I52/12*3,IF($J52=5,-$E52*$I52/12*2,IF($J52=6,-$E52*$I52/12*1,0)))))+IF(CK$5&lt;&gt;$H52,0,IF(CK52&lt;0,IF($J52=4,-$E52*$I52/12*0,IF($J52=5,-$E52*$I52/12*1,IF($J52=6,-$E52*$I52/12*2,IF($J52&gt;=7,-$E52*$I52/12*3,0))))))</f>
        <v>0</v>
      </c>
      <c r="CN52" s="120">
        <f>IF($H52&lt;&gt;CP$5,0,IF(CP52&lt;0,IF(OR($J52=1,$J52=2,$J52=3,$J52=4,$J52=5,$J52=6,$J52=7),-$E52*$I52/12*3,IF($J52=8,-$E52*$I52/12*2,IF($J52=9,-$E52*$I52/12*1,0)))))+IF(CK$5&lt;&gt;$H52,0,IF(CK52&lt;0,IF($J52=7,-$E52*$I52/12*0,IF($J52=8,-$E52*$I52/12*1,IF($J52=9,-$E52*$I52/12*2,IF($J52&gt;=10,-$E52*$I52/12*3,0))))))</f>
        <v>0</v>
      </c>
      <c r="CO52" s="121">
        <f>IF($H52&lt;&gt;CP$5,0,IF(CP52&lt;0,IF(OR($J52=1,$J52=2,$J52=3,$J52=4,$J52=5,$J52=6,$J52=7,$J52=8,$J52=9,$J52=10),-$E52*$I52/12*3,IF($J52=11,-$E52*$I52/12*2,IF($J52=12,-$E52*$I52/12*1,0)))))+IF(CK$5&lt;&gt;$H52,0,IF(CK52&lt;0,IF($J52=10,-$E52*$I52/12*0,IF($J52=11,-$E52*$I52/12*1,IF($J52=12,-$E52*$I52/12*2,0)))))</f>
        <v>0</v>
      </c>
      <c r="CP52" s="118">
        <f>IF(AND(CK52&lt;&gt;0,CK$5=$H52),-$I52*$E52-CK52,IF(CP$5=$H52,-$I52*$E52*(12-$J52+1)/12,0))</f>
        <v>0</v>
      </c>
      <c r="CQ52" s="119">
        <f>IF($H52&lt;&gt;CU$5,0,IF(CU52&lt;0,IF($J52=1,-$E52*$I52/12*3,IF($J52=2,-$E52*$I52/12*2,IF($J52=3,-$E52*$I52/12*1,0)))))+IF(CP$5&lt;&gt;$H52,0,IF(CP52&lt;0,IF($J52=1,-$E52*$I52/12*0,IF($J52=2,-$E52*$I52/12*1,IF($J52=3,-$E52*$I52/12*2,IF($J52&gt;=4,-$E52*$I52/12*3,0))))))</f>
        <v>0</v>
      </c>
      <c r="CR52" s="120">
        <f>IF($H52&lt;&gt;CU$5,0,IF(CU52&lt;0,IF(OR($J52=1,$J52=2,$J52=3,$J52=4),-$E52*$I52/12*3,IF($J52=5,-$E52*$I52/12*2,IF($J52=6,-$E52*$I52/12*1,0)))))+IF(CP$5&lt;&gt;$H52,0,IF(CP52&lt;0,IF($J52=4,-$E52*$I52/12*0,IF($J52=5,-$E52*$I52/12*1,IF($J52=6,-$E52*$I52/12*2,IF($J52&gt;=7,-$E52*$I52/12*3,0))))))</f>
        <v>0</v>
      </c>
      <c r="CS52" s="120">
        <f>IF($H52&lt;&gt;CU$5,0,IF(CU52&lt;0,IF(OR($J52=1,$J52=2,$J52=3,$J52=4,$J52=5,$J52=6,$J52=7),-$E52*$I52/12*3,IF($J52=8,-$E52*$I52/12*2,IF($J52=9,-$E52*$I52/12*1,0)))))+IF(CP$5&lt;&gt;$H52,0,IF(CP52&lt;0,IF($J52=7,-$E52*$I52/12*0,IF($J52=8,-$E52*$I52/12*1,IF($J52=9,-$E52*$I52/12*2,IF($J52&gt;=10,-$E52*$I52/12*3,0))))))</f>
        <v>0</v>
      </c>
      <c r="CT52" s="121">
        <f>IF($H52&lt;&gt;CU$5,0,IF(CU52&lt;0,IF(OR($J52=1,$J52=2,$J52=3,$J52=4,$J52=5,$J52=6,$J52=7,$J52=8,$J52=9,$J52=10),-$E52*$I52/12*3,IF($J52=11,-$E52*$I52/12*2,IF($J52=12,-$E52*$I52/12*1,0)))))+IF(CP$5&lt;&gt;$H52,0,IF(CP52&lt;0,IF($J52=10,-$E52*$I52/12*0,IF($J52=11,-$E52*$I52/12*1,IF($J52=12,-$E52*$I52/12*2,0)))))</f>
        <v>0</v>
      </c>
      <c r="CU52" s="118">
        <f>IF(AND(CP52&lt;&gt;0,CP$5=$H52),-$I52*$E52-CP52,IF(CU$5=$H52,-$I52*$E52*(12-$J52+1)/12,0))</f>
        <v>0</v>
      </c>
      <c r="CV52" s="119">
        <f>IF($H52&lt;&gt;CZ$5,0,IF(CZ52&lt;0,IF($J52=1,-$E52*$I52/12*3,IF($J52=2,-$E52*$I52/12*2,IF($J52=3,-$E52*$I52/12*1,0)))))+IF(CU$5&lt;&gt;$H52,0,IF(CU52&lt;0,IF($J52=1,-$E52*$I52/12*0,IF($J52=2,-$E52*$I52/12*1,IF($J52=3,-$E52*$I52/12*2,IF($J52&gt;=4,-$E52*$I52/12*3,0))))))</f>
        <v>-0.47500000000000003</v>
      </c>
      <c r="CW52" s="120">
        <f>IF($H52&lt;&gt;CZ$5,0,IF(CZ52&lt;0,IF(OR($J52=1,$J52=2,$J52=3,$J52=4),-$E52*$I52/12*3,IF($J52=5,-$E52*$I52/12*2,IF($J52=6,-$E52*$I52/12*1,0)))))+IF(CU$5&lt;&gt;$H52,0,IF(CU52&lt;0,IF($J52=4,-$E52*$I52/12*0,IF($J52=5,-$E52*$I52/12*1,IF($J52=6,-$E52*$I52/12*2,IF($J52&gt;=7,-$E52*$I52/12*3,0))))))</f>
        <v>-1.425</v>
      </c>
      <c r="CX52" s="120">
        <f>IF($H52&lt;&gt;CZ$5,0,IF(CZ52&lt;0,IF(OR($J52=1,$J52=2,$J52=3,$J52=4,$J52=5,$J52=6,$J52=7),-$E52*$I52/12*3,IF($J52=8,-$E52*$I52/12*2,IF($J52=9,-$E52*$I52/12*1,0)))))+IF(CU$5&lt;&gt;$H52,0,IF(CU52&lt;0,IF($J52=7,-$E52*$I52/12*0,IF($J52=8,-$E52*$I52/12*1,IF($J52=9,-$E52*$I52/12*2,IF($J52&gt;=10,-$E52*$I52/12*3,0))))))</f>
        <v>-1.425</v>
      </c>
      <c r="CY52" s="121">
        <f>IF($H52&lt;&gt;CZ$5,0,IF(CZ52&lt;0,IF(OR($J52=1,$J52=2,$J52=3,$J52=4,$J52=5,$J52=6,$J52=7,$J52=8,$J52=9,$J52=10),-$E52*$I52/12*3,IF($J52=11,-$E52*$I52/12*2,IF($J52=12,-$E52*$I52/12*1,0)))))+IF(CU$5&lt;&gt;$H52,0,IF(CU52&lt;0,IF($J52=10,-$E52*$I52/12*0,IF($J52=11,-$E52*$I52/12*1,IF($J52=12,-$E52*$I52/12*2,0)))))</f>
        <v>-1.425</v>
      </c>
      <c r="CZ52" s="118">
        <f>IF(AND(CU52&lt;&gt;0,CU$5=$H52),-$I52*$E52-CU52,IF(CZ$5=$H52,-$I52*$E52*(12-$J52+1)/12,0))</f>
        <v>-4.75</v>
      </c>
    </row>
    <row r="53" spans="1:104" ht="12.75" customHeight="1">
      <c r="A53" s="7"/>
      <c r="B53" s="7"/>
      <c r="C53" s="7" t="s">
        <v>807</v>
      </c>
      <c r="D53" s="195"/>
      <c r="E53" s="191">
        <f t="shared" ref="E53:E58" si="263">IF(F53=0,G53,F53)</f>
        <v>500</v>
      </c>
      <c r="F53" s="193">
        <v>500</v>
      </c>
      <c r="G53" s="193">
        <v>500</v>
      </c>
      <c r="H53" s="442">
        <v>2023</v>
      </c>
      <c r="I53" s="587">
        <v>2.3800000000000002E-2</v>
      </c>
      <c r="J53" s="442">
        <v>5</v>
      </c>
      <c r="K53" s="112"/>
      <c r="L53" s="113">
        <f t="shared" si="205"/>
        <v>0</v>
      </c>
      <c r="M53" s="114">
        <f t="shared" si="206"/>
        <v>0</v>
      </c>
      <c r="N53" s="115">
        <f t="shared" si="207"/>
        <v>0</v>
      </c>
      <c r="O53" s="115">
        <f t="shared" si="208"/>
        <v>0</v>
      </c>
      <c r="P53" s="116">
        <f t="shared" si="209"/>
        <v>0</v>
      </c>
      <c r="Q53" s="113">
        <f t="shared" si="210"/>
        <v>0</v>
      </c>
      <c r="R53" s="114">
        <f t="shared" si="211"/>
        <v>0</v>
      </c>
      <c r="S53" s="115">
        <f t="shared" si="212"/>
        <v>0</v>
      </c>
      <c r="T53" s="115">
        <f t="shared" si="213"/>
        <v>0</v>
      </c>
      <c r="U53" s="116">
        <f t="shared" si="214"/>
        <v>0</v>
      </c>
      <c r="V53" s="113">
        <f t="shared" si="215"/>
        <v>0</v>
      </c>
      <c r="W53" s="114">
        <f t="shared" si="216"/>
        <v>0</v>
      </c>
      <c r="X53" s="115">
        <f t="shared" si="217"/>
        <v>0</v>
      </c>
      <c r="Y53" s="115">
        <f t="shared" si="218"/>
        <v>0</v>
      </c>
      <c r="Z53" s="116">
        <f t="shared" si="219"/>
        <v>0</v>
      </c>
      <c r="AA53" s="113">
        <f t="shared" si="220"/>
        <v>0</v>
      </c>
      <c r="AB53" s="114">
        <f t="shared" si="221"/>
        <v>0</v>
      </c>
      <c r="AC53" s="115">
        <f t="shared" si="222"/>
        <v>0</v>
      </c>
      <c r="AD53" s="115">
        <f t="shared" si="223"/>
        <v>0</v>
      </c>
      <c r="AE53" s="116">
        <f t="shared" si="224"/>
        <v>0</v>
      </c>
      <c r="AF53" s="113">
        <f t="shared" si="225"/>
        <v>0</v>
      </c>
      <c r="AG53" s="114">
        <f t="shared" si="226"/>
        <v>0</v>
      </c>
      <c r="AH53" s="115">
        <f t="shared" si="227"/>
        <v>0</v>
      </c>
      <c r="AI53" s="115">
        <f t="shared" si="228"/>
        <v>0</v>
      </c>
      <c r="AJ53" s="116">
        <f t="shared" si="229"/>
        <v>0</v>
      </c>
      <c r="AK53" s="113">
        <f t="shared" si="230"/>
        <v>0</v>
      </c>
      <c r="AL53" s="114">
        <f t="shared" si="183"/>
        <v>0</v>
      </c>
      <c r="AM53" s="115">
        <f t="shared" si="184"/>
        <v>0</v>
      </c>
      <c r="AN53" s="115">
        <f t="shared" si="185"/>
        <v>0</v>
      </c>
      <c r="AO53" s="116">
        <f t="shared" si="186"/>
        <v>0</v>
      </c>
      <c r="AP53" s="113">
        <f t="shared" si="231"/>
        <v>0</v>
      </c>
      <c r="AQ53" s="114">
        <f t="shared" si="187"/>
        <v>0</v>
      </c>
      <c r="AR53" s="115">
        <f t="shared" si="188"/>
        <v>0</v>
      </c>
      <c r="AS53" s="115">
        <f t="shared" si="189"/>
        <v>0</v>
      </c>
      <c r="AT53" s="116">
        <f t="shared" si="190"/>
        <v>0</v>
      </c>
      <c r="AU53" s="113">
        <f t="shared" si="232"/>
        <v>0</v>
      </c>
      <c r="AV53" s="114">
        <f t="shared" si="233"/>
        <v>0</v>
      </c>
      <c r="AW53" s="115">
        <f t="shared" si="234"/>
        <v>0</v>
      </c>
      <c r="AX53" s="115">
        <f t="shared" si="235"/>
        <v>0</v>
      </c>
      <c r="AY53" s="116">
        <f t="shared" si="236"/>
        <v>0</v>
      </c>
      <c r="AZ53" s="113">
        <f t="shared" si="145"/>
        <v>0</v>
      </c>
      <c r="BA53" s="114">
        <f t="shared" si="146"/>
        <v>0</v>
      </c>
      <c r="BB53" s="115">
        <f t="shared" si="147"/>
        <v>0</v>
      </c>
      <c r="BC53" s="115">
        <f t="shared" si="148"/>
        <v>0</v>
      </c>
      <c r="BD53" s="116">
        <f t="shared" si="149"/>
        <v>0</v>
      </c>
      <c r="BE53" s="113">
        <f t="shared" si="237"/>
        <v>0</v>
      </c>
      <c r="BF53" s="194"/>
      <c r="BG53" s="118">
        <f t="shared" si="151"/>
        <v>0</v>
      </c>
      <c r="BH53" s="119">
        <f t="shared" si="238"/>
        <v>0</v>
      </c>
      <c r="BI53" s="120">
        <f t="shared" si="239"/>
        <v>0</v>
      </c>
      <c r="BJ53" s="120">
        <f t="shared" si="240"/>
        <v>0</v>
      </c>
      <c r="BK53" s="121">
        <f t="shared" si="241"/>
        <v>0</v>
      </c>
      <c r="BL53" s="118">
        <f t="shared" si="242"/>
        <v>0</v>
      </c>
      <c r="BM53" s="119">
        <f t="shared" si="243"/>
        <v>0</v>
      </c>
      <c r="BN53" s="120">
        <f t="shared" si="244"/>
        <v>0</v>
      </c>
      <c r="BO53" s="120">
        <f t="shared" si="245"/>
        <v>0</v>
      </c>
      <c r="BP53" s="121">
        <f t="shared" si="246"/>
        <v>0</v>
      </c>
      <c r="BQ53" s="118">
        <f t="shared" si="247"/>
        <v>0</v>
      </c>
      <c r="BR53" s="119">
        <f t="shared" si="248"/>
        <v>0</v>
      </c>
      <c r="BS53" s="120">
        <f t="shared" si="249"/>
        <v>0</v>
      </c>
      <c r="BT53" s="120">
        <f t="shared" si="250"/>
        <v>0</v>
      </c>
      <c r="BU53" s="121">
        <f t="shared" si="251"/>
        <v>0</v>
      </c>
      <c r="BV53" s="118">
        <f t="shared" si="252"/>
        <v>0</v>
      </c>
      <c r="BW53" s="119">
        <f t="shared" si="253"/>
        <v>0</v>
      </c>
      <c r="BX53" s="120">
        <f t="shared" si="254"/>
        <v>0</v>
      </c>
      <c r="BY53" s="120">
        <f t="shared" si="255"/>
        <v>0</v>
      </c>
      <c r="BZ53" s="121">
        <f t="shared" si="256"/>
        <v>0</v>
      </c>
      <c r="CA53" s="118">
        <f t="shared" si="257"/>
        <v>0</v>
      </c>
      <c r="CB53" s="119">
        <f t="shared" si="258"/>
        <v>0</v>
      </c>
      <c r="CC53" s="120">
        <f t="shared" si="259"/>
        <v>0</v>
      </c>
      <c r="CD53" s="120">
        <f t="shared" si="260"/>
        <v>0</v>
      </c>
      <c r="CE53" s="121">
        <f t="shared" si="261"/>
        <v>0</v>
      </c>
      <c r="CF53" s="118">
        <f t="shared" si="262"/>
        <v>0</v>
      </c>
      <c r="CG53" s="119">
        <f t="shared" si="191"/>
        <v>0</v>
      </c>
      <c r="CH53" s="120">
        <f t="shared" si="192"/>
        <v>0</v>
      </c>
      <c r="CI53" s="120">
        <f t="shared" si="193"/>
        <v>0</v>
      </c>
      <c r="CJ53" s="121">
        <f t="shared" si="194"/>
        <v>0</v>
      </c>
      <c r="CK53" s="118">
        <f t="shared" si="195"/>
        <v>0</v>
      </c>
      <c r="CL53" s="119">
        <f t="shared" si="196"/>
        <v>0</v>
      </c>
      <c r="CM53" s="120">
        <f t="shared" si="197"/>
        <v>0</v>
      </c>
      <c r="CN53" s="120">
        <f t="shared" si="198"/>
        <v>0</v>
      </c>
      <c r="CO53" s="121">
        <f t="shared" si="199"/>
        <v>0</v>
      </c>
      <c r="CP53" s="118">
        <f t="shared" si="200"/>
        <v>0</v>
      </c>
      <c r="CQ53" s="119">
        <f t="shared" si="177"/>
        <v>0</v>
      </c>
      <c r="CR53" s="120">
        <f t="shared" si="201"/>
        <v>0</v>
      </c>
      <c r="CS53" s="120">
        <f t="shared" si="202"/>
        <v>0</v>
      </c>
      <c r="CT53" s="121">
        <f t="shared" si="203"/>
        <v>0</v>
      </c>
      <c r="CU53" s="118">
        <f t="shared" si="204"/>
        <v>0</v>
      </c>
      <c r="CV53" s="119">
        <f t="shared" si="178"/>
        <v>0</v>
      </c>
      <c r="CW53" s="120">
        <f t="shared" si="179"/>
        <v>0</v>
      </c>
      <c r="CX53" s="120">
        <f t="shared" si="180"/>
        <v>0</v>
      </c>
      <c r="CY53" s="121">
        <f t="shared" si="181"/>
        <v>0</v>
      </c>
      <c r="CZ53" s="118">
        <f t="shared" si="182"/>
        <v>0</v>
      </c>
    </row>
    <row r="54" spans="1:104" ht="12.75" customHeight="1">
      <c r="A54" s="7"/>
      <c r="B54" s="7"/>
      <c r="C54" s="7" t="s">
        <v>873</v>
      </c>
      <c r="D54" s="195"/>
      <c r="E54" s="191">
        <f t="shared" si="263"/>
        <v>250</v>
      </c>
      <c r="F54" s="193">
        <v>250</v>
      </c>
      <c r="G54" s="193">
        <v>250</v>
      </c>
      <c r="H54" s="442">
        <v>2024</v>
      </c>
      <c r="I54" s="587">
        <v>3.7499999999999999E-2</v>
      </c>
      <c r="J54" s="442">
        <v>9</v>
      </c>
      <c r="K54" s="112"/>
      <c r="L54" s="113">
        <f t="shared" si="205"/>
        <v>0</v>
      </c>
      <c r="M54" s="114">
        <f t="shared" si="206"/>
        <v>0</v>
      </c>
      <c r="N54" s="115">
        <f t="shared" si="207"/>
        <v>0</v>
      </c>
      <c r="O54" s="115">
        <f t="shared" si="208"/>
        <v>0</v>
      </c>
      <c r="P54" s="116">
        <f t="shared" si="209"/>
        <v>0</v>
      </c>
      <c r="Q54" s="113">
        <f t="shared" si="210"/>
        <v>0</v>
      </c>
      <c r="R54" s="114">
        <f t="shared" si="211"/>
        <v>0</v>
      </c>
      <c r="S54" s="115">
        <f t="shared" si="212"/>
        <v>0</v>
      </c>
      <c r="T54" s="115">
        <f t="shared" si="213"/>
        <v>0</v>
      </c>
      <c r="U54" s="116">
        <f t="shared" si="214"/>
        <v>0</v>
      </c>
      <c r="V54" s="113">
        <f t="shared" si="215"/>
        <v>0</v>
      </c>
      <c r="W54" s="114">
        <f t="shared" si="216"/>
        <v>0</v>
      </c>
      <c r="X54" s="115">
        <f t="shared" si="217"/>
        <v>0</v>
      </c>
      <c r="Y54" s="115">
        <f t="shared" si="218"/>
        <v>0</v>
      </c>
      <c r="Z54" s="116">
        <f t="shared" si="219"/>
        <v>0</v>
      </c>
      <c r="AA54" s="113">
        <f t="shared" si="220"/>
        <v>0</v>
      </c>
      <c r="AB54" s="114">
        <f t="shared" si="221"/>
        <v>0</v>
      </c>
      <c r="AC54" s="115">
        <f t="shared" si="222"/>
        <v>0</v>
      </c>
      <c r="AD54" s="115">
        <f t="shared" si="223"/>
        <v>0</v>
      </c>
      <c r="AE54" s="116">
        <f t="shared" si="224"/>
        <v>0</v>
      </c>
      <c r="AF54" s="113">
        <f t="shared" si="225"/>
        <v>0</v>
      </c>
      <c r="AG54" s="114">
        <f t="shared" si="226"/>
        <v>0</v>
      </c>
      <c r="AH54" s="115">
        <f t="shared" si="227"/>
        <v>0</v>
      </c>
      <c r="AI54" s="115">
        <f t="shared" si="228"/>
        <v>0</v>
      </c>
      <c r="AJ54" s="116">
        <f t="shared" si="229"/>
        <v>0</v>
      </c>
      <c r="AK54" s="113">
        <f t="shared" si="230"/>
        <v>0</v>
      </c>
      <c r="AL54" s="114">
        <f t="shared" si="183"/>
        <v>0</v>
      </c>
      <c r="AM54" s="115">
        <f t="shared" si="184"/>
        <v>0</v>
      </c>
      <c r="AN54" s="115">
        <f t="shared" si="185"/>
        <v>0</v>
      </c>
      <c r="AO54" s="116">
        <f t="shared" si="186"/>
        <v>0</v>
      </c>
      <c r="AP54" s="113">
        <f t="shared" si="231"/>
        <v>0</v>
      </c>
      <c r="AQ54" s="114">
        <f t="shared" si="187"/>
        <v>0</v>
      </c>
      <c r="AR54" s="115">
        <f t="shared" si="188"/>
        <v>0</v>
      </c>
      <c r="AS54" s="115">
        <f t="shared" si="189"/>
        <v>0</v>
      </c>
      <c r="AT54" s="116">
        <f t="shared" si="190"/>
        <v>0</v>
      </c>
      <c r="AU54" s="113">
        <f t="shared" si="232"/>
        <v>0</v>
      </c>
      <c r="AV54" s="114">
        <f t="shared" si="233"/>
        <v>0</v>
      </c>
      <c r="AW54" s="115">
        <f t="shared" si="234"/>
        <v>0</v>
      </c>
      <c r="AX54" s="115">
        <f t="shared" si="235"/>
        <v>0</v>
      </c>
      <c r="AY54" s="116">
        <f t="shared" si="236"/>
        <v>0</v>
      </c>
      <c r="AZ54" s="113">
        <f t="shared" si="145"/>
        <v>0</v>
      </c>
      <c r="BA54" s="114">
        <f t="shared" si="146"/>
        <v>0</v>
      </c>
      <c r="BB54" s="115">
        <f t="shared" si="147"/>
        <v>0</v>
      </c>
      <c r="BC54" s="115">
        <f t="shared" si="148"/>
        <v>0</v>
      </c>
      <c r="BD54" s="116">
        <f t="shared" si="149"/>
        <v>0</v>
      </c>
      <c r="BE54" s="113">
        <f t="shared" si="237"/>
        <v>0</v>
      </c>
      <c r="BF54" s="194"/>
      <c r="BG54" s="118">
        <f t="shared" si="151"/>
        <v>0</v>
      </c>
      <c r="BH54" s="119">
        <f t="shared" si="238"/>
        <v>0</v>
      </c>
      <c r="BI54" s="120">
        <f t="shared" si="239"/>
        <v>0</v>
      </c>
      <c r="BJ54" s="120">
        <f t="shared" si="240"/>
        <v>0</v>
      </c>
      <c r="BK54" s="121">
        <f t="shared" si="241"/>
        <v>0</v>
      </c>
      <c r="BL54" s="118">
        <f t="shared" si="242"/>
        <v>0</v>
      </c>
      <c r="BM54" s="119">
        <f t="shared" si="243"/>
        <v>0</v>
      </c>
      <c r="BN54" s="120">
        <f t="shared" si="244"/>
        <v>0</v>
      </c>
      <c r="BO54" s="120">
        <f t="shared" si="245"/>
        <v>0</v>
      </c>
      <c r="BP54" s="121">
        <f t="shared" si="246"/>
        <v>0</v>
      </c>
      <c r="BQ54" s="118">
        <f t="shared" si="247"/>
        <v>0</v>
      </c>
      <c r="BR54" s="119">
        <f t="shared" si="248"/>
        <v>0</v>
      </c>
      <c r="BS54" s="120">
        <f t="shared" si="249"/>
        <v>0</v>
      </c>
      <c r="BT54" s="120">
        <f t="shared" si="250"/>
        <v>0</v>
      </c>
      <c r="BU54" s="121">
        <f t="shared" si="251"/>
        <v>0</v>
      </c>
      <c r="BV54" s="118">
        <f t="shared" si="252"/>
        <v>0</v>
      </c>
      <c r="BW54" s="119">
        <f t="shared" si="253"/>
        <v>0</v>
      </c>
      <c r="BX54" s="120">
        <f t="shared" si="254"/>
        <v>0</v>
      </c>
      <c r="BY54" s="120">
        <f t="shared" si="255"/>
        <v>0</v>
      </c>
      <c r="BZ54" s="121">
        <f t="shared" si="256"/>
        <v>0</v>
      </c>
      <c r="CA54" s="118">
        <f t="shared" si="257"/>
        <v>0</v>
      </c>
      <c r="CB54" s="119">
        <f t="shared" si="258"/>
        <v>0</v>
      </c>
      <c r="CC54" s="120">
        <f t="shared" si="259"/>
        <v>0</v>
      </c>
      <c r="CD54" s="120">
        <f t="shared" si="260"/>
        <v>0</v>
      </c>
      <c r="CE54" s="121">
        <f t="shared" si="261"/>
        <v>0</v>
      </c>
      <c r="CF54" s="118">
        <f t="shared" si="262"/>
        <v>0</v>
      </c>
      <c r="CG54" s="119">
        <f t="shared" si="191"/>
        <v>0</v>
      </c>
      <c r="CH54" s="120">
        <f t="shared" si="192"/>
        <v>0</v>
      </c>
      <c r="CI54" s="120">
        <f t="shared" si="193"/>
        <v>0</v>
      </c>
      <c r="CJ54" s="121">
        <f t="shared" si="194"/>
        <v>0</v>
      </c>
      <c r="CK54" s="118">
        <f t="shared" si="195"/>
        <v>0</v>
      </c>
      <c r="CL54" s="119">
        <f t="shared" si="196"/>
        <v>0</v>
      </c>
      <c r="CM54" s="120">
        <f t="shared" si="197"/>
        <v>0</v>
      </c>
      <c r="CN54" s="120">
        <f t="shared" si="198"/>
        <v>0</v>
      </c>
      <c r="CO54" s="121">
        <f t="shared" si="199"/>
        <v>0</v>
      </c>
      <c r="CP54" s="118">
        <f t="shared" si="200"/>
        <v>0</v>
      </c>
      <c r="CQ54" s="119">
        <f t="shared" si="177"/>
        <v>0</v>
      </c>
      <c r="CR54" s="120">
        <f t="shared" si="201"/>
        <v>0</v>
      </c>
      <c r="CS54" s="120">
        <f t="shared" si="202"/>
        <v>0</v>
      </c>
      <c r="CT54" s="121">
        <f t="shared" si="203"/>
        <v>0</v>
      </c>
      <c r="CU54" s="118">
        <f t="shared" si="204"/>
        <v>0</v>
      </c>
      <c r="CV54" s="119">
        <f t="shared" si="178"/>
        <v>0</v>
      </c>
      <c r="CW54" s="120">
        <f t="shared" si="179"/>
        <v>0</v>
      </c>
      <c r="CX54" s="120">
        <f t="shared" si="180"/>
        <v>0</v>
      </c>
      <c r="CY54" s="121">
        <f t="shared" si="181"/>
        <v>0</v>
      </c>
      <c r="CZ54" s="118">
        <f t="shared" si="182"/>
        <v>0</v>
      </c>
    </row>
    <row r="55" spans="1:104" ht="12.75" customHeight="1">
      <c r="A55" s="7"/>
      <c r="B55" s="7"/>
      <c r="C55" s="189" t="s">
        <v>935</v>
      </c>
      <c r="D55" s="195"/>
      <c r="E55" s="191">
        <f t="shared" si="263"/>
        <v>250</v>
      </c>
      <c r="F55" s="193">
        <v>250</v>
      </c>
      <c r="G55" s="193">
        <v>250</v>
      </c>
      <c r="H55" s="442">
        <v>2024</v>
      </c>
      <c r="I55" s="587">
        <v>3.15E-2</v>
      </c>
      <c r="J55" s="442">
        <v>8</v>
      </c>
      <c r="K55" s="112"/>
      <c r="L55" s="113">
        <f t="shared" si="205"/>
        <v>0</v>
      </c>
      <c r="M55" s="114">
        <f t="shared" si="206"/>
        <v>0</v>
      </c>
      <c r="N55" s="115">
        <f t="shared" si="207"/>
        <v>0</v>
      </c>
      <c r="O55" s="115">
        <f t="shared" si="208"/>
        <v>0</v>
      </c>
      <c r="P55" s="116">
        <f t="shared" si="209"/>
        <v>0</v>
      </c>
      <c r="Q55" s="113">
        <f t="shared" si="210"/>
        <v>0</v>
      </c>
      <c r="R55" s="114">
        <f t="shared" si="211"/>
        <v>0</v>
      </c>
      <c r="S55" s="115">
        <f t="shared" si="212"/>
        <v>0</v>
      </c>
      <c r="T55" s="115">
        <f t="shared" si="213"/>
        <v>0</v>
      </c>
      <c r="U55" s="116">
        <f t="shared" si="214"/>
        <v>0</v>
      </c>
      <c r="V55" s="113">
        <f t="shared" si="215"/>
        <v>0</v>
      </c>
      <c r="W55" s="114">
        <f t="shared" si="216"/>
        <v>0</v>
      </c>
      <c r="X55" s="115">
        <f t="shared" si="217"/>
        <v>0</v>
      </c>
      <c r="Y55" s="115">
        <f t="shared" si="218"/>
        <v>0</v>
      </c>
      <c r="Z55" s="116">
        <f t="shared" si="219"/>
        <v>0</v>
      </c>
      <c r="AA55" s="113">
        <f t="shared" si="220"/>
        <v>0</v>
      </c>
      <c r="AB55" s="114">
        <f t="shared" si="221"/>
        <v>0</v>
      </c>
      <c r="AC55" s="115">
        <f t="shared" si="222"/>
        <v>0</v>
      </c>
      <c r="AD55" s="115">
        <f t="shared" si="223"/>
        <v>0</v>
      </c>
      <c r="AE55" s="116">
        <f t="shared" si="224"/>
        <v>0</v>
      </c>
      <c r="AF55" s="113">
        <f t="shared" si="225"/>
        <v>0</v>
      </c>
      <c r="AG55" s="114">
        <f t="shared" si="226"/>
        <v>0</v>
      </c>
      <c r="AH55" s="115">
        <f t="shared" si="227"/>
        <v>0</v>
      </c>
      <c r="AI55" s="115">
        <f t="shared" si="228"/>
        <v>0</v>
      </c>
      <c r="AJ55" s="116">
        <f t="shared" si="229"/>
        <v>0</v>
      </c>
      <c r="AK55" s="113">
        <f t="shared" si="230"/>
        <v>0</v>
      </c>
      <c r="AL55" s="114">
        <f>IF(AP55=0,0,IF(AP55&lt;0,IF($J55=3,AP55,IF($J55=2,AP55,IF($J55=1,AP55,0)))))</f>
        <v>0</v>
      </c>
      <c r="AM55" s="115">
        <f>IF(AP55=0,0,IF(AP55&lt;0,IF($J55=6,AP55,IF($J55=5,AP55,IF($J55=4,AP55,0)))))</f>
        <v>0</v>
      </c>
      <c r="AN55" s="115">
        <f>IF(AP55=0,0,IF(AP55&lt;0,IF($J55=9,AP55,IF($J55=8,AP55,IF($J55=7,AP55,0)))))</f>
        <v>0</v>
      </c>
      <c r="AO55" s="116">
        <f>IF(AP55=0,0,IF(AP55&lt;0,IF($J55=12,AP55,IF($J55=11,AP55,IF($J55=10,AP55,0)))))</f>
        <v>0</v>
      </c>
      <c r="AP55" s="113">
        <f t="shared" si="231"/>
        <v>0</v>
      </c>
      <c r="AQ55" s="114">
        <f t="shared" si="187"/>
        <v>0</v>
      </c>
      <c r="AR55" s="115">
        <f t="shared" si="188"/>
        <v>0</v>
      </c>
      <c r="AS55" s="115">
        <f t="shared" si="189"/>
        <v>0</v>
      </c>
      <c r="AT55" s="116">
        <f t="shared" si="190"/>
        <v>0</v>
      </c>
      <c r="AU55" s="113">
        <f t="shared" si="232"/>
        <v>0</v>
      </c>
      <c r="AV55" s="114">
        <f t="shared" si="233"/>
        <v>0</v>
      </c>
      <c r="AW55" s="115">
        <f t="shared" si="234"/>
        <v>0</v>
      </c>
      <c r="AX55" s="115">
        <f t="shared" si="235"/>
        <v>0</v>
      </c>
      <c r="AY55" s="116">
        <f t="shared" si="236"/>
        <v>0</v>
      </c>
      <c r="AZ55" s="113">
        <f t="shared" si="145"/>
        <v>0</v>
      </c>
      <c r="BA55" s="114">
        <f t="shared" si="146"/>
        <v>0</v>
      </c>
      <c r="BB55" s="115">
        <f t="shared" si="147"/>
        <v>0</v>
      </c>
      <c r="BC55" s="115">
        <f t="shared" si="148"/>
        <v>0</v>
      </c>
      <c r="BD55" s="116">
        <f t="shared" si="149"/>
        <v>0</v>
      </c>
      <c r="BE55" s="113">
        <f t="shared" si="237"/>
        <v>0</v>
      </c>
      <c r="BF55" s="194"/>
      <c r="BG55" s="118">
        <f>IF(AND(BF55&lt;&gt;0,BF$5=$H55),-$I55*$E55-BF55,IF(BG$5=$H55,-$I55*$E55*(12-$J55+1)/12,0))</f>
        <v>0</v>
      </c>
      <c r="BH55" s="119">
        <f t="shared" si="238"/>
        <v>0</v>
      </c>
      <c r="BI55" s="120">
        <f t="shared" si="239"/>
        <v>0</v>
      </c>
      <c r="BJ55" s="120">
        <f t="shared" si="240"/>
        <v>0</v>
      </c>
      <c r="BK55" s="121">
        <f t="shared" si="241"/>
        <v>0</v>
      </c>
      <c r="BL55" s="118">
        <f t="shared" si="242"/>
        <v>0</v>
      </c>
      <c r="BM55" s="119">
        <f t="shared" si="243"/>
        <v>0</v>
      </c>
      <c r="BN55" s="120">
        <f t="shared" si="244"/>
        <v>0</v>
      </c>
      <c r="BO55" s="120">
        <f t="shared" si="245"/>
        <v>0</v>
      </c>
      <c r="BP55" s="121">
        <f t="shared" si="246"/>
        <v>0</v>
      </c>
      <c r="BQ55" s="118">
        <f t="shared" si="247"/>
        <v>0</v>
      </c>
      <c r="BR55" s="119">
        <f t="shared" si="248"/>
        <v>0</v>
      </c>
      <c r="BS55" s="120">
        <f t="shared" si="249"/>
        <v>0</v>
      </c>
      <c r="BT55" s="120">
        <f t="shared" si="250"/>
        <v>0</v>
      </c>
      <c r="BU55" s="121">
        <f t="shared" si="251"/>
        <v>0</v>
      </c>
      <c r="BV55" s="118">
        <f t="shared" si="252"/>
        <v>0</v>
      </c>
      <c r="BW55" s="119">
        <f t="shared" si="253"/>
        <v>0</v>
      </c>
      <c r="BX55" s="120">
        <f t="shared" si="254"/>
        <v>0</v>
      </c>
      <c r="BY55" s="120">
        <f t="shared" si="255"/>
        <v>0</v>
      </c>
      <c r="BZ55" s="121">
        <f t="shared" si="256"/>
        <v>0</v>
      </c>
      <c r="CA55" s="118">
        <f t="shared" si="257"/>
        <v>0</v>
      </c>
      <c r="CB55" s="119">
        <f t="shared" si="258"/>
        <v>0</v>
      </c>
      <c r="CC55" s="120">
        <f t="shared" si="259"/>
        <v>0</v>
      </c>
      <c r="CD55" s="120">
        <f t="shared" si="260"/>
        <v>0</v>
      </c>
      <c r="CE55" s="121">
        <f t="shared" si="261"/>
        <v>0</v>
      </c>
      <c r="CF55" s="118">
        <f t="shared" si="262"/>
        <v>0</v>
      </c>
      <c r="CG55" s="119">
        <f t="shared" si="191"/>
        <v>0</v>
      </c>
      <c r="CH55" s="120">
        <f>IF($H55&lt;&gt;CK$5,0,IF(CK55&lt;0,IF(OR($J55=1,$J55=2,$J55=3,$J55=4),-$E55*$I55/12*3,IF($J55=5,-$E55*$I55/12*2,IF($J55=6,-$E55*$I55/12*1,0)))))+IF(CF$5&lt;&gt;$H55,0,IF(CF55&lt;0,IF($J55=4,-$E55*$I55/12*0,IF($J55=5,-$E55*$I55/12*1,IF($J55=6,-$E55*$I55/12*2,IF($J55&gt;=7,-$E55*$I55/12*3,0))))))</f>
        <v>0</v>
      </c>
      <c r="CI55" s="120">
        <f>IF($H55&lt;&gt;CK$5,0,IF(CK55&lt;0,IF(OR($J55=1,$J55=2,$J55=3,$J55=4,$J55=5,$J55=6,$J55=7),-$E55*$I55/12*3,IF($J55=8,-$E55*$I55/12*2,IF($J55=9,-$E55*$I55/12*1,0)))))+IF(CF$5&lt;&gt;$H55,0,IF(CF55&lt;0,IF($J55=7,-$E55*$I55/12*0,IF($J55=8,-$E55*$I55/12*1,IF($J55=9,-$E55*$I55/12*2,IF($J55&gt;=10,-$E55*$I55/12*3,0))))))</f>
        <v>0</v>
      </c>
      <c r="CJ55" s="121">
        <f>IF($H55&lt;&gt;CK$5,0,IF(CK55&lt;0,IF(OR($J55=1,$J55=2,$J55=3,$J55=4,$J55=5,$J55=6,$J55=7,$J55=8,$J55=9,$J55=10),-$E55*$I55/12*3,IF($J55=11,-$E55*$I55/12*2,IF($J55=12,-$E55*$I55/12*1,0)))))+IF(CF$5&lt;&gt;$H55,0,IF(CF55&lt;0,IF($J55=10,-$E55*$I55/12*0,IF($J55=11,-$E55*$I55/12*1,IF($J55=12,-$E55*$I55/12*2,0)))))</f>
        <v>0</v>
      </c>
      <c r="CK55" s="118">
        <f>IF(AND(CF55&lt;&gt;0,CF$5=$H55),-$I55*$E55-CF55,IF(CK$5=$H55,-$I55*$E55*(12-$J55+1)/12,0))</f>
        <v>0</v>
      </c>
      <c r="CL55" s="119">
        <f t="shared" si="196"/>
        <v>0</v>
      </c>
      <c r="CM55" s="120">
        <f t="shared" si="197"/>
        <v>0</v>
      </c>
      <c r="CN55" s="120">
        <f t="shared" si="198"/>
        <v>0</v>
      </c>
      <c r="CO55" s="121">
        <f t="shared" si="199"/>
        <v>0</v>
      </c>
      <c r="CP55" s="118">
        <f t="shared" si="200"/>
        <v>0</v>
      </c>
      <c r="CQ55" s="119">
        <f t="shared" si="177"/>
        <v>0</v>
      </c>
      <c r="CR55" s="120">
        <f t="shared" si="201"/>
        <v>0</v>
      </c>
      <c r="CS55" s="120">
        <f t="shared" si="202"/>
        <v>0</v>
      </c>
      <c r="CT55" s="121">
        <f t="shared" si="203"/>
        <v>0</v>
      </c>
      <c r="CU55" s="118">
        <f t="shared" si="204"/>
        <v>0</v>
      </c>
      <c r="CV55" s="119">
        <f t="shared" si="178"/>
        <v>0</v>
      </c>
      <c r="CW55" s="120">
        <f t="shared" si="179"/>
        <v>0</v>
      </c>
      <c r="CX55" s="120">
        <f t="shared" si="180"/>
        <v>0</v>
      </c>
      <c r="CY55" s="121">
        <f t="shared" si="181"/>
        <v>0</v>
      </c>
      <c r="CZ55" s="118">
        <f t="shared" si="182"/>
        <v>0</v>
      </c>
    </row>
    <row r="56" spans="1:104" ht="12.75" customHeight="1">
      <c r="A56" s="7"/>
      <c r="B56" s="7"/>
      <c r="C56" s="189" t="s">
        <v>936</v>
      </c>
      <c r="D56" s="195"/>
      <c r="E56" s="191">
        <f t="shared" si="263"/>
        <v>250</v>
      </c>
      <c r="F56" s="193">
        <v>250</v>
      </c>
      <c r="G56" s="193">
        <v>250</v>
      </c>
      <c r="H56" s="442">
        <v>2024</v>
      </c>
      <c r="I56" s="587">
        <v>3.0499999999999999E-2</v>
      </c>
      <c r="J56" s="442">
        <v>11</v>
      </c>
      <c r="K56" s="112"/>
      <c r="L56" s="113">
        <f t="shared" si="205"/>
        <v>0</v>
      </c>
      <c r="M56" s="114">
        <f t="shared" si="206"/>
        <v>0</v>
      </c>
      <c r="N56" s="115">
        <f t="shared" si="207"/>
        <v>0</v>
      </c>
      <c r="O56" s="115">
        <f t="shared" si="208"/>
        <v>0</v>
      </c>
      <c r="P56" s="116">
        <f t="shared" si="209"/>
        <v>0</v>
      </c>
      <c r="Q56" s="113">
        <f t="shared" si="210"/>
        <v>0</v>
      </c>
      <c r="R56" s="114">
        <f t="shared" si="211"/>
        <v>0</v>
      </c>
      <c r="S56" s="115">
        <f t="shared" si="212"/>
        <v>0</v>
      </c>
      <c r="T56" s="115">
        <f t="shared" si="213"/>
        <v>0</v>
      </c>
      <c r="U56" s="116">
        <f t="shared" si="214"/>
        <v>0</v>
      </c>
      <c r="V56" s="113">
        <f t="shared" si="215"/>
        <v>0</v>
      </c>
      <c r="W56" s="114">
        <f t="shared" si="216"/>
        <v>0</v>
      </c>
      <c r="X56" s="115">
        <f t="shared" si="217"/>
        <v>0</v>
      </c>
      <c r="Y56" s="115">
        <f t="shared" si="218"/>
        <v>0</v>
      </c>
      <c r="Z56" s="116">
        <f t="shared" si="219"/>
        <v>0</v>
      </c>
      <c r="AA56" s="113">
        <f t="shared" si="220"/>
        <v>0</v>
      </c>
      <c r="AB56" s="114">
        <f t="shared" si="221"/>
        <v>0</v>
      </c>
      <c r="AC56" s="115">
        <f t="shared" si="222"/>
        <v>0</v>
      </c>
      <c r="AD56" s="115">
        <f t="shared" si="223"/>
        <v>0</v>
      </c>
      <c r="AE56" s="116">
        <f t="shared" si="224"/>
        <v>0</v>
      </c>
      <c r="AF56" s="113">
        <f t="shared" si="225"/>
        <v>0</v>
      </c>
      <c r="AG56" s="114">
        <f t="shared" si="226"/>
        <v>0</v>
      </c>
      <c r="AH56" s="115">
        <f t="shared" si="227"/>
        <v>0</v>
      </c>
      <c r="AI56" s="115">
        <f t="shared" si="228"/>
        <v>0</v>
      </c>
      <c r="AJ56" s="116">
        <f t="shared" si="229"/>
        <v>0</v>
      </c>
      <c r="AK56" s="113">
        <f t="shared" si="230"/>
        <v>0</v>
      </c>
      <c r="AL56" s="114">
        <f>IF(AP56=0,0,IF(AP56&lt;0,IF($J56=3,AP56,IF($J56=2,AP56,IF($J56=1,AP56,0)))))</f>
        <v>0</v>
      </c>
      <c r="AM56" s="115">
        <f>IF(AP56=0,0,IF(AP56&lt;0,IF($J56=6,AP56,IF($J56=5,AP56,IF($J56=4,AP56,0)))))</f>
        <v>0</v>
      </c>
      <c r="AN56" s="115">
        <f>IF(AP56=0,0,IF(AP56&lt;0,IF($J56=9,AP56,IF($J56=8,AP56,IF($J56=7,AP56,0)))))</f>
        <v>0</v>
      </c>
      <c r="AO56" s="116">
        <f>IF(AP56=0,0,IF(AP56&lt;0,IF($J56=12,AP56,IF($J56=11,AP56,IF($J56=10,AP56,0)))))</f>
        <v>0</v>
      </c>
      <c r="AP56" s="113">
        <f t="shared" si="231"/>
        <v>0</v>
      </c>
      <c r="AQ56" s="114">
        <f t="shared" si="187"/>
        <v>0</v>
      </c>
      <c r="AR56" s="115">
        <f t="shared" si="188"/>
        <v>0</v>
      </c>
      <c r="AS56" s="115">
        <f t="shared" si="189"/>
        <v>0</v>
      </c>
      <c r="AT56" s="116">
        <f t="shared" si="190"/>
        <v>0</v>
      </c>
      <c r="AU56" s="113">
        <f t="shared" si="232"/>
        <v>0</v>
      </c>
      <c r="AV56" s="114">
        <f t="shared" si="233"/>
        <v>0</v>
      </c>
      <c r="AW56" s="115">
        <f t="shared" si="234"/>
        <v>0</v>
      </c>
      <c r="AX56" s="115">
        <f t="shared" si="235"/>
        <v>0</v>
      </c>
      <c r="AY56" s="116">
        <f t="shared" si="236"/>
        <v>0</v>
      </c>
      <c r="AZ56" s="113">
        <f t="shared" si="145"/>
        <v>0</v>
      </c>
      <c r="BA56" s="114">
        <f t="shared" si="146"/>
        <v>0</v>
      </c>
      <c r="BB56" s="115">
        <f t="shared" si="147"/>
        <v>0</v>
      </c>
      <c r="BC56" s="115">
        <f t="shared" si="148"/>
        <v>0</v>
      </c>
      <c r="BD56" s="116">
        <f t="shared" si="149"/>
        <v>0</v>
      </c>
      <c r="BE56" s="113">
        <f t="shared" si="237"/>
        <v>0</v>
      </c>
      <c r="BF56" s="194"/>
      <c r="BG56" s="118">
        <f>IF(AND(BF56&lt;&gt;0,BF$5=$H56),-$I56*$E56-BF56,IF(BG$5=$H56,-$I56*$E56*(12-$J56+1)/12,0))</f>
        <v>0</v>
      </c>
      <c r="BH56" s="119">
        <f t="shared" si="238"/>
        <v>0</v>
      </c>
      <c r="BI56" s="120">
        <f t="shared" si="239"/>
        <v>0</v>
      </c>
      <c r="BJ56" s="120">
        <f t="shared" si="240"/>
        <v>0</v>
      </c>
      <c r="BK56" s="121">
        <f t="shared" si="241"/>
        <v>0</v>
      </c>
      <c r="BL56" s="118">
        <f t="shared" si="242"/>
        <v>0</v>
      </c>
      <c r="BM56" s="119">
        <f t="shared" si="243"/>
        <v>0</v>
      </c>
      <c r="BN56" s="120">
        <f t="shared" si="244"/>
        <v>0</v>
      </c>
      <c r="BO56" s="120">
        <f t="shared" si="245"/>
        <v>0</v>
      </c>
      <c r="BP56" s="121">
        <f t="shared" si="246"/>
        <v>0</v>
      </c>
      <c r="BQ56" s="118">
        <f t="shared" si="247"/>
        <v>0</v>
      </c>
      <c r="BR56" s="119">
        <f t="shared" si="248"/>
        <v>0</v>
      </c>
      <c r="BS56" s="120">
        <f t="shared" si="249"/>
        <v>0</v>
      </c>
      <c r="BT56" s="120">
        <f t="shared" si="250"/>
        <v>0</v>
      </c>
      <c r="BU56" s="121">
        <f t="shared" si="251"/>
        <v>0</v>
      </c>
      <c r="BV56" s="118">
        <f t="shared" si="252"/>
        <v>0</v>
      </c>
      <c r="BW56" s="119">
        <f t="shared" si="253"/>
        <v>0</v>
      </c>
      <c r="BX56" s="120">
        <f t="shared" si="254"/>
        <v>0</v>
      </c>
      <c r="BY56" s="120">
        <f t="shared" si="255"/>
        <v>0</v>
      </c>
      <c r="BZ56" s="121">
        <f t="shared" si="256"/>
        <v>0</v>
      </c>
      <c r="CA56" s="118">
        <f t="shared" si="257"/>
        <v>0</v>
      </c>
      <c r="CB56" s="119">
        <f t="shared" si="258"/>
        <v>0</v>
      </c>
      <c r="CC56" s="120">
        <f t="shared" si="259"/>
        <v>0</v>
      </c>
      <c r="CD56" s="120">
        <f t="shared" si="260"/>
        <v>0</v>
      </c>
      <c r="CE56" s="121">
        <f t="shared" si="261"/>
        <v>0</v>
      </c>
      <c r="CF56" s="118">
        <f t="shared" si="262"/>
        <v>0</v>
      </c>
      <c r="CG56" s="119">
        <f t="shared" si="191"/>
        <v>0</v>
      </c>
      <c r="CH56" s="120">
        <f>IF($H56&lt;&gt;CK$5,0,IF(CK56&lt;0,IF(OR($J56=1,$J56=2,$J56=3,$J56=4),-$E56*$I56/12*3,IF($J56=5,-$E56*$I56/12*2,IF($J56=6,-$E56*$I56/12*1,0)))))+IF(CF$5&lt;&gt;$H56,0,IF(CF56&lt;0,IF($J56=4,-$E56*$I56/12*0,IF($J56=5,-$E56*$I56/12*1,IF($J56=6,-$E56*$I56/12*2,IF($J56&gt;=7,-$E56*$I56/12*3,0))))))</f>
        <v>0</v>
      </c>
      <c r="CI56" s="120">
        <f>IF($H56&lt;&gt;CK$5,0,IF(CK56&lt;0,IF(OR($J56=1,$J56=2,$J56=3,$J56=4,$J56=5,$J56=6,$J56=7),-$E56*$I56/12*3,IF($J56=8,-$E56*$I56/12*2,IF($J56=9,-$E56*$I56/12*1,0)))))+IF(CF$5&lt;&gt;$H56,0,IF(CF56&lt;0,IF($J56=7,-$E56*$I56/12*0,IF($J56=8,-$E56*$I56/12*1,IF($J56=9,-$E56*$I56/12*2,IF($J56&gt;=10,-$E56*$I56/12*3,0))))))</f>
        <v>0</v>
      </c>
      <c r="CJ56" s="121">
        <f>IF($H56&lt;&gt;CK$5,0,IF(CK56&lt;0,IF(OR($J56=1,$J56=2,$J56=3,$J56=4,$J56=5,$J56=6,$J56=7,$J56=8,$J56=9,$J56=10),-$E56*$I56/12*3,IF($J56=11,-$E56*$I56/12*2,IF($J56=12,-$E56*$I56/12*1,0)))))+IF(CF$5&lt;&gt;$H56,0,IF(CF56&lt;0,IF($J56=10,-$E56*$I56/12*0,IF($J56=11,-$E56*$I56/12*1,IF($J56=12,-$E56*$I56/12*2,0)))))</f>
        <v>0</v>
      </c>
      <c r="CK56" s="118">
        <f>IF(AND(CF56&lt;&gt;0,CF$5=$H56),-$I56*$E56-CF56,IF(CK$5=$H56,-$I56*$E56*(12-$J56+1)/12,0))</f>
        <v>0</v>
      </c>
      <c r="CL56" s="119">
        <f t="shared" si="196"/>
        <v>0</v>
      </c>
      <c r="CM56" s="120">
        <f t="shared" si="197"/>
        <v>0</v>
      </c>
      <c r="CN56" s="120">
        <f t="shared" si="198"/>
        <v>0</v>
      </c>
      <c r="CO56" s="121">
        <f t="shared" si="199"/>
        <v>0</v>
      </c>
      <c r="CP56" s="118">
        <f t="shared" si="200"/>
        <v>0</v>
      </c>
      <c r="CQ56" s="119">
        <f t="shared" si="177"/>
        <v>0</v>
      </c>
      <c r="CR56" s="120">
        <f t="shared" si="201"/>
        <v>0</v>
      </c>
      <c r="CS56" s="120">
        <f t="shared" si="202"/>
        <v>0</v>
      </c>
      <c r="CT56" s="121">
        <f t="shared" si="203"/>
        <v>0</v>
      </c>
      <c r="CU56" s="118">
        <f t="shared" si="204"/>
        <v>0</v>
      </c>
      <c r="CV56" s="119">
        <f t="shared" si="178"/>
        <v>0</v>
      </c>
      <c r="CW56" s="120">
        <f t="shared" si="179"/>
        <v>0</v>
      </c>
      <c r="CX56" s="120">
        <f t="shared" si="180"/>
        <v>0</v>
      </c>
      <c r="CY56" s="121">
        <f t="shared" si="181"/>
        <v>0</v>
      </c>
      <c r="CZ56" s="118">
        <f t="shared" si="182"/>
        <v>0</v>
      </c>
    </row>
    <row r="57" spans="1:104" ht="12.75" customHeight="1">
      <c r="A57" s="7"/>
      <c r="B57" s="7"/>
      <c r="C57" s="1508" t="s">
        <v>1002</v>
      </c>
      <c r="D57" s="190"/>
      <c r="E57" s="191">
        <f t="shared" si="263"/>
        <v>350</v>
      </c>
      <c r="F57" s="193">
        <v>350</v>
      </c>
      <c r="G57" s="193">
        <v>350</v>
      </c>
      <c r="H57" s="1346">
        <v>2025</v>
      </c>
      <c r="I57" s="1363">
        <v>0.03</v>
      </c>
      <c r="J57" s="1346">
        <v>5</v>
      </c>
      <c r="K57" s="112"/>
      <c r="L57" s="113">
        <f t="shared" si="205"/>
        <v>0</v>
      </c>
      <c r="M57" s="114">
        <f t="shared" si="206"/>
        <v>0</v>
      </c>
      <c r="N57" s="115">
        <f t="shared" si="207"/>
        <v>0</v>
      </c>
      <c r="O57" s="115">
        <f t="shared" si="208"/>
        <v>0</v>
      </c>
      <c r="P57" s="116">
        <f t="shared" si="209"/>
        <v>0</v>
      </c>
      <c r="Q57" s="113">
        <f t="shared" si="210"/>
        <v>0</v>
      </c>
      <c r="R57" s="114">
        <f t="shared" si="211"/>
        <v>0</v>
      </c>
      <c r="S57" s="115">
        <f t="shared" si="212"/>
        <v>0</v>
      </c>
      <c r="T57" s="115">
        <f t="shared" si="213"/>
        <v>0</v>
      </c>
      <c r="U57" s="116">
        <f t="shared" si="214"/>
        <v>0</v>
      </c>
      <c r="V57" s="113">
        <f t="shared" si="215"/>
        <v>0</v>
      </c>
      <c r="W57" s="114">
        <f t="shared" si="216"/>
        <v>0</v>
      </c>
      <c r="X57" s="115">
        <f t="shared" si="217"/>
        <v>0</v>
      </c>
      <c r="Y57" s="115">
        <f t="shared" si="218"/>
        <v>0</v>
      </c>
      <c r="Z57" s="116">
        <f t="shared" si="219"/>
        <v>0</v>
      </c>
      <c r="AA57" s="113">
        <f t="shared" si="220"/>
        <v>0</v>
      </c>
      <c r="AB57" s="114">
        <f t="shared" si="221"/>
        <v>0</v>
      </c>
      <c r="AC57" s="115">
        <f t="shared" si="222"/>
        <v>0</v>
      </c>
      <c r="AD57" s="115">
        <f t="shared" si="223"/>
        <v>0</v>
      </c>
      <c r="AE57" s="116">
        <f t="shared" si="224"/>
        <v>0</v>
      </c>
      <c r="AF57" s="113">
        <f t="shared" si="225"/>
        <v>0</v>
      </c>
      <c r="AG57" s="114">
        <f t="shared" si="226"/>
        <v>0</v>
      </c>
      <c r="AH57" s="115">
        <f t="shared" si="227"/>
        <v>0</v>
      </c>
      <c r="AI57" s="115">
        <f t="shared" si="228"/>
        <v>0</v>
      </c>
      <c r="AJ57" s="116">
        <f t="shared" si="229"/>
        <v>0</v>
      </c>
      <c r="AK57" s="113">
        <f t="shared" si="230"/>
        <v>0</v>
      </c>
      <c r="AL57" s="114">
        <f>IF(AP57=0,0,IF(AP57&lt;0,IF($J57=3,AP57,IF($J57=2,AP57,IF($J57=1,AP57,0)))))</f>
        <v>0</v>
      </c>
      <c r="AM57" s="115">
        <f>IF(AP57=0,0,IF(AP57&lt;0,IF($J57=6,AP57,IF($J57=5,AP57,IF($J57=4,AP57,0)))))</f>
        <v>0</v>
      </c>
      <c r="AN57" s="115">
        <f>IF(AP57=0,0,IF(AP57&lt;0,IF($J57=9,AP57,IF($J57=8,AP57,IF($J57=7,AP57,0)))))</f>
        <v>0</v>
      </c>
      <c r="AO57" s="116">
        <f>IF(AP57=0,0,IF(AP57&lt;0,IF($J57=12,AP57,IF($J57=11,AP57,IF($J57=10,AP57,0)))))</f>
        <v>0</v>
      </c>
      <c r="AP57" s="113">
        <f t="shared" si="231"/>
        <v>0</v>
      </c>
      <c r="AQ57" s="114">
        <f>IF(AU57=0,0,IF(AU57&lt;0,IF($J57=3,AU57,IF($J57=2,AU57,IF($J57=1,AU57,0)))))</f>
        <v>0</v>
      </c>
      <c r="AR57" s="115">
        <f>IF(AU57=0,0,IF(AU57&lt;0,IF($J57=6,AU57,IF($J57=5,AU57,IF($J57=4,AU57,0)))))</f>
        <v>0</v>
      </c>
      <c r="AS57" s="115">
        <f>IF(AU57=0,0,IF(AU57&lt;0,IF($J57=9,AU57,IF($J57=8,AU57,IF($J57=7,AU57,0)))))</f>
        <v>0</v>
      </c>
      <c r="AT57" s="116">
        <f>IF(AU57=0,0,IF(AU57&lt;0,IF($J57=12,AU57,IF($J57=11,AU57,IF($J57=10,AU57,0)))))</f>
        <v>0</v>
      </c>
      <c r="AU57" s="113">
        <f t="shared" si="232"/>
        <v>0</v>
      </c>
      <c r="AV57" s="114">
        <f t="shared" si="233"/>
        <v>0</v>
      </c>
      <c r="AW57" s="115">
        <f t="shared" si="234"/>
        <v>0</v>
      </c>
      <c r="AX57" s="115">
        <f t="shared" si="235"/>
        <v>0</v>
      </c>
      <c r="AY57" s="116">
        <f t="shared" si="236"/>
        <v>0</v>
      </c>
      <c r="AZ57" s="113">
        <f t="shared" si="145"/>
        <v>0</v>
      </c>
      <c r="BA57" s="114">
        <f>IF(BE57=0,0,IF(BE57&lt;0,IF($J57=3,BE57,IF($J57=2,BE57,IF($J57=1,BE57,0)))))</f>
        <v>0</v>
      </c>
      <c r="BB57" s="115">
        <f>IF(BE57=0,0,IF(BE57&lt;0,IF($J57=6,BE57,IF($J57=5,BE57,IF($J57=4,BE57,0)))))</f>
        <v>0</v>
      </c>
      <c r="BC57" s="115">
        <f>IF(BE57=0,0,IF(BE57&lt;0,IF($J57=9,BE57,IF($J57=8,BE57,IF($J57=7,BE57,0)))))</f>
        <v>0</v>
      </c>
      <c r="BD57" s="116">
        <f>IF(BE57=0,0,IF(BE57&lt;0,IF($J57=12,BE57,IF($J57=11,BE57,IF($J57=10,BE57,0)))))</f>
        <v>0</v>
      </c>
      <c r="BE57" s="113">
        <f t="shared" si="237"/>
        <v>0</v>
      </c>
      <c r="BF57" s="194"/>
      <c r="BG57" s="118">
        <f>IF(AND(BF57&lt;&gt;0,BF$5=$H57),-$I57*$E57-BF57,IF(BG$5=$H57,-$I57*$E57*(12-$J57+1)/12,0))</f>
        <v>0</v>
      </c>
      <c r="BH57" s="119">
        <f t="shared" si="238"/>
        <v>0</v>
      </c>
      <c r="BI57" s="120">
        <f t="shared" si="239"/>
        <v>0</v>
      </c>
      <c r="BJ57" s="120">
        <f t="shared" si="240"/>
        <v>0</v>
      </c>
      <c r="BK57" s="121">
        <f t="shared" si="241"/>
        <v>0</v>
      </c>
      <c r="BL57" s="118">
        <f t="shared" si="242"/>
        <v>0</v>
      </c>
      <c r="BM57" s="119">
        <f t="shared" si="243"/>
        <v>0</v>
      </c>
      <c r="BN57" s="120">
        <f t="shared" si="244"/>
        <v>0</v>
      </c>
      <c r="BO57" s="120">
        <f t="shared" si="245"/>
        <v>0</v>
      </c>
      <c r="BP57" s="121">
        <f t="shared" si="246"/>
        <v>0</v>
      </c>
      <c r="BQ57" s="118">
        <f t="shared" si="247"/>
        <v>0</v>
      </c>
      <c r="BR57" s="119">
        <f t="shared" si="248"/>
        <v>0</v>
      </c>
      <c r="BS57" s="120">
        <f t="shared" si="249"/>
        <v>0</v>
      </c>
      <c r="BT57" s="120">
        <f t="shared" si="250"/>
        <v>0</v>
      </c>
      <c r="BU57" s="121">
        <f t="shared" si="251"/>
        <v>0</v>
      </c>
      <c r="BV57" s="118">
        <f t="shared" si="252"/>
        <v>0</v>
      </c>
      <c r="BW57" s="119">
        <f t="shared" si="253"/>
        <v>0</v>
      </c>
      <c r="BX57" s="120">
        <f t="shared" si="254"/>
        <v>0</v>
      </c>
      <c r="BY57" s="120">
        <f t="shared" si="255"/>
        <v>0</v>
      </c>
      <c r="BZ57" s="121">
        <f t="shared" si="256"/>
        <v>0</v>
      </c>
      <c r="CA57" s="118">
        <f t="shared" si="257"/>
        <v>0</v>
      </c>
      <c r="CB57" s="119">
        <f t="shared" si="258"/>
        <v>0</v>
      </c>
      <c r="CC57" s="120">
        <f t="shared" si="259"/>
        <v>0</v>
      </c>
      <c r="CD57" s="120">
        <f t="shared" si="260"/>
        <v>0</v>
      </c>
      <c r="CE57" s="121">
        <f t="shared" si="261"/>
        <v>0</v>
      </c>
      <c r="CF57" s="118">
        <f t="shared" si="262"/>
        <v>0</v>
      </c>
      <c r="CG57" s="119">
        <f>IF($H57&lt;&gt;CK$5,0,IF(CK57&lt;0,IF($J57=1,-$E57*$I57/12*3,IF($J57=2,-$E57*$I57/12*2,IF($J57=3,-$E57*$I57/12*1,0)))))+IF(CF$5&lt;&gt;$H57,0,IF(CF57&lt;0,IF($J57=1,-$E57*$I57/12*0,IF($J57=2,-$E57*$I57/12*1,IF($J57=3,-$E57*$I57/12*2,IF($J57&gt;=4,-$E57*$I57/12*3,0))))))</f>
        <v>0</v>
      </c>
      <c r="CH57" s="120">
        <f>IF($H57&lt;&gt;CK$5,0,IF(CK57&lt;0,IF(OR($J57=1,$J57=2,$J57=3,$J57=4),-$E57*$I57/12*3,IF($J57=5,-$E57*$I57/12*2,IF($J57=6,-$E57*$I57/12*1,0)))))+IF(CF$5&lt;&gt;$H57,0,IF(CF57&lt;0,IF($J57=4,-$E57*$I57/12*0,IF($J57=5,-$E57*$I57/12*1,IF($J57=6,-$E57*$I57/12*2,IF($J57&gt;=7,-$E57*$I57/12*3,0))))))</f>
        <v>0</v>
      </c>
      <c r="CI57" s="120">
        <f>IF($H57&lt;&gt;CK$5,0,IF(CK57&lt;0,IF(OR($J57=1,$J57=2,$J57=3,$J57=4,$J57=5,$J57=6,$J57=7),-$E57*$I57/12*3,IF($J57=8,-$E57*$I57/12*2,IF($J57=9,-$E57*$I57/12*1,0)))))+IF(CF$5&lt;&gt;$H57,0,IF(CF57&lt;0,IF($J57=7,-$E57*$I57/12*0,IF($J57=8,-$E57*$I57/12*1,IF($J57=9,-$E57*$I57/12*2,IF($J57&gt;=10,-$E57*$I57/12*3,0))))))</f>
        <v>0</v>
      </c>
      <c r="CJ57" s="121">
        <f>IF($H57&lt;&gt;CK$5,0,IF(CK57&lt;0,IF(OR($J57=1,$J57=2,$J57=3,$J57=4,$J57=5,$J57=6,$J57=7,$J57=8,$J57=9,$J57=10),-$E57*$I57/12*3,IF($J57=11,-$E57*$I57/12*2,IF($J57=12,-$E57*$I57/12*1,0)))))+IF(CF$5&lt;&gt;$H57,0,IF(CF57&lt;0,IF($J57=10,-$E57*$I57/12*0,IF($J57=11,-$E57*$I57/12*1,IF($J57=12,-$E57*$I57/12*2,0)))))</f>
        <v>0</v>
      </c>
      <c r="CK57" s="118">
        <f>IF(AND(CF57&lt;&gt;0,CF$5=$H57),-$I57*$E57-CF57,IF(CK$5=$H57,-$I57*$E57*(12-$J57+1)/12,0))</f>
        <v>0</v>
      </c>
      <c r="CL57" s="119">
        <f>IF($H57&lt;&gt;CP$5,0,IF(CP57&lt;0,IF($J57=1,-$E57*$I57/12*3,IF($J57=2,-$E57*$I57/12*2,IF($J57=3,-$E57*$I57/12*1,0)))))+IF(CK$5&lt;&gt;$H57,0,IF(CK57&lt;0,IF($J57=1,-$E57*$I57/12*0,IF($J57=2,-$E57*$I57/12*1,IF($J57=3,-$E57*$I57/12*2,IF($J57&gt;=4,-$E57*$I57/12*3,0))))))</f>
        <v>0</v>
      </c>
      <c r="CM57" s="120">
        <f>IF($H57&lt;&gt;CP$5,0,IF(CP57&lt;0,IF(OR($J57=1,$J57=2,$J57=3,$J57=4),-$E57*$I57/12*3,IF($J57=5,-$E57*$I57/12*2,IF($J57=6,-$E57*$I57/12*1,0)))))+IF(CK$5&lt;&gt;$H57,0,IF(CK57&lt;0,IF($J57=4,-$E57*$I57/12*0,IF($J57=5,-$E57*$I57/12*1,IF($J57=6,-$E57*$I57/12*2,IF($J57&gt;=7,-$E57*$I57/12*3,0))))))</f>
        <v>0</v>
      </c>
      <c r="CN57" s="120">
        <f>IF($H57&lt;&gt;CP$5,0,IF(CP57&lt;0,IF(OR($J57=1,$J57=2,$J57=3,$J57=4,$J57=5,$J57=6,$J57=7),-$E57*$I57/12*3,IF($J57=8,-$E57*$I57/12*2,IF($J57=9,-$E57*$I57/12*1,0)))))+IF(CK$5&lt;&gt;$H57,0,IF(CK57&lt;0,IF($J57=7,-$E57*$I57/12*0,IF($J57=8,-$E57*$I57/12*1,IF($J57=9,-$E57*$I57/12*2,IF($J57&gt;=10,-$E57*$I57/12*3,0))))))</f>
        <v>0</v>
      </c>
      <c r="CO57" s="121">
        <f>IF($H57&lt;&gt;CP$5,0,IF(CP57&lt;0,IF(OR($J57=1,$J57=2,$J57=3,$J57=4,$J57=5,$J57=6,$J57=7,$J57=8,$J57=9,$J57=10),-$E57*$I57/12*3,IF($J57=11,-$E57*$I57/12*2,IF($J57=12,-$E57*$I57/12*1,0)))))+IF(CK$5&lt;&gt;$H57,0,IF(CK57&lt;0,IF($J57=10,-$E57*$I57/12*0,IF($J57=11,-$E57*$I57/12*1,IF($J57=12,-$E57*$I57/12*2,0)))))</f>
        <v>0</v>
      </c>
      <c r="CP57" s="118">
        <f>IF(AND(CK57&lt;&gt;0,CK$5=$H57),-$I57*$E57-CK57,IF(CP$5=$H57,-$I57*$E57*(12-$J57+1)/12,0))</f>
        <v>0</v>
      </c>
      <c r="CQ57" s="119">
        <f>IF($H57&lt;&gt;CU$5,0,IF(CU57&lt;0,IF($J57=1,-$E57*$I57/12*3,IF($J57=2,-$E57*$I57/12*2,IF($J57=3,-$E57*$I57/12*1,0)))))+IF(CP$5&lt;&gt;$H57,0,IF(CP57&lt;0,IF($J57=1,-$E57*$I57/12*0,IF($J57=2,-$E57*$I57/12*1,IF($J57=3,-$E57*$I57/12*2,IF($J57&gt;=4,-$E57*$I57/12*3,0))))))</f>
        <v>0</v>
      </c>
      <c r="CR57" s="120">
        <f>IF($H57&lt;&gt;CU$5,0,IF(CU57&lt;0,IF(OR($J57=1,$J57=2,$J57=3,$J57=4),-$E57*$I57/12*3,IF($J57=5,-$E57*$I57/12*2,IF($J57=6,-$E57*$I57/12*1,0)))))+IF(CP$5&lt;&gt;$H57,0,IF(CP57&lt;0,IF($J57=4,-$E57*$I57/12*0,IF($J57=5,-$E57*$I57/12*1,IF($J57=6,-$E57*$I57/12*2,IF($J57&gt;=7,-$E57*$I57/12*3,0))))))</f>
        <v>0</v>
      </c>
      <c r="CS57" s="120">
        <f>IF($H57&lt;&gt;CU$5,0,IF(CU57&lt;0,IF(OR($J57=1,$J57=2,$J57=3,$J57=4,$J57=5,$J57=6,$J57=7),-$E57*$I57/12*3,IF($J57=8,-$E57*$I57/12*2,IF($J57=9,-$E57*$I57/12*1,0)))))+IF(CP$5&lt;&gt;$H57,0,IF(CP57&lt;0,IF($J57=7,-$E57*$I57/12*0,IF($J57=8,-$E57*$I57/12*1,IF($J57=9,-$E57*$I57/12*2,IF($J57&gt;=10,-$E57*$I57/12*3,0))))))</f>
        <v>0</v>
      </c>
      <c r="CT57" s="121">
        <f>IF($H57&lt;&gt;CU$5,0,IF(CU57&lt;0,IF(OR($J57=1,$J57=2,$J57=3,$J57=4,$J57=5,$J57=6,$J57=7,$J57=8,$J57=9,$J57=10),-$E57*$I57/12*3,IF($J57=11,-$E57*$I57/12*2,IF($J57=12,-$E57*$I57/12*1,0)))))+IF(CP$5&lt;&gt;$H57,0,IF(CP57&lt;0,IF($J57=10,-$E57*$I57/12*0,IF($J57=11,-$E57*$I57/12*1,IF($J57=12,-$E57*$I57/12*2,0)))))</f>
        <v>0</v>
      </c>
      <c r="CU57" s="118">
        <f>IF(AND(CP57&lt;&gt;0,CP$5=$H57),-$I57*$E57-CP57,IF(CU$5=$H57,-$I57*$E57*(12-$J57+1)/12,0))</f>
        <v>0</v>
      </c>
      <c r="CV57" s="119">
        <f>IF($H57&lt;&gt;CZ$5,0,IF(CZ57&lt;0,IF($J57=1,-$E57*$I57/12*3,IF($J57=2,-$E57*$I57/12*2,IF($J57=3,-$E57*$I57/12*1,0)))))+IF(CU$5&lt;&gt;$H57,0,IF(CU57&lt;0,IF($J57=1,-$E57*$I57/12*0,IF($J57=2,-$E57*$I57/12*1,IF($J57=3,-$E57*$I57/12*2,IF($J57&gt;=4,-$E57*$I57/12*3,0))))))</f>
        <v>0</v>
      </c>
      <c r="CW57" s="120">
        <f>IF($H57&lt;&gt;CZ$5,0,IF(CZ57&lt;0,IF(OR($J57=1,$J57=2,$J57=3,$J57=4),-$E57*$I57/12*3,IF($J57=5,-$E57*$I57/12*2,IF($J57=6,-$E57*$I57/12*1,0)))))+IF(CU$5&lt;&gt;$H57,0,IF(CU57&lt;0,IF($J57=4,-$E57*$I57/12*0,IF($J57=5,-$E57*$I57/12*1,IF($J57=6,-$E57*$I57/12*2,IF($J57&gt;=7,-$E57*$I57/12*3,0))))))</f>
        <v>0</v>
      </c>
      <c r="CX57" s="120">
        <f>IF($H57&lt;&gt;CZ$5,0,IF(CZ57&lt;0,IF(OR($J57=1,$J57=2,$J57=3,$J57=4,$J57=5,$J57=6,$J57=7),-$E57*$I57/12*3,IF($J57=8,-$E57*$I57/12*2,IF($J57=9,-$E57*$I57/12*1,0)))))+IF(CU$5&lt;&gt;$H57,0,IF(CU57&lt;0,IF($J57=7,-$E57*$I57/12*0,IF($J57=8,-$E57*$I57/12*1,IF($J57=9,-$E57*$I57/12*2,IF($J57&gt;=10,-$E57*$I57/12*3,0))))))</f>
        <v>0</v>
      </c>
      <c r="CY57" s="121">
        <f>IF($H57&lt;&gt;CZ$5,0,IF(CZ57&lt;0,IF(OR($J57=1,$J57=2,$J57=3,$J57=4,$J57=5,$J57=6,$J57=7,$J57=8,$J57=9,$J57=10),-$E57*$I57/12*3,IF($J57=11,-$E57*$I57/12*2,IF($J57=12,-$E57*$I57/12*1,0)))))+IF(CU$5&lt;&gt;$H57,0,IF(CU57&lt;0,IF($J57=10,-$E57*$I57/12*0,IF($J57=11,-$E57*$I57/12*1,IF($J57=12,-$E57*$I57/12*2,0)))))</f>
        <v>0</v>
      </c>
      <c r="CZ57" s="118">
        <f>IF(AND(CU57&lt;&gt;0,CU$5=$H57),-$I57*$E57-CU57,IF(CZ$5=$H57,-$I57*$E57*(12-$J57+1)/12,0))</f>
        <v>0</v>
      </c>
    </row>
    <row r="58" spans="1:104" ht="12.75" customHeight="1">
      <c r="A58" s="7"/>
      <c r="B58" s="7"/>
      <c r="C58" s="1508" t="s">
        <v>1041</v>
      </c>
      <c r="D58" s="190"/>
      <c r="E58" s="191">
        <f t="shared" si="263"/>
        <v>425</v>
      </c>
      <c r="F58" s="193">
        <v>425</v>
      </c>
      <c r="G58" s="193">
        <v>425</v>
      </c>
      <c r="H58" s="1346">
        <v>2026</v>
      </c>
      <c r="I58" s="1363">
        <v>2.2499999999999999E-2</v>
      </c>
      <c r="J58" s="1346">
        <v>5</v>
      </c>
      <c r="K58" s="112"/>
      <c r="L58" s="113">
        <f t="shared" si="205"/>
        <v>0</v>
      </c>
      <c r="M58" s="114">
        <f t="shared" si="206"/>
        <v>0</v>
      </c>
      <c r="N58" s="115">
        <f t="shared" si="207"/>
        <v>0</v>
      </c>
      <c r="O58" s="115">
        <f t="shared" si="208"/>
        <v>0</v>
      </c>
      <c r="P58" s="116">
        <f t="shared" si="209"/>
        <v>0</v>
      </c>
      <c r="Q58" s="113">
        <f t="shared" si="210"/>
        <v>0</v>
      </c>
      <c r="R58" s="114">
        <f t="shared" si="211"/>
        <v>0</v>
      </c>
      <c r="S58" s="115">
        <f t="shared" si="212"/>
        <v>0</v>
      </c>
      <c r="T58" s="115">
        <f t="shared" si="213"/>
        <v>0</v>
      </c>
      <c r="U58" s="116">
        <f t="shared" si="214"/>
        <v>0</v>
      </c>
      <c r="V58" s="113">
        <f t="shared" si="215"/>
        <v>0</v>
      </c>
      <c r="W58" s="114">
        <f t="shared" si="216"/>
        <v>0</v>
      </c>
      <c r="X58" s="115">
        <f t="shared" si="217"/>
        <v>0</v>
      </c>
      <c r="Y58" s="115">
        <f t="shared" si="218"/>
        <v>0</v>
      </c>
      <c r="Z58" s="116">
        <f t="shared" si="219"/>
        <v>0</v>
      </c>
      <c r="AA58" s="113">
        <f t="shared" si="220"/>
        <v>0</v>
      </c>
      <c r="AB58" s="114">
        <f t="shared" si="221"/>
        <v>0</v>
      </c>
      <c r="AC58" s="115">
        <f t="shared" si="222"/>
        <v>0</v>
      </c>
      <c r="AD58" s="115">
        <f t="shared" si="223"/>
        <v>0</v>
      </c>
      <c r="AE58" s="116">
        <f t="shared" si="224"/>
        <v>0</v>
      </c>
      <c r="AF58" s="113">
        <f t="shared" si="225"/>
        <v>0</v>
      </c>
      <c r="AG58" s="114">
        <f t="shared" si="226"/>
        <v>0</v>
      </c>
      <c r="AH58" s="115">
        <f t="shared" si="227"/>
        <v>0</v>
      </c>
      <c r="AI58" s="115">
        <f t="shared" si="228"/>
        <v>0</v>
      </c>
      <c r="AJ58" s="116">
        <f t="shared" si="229"/>
        <v>0</v>
      </c>
      <c r="AK58" s="113">
        <f t="shared" si="230"/>
        <v>0</v>
      </c>
      <c r="AL58" s="114">
        <f>IF(AP58=0,0,IF(AP58&lt;0,IF($J58=3,AP58,IF($J58=2,AP58,IF($J58=1,AP58,0)))))</f>
        <v>0</v>
      </c>
      <c r="AM58" s="115">
        <f>IF(AP58=0,0,IF(AP58&lt;0,IF($J58=6,AP58,IF($J58=5,AP58,IF($J58=4,AP58,0)))))</f>
        <v>0</v>
      </c>
      <c r="AN58" s="115">
        <f>IF(AP58=0,0,IF(AP58&lt;0,IF($J58=9,AP58,IF($J58=8,AP58,IF($J58=7,AP58,0)))))</f>
        <v>0</v>
      </c>
      <c r="AO58" s="116">
        <f>IF(AP58=0,0,IF(AP58&lt;0,IF($J58=12,AP58,IF($J58=11,AP58,IF($J58=10,AP58,0)))))</f>
        <v>0</v>
      </c>
      <c r="AP58" s="113">
        <f t="shared" si="231"/>
        <v>0</v>
      </c>
      <c r="AQ58" s="114">
        <f>IF(AU58=0,0,IF(AU58&lt;0,IF($J58=3,AU58,IF($J58=2,AU58,IF($J58=1,AU58,0)))))</f>
        <v>0</v>
      </c>
      <c r="AR58" s="115">
        <f>IF(AU58=0,0,IF(AU58&lt;0,IF($J58=6,AU58,IF($J58=5,AU58,IF($J58=4,AU58,0)))))</f>
        <v>0</v>
      </c>
      <c r="AS58" s="115">
        <f>IF(AU58=0,0,IF(AU58&lt;0,IF($J58=9,AU58,IF($J58=8,AU58,IF($J58=7,AU58,0)))))</f>
        <v>0</v>
      </c>
      <c r="AT58" s="116">
        <f>IF(AU58=0,0,IF(AU58&lt;0,IF($J58=12,AU58,IF($J58=11,AU58,IF($J58=10,AU58,0)))))</f>
        <v>0</v>
      </c>
      <c r="AU58" s="113">
        <f t="shared" si="232"/>
        <v>0</v>
      </c>
      <c r="AV58" s="114">
        <f t="shared" si="233"/>
        <v>0</v>
      </c>
      <c r="AW58" s="115">
        <f t="shared" si="234"/>
        <v>0</v>
      </c>
      <c r="AX58" s="115">
        <f t="shared" si="235"/>
        <v>0</v>
      </c>
      <c r="AY58" s="116">
        <f t="shared" si="236"/>
        <v>0</v>
      </c>
      <c r="AZ58" s="113">
        <f t="shared" si="145"/>
        <v>0</v>
      </c>
      <c r="BA58" s="114">
        <f>IF(BE58=0,0,IF(BE58&lt;0,IF($J58=3,BE58,IF($J58=2,BE58,IF($J58=1,BE58,0)))))</f>
        <v>0</v>
      </c>
      <c r="BB58" s="115">
        <f>IF(BE58=0,0,IF(BE58&lt;0,IF($J58=6,BE58,IF($J58=5,BE58,IF($J58=4,BE58,0)))))</f>
        <v>0</v>
      </c>
      <c r="BC58" s="115">
        <f>IF(BE58=0,0,IF(BE58&lt;0,IF($J58=9,BE58,IF($J58=8,BE58,IF($J58=7,BE58,0)))))</f>
        <v>0</v>
      </c>
      <c r="BD58" s="116">
        <f>IF(BE58=0,0,IF(BE58&lt;0,IF($J58=12,BE58,IF($J58=11,BE58,IF($J58=10,BE58,0)))))</f>
        <v>0</v>
      </c>
      <c r="BE58" s="113">
        <f t="shared" si="237"/>
        <v>0</v>
      </c>
      <c r="BF58" s="194"/>
      <c r="BG58" s="118">
        <f>IF(AND(BF58&lt;&gt;0,BF$5=$H58),-$I58*$E58-BF58,IF(BG$5=$H58,-$I58*$E58*(12-$J58+1)/12,0))</f>
        <v>0</v>
      </c>
      <c r="BH58" s="119">
        <f t="shared" si="238"/>
        <v>0</v>
      </c>
      <c r="BI58" s="120">
        <f t="shared" si="239"/>
        <v>0</v>
      </c>
      <c r="BJ58" s="120">
        <f t="shared" si="240"/>
        <v>0</v>
      </c>
      <c r="BK58" s="121">
        <f t="shared" si="241"/>
        <v>0</v>
      </c>
      <c r="BL58" s="118">
        <f t="shared" si="242"/>
        <v>0</v>
      </c>
      <c r="BM58" s="119">
        <f t="shared" si="243"/>
        <v>0</v>
      </c>
      <c r="BN58" s="120">
        <f t="shared" si="244"/>
        <v>0</v>
      </c>
      <c r="BO58" s="120">
        <f t="shared" si="245"/>
        <v>0</v>
      </c>
      <c r="BP58" s="121">
        <f t="shared" si="246"/>
        <v>0</v>
      </c>
      <c r="BQ58" s="118">
        <f t="shared" si="247"/>
        <v>0</v>
      </c>
      <c r="BR58" s="119">
        <f t="shared" si="248"/>
        <v>0</v>
      </c>
      <c r="BS58" s="120">
        <f t="shared" si="249"/>
        <v>0</v>
      </c>
      <c r="BT58" s="120">
        <f t="shared" si="250"/>
        <v>0</v>
      </c>
      <c r="BU58" s="121">
        <f t="shared" si="251"/>
        <v>0</v>
      </c>
      <c r="BV58" s="118">
        <f t="shared" si="252"/>
        <v>0</v>
      </c>
      <c r="BW58" s="119">
        <f t="shared" si="253"/>
        <v>0</v>
      </c>
      <c r="BX58" s="120">
        <f t="shared" si="254"/>
        <v>0</v>
      </c>
      <c r="BY58" s="120">
        <f t="shared" si="255"/>
        <v>0</v>
      </c>
      <c r="BZ58" s="121">
        <f t="shared" si="256"/>
        <v>0</v>
      </c>
      <c r="CA58" s="118">
        <f t="shared" si="257"/>
        <v>0</v>
      </c>
      <c r="CB58" s="119">
        <f t="shared" si="258"/>
        <v>0</v>
      </c>
      <c r="CC58" s="120">
        <f t="shared" si="259"/>
        <v>0</v>
      </c>
      <c r="CD58" s="120">
        <f t="shared" si="260"/>
        <v>0</v>
      </c>
      <c r="CE58" s="121">
        <f t="shared" si="261"/>
        <v>0</v>
      </c>
      <c r="CF58" s="118">
        <f t="shared" si="262"/>
        <v>0</v>
      </c>
      <c r="CG58" s="119">
        <f>IF($H58&lt;&gt;CK$5,0,IF(CK58&lt;0,IF($J58=1,-$E58*$I58/12*3,IF($J58=2,-$E58*$I58/12*2,IF($J58=3,-$E58*$I58/12*1,0)))))+IF(CF$5&lt;&gt;$H58,0,IF(CF58&lt;0,IF($J58=1,-$E58*$I58/12*0,IF($J58=2,-$E58*$I58/12*1,IF($J58=3,-$E58*$I58/12*2,IF($J58&gt;=4,-$E58*$I58/12*3,0))))))</f>
        <v>0</v>
      </c>
      <c r="CH58" s="120">
        <f>IF($H58&lt;&gt;CK$5,0,IF(CK58&lt;0,IF(OR($J58=1,$J58=2,$J58=3,$J58=4),-$E58*$I58/12*3,IF($J58=5,-$E58*$I58/12*2,IF($J58=6,-$E58*$I58/12*1,0)))))+IF(CF$5&lt;&gt;$H58,0,IF(CF58&lt;0,IF($J58=4,-$E58*$I58/12*0,IF($J58=5,-$E58*$I58/12*1,IF($J58=6,-$E58*$I58/12*2,IF($J58&gt;=7,-$E58*$I58/12*3,0))))))</f>
        <v>0</v>
      </c>
      <c r="CI58" s="120">
        <f>IF($H58&lt;&gt;CK$5,0,IF(CK58&lt;0,IF(OR($J58=1,$J58=2,$J58=3,$J58=4,$J58=5,$J58=6,$J58=7),-$E58*$I58/12*3,IF($J58=8,-$E58*$I58/12*2,IF($J58=9,-$E58*$I58/12*1,0)))))+IF(CF$5&lt;&gt;$H58,0,IF(CF58&lt;0,IF($J58=7,-$E58*$I58/12*0,IF($J58=8,-$E58*$I58/12*1,IF($J58=9,-$E58*$I58/12*2,IF($J58&gt;=10,-$E58*$I58/12*3,0))))))</f>
        <v>0</v>
      </c>
      <c r="CJ58" s="121">
        <f>IF($H58&lt;&gt;CK$5,0,IF(CK58&lt;0,IF(OR($J58=1,$J58=2,$J58=3,$J58=4,$J58=5,$J58=6,$J58=7,$J58=8,$J58=9,$J58=10),-$E58*$I58/12*3,IF($J58=11,-$E58*$I58/12*2,IF($J58=12,-$E58*$I58/12*1,0)))))+IF(CF$5&lt;&gt;$H58,0,IF(CF58&lt;0,IF($J58=10,-$E58*$I58/12*0,IF($J58=11,-$E58*$I58/12*1,IF($J58=12,-$E58*$I58/12*2,0)))))</f>
        <v>0</v>
      </c>
      <c r="CK58" s="118">
        <f>IF(AND(CF58&lt;&gt;0,CF$5=$H58),-$I58*$E58-CF58,IF(CK$5=$H58,-$I58*$E58*(12-$J58+1)/12,0))</f>
        <v>0</v>
      </c>
      <c r="CL58" s="119">
        <f>IF($H58&lt;&gt;CP$5,0,IF(CP58&lt;0,IF($J58=1,-$E58*$I58/12*3,IF($J58=2,-$E58*$I58/12*2,IF($J58=3,-$E58*$I58/12*1,0)))))+IF(CK$5&lt;&gt;$H58,0,IF(CK58&lt;0,IF($J58=1,-$E58*$I58/12*0,IF($J58=2,-$E58*$I58/12*1,IF($J58=3,-$E58*$I58/12*2,IF($J58&gt;=4,-$E58*$I58/12*3,0))))))</f>
        <v>0</v>
      </c>
      <c r="CM58" s="120">
        <f>IF($H58&lt;&gt;CP$5,0,IF(CP58&lt;0,IF(OR($J58=1,$J58=2,$J58=3,$J58=4),-$E58*$I58/12*3,IF($J58=5,-$E58*$I58/12*2,IF($J58=6,-$E58*$I58/12*1,0)))))+IF(CK$5&lt;&gt;$H58,0,IF(CK58&lt;0,IF($J58=4,-$E58*$I58/12*0,IF($J58=5,-$E58*$I58/12*1,IF($J58=6,-$E58*$I58/12*2,IF($J58&gt;=7,-$E58*$I58/12*3,0))))))</f>
        <v>0</v>
      </c>
      <c r="CN58" s="120">
        <f>IF($H58&lt;&gt;CP$5,0,IF(CP58&lt;0,IF(OR($J58=1,$J58=2,$J58=3,$J58=4,$J58=5,$J58=6,$J58=7),-$E58*$I58/12*3,IF($J58=8,-$E58*$I58/12*2,IF($J58=9,-$E58*$I58/12*1,0)))))+IF(CK$5&lt;&gt;$H58,0,IF(CK58&lt;0,IF($J58=7,-$E58*$I58/12*0,IF($J58=8,-$E58*$I58/12*1,IF($J58=9,-$E58*$I58/12*2,IF($J58&gt;=10,-$E58*$I58/12*3,0))))))</f>
        <v>0</v>
      </c>
      <c r="CO58" s="121">
        <f>IF($H58&lt;&gt;CP$5,0,IF(CP58&lt;0,IF(OR($J58=1,$J58=2,$J58=3,$J58=4,$J58=5,$J58=6,$J58=7,$J58=8,$J58=9,$J58=10),-$E58*$I58/12*3,IF($J58=11,-$E58*$I58/12*2,IF($J58=12,-$E58*$I58/12*1,0)))))+IF(CK$5&lt;&gt;$H58,0,IF(CK58&lt;0,IF($J58=10,-$E58*$I58/12*0,IF($J58=11,-$E58*$I58/12*1,IF($J58=12,-$E58*$I58/12*2,0)))))</f>
        <v>0</v>
      </c>
      <c r="CP58" s="118">
        <f>IF(AND(CK58&lt;&gt;0,CK$5=$H58),-$I58*$E58-CK58,IF(CP$5=$H58,-$I58*$E58*(12-$J58+1)/12,0))</f>
        <v>0</v>
      </c>
      <c r="CQ58" s="119">
        <f>IF($H58&lt;&gt;CU$5,0,IF(CU58&lt;0,IF($J58=1,-$E58*$I58/12*3,IF($J58=2,-$E58*$I58/12*2,IF($J58=3,-$E58*$I58/12*1,0)))))+IF(CP$5&lt;&gt;$H58,0,IF(CP58&lt;0,IF($J58=1,-$E58*$I58/12*0,IF($J58=2,-$E58*$I58/12*1,IF($J58=3,-$E58*$I58/12*2,IF($J58&gt;=4,-$E58*$I58/12*3,0))))))</f>
        <v>0</v>
      </c>
      <c r="CR58" s="120">
        <f>IF($H58&lt;&gt;CU$5,0,IF(CU58&lt;0,IF(OR($J58=1,$J58=2,$J58=3,$J58=4),-$E58*$I58/12*3,IF($J58=5,-$E58*$I58/12*2,IF($J58=6,-$E58*$I58/12*1,0)))))+IF(CP$5&lt;&gt;$H58,0,IF(CP58&lt;0,IF($J58=4,-$E58*$I58/12*0,IF($J58=5,-$E58*$I58/12*1,IF($J58=6,-$E58*$I58/12*2,IF($J58&gt;=7,-$E58*$I58/12*3,0))))))</f>
        <v>0</v>
      </c>
      <c r="CS58" s="120">
        <f>IF($H58&lt;&gt;CU$5,0,IF(CU58&lt;0,IF(OR($J58=1,$J58=2,$J58=3,$J58=4,$J58=5,$J58=6,$J58=7),-$E58*$I58/12*3,IF($J58=8,-$E58*$I58/12*2,IF($J58=9,-$E58*$I58/12*1,0)))))+IF(CP$5&lt;&gt;$H58,0,IF(CP58&lt;0,IF($J58=7,-$E58*$I58/12*0,IF($J58=8,-$E58*$I58/12*1,IF($J58=9,-$E58*$I58/12*2,IF($J58&gt;=10,-$E58*$I58/12*3,0))))))</f>
        <v>0</v>
      </c>
      <c r="CT58" s="121">
        <f>IF($H58&lt;&gt;CU$5,0,IF(CU58&lt;0,IF(OR($J58=1,$J58=2,$J58=3,$J58=4,$J58=5,$J58=6,$J58=7,$J58=8,$J58=9,$J58=10),-$E58*$I58/12*3,IF($J58=11,-$E58*$I58/12*2,IF($J58=12,-$E58*$I58/12*1,0)))))+IF(CP$5&lt;&gt;$H58,0,IF(CP58&lt;0,IF($J58=10,-$E58*$I58/12*0,IF($J58=11,-$E58*$I58/12*1,IF($J58=12,-$E58*$I58/12*2,0)))))</f>
        <v>0</v>
      </c>
      <c r="CU58" s="118">
        <f>IF(AND(CP58&lt;&gt;0,CP$5=$H58),-$I58*$E58-CP58,IF(CU$5=$H58,-$I58*$E58*(12-$J58+1)/12,0))</f>
        <v>0</v>
      </c>
      <c r="CV58" s="119">
        <f>IF($H58&lt;&gt;CZ$5,0,IF(CZ58&lt;0,IF($J58=1,-$E58*$I58/12*3,IF($J58=2,-$E58*$I58/12*2,IF($J58=3,-$E58*$I58/12*1,0)))))+IF(CU$5&lt;&gt;$H58,0,IF(CU58&lt;0,IF($J58=1,-$E58*$I58/12*0,IF($J58=2,-$E58*$I58/12*1,IF($J58=3,-$E58*$I58/12*2,IF($J58&gt;=4,-$E58*$I58/12*3,0))))))</f>
        <v>0</v>
      </c>
      <c r="CW58" s="120">
        <f>IF($H58&lt;&gt;CZ$5,0,IF(CZ58&lt;0,IF(OR($J58=1,$J58=2,$J58=3,$J58=4),-$E58*$I58/12*3,IF($J58=5,-$E58*$I58/12*2,IF($J58=6,-$E58*$I58/12*1,0)))))+IF(CU$5&lt;&gt;$H58,0,IF(CU58&lt;0,IF($J58=4,-$E58*$I58/12*0,IF($J58=5,-$E58*$I58/12*1,IF($J58=6,-$E58*$I58/12*2,IF($J58&gt;=7,-$E58*$I58/12*3,0))))))</f>
        <v>0</v>
      </c>
      <c r="CX58" s="120">
        <f>IF($H58&lt;&gt;CZ$5,0,IF(CZ58&lt;0,IF(OR($J58=1,$J58=2,$J58=3,$J58=4,$J58=5,$J58=6,$J58=7),-$E58*$I58/12*3,IF($J58=8,-$E58*$I58/12*2,IF($J58=9,-$E58*$I58/12*1,0)))))+IF(CU$5&lt;&gt;$H58,0,IF(CU58&lt;0,IF($J58=7,-$E58*$I58/12*0,IF($J58=8,-$E58*$I58/12*1,IF($J58=9,-$E58*$I58/12*2,IF($J58&gt;=10,-$E58*$I58/12*3,0))))))</f>
        <v>0</v>
      </c>
      <c r="CY58" s="121">
        <f>IF($H58&lt;&gt;CZ$5,0,IF(CZ58&lt;0,IF(OR($J58=1,$J58=2,$J58=3,$J58=4,$J58=5,$J58=6,$J58=7,$J58=8,$J58=9,$J58=10),-$E58*$I58/12*3,IF($J58=11,-$E58*$I58/12*2,IF($J58=12,-$E58*$I58/12*1,0)))))+IF(CU$5&lt;&gt;$H58,0,IF(CU58&lt;0,IF($J58=10,-$E58*$I58/12*0,IF($J58=11,-$E58*$I58/12*1,IF($J58=12,-$E58*$I58/12*2,0)))))</f>
        <v>0</v>
      </c>
      <c r="CZ58" s="118">
        <f>IF(AND(CU58&lt;&gt;0,CU$5=$H58),-$I58*$E58-CU58,IF(CZ$5=$H58,-$I58*$E58*(12-$J58+1)/12,0))</f>
        <v>0</v>
      </c>
    </row>
    <row r="59" spans="1:104" ht="12.75" customHeight="1">
      <c r="A59" s="7"/>
      <c r="B59" s="7"/>
      <c r="C59" s="1508" t="s">
        <v>1080</v>
      </c>
      <c r="D59" s="190"/>
      <c r="E59" s="191">
        <f>IF(F59=0,G59,F59)</f>
        <v>425</v>
      </c>
      <c r="F59" s="193">
        <v>425</v>
      </c>
      <c r="G59" s="193">
        <v>0</v>
      </c>
      <c r="H59" s="1346">
        <v>2027</v>
      </c>
      <c r="I59" s="1363">
        <v>0.03</v>
      </c>
      <c r="J59" s="1346">
        <v>5</v>
      </c>
      <c r="K59" s="112"/>
      <c r="L59" s="113">
        <f>IF(L$5=$H59,-$E59,0)</f>
        <v>0</v>
      </c>
      <c r="M59" s="114">
        <f>IF(Q59=0,0,IF(Q59&lt;0,IF($J59=3,Q59,IF($J59=2,Q59,IF($J59=1,Q59,0)))))</f>
        <v>0</v>
      </c>
      <c r="N59" s="115">
        <f>IF(Q59=0,0,IF(Q59&lt;0,IF($J59=6,Q59,IF($J59=5,Q59,IF($J59=4,Q59,0)))))</f>
        <v>0</v>
      </c>
      <c r="O59" s="115">
        <f>IF(Q59=0,0,IF(Q59&lt;0,IF($J59=9,Q59,IF($J59=8,Q59,IF($J59=7,Q59,0)))))</f>
        <v>0</v>
      </c>
      <c r="P59" s="116">
        <f>IF(Q59=0,0,IF(Q59&lt;0,IF($J59=12,Q59,IF($J59=11,Q59,IF($J59=10,Q59,0)))))</f>
        <v>0</v>
      </c>
      <c r="Q59" s="113">
        <f>IF(Q$5=$H59,-$E59,0)</f>
        <v>0</v>
      </c>
      <c r="R59" s="114">
        <f>IF(V59=0,0,IF(V59&lt;0,IF($J59=3,V59,IF($J59=2,V59,IF($J59=1,V59,0)))))</f>
        <v>0</v>
      </c>
      <c r="S59" s="115">
        <f>IF(V59=0,0,IF(V59&lt;0,IF($J59=6,V59,IF($J59=5,V59,IF($J59=4,V59,0)))))</f>
        <v>0</v>
      </c>
      <c r="T59" s="115">
        <f>IF(V59=0,0,IF(V59&lt;0,IF($J59=9,V59,IF($J59=8,V59,IF($J59=7,V59,0)))))</f>
        <v>0</v>
      </c>
      <c r="U59" s="116">
        <f>IF(V59=0,0,IF(V59&lt;0,IF($J59=12,V59,IF($J59=11,V59,IF($J59=10,V59,0)))))</f>
        <v>0</v>
      </c>
      <c r="V59" s="113">
        <f>IF(V$5=$H59,-$E59,0)</f>
        <v>0</v>
      </c>
      <c r="W59" s="114">
        <f>IF(AA59=0,0,IF(AA59&lt;0,IF($J59=3,AA59,IF($J59=2,AA59,IF($J59=1,AA59,0)))))</f>
        <v>0</v>
      </c>
      <c r="X59" s="115">
        <f>IF(AA59=0,0,IF(AA59&lt;0,IF($J59=6,AA59,IF($J59=5,AA59,IF($J59=4,AA59,0)))))</f>
        <v>0</v>
      </c>
      <c r="Y59" s="115">
        <f>IF(AA59=0,0,IF(AA59&lt;0,IF($J59=9,AA59,IF($J59=8,AA59,IF($J59=7,AA59,0)))))</f>
        <v>0</v>
      </c>
      <c r="Z59" s="116">
        <f>IF(AA59=0,0,IF(AA59&lt;0,IF($J59=12,AA59,IF($J59=11,AA59,IF($J59=10,AA59,0)))))</f>
        <v>0</v>
      </c>
      <c r="AA59" s="113">
        <f>IF(AA$5=$H59,-$E59,0)</f>
        <v>0</v>
      </c>
      <c r="AB59" s="114">
        <f>IF(AF59=0,0,IF(AF59&lt;0,IF($J59=3,AF59,IF($J59=2,AF59,IF($J59=1,AF59,0)))))</f>
        <v>0</v>
      </c>
      <c r="AC59" s="115">
        <f>IF(AF59=0,0,IF(AF59&lt;0,IF($J59=6,AF59,IF($J59=5,AF59,IF($J59=4,AF59,0)))))</f>
        <v>0</v>
      </c>
      <c r="AD59" s="115">
        <f>IF(AF59=0,0,IF(AF59&lt;0,IF($J59=9,AF59,IF($J59=8,AF59,IF($J59=7,AF59,0)))))</f>
        <v>0</v>
      </c>
      <c r="AE59" s="116">
        <f>IF(AF59=0,0,IF(AF59&lt;0,IF($J59=12,AF59,IF($J59=11,AF59,IF($J59=10,AF59,0)))))</f>
        <v>0</v>
      </c>
      <c r="AF59" s="113">
        <f>IF(AF$5=$H59,-$E59,0)</f>
        <v>0</v>
      </c>
      <c r="AG59" s="114">
        <f>IF(AK59=0,0,IF(AK59&lt;0,IF($J59=3,AK59,IF($J59=2,AK59,IF($J59=1,AK59,0)))))</f>
        <v>0</v>
      </c>
      <c r="AH59" s="115">
        <f>IF(AK59=0,0,IF(AK59&lt;0,IF($J59=6,AK59,IF($J59=5,AK59,IF($J59=4,AK59,0)))))</f>
        <v>0</v>
      </c>
      <c r="AI59" s="115">
        <f>IF(AK59=0,0,IF(AK59&lt;0,IF($J59=9,AK59,IF($J59=8,AK59,IF($J59=7,AK59,0)))))</f>
        <v>0</v>
      </c>
      <c r="AJ59" s="116">
        <f>IF(AK59=0,0,IF(AK59&lt;0,IF($J59=12,AK59,IF($J59=11,AK59,IF($J59=10,AK59,0)))))</f>
        <v>0</v>
      </c>
      <c r="AK59" s="113">
        <f>IF(AK$5=$H59,-$E59,0)</f>
        <v>0</v>
      </c>
      <c r="AL59" s="114">
        <f>IF(AP59=0,0,IF(AP59&lt;0,IF($J59=3,AP59,IF($J59=2,AP59,IF($J59=1,AP59,0)))))</f>
        <v>0</v>
      </c>
      <c r="AM59" s="115">
        <f>IF(AP59=0,0,IF(AP59&lt;0,IF($J59=6,AP59,IF($J59=5,AP59,IF($J59=4,AP59,0)))))</f>
        <v>0</v>
      </c>
      <c r="AN59" s="115">
        <f>IF(AP59=0,0,IF(AP59&lt;0,IF($J59=9,AP59,IF($J59=8,AP59,IF($J59=7,AP59,0)))))</f>
        <v>0</v>
      </c>
      <c r="AO59" s="116">
        <f>IF(AP59=0,0,IF(AP59&lt;0,IF($J59=12,AP59,IF($J59=11,AP59,IF($J59=10,AP59,0)))))</f>
        <v>0</v>
      </c>
      <c r="AP59" s="113">
        <f>IF(AP$5=$H59,-$E59,0)</f>
        <v>0</v>
      </c>
      <c r="AQ59" s="114">
        <f>IF(AU59=0,0,IF(AU59&lt;0,IF($J59=3,AU59,IF($J59=2,AU59,IF($J59=1,AU59,0)))))</f>
        <v>0</v>
      </c>
      <c r="AR59" s="115">
        <f>IF(AU59=0,0,IF(AU59&lt;0,IF($J59=6,AU59,IF($J59=5,AU59,IF($J59=4,AU59,0)))))</f>
        <v>0</v>
      </c>
      <c r="AS59" s="115">
        <f>IF(AU59=0,0,IF(AU59&lt;0,IF($J59=9,AU59,IF($J59=8,AU59,IF($J59=7,AU59,0)))))</f>
        <v>0</v>
      </c>
      <c r="AT59" s="116">
        <f>IF(AU59=0,0,IF(AU59&lt;0,IF($J59=12,AU59,IF($J59=11,AU59,IF($J59=10,AU59,0)))))</f>
        <v>0</v>
      </c>
      <c r="AU59" s="113">
        <f>IF(AU$5=$H59,-$E59,0)</f>
        <v>0</v>
      </c>
      <c r="AV59" s="114">
        <f t="shared" si="233"/>
        <v>0</v>
      </c>
      <c r="AW59" s="115">
        <f t="shared" si="234"/>
        <v>0</v>
      </c>
      <c r="AX59" s="115">
        <f t="shared" si="235"/>
        <v>0</v>
      </c>
      <c r="AY59" s="116">
        <f t="shared" si="236"/>
        <v>0</v>
      </c>
      <c r="AZ59" s="113">
        <f>IF(AZ$5=$H59,-$E59,0)</f>
        <v>0</v>
      </c>
      <c r="BA59" s="114">
        <f>IF(BE59=0,0,IF(BE59&lt;0,IF($J59=3,BE59,IF($J59=2,BE59,IF($J59=1,BE59,0)))))</f>
        <v>0</v>
      </c>
      <c r="BB59" s="115">
        <f>IF(BE59=0,0,IF(BE59&lt;0,IF($J59=6,BE59,IF($J59=5,BE59,IF($J59=4,BE59,0)))))</f>
        <v>0</v>
      </c>
      <c r="BC59" s="115">
        <f>IF(BE59=0,0,IF(BE59&lt;0,IF($J59=9,BE59,IF($J59=8,BE59,IF($J59=7,BE59,0)))))</f>
        <v>0</v>
      </c>
      <c r="BD59" s="116">
        <f>IF(BE59=0,0,IF(BE59&lt;0,IF($J59=12,BE59,IF($J59=11,BE59,IF($J59=10,BE59,0)))))</f>
        <v>0</v>
      </c>
      <c r="BE59" s="113">
        <f>IF(BE$5=$H59,-$E59,0)</f>
        <v>0</v>
      </c>
      <c r="BF59" s="194"/>
      <c r="BG59" s="118">
        <f>IF(AND(BF59&lt;&gt;0,BF$5=$H59),-$I59*$E59-BF59,IF(BG$5=$H59,-$I59*$E59*(12-$J59+1)/12,0))</f>
        <v>0</v>
      </c>
      <c r="BH59" s="119">
        <f>IF($H59&lt;&gt;BL$5,0,IF(BL59&lt;0,IF($J59=1,-$E59*$I59/12*3,IF($J59=2,-$E59*$I59/12*2,IF($J59=3,-$E59*$I59/12*1,0)))))+IF(BG$5&lt;&gt;$H59,0,IF(BG59&lt;0,IF($J59=1,-$E59*$I59/12*0,IF($J59=2,-$E59*$I59/12*1,IF($J59=3,-$E59*$I59/12*2,IF($J59&gt;=4,-$E59*$I59/12*3,0))))))</f>
        <v>0</v>
      </c>
      <c r="BI59" s="120">
        <f>IF($H59&lt;&gt;BL$5,0,IF(BL59&lt;0,IF(OR($J59=1,$J59=2,$J59=3,$J59=4),-$E59*$I59/12*3,IF($J59=5,-$E59*$I59/12*2,IF($J59=6,-$E59*$I59/12*1,0)))))+IF(BG$5&lt;&gt;$H59,0,IF(BG59&lt;0,IF($J59=4,-$E59*$I59/12*0,IF($J59=5,-$E59*$I59/12*1,IF($J59=6,-$E59*$I59/12*2,IF($J59&gt;=7,-$E59*$I59/12*3,0))))))</f>
        <v>0</v>
      </c>
      <c r="BJ59" s="120">
        <f>IF($H59&lt;&gt;BL$5,0,IF(BL59&lt;0,IF(OR($J59=1,$J59=2,$J59=3,$J59=4,$J59=5,$J59=6,$J59=7),-$E59*$I59/12*3,IF($J59=8,-$E59*$I59/12*2,IF($J59=9,-$E59*$I59/12*1,0)))))+IF(BG$5&lt;&gt;$H59,0,IF(BG59&lt;0,IF($J59=7,-$E59*$I59/12*0,IF($J59=8,-$E59*$I59/12*1,IF($J59=9,-$E59*$I59/12*2,IF($J59&gt;=10,-$E59*$I59/12*3,0))))))</f>
        <v>0</v>
      </c>
      <c r="BK59" s="121">
        <f>IF($H59&lt;&gt;BL$5,0,IF(BL59&lt;0,IF(OR($J59=1,$J59=2,$J59=3,$J59=4,$J59=5,$J59=6,$J59=7,$J59=8,$J59=9,$J59=10),-$E59*$I59/12*3,IF($J59=11,-$E59*$I59/12*2,IF($J59=12,-$E59*$I59/12*1,0)))))+IF(BG$5&lt;&gt;$H59,0,IF(BG59&lt;0,IF($J59=10,-$E59*$I59/12*0,IF($J59=11,-$E59*$I59/12*1,IF($J59=12,-$E59*$I59/12*2,0)))))</f>
        <v>0</v>
      </c>
      <c r="BL59" s="118">
        <f>IF(AND(BG59&lt;&gt;0,BG$5=$H59),-$I59*$E59-BG59,IF(BL$5=$H59,-$I59*$E59*(12-$J59+1)/12,0))</f>
        <v>0</v>
      </c>
      <c r="BM59" s="119">
        <f>IF($H59&lt;&gt;BQ$5,0,IF(BQ59&lt;0,IF($J59=1,-$E59*$I59/12*3,IF($J59=2,-$E59*$I59/12*2,IF($J59=3,-$E59*$I59/12*1,0)))))+IF(BL$5&lt;&gt;$H59,0,IF(BL59&lt;0,IF($J59=1,-$E59*$I59/12*0,IF($J59=2,-$E59*$I59/12*1,IF($J59=3,-$E59*$I59/12*2,IF($J59&gt;=4,-$E59*$I59/12*3,0))))))</f>
        <v>0</v>
      </c>
      <c r="BN59" s="120">
        <f>IF($H59&lt;&gt;BQ$5,0,IF(BQ59&lt;0,IF(OR($J59=1,$J59=2,$J59=3,$J59=4),-$E59*$I59/12*3,IF($J59=5,-$E59*$I59/12*2,IF($J59=6,-$E59*$I59/12*1,0)))))+IF(BL$5&lt;&gt;$H59,0,IF(BL59&lt;0,IF($J59=4,-$E59*$I59/12*0,IF($J59=5,-$E59*$I59/12*1,IF($J59=6,-$E59*$I59/12*2,IF($J59&gt;=7,-$E59*$I59/12*3,0))))))</f>
        <v>0</v>
      </c>
      <c r="BO59" s="120">
        <f>IF($H59&lt;&gt;BQ$5,0,IF(BQ59&lt;0,IF(OR($J59=1,$J59=2,$J59=3,$J59=4,$J59=5,$J59=6,$J59=7),-$E59*$I59/12*3,IF($J59=8,-$E59*$I59/12*2,IF($J59=9,-$E59*$I59/12*1,0)))))+IF(BL$5&lt;&gt;$H59,0,IF(BL59&lt;0,IF($J59=7,-$E59*$I59/12*0,IF($J59=8,-$E59*$I59/12*1,IF($J59=9,-$E59*$I59/12*2,IF($J59&gt;=10,-$E59*$I59/12*3,0))))))</f>
        <v>0</v>
      </c>
      <c r="BP59" s="121">
        <f>IF($H59&lt;&gt;BQ$5,0,IF(BQ59&lt;0,IF(OR($J59=1,$J59=2,$J59=3,$J59=4,$J59=5,$J59=6,$J59=7,$J59=8,$J59=9,$J59=10),-$E59*$I59/12*3,IF($J59=11,-$E59*$I59/12*2,IF($J59=12,-$E59*$I59/12*1,0)))))+IF(BL$5&lt;&gt;$H59,0,IF(BL59&lt;0,IF($J59=10,-$E59*$I59/12*0,IF($J59=11,-$E59*$I59/12*1,IF($J59=12,-$E59*$I59/12*2,0)))))</f>
        <v>0</v>
      </c>
      <c r="BQ59" s="118">
        <f>IF(AND(BL59&lt;&gt;0,BL$5=$H59),-$I59*$E59-BL59,IF(BQ$5=$H59,-$I59*$E59*(12-$J59+1)/12,0))</f>
        <v>0</v>
      </c>
      <c r="BR59" s="119">
        <f>IF($H59&lt;&gt;BV$5,0,IF(BV59&lt;0,IF($J59=1,-$E59*$I59/12*3,IF($J59=2,-$E59*$I59/12*2,IF($J59=3,-$E59*$I59/12*1,0)))))+IF(BQ$5&lt;&gt;$H59,0,IF(BQ59&lt;0,IF($J59=1,-$E59*$I59/12*0,IF($J59=2,-$E59*$I59/12*1,IF($J59=3,-$E59*$I59/12*2,IF($J59&gt;=4,-$E59*$I59/12*3,0))))))</f>
        <v>0</v>
      </c>
      <c r="BS59" s="120">
        <f>IF($H59&lt;&gt;BV$5,0,IF(BV59&lt;0,IF(OR($J59=1,$J59=2,$J59=3,$J59=4),-$E59*$I59/12*3,IF($J59=5,-$E59*$I59/12*2,IF($J59=6,-$E59*$I59/12*1,0)))))+IF(BQ$5&lt;&gt;$H59,0,IF(BQ59&lt;0,IF($J59=4,-$E59*$I59/12*0,IF($J59=5,-$E59*$I59/12*1,IF($J59=6,-$E59*$I59/12*2,IF($J59&gt;=7,-$E59*$I59/12*3,0))))))</f>
        <v>0</v>
      </c>
      <c r="BT59" s="120">
        <f>IF($H59&lt;&gt;BV$5,0,IF(BV59&lt;0,IF(OR($J59=1,$J59=2,$J59=3,$J59=4,$J59=5,$J59=6,$J59=7),-$E59*$I59/12*3,IF($J59=8,-$E59*$I59/12*2,IF($J59=9,-$E59*$I59/12*1,0)))))+IF(BQ$5&lt;&gt;$H59,0,IF(BQ59&lt;0,IF($J59=7,-$E59*$I59/12*0,IF($J59=8,-$E59*$I59/12*1,IF($J59=9,-$E59*$I59/12*2,IF($J59&gt;=10,-$E59*$I59/12*3,0))))))</f>
        <v>0</v>
      </c>
      <c r="BU59" s="121">
        <f>IF($H59&lt;&gt;BV$5,0,IF(BV59&lt;0,IF(OR($J59=1,$J59=2,$J59=3,$J59=4,$J59=5,$J59=6,$J59=7,$J59=8,$J59=9,$J59=10),-$E59*$I59/12*3,IF($J59=11,-$E59*$I59/12*2,IF($J59=12,-$E59*$I59/12*1,0)))))+IF(BQ$5&lt;&gt;$H59,0,IF(BQ59&lt;0,IF($J59=10,-$E59*$I59/12*0,IF($J59=11,-$E59*$I59/12*1,IF($J59=12,-$E59*$I59/12*2,0)))))</f>
        <v>0</v>
      </c>
      <c r="BV59" s="118">
        <f>IF(AND(BQ59&lt;&gt;0,BQ$5=$H59),-$I59*$E59-BQ59,IF(BV$5=$H59,-$I59*$E59*(12-$J59+1)/12,0))</f>
        <v>0</v>
      </c>
      <c r="BW59" s="119">
        <f>IF($H59&lt;&gt;CA$5,0,IF(CA59&lt;0,IF($J59=1,-$E59*$I59/12*3,IF($J59=2,-$E59*$I59/12*2,IF($J59=3,-$E59*$I59/12*1,0)))))+IF(BV$5&lt;&gt;$H59,0,IF(BV59&lt;0,IF($J59=1,-$E59*$I59/12*0,IF($J59=2,-$E59*$I59/12*1,IF($J59=3,-$E59*$I59/12*2,IF($J59&gt;=4,-$E59*$I59/12*3,0))))))</f>
        <v>0</v>
      </c>
      <c r="BX59" s="120">
        <f>IF($H59&lt;&gt;CA$5,0,IF(CA59&lt;0,IF(OR($J59=1,$J59=2,$J59=3,$J59=4),-$E59*$I59/12*3,IF($J59=5,-$E59*$I59/12*2,IF($J59=6,-$E59*$I59/12*1,0)))))+IF(BV$5&lt;&gt;$H59,0,IF(BV59&lt;0,IF($J59=4,-$E59*$I59/12*0,IF($J59=5,-$E59*$I59/12*1,IF($J59=6,-$E59*$I59/12*2,IF($J59&gt;=7,-$E59*$I59/12*3,0))))))</f>
        <v>0</v>
      </c>
      <c r="BY59" s="120">
        <f>IF($H59&lt;&gt;CA$5,0,IF(CA59&lt;0,IF(OR($J59=1,$J59=2,$J59=3,$J59=4,$J59=5,$J59=6,$J59=7),-$E59*$I59/12*3,IF($J59=8,-$E59*$I59/12*2,IF($J59=9,-$E59*$I59/12*1,0)))))+IF(BV$5&lt;&gt;$H59,0,IF(BV59&lt;0,IF($J59=7,-$E59*$I59/12*0,IF($J59=8,-$E59*$I59/12*1,IF($J59=9,-$E59*$I59/12*2,IF($J59&gt;=10,-$E59*$I59/12*3,0))))))</f>
        <v>0</v>
      </c>
      <c r="BZ59" s="121">
        <f>IF($H59&lt;&gt;CA$5,0,IF(CA59&lt;0,IF(OR($J59=1,$J59=2,$J59=3,$J59=4,$J59=5,$J59=6,$J59=7,$J59=8,$J59=9,$J59=10),-$E59*$I59/12*3,IF($J59=11,-$E59*$I59/12*2,IF($J59=12,-$E59*$I59/12*1,0)))))+IF(BV$5&lt;&gt;$H59,0,IF(BV59&lt;0,IF($J59=10,-$E59*$I59/12*0,IF($J59=11,-$E59*$I59/12*1,IF($J59=12,-$E59*$I59/12*2,0)))))</f>
        <v>0</v>
      </c>
      <c r="CA59" s="118">
        <f>IF(AND(BV59&lt;&gt;0,BV$5=$H59),-$I59*$E59-BV59,IF(CA$5=$H59,-$I59*$E59*(12-$J59+1)/12,0))</f>
        <v>0</v>
      </c>
      <c r="CB59" s="119">
        <f>IF($H59&lt;&gt;CF$5,0,IF(CF59&lt;0,IF($J59=1,-$E59*$I59/12*3,IF($J59=2,-$E59*$I59/12*2,IF($J59=3,-$E59*$I59/12*1,0)))))+IF(CA$5&lt;&gt;$H59,0,IF(CA59&lt;0,IF($J59=1,-$E59*$I59/12*0,IF($J59=2,-$E59*$I59/12*1,IF($J59=3,-$E59*$I59/12*2,IF($J59&gt;=4,-$E59*$I59/12*3,0))))))</f>
        <v>0</v>
      </c>
      <c r="CC59" s="120">
        <f>IF($H59&lt;&gt;CF$5,0,IF(CF59&lt;0,IF(OR($J59=1,$J59=2,$J59=3,$J59=4),-$E59*$I59/12*3,IF($J59=5,-$E59*$I59/12*2,IF($J59=6,-$E59*$I59/12*1,0)))))+IF(CA$5&lt;&gt;$H59,0,IF(CA59&lt;0,IF($J59=4,-$E59*$I59/12*0,IF($J59=5,-$E59*$I59/12*1,IF($J59=6,-$E59*$I59/12*2,IF($J59&gt;=7,-$E59*$I59/12*3,0))))))</f>
        <v>0</v>
      </c>
      <c r="CD59" s="120">
        <f>IF($H59&lt;&gt;CF$5,0,IF(CF59&lt;0,IF(OR($J59=1,$J59=2,$J59=3,$J59=4,$J59=5,$J59=6,$J59=7),-$E59*$I59/12*3,IF($J59=8,-$E59*$I59/12*2,IF($J59=9,-$E59*$I59/12*1,0)))))+IF(CA$5&lt;&gt;$H59,0,IF(CA59&lt;0,IF($J59=7,-$E59*$I59/12*0,IF($J59=8,-$E59*$I59/12*1,IF($J59=9,-$E59*$I59/12*2,IF($J59&gt;=10,-$E59*$I59/12*3,0))))))</f>
        <v>0</v>
      </c>
      <c r="CE59" s="121">
        <f>IF($H59&lt;&gt;CF$5,0,IF(CF59&lt;0,IF(OR($J59=1,$J59=2,$J59=3,$J59=4,$J59=5,$J59=6,$J59=7,$J59=8,$J59=9,$J59=10),-$E59*$I59/12*3,IF($J59=11,-$E59*$I59/12*2,IF($J59=12,-$E59*$I59/12*1,0)))))+IF(CA$5&lt;&gt;$H59,0,IF(CA59&lt;0,IF($J59=10,-$E59*$I59/12*0,IF($J59=11,-$E59*$I59/12*1,IF($J59=12,-$E59*$I59/12*2,0)))))</f>
        <v>0</v>
      </c>
      <c r="CF59" s="118">
        <f>IF(AND(CA59&lt;&gt;0,CA$5=$H59),-$I59*$E59-CA59,IF(CF$5=$H59,-$I59*$E59*(12-$J59+1)/12,0))</f>
        <v>0</v>
      </c>
      <c r="CG59" s="119">
        <f>IF($H59&lt;&gt;CK$5,0,IF(CK59&lt;0,IF($J59=1,-$E59*$I59/12*3,IF($J59=2,-$E59*$I59/12*2,IF($J59=3,-$E59*$I59/12*1,0)))))+IF(CF$5&lt;&gt;$H59,0,IF(CF59&lt;0,IF($J59=1,-$E59*$I59/12*0,IF($J59=2,-$E59*$I59/12*1,IF($J59=3,-$E59*$I59/12*2,IF($J59&gt;=4,-$E59*$I59/12*3,0))))))</f>
        <v>0</v>
      </c>
      <c r="CH59" s="120">
        <f>IF($H59&lt;&gt;CK$5,0,IF(CK59&lt;0,IF(OR($J59=1,$J59=2,$J59=3,$J59=4),-$E59*$I59/12*3,IF($J59=5,-$E59*$I59/12*2,IF($J59=6,-$E59*$I59/12*1,0)))))+IF(CF$5&lt;&gt;$H59,0,IF(CF59&lt;0,IF($J59=4,-$E59*$I59/12*0,IF($J59=5,-$E59*$I59/12*1,IF($J59=6,-$E59*$I59/12*2,IF($J59&gt;=7,-$E59*$I59/12*3,0))))))</f>
        <v>0</v>
      </c>
      <c r="CI59" s="120">
        <f>IF($H59&lt;&gt;CK$5,0,IF(CK59&lt;0,IF(OR($J59=1,$J59=2,$J59=3,$J59=4,$J59=5,$J59=6,$J59=7),-$E59*$I59/12*3,IF($J59=8,-$E59*$I59/12*2,IF($J59=9,-$E59*$I59/12*1,0)))))+IF(CF$5&lt;&gt;$H59,0,IF(CF59&lt;0,IF($J59=7,-$E59*$I59/12*0,IF($J59=8,-$E59*$I59/12*1,IF($J59=9,-$E59*$I59/12*2,IF($J59&gt;=10,-$E59*$I59/12*3,0))))))</f>
        <v>0</v>
      </c>
      <c r="CJ59" s="121">
        <f>IF($H59&lt;&gt;CK$5,0,IF(CK59&lt;0,IF(OR($J59=1,$J59=2,$J59=3,$J59=4,$J59=5,$J59=6,$J59=7,$J59=8,$J59=9,$J59=10),-$E59*$I59/12*3,IF($J59=11,-$E59*$I59/12*2,IF($J59=12,-$E59*$I59/12*1,0)))))+IF(CF$5&lt;&gt;$H59,0,IF(CF59&lt;0,IF($J59=10,-$E59*$I59/12*0,IF($J59=11,-$E59*$I59/12*1,IF($J59=12,-$E59*$I59/12*2,0)))))</f>
        <v>0</v>
      </c>
      <c r="CK59" s="118">
        <f>IF(AND(CF59&lt;&gt;0,CF$5=$H59),-$I59*$E59-CF59,IF(CK$5=$H59,-$I59*$E59*(12-$J59+1)/12,0))</f>
        <v>0</v>
      </c>
      <c r="CL59" s="119">
        <f>IF($H59&lt;&gt;CP$5,0,IF(CP59&lt;0,IF($J59=1,-$E59*$I59/12*3,IF($J59=2,-$E59*$I59/12*2,IF($J59=3,-$E59*$I59/12*1,0)))))+IF(CK$5&lt;&gt;$H59,0,IF(CK59&lt;0,IF($J59=1,-$E59*$I59/12*0,IF($J59=2,-$E59*$I59/12*1,IF($J59=3,-$E59*$I59/12*2,IF($J59&gt;=4,-$E59*$I59/12*3,0))))))</f>
        <v>0</v>
      </c>
      <c r="CM59" s="120">
        <f>IF($H59&lt;&gt;CP$5,0,IF(CP59&lt;0,IF(OR($J59=1,$J59=2,$J59=3,$J59=4),-$E59*$I59/12*3,IF($J59=5,-$E59*$I59/12*2,IF($J59=6,-$E59*$I59/12*1,0)))))+IF(CK$5&lt;&gt;$H59,0,IF(CK59&lt;0,IF($J59=4,-$E59*$I59/12*0,IF($J59=5,-$E59*$I59/12*1,IF($J59=6,-$E59*$I59/12*2,IF($J59&gt;=7,-$E59*$I59/12*3,0))))))</f>
        <v>0</v>
      </c>
      <c r="CN59" s="120">
        <f>IF($H59&lt;&gt;CP$5,0,IF(CP59&lt;0,IF(OR($J59=1,$J59=2,$J59=3,$J59=4,$J59=5,$J59=6,$J59=7),-$E59*$I59/12*3,IF($J59=8,-$E59*$I59/12*2,IF($J59=9,-$E59*$I59/12*1,0)))))+IF(CK$5&lt;&gt;$H59,0,IF(CK59&lt;0,IF($J59=7,-$E59*$I59/12*0,IF($J59=8,-$E59*$I59/12*1,IF($J59=9,-$E59*$I59/12*2,IF($J59&gt;=10,-$E59*$I59/12*3,0))))))</f>
        <v>0</v>
      </c>
      <c r="CO59" s="121">
        <f>IF($H59&lt;&gt;CP$5,0,IF(CP59&lt;0,IF(OR($J59=1,$J59=2,$J59=3,$J59=4,$J59=5,$J59=6,$J59=7,$J59=8,$J59=9,$J59=10),-$E59*$I59/12*3,IF($J59=11,-$E59*$I59/12*2,IF($J59=12,-$E59*$I59/12*1,0)))))+IF(CK$5&lt;&gt;$H59,0,IF(CK59&lt;0,IF($J59=10,-$E59*$I59/12*0,IF($J59=11,-$E59*$I59/12*1,IF($J59=12,-$E59*$I59/12*2,0)))))</f>
        <v>0</v>
      </c>
      <c r="CP59" s="118">
        <f>IF(AND(CK59&lt;&gt;0,CK$5=$H59),-$I59*$E59-CK59,IF(CP$5=$H59,-$I59*$E59*(12-$J59+1)/12,0))</f>
        <v>0</v>
      </c>
      <c r="CQ59" s="119">
        <f>IF($H59&lt;&gt;CU$5,0,IF(CU59&lt;0,IF($J59=1,-$E59*$I59/12*3,IF($J59=2,-$E59*$I59/12*2,IF($J59=3,-$E59*$I59/12*1,0)))))+IF(CP$5&lt;&gt;$H59,0,IF(CP59&lt;0,IF($J59=1,-$E59*$I59/12*0,IF($J59=2,-$E59*$I59/12*1,IF($J59=3,-$E59*$I59/12*2,IF($J59&gt;=4,-$E59*$I59/12*3,0))))))</f>
        <v>0</v>
      </c>
      <c r="CR59" s="120">
        <f>IF($H59&lt;&gt;CU$5,0,IF(CU59&lt;0,IF(OR($J59=1,$J59=2,$J59=3,$J59=4),-$E59*$I59/12*3,IF($J59=5,-$E59*$I59/12*2,IF($J59=6,-$E59*$I59/12*1,0)))))+IF(CP$5&lt;&gt;$H59,0,IF(CP59&lt;0,IF($J59=4,-$E59*$I59/12*0,IF($J59=5,-$E59*$I59/12*1,IF($J59=6,-$E59*$I59/12*2,IF($J59&gt;=7,-$E59*$I59/12*3,0))))))</f>
        <v>0</v>
      </c>
      <c r="CS59" s="120">
        <f>IF($H59&lt;&gt;CU$5,0,IF(CU59&lt;0,IF(OR($J59=1,$J59=2,$J59=3,$J59=4,$J59=5,$J59=6,$J59=7),-$E59*$I59/12*3,IF($J59=8,-$E59*$I59/12*2,IF($J59=9,-$E59*$I59/12*1,0)))))+IF(CP$5&lt;&gt;$H59,0,IF(CP59&lt;0,IF($J59=7,-$E59*$I59/12*0,IF($J59=8,-$E59*$I59/12*1,IF($J59=9,-$E59*$I59/12*2,IF($J59&gt;=10,-$E59*$I59/12*3,0))))))</f>
        <v>0</v>
      </c>
      <c r="CT59" s="121">
        <f>IF($H59&lt;&gt;CU$5,0,IF(CU59&lt;0,IF(OR($J59=1,$J59=2,$J59=3,$J59=4,$J59=5,$J59=6,$J59=7,$J59=8,$J59=9,$J59=10),-$E59*$I59/12*3,IF($J59=11,-$E59*$I59/12*2,IF($J59=12,-$E59*$I59/12*1,0)))))+IF(CP$5&lt;&gt;$H59,0,IF(CP59&lt;0,IF($J59=10,-$E59*$I59/12*0,IF($J59=11,-$E59*$I59/12*1,IF($J59=12,-$E59*$I59/12*2,0)))))</f>
        <v>0</v>
      </c>
      <c r="CU59" s="118">
        <f>IF(AND(CP59&lt;&gt;0,CP$5=$H59),-$I59*$E59-CP59,IF(CU$5=$H59,-$I59*$E59*(12-$J59+1)/12,0))</f>
        <v>0</v>
      </c>
      <c r="CV59" s="119">
        <f>IF($H59&lt;&gt;CZ$5,0,IF(CZ59&lt;0,IF($J59=1,-$E59*$I59/12*3,IF($J59=2,-$E59*$I59/12*2,IF($J59=3,-$E59*$I59/12*1,0)))))+IF(CU$5&lt;&gt;$H59,0,IF(CU59&lt;0,IF($J59=1,-$E59*$I59/12*0,IF($J59=2,-$E59*$I59/12*1,IF($J59=3,-$E59*$I59/12*2,IF($J59&gt;=4,-$E59*$I59/12*3,0))))))</f>
        <v>0</v>
      </c>
      <c r="CW59" s="120">
        <f>IF($H59&lt;&gt;CZ$5,0,IF(CZ59&lt;0,IF(OR($J59=1,$J59=2,$J59=3,$J59=4),-$E59*$I59/12*3,IF($J59=5,-$E59*$I59/12*2,IF($J59=6,-$E59*$I59/12*1,0)))))+IF(CU$5&lt;&gt;$H59,0,IF(CU59&lt;0,IF($J59=4,-$E59*$I59/12*0,IF($J59=5,-$E59*$I59/12*1,IF($J59=6,-$E59*$I59/12*2,IF($J59&gt;=7,-$E59*$I59/12*3,0))))))</f>
        <v>0</v>
      </c>
      <c r="CX59" s="120">
        <f>IF($H59&lt;&gt;CZ$5,0,IF(CZ59&lt;0,IF(OR($J59=1,$J59=2,$J59=3,$J59=4,$J59=5,$J59=6,$J59=7),-$E59*$I59/12*3,IF($J59=8,-$E59*$I59/12*2,IF($J59=9,-$E59*$I59/12*1,0)))))+IF(CU$5&lt;&gt;$H59,0,IF(CU59&lt;0,IF($J59=7,-$E59*$I59/12*0,IF($J59=8,-$E59*$I59/12*1,IF($J59=9,-$E59*$I59/12*2,IF($J59&gt;=10,-$E59*$I59/12*3,0))))))</f>
        <v>0</v>
      </c>
      <c r="CY59" s="121">
        <f>IF($H59&lt;&gt;CZ$5,0,IF(CZ59&lt;0,IF(OR($J59=1,$J59=2,$J59=3,$J59=4,$J59=5,$J59=6,$J59=7,$J59=8,$J59=9,$J59=10),-$E59*$I59/12*3,IF($J59=11,-$E59*$I59/12*2,IF($J59=12,-$E59*$I59/12*1,0)))))+IF(CU$5&lt;&gt;$H59,0,IF(CU59&lt;0,IF($J59=10,-$E59*$I59/12*0,IF($J59=11,-$E59*$I59/12*1,IF($J59=12,-$E59*$I59/12*2,0)))))</f>
        <v>0</v>
      </c>
      <c r="CZ59" s="118">
        <f>IF(AND(CU59&lt;&gt;0,CU$5=$H59),-$I59*$E59-CU59,IF(CZ$5=$H59,-$I59*$E59*(12-$J59+1)/12,0))</f>
        <v>0</v>
      </c>
    </row>
    <row r="60" spans="1:104" ht="12.75" customHeight="1">
      <c r="A60" s="7"/>
      <c r="B60" s="7"/>
      <c r="C60" s="7" t="s">
        <v>274</v>
      </c>
      <c r="D60" s="195"/>
      <c r="E60" s="191">
        <f t="shared" si="112"/>
        <v>250</v>
      </c>
      <c r="F60" s="193">
        <v>250</v>
      </c>
      <c r="G60" s="193">
        <v>250</v>
      </c>
      <c r="H60" s="1217">
        <v>2035</v>
      </c>
      <c r="I60" s="1218">
        <v>5.2499999999999998E-2</v>
      </c>
      <c r="J60" s="1217">
        <v>7</v>
      </c>
      <c r="K60" s="112"/>
      <c r="L60" s="113">
        <f t="shared" si="113"/>
        <v>0</v>
      </c>
      <c r="M60" s="114">
        <f t="shared" si="114"/>
        <v>0</v>
      </c>
      <c r="N60" s="115">
        <f t="shared" si="115"/>
        <v>0</v>
      </c>
      <c r="O60" s="115">
        <f t="shared" si="116"/>
        <v>0</v>
      </c>
      <c r="P60" s="116">
        <f t="shared" si="117"/>
        <v>0</v>
      </c>
      <c r="Q60" s="113">
        <f t="shared" si="118"/>
        <v>0</v>
      </c>
      <c r="R60" s="114">
        <f t="shared" si="119"/>
        <v>0</v>
      </c>
      <c r="S60" s="115">
        <f t="shared" si="120"/>
        <v>0</v>
      </c>
      <c r="T60" s="115">
        <f t="shared" si="121"/>
        <v>0</v>
      </c>
      <c r="U60" s="116">
        <f t="shared" si="122"/>
        <v>0</v>
      </c>
      <c r="V60" s="113">
        <f t="shared" si="123"/>
        <v>0</v>
      </c>
      <c r="W60" s="114">
        <f t="shared" si="124"/>
        <v>0</v>
      </c>
      <c r="X60" s="115">
        <f t="shared" si="125"/>
        <v>0</v>
      </c>
      <c r="Y60" s="115">
        <f t="shared" si="126"/>
        <v>0</v>
      </c>
      <c r="Z60" s="116">
        <f t="shared" si="127"/>
        <v>0</v>
      </c>
      <c r="AA60" s="113">
        <f t="shared" si="128"/>
        <v>0</v>
      </c>
      <c r="AB60" s="114">
        <f t="shared" si="129"/>
        <v>0</v>
      </c>
      <c r="AC60" s="115">
        <f t="shared" si="130"/>
        <v>0</v>
      </c>
      <c r="AD60" s="115">
        <f t="shared" si="131"/>
        <v>0</v>
      </c>
      <c r="AE60" s="116">
        <f t="shared" si="132"/>
        <v>0</v>
      </c>
      <c r="AF60" s="113">
        <f t="shared" si="133"/>
        <v>0</v>
      </c>
      <c r="AG60" s="114">
        <f t="shared" si="134"/>
        <v>0</v>
      </c>
      <c r="AH60" s="115">
        <f t="shared" si="135"/>
        <v>0</v>
      </c>
      <c r="AI60" s="115">
        <f t="shared" si="136"/>
        <v>0</v>
      </c>
      <c r="AJ60" s="116">
        <f t="shared" si="137"/>
        <v>0</v>
      </c>
      <c r="AK60" s="113">
        <f t="shared" si="138"/>
        <v>0</v>
      </c>
      <c r="AL60" s="114">
        <f t="shared" si="183"/>
        <v>0</v>
      </c>
      <c r="AM60" s="115">
        <f t="shared" si="184"/>
        <v>0</v>
      </c>
      <c r="AN60" s="115">
        <f t="shared" si="185"/>
        <v>0</v>
      </c>
      <c r="AO60" s="116">
        <f t="shared" si="186"/>
        <v>0</v>
      </c>
      <c r="AP60" s="113">
        <f t="shared" si="139"/>
        <v>0</v>
      </c>
      <c r="AQ60" s="114">
        <f t="shared" ref="AQ60:AQ65" si="264">IF(AU60=0,0,IF(AU60&lt;0,IF($J60=3,AU60,IF($J60=2,AU60,IF($J60=1,AU60,0)))))</f>
        <v>0</v>
      </c>
      <c r="AR60" s="115">
        <f t="shared" ref="AR60:AR65" si="265">IF(AU60=0,0,IF(AU60&lt;0,IF($J60=6,AU60,IF($J60=5,AU60,IF($J60=4,AU60,0)))))</f>
        <v>0</v>
      </c>
      <c r="AS60" s="115">
        <f t="shared" ref="AS60:AS65" si="266">IF(AU60=0,0,IF(AU60&lt;0,IF($J60=9,AU60,IF($J60=8,AU60,IF($J60=7,AU60,0)))))</f>
        <v>0</v>
      </c>
      <c r="AT60" s="116">
        <f t="shared" ref="AT60:AT65" si="267">IF(AU60=0,0,IF(AU60&lt;0,IF($J60=12,AU60,IF($J60=11,AU60,IF($J60=10,AU60,0)))))</f>
        <v>0</v>
      </c>
      <c r="AU60" s="113">
        <f t="shared" si="140"/>
        <v>0</v>
      </c>
      <c r="AV60" s="114">
        <f t="shared" ref="AV60:AV71" si="268">IF(AZ60=0,0,IF(AZ60&lt;0,IF($J60=3,AZ60,IF($J60=2,AZ60,IF($J60=1,AZ60,0)))))</f>
        <v>0</v>
      </c>
      <c r="AW60" s="115">
        <f t="shared" ref="AW60:AW71" si="269">IF(AZ60=0,0,IF(AZ60&lt;0,IF($J60=6,AZ60,IF($J60=5,AZ60,IF($J60=4,AZ60,0)))))</f>
        <v>0</v>
      </c>
      <c r="AX60" s="115">
        <f t="shared" ref="AX60:AX71" si="270">IF(AZ60=0,0,IF(AZ60&lt;0,IF($J60=9,AZ60,IF($J60=8,AZ60,IF($J60=7,AZ60,0)))))</f>
        <v>0</v>
      </c>
      <c r="AY60" s="116">
        <f t="shared" ref="AY60:AY71" si="271">IF(AZ60=0,0,IF(AZ60&lt;0,IF($J60=12,AZ60,IF($J60=11,AZ60,IF($J60=10,AZ60,0)))))</f>
        <v>0</v>
      </c>
      <c r="AZ60" s="113">
        <f t="shared" si="145"/>
        <v>0</v>
      </c>
      <c r="BA60" s="114">
        <f t="shared" si="146"/>
        <v>0</v>
      </c>
      <c r="BB60" s="115">
        <f t="shared" si="147"/>
        <v>0</v>
      </c>
      <c r="BC60" s="115">
        <f t="shared" si="148"/>
        <v>0</v>
      </c>
      <c r="BD60" s="116">
        <f t="shared" si="149"/>
        <v>0</v>
      </c>
      <c r="BE60" s="113">
        <f t="shared" si="150"/>
        <v>0</v>
      </c>
      <c r="BF60" s="194"/>
      <c r="BG60" s="118">
        <f t="shared" si="151"/>
        <v>0</v>
      </c>
      <c r="BH60" s="119">
        <f t="shared" si="152"/>
        <v>0</v>
      </c>
      <c r="BI60" s="120">
        <f t="shared" si="153"/>
        <v>0</v>
      </c>
      <c r="BJ60" s="120">
        <f t="shared" si="154"/>
        <v>0</v>
      </c>
      <c r="BK60" s="121">
        <f t="shared" si="155"/>
        <v>0</v>
      </c>
      <c r="BL60" s="118">
        <f t="shared" si="156"/>
        <v>0</v>
      </c>
      <c r="BM60" s="119">
        <f t="shared" si="157"/>
        <v>0</v>
      </c>
      <c r="BN60" s="120">
        <f t="shared" si="158"/>
        <v>0</v>
      </c>
      <c r="BO60" s="120">
        <f t="shared" si="159"/>
        <v>0</v>
      </c>
      <c r="BP60" s="121">
        <f t="shared" si="160"/>
        <v>0</v>
      </c>
      <c r="BQ60" s="118">
        <f t="shared" si="161"/>
        <v>0</v>
      </c>
      <c r="BR60" s="119">
        <f t="shared" si="162"/>
        <v>0</v>
      </c>
      <c r="BS60" s="120">
        <f t="shared" si="163"/>
        <v>0</v>
      </c>
      <c r="BT60" s="120">
        <f t="shared" si="164"/>
        <v>0</v>
      </c>
      <c r="BU60" s="121">
        <f t="shared" si="165"/>
        <v>0</v>
      </c>
      <c r="BV60" s="118">
        <f t="shared" si="166"/>
        <v>0</v>
      </c>
      <c r="BW60" s="119">
        <f t="shared" si="167"/>
        <v>0</v>
      </c>
      <c r="BX60" s="120">
        <f t="shared" si="168"/>
        <v>0</v>
      </c>
      <c r="BY60" s="120">
        <f t="shared" si="169"/>
        <v>0</v>
      </c>
      <c r="BZ60" s="121">
        <f t="shared" si="170"/>
        <v>0</v>
      </c>
      <c r="CA60" s="118">
        <f t="shared" si="171"/>
        <v>0</v>
      </c>
      <c r="CB60" s="119">
        <f t="shared" si="172"/>
        <v>0</v>
      </c>
      <c r="CC60" s="120">
        <f t="shared" si="173"/>
        <v>0</v>
      </c>
      <c r="CD60" s="120">
        <f t="shared" si="174"/>
        <v>0</v>
      </c>
      <c r="CE60" s="121">
        <f t="shared" si="175"/>
        <v>0</v>
      </c>
      <c r="CF60" s="118">
        <f t="shared" si="176"/>
        <v>0</v>
      </c>
      <c r="CG60" s="119">
        <f t="shared" ref="CG60:CG65" si="272">IF($H60&lt;&gt;CK$5,0,IF(CK60&lt;0,IF($J60=1,-$E60*$I60/12*3,IF($J60=2,-$E60*$I60/12*2,IF($J60=3,-$E60*$I60/12*1,0)))))+IF(CF$5&lt;&gt;$H60,0,IF(CF60&lt;0,IF($J60=1,-$E60*$I60/12*0,IF($J60=2,-$E60*$I60/12*1,IF($J60=3,-$E60*$I60/12*2,IF($J60&gt;=4,-$E60*$I60/12*3,0))))))</f>
        <v>0</v>
      </c>
      <c r="CH60" s="120">
        <f t="shared" si="192"/>
        <v>0</v>
      </c>
      <c r="CI60" s="120">
        <f t="shared" si="193"/>
        <v>0</v>
      </c>
      <c r="CJ60" s="121">
        <f t="shared" si="194"/>
        <v>0</v>
      </c>
      <c r="CK60" s="118">
        <f t="shared" si="195"/>
        <v>0</v>
      </c>
      <c r="CL60" s="119">
        <f t="shared" ref="CL60:CL65" si="273">IF($H60&lt;&gt;CP$5,0,IF(CP60&lt;0,IF($J60=1,-$E60*$I60/12*3,IF($J60=2,-$E60*$I60/12*2,IF($J60=3,-$E60*$I60/12*1,0)))))+IF(CK$5&lt;&gt;$H60,0,IF(CK60&lt;0,IF($J60=1,-$E60*$I60/12*0,IF($J60=2,-$E60*$I60/12*1,IF($J60=3,-$E60*$I60/12*2,IF($J60&gt;=4,-$E60*$I60/12*3,0))))))</f>
        <v>0</v>
      </c>
      <c r="CM60" s="120">
        <f t="shared" ref="CM60:CM65" si="274">IF($H60&lt;&gt;CP$5,0,IF(CP60&lt;0,IF(OR($J60=1,$J60=2,$J60=3,$J60=4),-$E60*$I60/12*3,IF($J60=5,-$E60*$I60/12*2,IF($J60=6,-$E60*$I60/12*1,0)))))+IF(CK$5&lt;&gt;$H60,0,IF(CK60&lt;0,IF($J60=4,-$E60*$I60/12*0,IF($J60=5,-$E60*$I60/12*1,IF($J60=6,-$E60*$I60/12*2,IF($J60&gt;=7,-$E60*$I60/12*3,0))))))</f>
        <v>0</v>
      </c>
      <c r="CN60" s="120">
        <f t="shared" ref="CN60:CN65" si="275">IF($H60&lt;&gt;CP$5,0,IF(CP60&lt;0,IF(OR($J60=1,$J60=2,$J60=3,$J60=4,$J60=5,$J60=6,$J60=7),-$E60*$I60/12*3,IF($J60=8,-$E60*$I60/12*2,IF($J60=9,-$E60*$I60/12*1,0)))))+IF(CK$5&lt;&gt;$H60,0,IF(CK60&lt;0,IF($J60=7,-$E60*$I60/12*0,IF($J60=8,-$E60*$I60/12*1,IF($J60=9,-$E60*$I60/12*2,IF($J60&gt;=10,-$E60*$I60/12*3,0))))))</f>
        <v>0</v>
      </c>
      <c r="CO60" s="121">
        <f t="shared" ref="CO60:CO65" si="276">IF($H60&lt;&gt;CP$5,0,IF(CP60&lt;0,IF(OR($J60=1,$J60=2,$J60=3,$J60=4,$J60=5,$J60=6,$J60=7,$J60=8,$J60=9,$J60=10),-$E60*$I60/12*3,IF($J60=11,-$E60*$I60/12*2,IF($J60=12,-$E60*$I60/12*1,0)))))+IF(CK$5&lt;&gt;$H60,0,IF(CK60&lt;0,IF($J60=10,-$E60*$I60/12*0,IF($J60=11,-$E60*$I60/12*1,IF($J60=12,-$E60*$I60/12*2,0)))))</f>
        <v>0</v>
      </c>
      <c r="CP60" s="118">
        <f t="shared" ref="CP60:CP65" si="277">IF(AND(CK60&lt;&gt;0,CK$5=$H60),-$I60*$E60-CK60,IF(CP$5=$H60,-$I60*$E60*(12-$J60+1)/12,0))</f>
        <v>0</v>
      </c>
      <c r="CQ60" s="119">
        <f t="shared" si="177"/>
        <v>0</v>
      </c>
      <c r="CR60" s="120">
        <f t="shared" ref="CR60:CR67" si="278">IF($H60&lt;&gt;CU$5,0,IF(CU60&lt;0,IF(OR($J60=1,$J60=2,$J60=3,$J60=4),-$E60*$I60/12*3,IF($J60=5,-$E60*$I60/12*2,IF($J60=6,-$E60*$I60/12*1,0)))))+IF(CP$5&lt;&gt;$H60,0,IF(CP60&lt;0,IF($J60=4,-$E60*$I60/12*0,IF($J60=5,-$E60*$I60/12*1,IF($J60=6,-$E60*$I60/12*2,IF($J60&gt;=7,-$E60*$I60/12*3,0))))))</f>
        <v>0</v>
      </c>
      <c r="CS60" s="120">
        <f t="shared" ref="CS60:CS67" si="279">IF($H60&lt;&gt;CU$5,0,IF(CU60&lt;0,IF(OR($J60=1,$J60=2,$J60=3,$J60=4,$J60=5,$J60=6,$J60=7),-$E60*$I60/12*3,IF($J60=8,-$E60*$I60/12*2,IF($J60=9,-$E60*$I60/12*1,0)))))+IF(CP$5&lt;&gt;$H60,0,IF(CP60&lt;0,IF($J60=7,-$E60*$I60/12*0,IF($J60=8,-$E60*$I60/12*1,IF($J60=9,-$E60*$I60/12*2,IF($J60&gt;=10,-$E60*$I60/12*3,0))))))</f>
        <v>0</v>
      </c>
      <c r="CT60" s="121">
        <f t="shared" ref="CT60:CT67" si="280">IF($H60&lt;&gt;CU$5,0,IF(CU60&lt;0,IF(OR($J60=1,$J60=2,$J60=3,$J60=4,$J60=5,$J60=6,$J60=7,$J60=8,$J60=9,$J60=10),-$E60*$I60/12*3,IF($J60=11,-$E60*$I60/12*2,IF($J60=12,-$E60*$I60/12*1,0)))))+IF(CP$5&lt;&gt;$H60,0,IF(CP60&lt;0,IF($J60=10,-$E60*$I60/12*0,IF($J60=11,-$E60*$I60/12*1,IF($J60=12,-$E60*$I60/12*2,0)))))</f>
        <v>0</v>
      </c>
      <c r="CU60" s="118">
        <f t="shared" ref="CU60:CU67" si="281">IF(AND(CP60&lt;&gt;0,CP$5=$H60),-$I60*$E60-CP60,IF(CU$5=$H60,-$I60*$E60*(12-$J60+1)/12,0))</f>
        <v>0</v>
      </c>
      <c r="CV60" s="119">
        <f t="shared" si="178"/>
        <v>0</v>
      </c>
      <c r="CW60" s="120">
        <f t="shared" si="179"/>
        <v>0</v>
      </c>
      <c r="CX60" s="120">
        <f t="shared" si="180"/>
        <v>0</v>
      </c>
      <c r="CY60" s="121">
        <f t="shared" si="181"/>
        <v>0</v>
      </c>
      <c r="CZ60" s="118">
        <f t="shared" si="182"/>
        <v>0</v>
      </c>
    </row>
    <row r="61" spans="1:104" ht="12.75" customHeight="1">
      <c r="A61" s="7"/>
      <c r="B61" s="7"/>
      <c r="C61" s="7" t="s">
        <v>499</v>
      </c>
      <c r="D61" s="195"/>
      <c r="E61" s="191">
        <f t="shared" si="112"/>
        <v>250</v>
      </c>
      <c r="F61" s="193">
        <v>250</v>
      </c>
      <c r="G61" s="193">
        <v>250</v>
      </c>
      <c r="H61" s="1217">
        <v>2036</v>
      </c>
      <c r="I61" s="1218">
        <v>5.7000000000000002E-2</v>
      </c>
      <c r="J61" s="1217">
        <v>12</v>
      </c>
      <c r="K61" s="112"/>
      <c r="L61" s="113">
        <f t="shared" si="113"/>
        <v>0</v>
      </c>
      <c r="M61" s="114">
        <f t="shared" si="114"/>
        <v>0</v>
      </c>
      <c r="N61" s="115">
        <f t="shared" si="115"/>
        <v>0</v>
      </c>
      <c r="O61" s="115">
        <f t="shared" si="116"/>
        <v>0</v>
      </c>
      <c r="P61" s="116">
        <f t="shared" si="117"/>
        <v>0</v>
      </c>
      <c r="Q61" s="113">
        <f t="shared" si="118"/>
        <v>0</v>
      </c>
      <c r="R61" s="114">
        <f t="shared" si="119"/>
        <v>0</v>
      </c>
      <c r="S61" s="115">
        <f t="shared" si="120"/>
        <v>0</v>
      </c>
      <c r="T61" s="115">
        <f t="shared" si="121"/>
        <v>0</v>
      </c>
      <c r="U61" s="116">
        <f t="shared" si="122"/>
        <v>0</v>
      </c>
      <c r="V61" s="113">
        <f t="shared" si="123"/>
        <v>0</v>
      </c>
      <c r="W61" s="114">
        <f t="shared" si="124"/>
        <v>0</v>
      </c>
      <c r="X61" s="115">
        <f t="shared" si="125"/>
        <v>0</v>
      </c>
      <c r="Y61" s="115">
        <f t="shared" si="126"/>
        <v>0</v>
      </c>
      <c r="Z61" s="116">
        <f t="shared" si="127"/>
        <v>0</v>
      </c>
      <c r="AA61" s="113">
        <f t="shared" si="128"/>
        <v>0</v>
      </c>
      <c r="AB61" s="114">
        <f t="shared" si="129"/>
        <v>0</v>
      </c>
      <c r="AC61" s="115">
        <f t="shared" si="130"/>
        <v>0</v>
      </c>
      <c r="AD61" s="115">
        <f t="shared" si="131"/>
        <v>0</v>
      </c>
      <c r="AE61" s="116">
        <f t="shared" si="132"/>
        <v>0</v>
      </c>
      <c r="AF61" s="113">
        <f t="shared" si="133"/>
        <v>0</v>
      </c>
      <c r="AG61" s="114">
        <f t="shared" si="134"/>
        <v>0</v>
      </c>
      <c r="AH61" s="115">
        <f t="shared" si="135"/>
        <v>0</v>
      </c>
      <c r="AI61" s="115">
        <f t="shared" si="136"/>
        <v>0</v>
      </c>
      <c r="AJ61" s="116">
        <f t="shared" si="137"/>
        <v>0</v>
      </c>
      <c r="AK61" s="113">
        <f t="shared" si="138"/>
        <v>0</v>
      </c>
      <c r="AL61" s="114">
        <f t="shared" si="183"/>
        <v>0</v>
      </c>
      <c r="AM61" s="115">
        <f t="shared" si="184"/>
        <v>0</v>
      </c>
      <c r="AN61" s="115">
        <f t="shared" si="185"/>
        <v>0</v>
      </c>
      <c r="AO61" s="116">
        <f t="shared" si="186"/>
        <v>0</v>
      </c>
      <c r="AP61" s="113">
        <f t="shared" si="139"/>
        <v>0</v>
      </c>
      <c r="AQ61" s="114">
        <f t="shared" si="264"/>
        <v>0</v>
      </c>
      <c r="AR61" s="115">
        <f t="shared" si="265"/>
        <v>0</v>
      </c>
      <c r="AS61" s="115">
        <f t="shared" si="266"/>
        <v>0</v>
      </c>
      <c r="AT61" s="116">
        <f t="shared" si="267"/>
        <v>0</v>
      </c>
      <c r="AU61" s="113">
        <f t="shared" si="140"/>
        <v>0</v>
      </c>
      <c r="AV61" s="114">
        <f t="shared" si="268"/>
        <v>0</v>
      </c>
      <c r="AW61" s="115">
        <f t="shared" si="269"/>
        <v>0</v>
      </c>
      <c r="AX61" s="115">
        <f t="shared" si="270"/>
        <v>0</v>
      </c>
      <c r="AY61" s="116">
        <f t="shared" si="271"/>
        <v>0</v>
      </c>
      <c r="AZ61" s="113">
        <f t="shared" si="145"/>
        <v>0</v>
      </c>
      <c r="BA61" s="114">
        <f t="shared" si="146"/>
        <v>0</v>
      </c>
      <c r="BB61" s="115">
        <f t="shared" si="147"/>
        <v>0</v>
      </c>
      <c r="BC61" s="115">
        <f t="shared" si="148"/>
        <v>0</v>
      </c>
      <c r="BD61" s="116">
        <f t="shared" si="149"/>
        <v>0</v>
      </c>
      <c r="BE61" s="113">
        <f t="shared" si="150"/>
        <v>0</v>
      </c>
      <c r="BF61" s="194"/>
      <c r="BG61" s="118">
        <f t="shared" si="151"/>
        <v>0</v>
      </c>
      <c r="BH61" s="119">
        <f t="shared" si="152"/>
        <v>0</v>
      </c>
      <c r="BI61" s="120">
        <f t="shared" si="153"/>
        <v>0</v>
      </c>
      <c r="BJ61" s="120">
        <f t="shared" si="154"/>
        <v>0</v>
      </c>
      <c r="BK61" s="121">
        <f t="shared" si="155"/>
        <v>0</v>
      </c>
      <c r="BL61" s="118">
        <f t="shared" si="156"/>
        <v>0</v>
      </c>
      <c r="BM61" s="119">
        <f t="shared" si="157"/>
        <v>0</v>
      </c>
      <c r="BN61" s="120">
        <f t="shared" si="158"/>
        <v>0</v>
      </c>
      <c r="BO61" s="120">
        <f t="shared" si="159"/>
        <v>0</v>
      </c>
      <c r="BP61" s="121">
        <f t="shared" si="160"/>
        <v>0</v>
      </c>
      <c r="BQ61" s="118">
        <f t="shared" si="161"/>
        <v>0</v>
      </c>
      <c r="BR61" s="119">
        <f t="shared" si="162"/>
        <v>0</v>
      </c>
      <c r="BS61" s="120">
        <f t="shared" si="163"/>
        <v>0</v>
      </c>
      <c r="BT61" s="120">
        <f t="shared" si="164"/>
        <v>0</v>
      </c>
      <c r="BU61" s="121">
        <f t="shared" si="165"/>
        <v>0</v>
      </c>
      <c r="BV61" s="118">
        <f t="shared" si="166"/>
        <v>0</v>
      </c>
      <c r="BW61" s="119">
        <f t="shared" si="167"/>
        <v>0</v>
      </c>
      <c r="BX61" s="120">
        <f t="shared" si="168"/>
        <v>0</v>
      </c>
      <c r="BY61" s="120">
        <f t="shared" si="169"/>
        <v>0</v>
      </c>
      <c r="BZ61" s="121">
        <f t="shared" si="170"/>
        <v>0</v>
      </c>
      <c r="CA61" s="118">
        <f t="shared" si="171"/>
        <v>0</v>
      </c>
      <c r="CB61" s="119">
        <f t="shared" si="172"/>
        <v>0</v>
      </c>
      <c r="CC61" s="120">
        <f t="shared" si="173"/>
        <v>0</v>
      </c>
      <c r="CD61" s="120">
        <f t="shared" si="174"/>
        <v>0</v>
      </c>
      <c r="CE61" s="121">
        <f t="shared" si="175"/>
        <v>0</v>
      </c>
      <c r="CF61" s="118">
        <f t="shared" si="176"/>
        <v>0</v>
      </c>
      <c r="CG61" s="119">
        <f t="shared" si="272"/>
        <v>0</v>
      </c>
      <c r="CH61" s="120">
        <f t="shared" si="192"/>
        <v>0</v>
      </c>
      <c r="CI61" s="120">
        <f t="shared" si="193"/>
        <v>0</v>
      </c>
      <c r="CJ61" s="121">
        <f t="shared" si="194"/>
        <v>0</v>
      </c>
      <c r="CK61" s="118">
        <f t="shared" si="195"/>
        <v>0</v>
      </c>
      <c r="CL61" s="119">
        <f t="shared" si="273"/>
        <v>0</v>
      </c>
      <c r="CM61" s="120">
        <f t="shared" si="274"/>
        <v>0</v>
      </c>
      <c r="CN61" s="120">
        <f t="shared" si="275"/>
        <v>0</v>
      </c>
      <c r="CO61" s="121">
        <f t="shared" si="276"/>
        <v>0</v>
      </c>
      <c r="CP61" s="118">
        <f t="shared" si="277"/>
        <v>0</v>
      </c>
      <c r="CQ61" s="119">
        <f t="shared" si="177"/>
        <v>0</v>
      </c>
      <c r="CR61" s="120">
        <f t="shared" si="278"/>
        <v>0</v>
      </c>
      <c r="CS61" s="120">
        <f t="shared" si="279"/>
        <v>0</v>
      </c>
      <c r="CT61" s="121">
        <f t="shared" si="280"/>
        <v>0</v>
      </c>
      <c r="CU61" s="118">
        <f t="shared" si="281"/>
        <v>0</v>
      </c>
      <c r="CV61" s="119">
        <f t="shared" si="178"/>
        <v>0</v>
      </c>
      <c r="CW61" s="120">
        <f t="shared" si="179"/>
        <v>0</v>
      </c>
      <c r="CX61" s="120">
        <f t="shared" si="180"/>
        <v>0</v>
      </c>
      <c r="CY61" s="121">
        <f t="shared" si="181"/>
        <v>0</v>
      </c>
      <c r="CZ61" s="118">
        <f t="shared" si="182"/>
        <v>0</v>
      </c>
    </row>
    <row r="62" spans="1:104" ht="12.75" customHeight="1">
      <c r="A62" s="7"/>
      <c r="B62" s="7"/>
      <c r="C62" s="7" t="s">
        <v>498</v>
      </c>
      <c r="D62" s="195"/>
      <c r="E62" s="191">
        <f t="shared" si="112"/>
        <v>350</v>
      </c>
      <c r="F62" s="193">
        <v>350</v>
      </c>
      <c r="G62" s="193">
        <v>350</v>
      </c>
      <c r="H62" s="1217">
        <v>2037</v>
      </c>
      <c r="I62" s="1218">
        <v>5.7999999999999996E-2</v>
      </c>
      <c r="J62" s="1217">
        <v>5</v>
      </c>
      <c r="K62" s="112"/>
      <c r="L62" s="113">
        <f t="shared" si="113"/>
        <v>0</v>
      </c>
      <c r="M62" s="114">
        <f t="shared" si="114"/>
        <v>0</v>
      </c>
      <c r="N62" s="115">
        <f t="shared" si="115"/>
        <v>0</v>
      </c>
      <c r="O62" s="115">
        <f t="shared" si="116"/>
        <v>0</v>
      </c>
      <c r="P62" s="116">
        <f t="shared" si="117"/>
        <v>0</v>
      </c>
      <c r="Q62" s="113">
        <f t="shared" si="118"/>
        <v>0</v>
      </c>
      <c r="R62" s="114">
        <f t="shared" si="119"/>
        <v>0</v>
      </c>
      <c r="S62" s="115">
        <f t="shared" si="120"/>
        <v>0</v>
      </c>
      <c r="T62" s="115">
        <f t="shared" si="121"/>
        <v>0</v>
      </c>
      <c r="U62" s="116">
        <f t="shared" si="122"/>
        <v>0</v>
      </c>
      <c r="V62" s="113">
        <f t="shared" si="123"/>
        <v>0</v>
      </c>
      <c r="W62" s="114">
        <f t="shared" si="124"/>
        <v>0</v>
      </c>
      <c r="X62" s="115">
        <f t="shared" si="125"/>
        <v>0</v>
      </c>
      <c r="Y62" s="115">
        <f t="shared" si="126"/>
        <v>0</v>
      </c>
      <c r="Z62" s="116">
        <f t="shared" si="127"/>
        <v>0</v>
      </c>
      <c r="AA62" s="113">
        <f t="shared" si="128"/>
        <v>0</v>
      </c>
      <c r="AB62" s="114">
        <f t="shared" si="129"/>
        <v>0</v>
      </c>
      <c r="AC62" s="115">
        <f t="shared" si="130"/>
        <v>0</v>
      </c>
      <c r="AD62" s="115">
        <f t="shared" si="131"/>
        <v>0</v>
      </c>
      <c r="AE62" s="116">
        <f t="shared" si="132"/>
        <v>0</v>
      </c>
      <c r="AF62" s="113">
        <f t="shared" si="133"/>
        <v>0</v>
      </c>
      <c r="AG62" s="114">
        <f t="shared" si="134"/>
        <v>0</v>
      </c>
      <c r="AH62" s="115">
        <f t="shared" si="135"/>
        <v>0</v>
      </c>
      <c r="AI62" s="115">
        <f t="shared" si="136"/>
        <v>0</v>
      </c>
      <c r="AJ62" s="116">
        <f t="shared" si="137"/>
        <v>0</v>
      </c>
      <c r="AK62" s="113">
        <f t="shared" si="138"/>
        <v>0</v>
      </c>
      <c r="AL62" s="114">
        <f t="shared" si="183"/>
        <v>0</v>
      </c>
      <c r="AM62" s="115">
        <f t="shared" si="184"/>
        <v>0</v>
      </c>
      <c r="AN62" s="115">
        <f t="shared" si="185"/>
        <v>0</v>
      </c>
      <c r="AO62" s="116">
        <f t="shared" si="186"/>
        <v>0</v>
      </c>
      <c r="AP62" s="113">
        <f t="shared" si="139"/>
        <v>0</v>
      </c>
      <c r="AQ62" s="114">
        <f t="shared" si="264"/>
        <v>0</v>
      </c>
      <c r="AR62" s="115">
        <f t="shared" si="265"/>
        <v>0</v>
      </c>
      <c r="AS62" s="115">
        <f t="shared" si="266"/>
        <v>0</v>
      </c>
      <c r="AT62" s="116">
        <f t="shared" si="267"/>
        <v>0</v>
      </c>
      <c r="AU62" s="113">
        <f t="shared" si="140"/>
        <v>0</v>
      </c>
      <c r="AV62" s="114">
        <f t="shared" si="268"/>
        <v>0</v>
      </c>
      <c r="AW62" s="115">
        <f t="shared" si="269"/>
        <v>0</v>
      </c>
      <c r="AX62" s="115">
        <f t="shared" si="270"/>
        <v>0</v>
      </c>
      <c r="AY62" s="116">
        <f t="shared" si="271"/>
        <v>0</v>
      </c>
      <c r="AZ62" s="113">
        <f t="shared" si="145"/>
        <v>0</v>
      </c>
      <c r="BA62" s="114">
        <f t="shared" si="146"/>
        <v>0</v>
      </c>
      <c r="BB62" s="115">
        <f t="shared" si="147"/>
        <v>0</v>
      </c>
      <c r="BC62" s="115">
        <f t="shared" si="148"/>
        <v>0</v>
      </c>
      <c r="BD62" s="116">
        <f t="shared" si="149"/>
        <v>0</v>
      </c>
      <c r="BE62" s="113">
        <f t="shared" si="150"/>
        <v>0</v>
      </c>
      <c r="BF62" s="194"/>
      <c r="BG62" s="118">
        <f t="shared" si="151"/>
        <v>0</v>
      </c>
      <c r="BH62" s="119">
        <f t="shared" si="152"/>
        <v>0</v>
      </c>
      <c r="BI62" s="120">
        <f t="shared" si="153"/>
        <v>0</v>
      </c>
      <c r="BJ62" s="120">
        <f t="shared" si="154"/>
        <v>0</v>
      </c>
      <c r="BK62" s="121">
        <f t="shared" si="155"/>
        <v>0</v>
      </c>
      <c r="BL62" s="118">
        <f t="shared" si="156"/>
        <v>0</v>
      </c>
      <c r="BM62" s="119">
        <f t="shared" si="157"/>
        <v>0</v>
      </c>
      <c r="BN62" s="120">
        <f t="shared" si="158"/>
        <v>0</v>
      </c>
      <c r="BO62" s="120">
        <f t="shared" si="159"/>
        <v>0</v>
      </c>
      <c r="BP62" s="121">
        <f t="shared" si="160"/>
        <v>0</v>
      </c>
      <c r="BQ62" s="118">
        <f t="shared" si="161"/>
        <v>0</v>
      </c>
      <c r="BR62" s="119">
        <f t="shared" si="162"/>
        <v>0</v>
      </c>
      <c r="BS62" s="120">
        <f t="shared" si="163"/>
        <v>0</v>
      </c>
      <c r="BT62" s="120">
        <f t="shared" si="164"/>
        <v>0</v>
      </c>
      <c r="BU62" s="121">
        <f t="shared" si="165"/>
        <v>0</v>
      </c>
      <c r="BV62" s="118">
        <f t="shared" si="166"/>
        <v>0</v>
      </c>
      <c r="BW62" s="119">
        <f t="shared" si="167"/>
        <v>0</v>
      </c>
      <c r="BX62" s="120">
        <f t="shared" si="168"/>
        <v>0</v>
      </c>
      <c r="BY62" s="120">
        <f t="shared" si="169"/>
        <v>0</v>
      </c>
      <c r="BZ62" s="121">
        <f t="shared" si="170"/>
        <v>0</v>
      </c>
      <c r="CA62" s="118">
        <f t="shared" si="171"/>
        <v>0</v>
      </c>
      <c r="CB62" s="119">
        <f t="shared" si="172"/>
        <v>0</v>
      </c>
      <c r="CC62" s="120">
        <f t="shared" si="173"/>
        <v>0</v>
      </c>
      <c r="CD62" s="120">
        <f t="shared" si="174"/>
        <v>0</v>
      </c>
      <c r="CE62" s="121">
        <f t="shared" si="175"/>
        <v>0</v>
      </c>
      <c r="CF62" s="118">
        <f t="shared" si="176"/>
        <v>0</v>
      </c>
      <c r="CG62" s="119">
        <f t="shared" si="272"/>
        <v>0</v>
      </c>
      <c r="CH62" s="120">
        <f t="shared" si="192"/>
        <v>0</v>
      </c>
      <c r="CI62" s="120">
        <f t="shared" si="193"/>
        <v>0</v>
      </c>
      <c r="CJ62" s="121">
        <f t="shared" si="194"/>
        <v>0</v>
      </c>
      <c r="CK62" s="118">
        <f t="shared" si="195"/>
        <v>0</v>
      </c>
      <c r="CL62" s="119">
        <f t="shared" si="273"/>
        <v>0</v>
      </c>
      <c r="CM62" s="120">
        <f t="shared" si="274"/>
        <v>0</v>
      </c>
      <c r="CN62" s="120">
        <f t="shared" si="275"/>
        <v>0</v>
      </c>
      <c r="CO62" s="121">
        <f t="shared" si="276"/>
        <v>0</v>
      </c>
      <c r="CP62" s="118">
        <f t="shared" si="277"/>
        <v>0</v>
      </c>
      <c r="CQ62" s="119">
        <f t="shared" si="177"/>
        <v>0</v>
      </c>
      <c r="CR62" s="120">
        <f t="shared" si="278"/>
        <v>0</v>
      </c>
      <c r="CS62" s="120">
        <f t="shared" si="279"/>
        <v>0</v>
      </c>
      <c r="CT62" s="121">
        <f t="shared" si="280"/>
        <v>0</v>
      </c>
      <c r="CU62" s="118">
        <f t="shared" si="281"/>
        <v>0</v>
      </c>
      <c r="CV62" s="119">
        <f t="shared" si="178"/>
        <v>0</v>
      </c>
      <c r="CW62" s="120">
        <f t="shared" si="179"/>
        <v>0</v>
      </c>
      <c r="CX62" s="120">
        <f t="shared" si="180"/>
        <v>0</v>
      </c>
      <c r="CY62" s="121">
        <f t="shared" si="181"/>
        <v>0</v>
      </c>
      <c r="CZ62" s="118">
        <f t="shared" si="182"/>
        <v>0</v>
      </c>
    </row>
    <row r="63" spans="1:104" ht="12.75" customHeight="1">
      <c r="A63" s="7"/>
      <c r="B63" s="7"/>
      <c r="C63" s="7" t="s">
        <v>496</v>
      </c>
      <c r="D63" s="195"/>
      <c r="E63" s="191">
        <f t="shared" si="112"/>
        <v>250</v>
      </c>
      <c r="F63" s="193">
        <v>250</v>
      </c>
      <c r="G63" s="193">
        <v>250</v>
      </c>
      <c r="H63" s="1217">
        <v>2039</v>
      </c>
      <c r="I63" s="1218">
        <v>5.3800000000000001E-2</v>
      </c>
      <c r="J63" s="1217">
        <v>11</v>
      </c>
      <c r="K63" s="112"/>
      <c r="L63" s="113">
        <f t="shared" si="113"/>
        <v>0</v>
      </c>
      <c r="M63" s="114">
        <f t="shared" si="114"/>
        <v>0</v>
      </c>
      <c r="N63" s="115">
        <f t="shared" si="115"/>
        <v>0</v>
      </c>
      <c r="O63" s="115">
        <f t="shared" si="116"/>
        <v>0</v>
      </c>
      <c r="P63" s="116">
        <f t="shared" si="117"/>
        <v>0</v>
      </c>
      <c r="Q63" s="113">
        <f t="shared" si="118"/>
        <v>0</v>
      </c>
      <c r="R63" s="114">
        <f t="shared" si="119"/>
        <v>0</v>
      </c>
      <c r="S63" s="115">
        <f t="shared" si="120"/>
        <v>0</v>
      </c>
      <c r="T63" s="115">
        <f t="shared" si="121"/>
        <v>0</v>
      </c>
      <c r="U63" s="116">
        <f t="shared" si="122"/>
        <v>0</v>
      </c>
      <c r="V63" s="113">
        <f t="shared" si="123"/>
        <v>0</v>
      </c>
      <c r="W63" s="114">
        <f t="shared" si="124"/>
        <v>0</v>
      </c>
      <c r="X63" s="115">
        <f t="shared" si="125"/>
        <v>0</v>
      </c>
      <c r="Y63" s="115">
        <f t="shared" si="126"/>
        <v>0</v>
      </c>
      <c r="Z63" s="116">
        <f t="shared" si="127"/>
        <v>0</v>
      </c>
      <c r="AA63" s="113">
        <f t="shared" si="128"/>
        <v>0</v>
      </c>
      <c r="AB63" s="114">
        <f t="shared" si="129"/>
        <v>0</v>
      </c>
      <c r="AC63" s="115">
        <f t="shared" si="130"/>
        <v>0</v>
      </c>
      <c r="AD63" s="115">
        <f t="shared" si="131"/>
        <v>0</v>
      </c>
      <c r="AE63" s="116">
        <f t="shared" si="132"/>
        <v>0</v>
      </c>
      <c r="AF63" s="113">
        <f t="shared" si="133"/>
        <v>0</v>
      </c>
      <c r="AG63" s="114">
        <f t="shared" si="134"/>
        <v>0</v>
      </c>
      <c r="AH63" s="115">
        <f t="shared" si="135"/>
        <v>0</v>
      </c>
      <c r="AI63" s="115">
        <f t="shared" si="136"/>
        <v>0</v>
      </c>
      <c r="AJ63" s="116">
        <f t="shared" si="137"/>
        <v>0</v>
      </c>
      <c r="AK63" s="113">
        <f t="shared" si="138"/>
        <v>0</v>
      </c>
      <c r="AL63" s="114">
        <f t="shared" si="183"/>
        <v>0</v>
      </c>
      <c r="AM63" s="115">
        <f t="shared" si="184"/>
        <v>0</v>
      </c>
      <c r="AN63" s="115">
        <f t="shared" si="185"/>
        <v>0</v>
      </c>
      <c r="AO63" s="116">
        <f t="shared" si="186"/>
        <v>0</v>
      </c>
      <c r="AP63" s="113">
        <f t="shared" si="139"/>
        <v>0</v>
      </c>
      <c r="AQ63" s="114">
        <f t="shared" si="264"/>
        <v>0</v>
      </c>
      <c r="AR63" s="115">
        <f t="shared" si="265"/>
        <v>0</v>
      </c>
      <c r="AS63" s="115">
        <f t="shared" si="266"/>
        <v>0</v>
      </c>
      <c r="AT63" s="116">
        <f t="shared" si="267"/>
        <v>0</v>
      </c>
      <c r="AU63" s="113">
        <f t="shared" si="140"/>
        <v>0</v>
      </c>
      <c r="AV63" s="114">
        <f t="shared" si="268"/>
        <v>0</v>
      </c>
      <c r="AW63" s="115">
        <f t="shared" si="269"/>
        <v>0</v>
      </c>
      <c r="AX63" s="115">
        <f t="shared" si="270"/>
        <v>0</v>
      </c>
      <c r="AY63" s="116">
        <f t="shared" si="271"/>
        <v>0</v>
      </c>
      <c r="AZ63" s="113">
        <f t="shared" si="145"/>
        <v>0</v>
      </c>
      <c r="BA63" s="114">
        <f t="shared" si="146"/>
        <v>0</v>
      </c>
      <c r="BB63" s="115">
        <f t="shared" si="147"/>
        <v>0</v>
      </c>
      <c r="BC63" s="115">
        <f t="shared" si="148"/>
        <v>0</v>
      </c>
      <c r="BD63" s="116">
        <f t="shared" si="149"/>
        <v>0</v>
      </c>
      <c r="BE63" s="113">
        <f t="shared" si="150"/>
        <v>0</v>
      </c>
      <c r="BF63" s="194"/>
      <c r="BG63" s="118">
        <f t="shared" si="151"/>
        <v>0</v>
      </c>
      <c r="BH63" s="119">
        <f t="shared" si="152"/>
        <v>0</v>
      </c>
      <c r="BI63" s="120">
        <f t="shared" si="153"/>
        <v>0</v>
      </c>
      <c r="BJ63" s="120">
        <f t="shared" si="154"/>
        <v>0</v>
      </c>
      <c r="BK63" s="121">
        <f t="shared" si="155"/>
        <v>0</v>
      </c>
      <c r="BL63" s="118">
        <f t="shared" si="156"/>
        <v>0</v>
      </c>
      <c r="BM63" s="119">
        <f t="shared" si="157"/>
        <v>0</v>
      </c>
      <c r="BN63" s="120">
        <f t="shared" si="158"/>
        <v>0</v>
      </c>
      <c r="BO63" s="120">
        <f t="shared" si="159"/>
        <v>0</v>
      </c>
      <c r="BP63" s="121">
        <f t="shared" si="160"/>
        <v>0</v>
      </c>
      <c r="BQ63" s="118">
        <f t="shared" si="161"/>
        <v>0</v>
      </c>
      <c r="BR63" s="119">
        <f t="shared" si="162"/>
        <v>0</v>
      </c>
      <c r="BS63" s="120">
        <f t="shared" si="163"/>
        <v>0</v>
      </c>
      <c r="BT63" s="120">
        <f t="shared" si="164"/>
        <v>0</v>
      </c>
      <c r="BU63" s="121">
        <f t="shared" si="165"/>
        <v>0</v>
      </c>
      <c r="BV63" s="118">
        <f t="shared" si="166"/>
        <v>0</v>
      </c>
      <c r="BW63" s="119">
        <f t="shared" si="167"/>
        <v>0</v>
      </c>
      <c r="BX63" s="120">
        <f t="shared" si="168"/>
        <v>0</v>
      </c>
      <c r="BY63" s="120">
        <f t="shared" si="169"/>
        <v>0</v>
      </c>
      <c r="BZ63" s="121">
        <f t="shared" si="170"/>
        <v>0</v>
      </c>
      <c r="CA63" s="118">
        <f t="shared" si="171"/>
        <v>0</v>
      </c>
      <c r="CB63" s="119">
        <f t="shared" si="172"/>
        <v>0</v>
      </c>
      <c r="CC63" s="120">
        <f t="shared" si="173"/>
        <v>0</v>
      </c>
      <c r="CD63" s="120">
        <f t="shared" si="174"/>
        <v>0</v>
      </c>
      <c r="CE63" s="121">
        <f t="shared" si="175"/>
        <v>0</v>
      </c>
      <c r="CF63" s="118">
        <f t="shared" si="176"/>
        <v>0</v>
      </c>
      <c r="CG63" s="119">
        <f t="shared" si="272"/>
        <v>0</v>
      </c>
      <c r="CH63" s="120">
        <f t="shared" si="192"/>
        <v>0</v>
      </c>
      <c r="CI63" s="120">
        <f t="shared" si="193"/>
        <v>0</v>
      </c>
      <c r="CJ63" s="121">
        <f t="shared" si="194"/>
        <v>0</v>
      </c>
      <c r="CK63" s="118">
        <f t="shared" si="195"/>
        <v>0</v>
      </c>
      <c r="CL63" s="119">
        <f t="shared" si="273"/>
        <v>0</v>
      </c>
      <c r="CM63" s="120">
        <f t="shared" si="274"/>
        <v>0</v>
      </c>
      <c r="CN63" s="120">
        <f t="shared" si="275"/>
        <v>0</v>
      </c>
      <c r="CO63" s="121">
        <f t="shared" si="276"/>
        <v>0</v>
      </c>
      <c r="CP63" s="118">
        <f t="shared" si="277"/>
        <v>0</v>
      </c>
      <c r="CQ63" s="119">
        <f t="shared" si="177"/>
        <v>0</v>
      </c>
      <c r="CR63" s="120">
        <f t="shared" si="278"/>
        <v>0</v>
      </c>
      <c r="CS63" s="120">
        <f t="shared" si="279"/>
        <v>0</v>
      </c>
      <c r="CT63" s="121">
        <f t="shared" si="280"/>
        <v>0</v>
      </c>
      <c r="CU63" s="118">
        <f t="shared" si="281"/>
        <v>0</v>
      </c>
      <c r="CV63" s="119">
        <f t="shared" si="178"/>
        <v>0</v>
      </c>
      <c r="CW63" s="120">
        <f t="shared" si="179"/>
        <v>0</v>
      </c>
      <c r="CX63" s="120">
        <f t="shared" si="180"/>
        <v>0</v>
      </c>
      <c r="CY63" s="121">
        <f t="shared" si="181"/>
        <v>0</v>
      </c>
      <c r="CZ63" s="118">
        <f t="shared" si="182"/>
        <v>0</v>
      </c>
    </row>
    <row r="64" spans="1:104" ht="12.75" customHeight="1">
      <c r="A64" s="7"/>
      <c r="B64" s="7"/>
      <c r="C64" s="7" t="s">
        <v>495</v>
      </c>
      <c r="D64" s="195"/>
      <c r="E64" s="191">
        <f t="shared" si="112"/>
        <v>300</v>
      </c>
      <c r="F64" s="193">
        <v>300</v>
      </c>
      <c r="G64" s="193">
        <v>300</v>
      </c>
      <c r="H64" s="1217">
        <v>2040</v>
      </c>
      <c r="I64" s="1218">
        <v>5.5E-2</v>
      </c>
      <c r="J64" s="1217">
        <v>3</v>
      </c>
      <c r="K64" s="112"/>
      <c r="L64" s="113">
        <f t="shared" si="113"/>
        <v>0</v>
      </c>
      <c r="M64" s="114">
        <f t="shared" si="114"/>
        <v>0</v>
      </c>
      <c r="N64" s="115">
        <f t="shared" si="115"/>
        <v>0</v>
      </c>
      <c r="O64" s="115">
        <f t="shared" si="116"/>
        <v>0</v>
      </c>
      <c r="P64" s="116">
        <f t="shared" si="117"/>
        <v>0</v>
      </c>
      <c r="Q64" s="113">
        <f t="shared" si="118"/>
        <v>0</v>
      </c>
      <c r="R64" s="114">
        <f t="shared" si="119"/>
        <v>0</v>
      </c>
      <c r="S64" s="115">
        <f t="shared" si="120"/>
        <v>0</v>
      </c>
      <c r="T64" s="115">
        <f t="shared" si="121"/>
        <v>0</v>
      </c>
      <c r="U64" s="116">
        <f t="shared" si="122"/>
        <v>0</v>
      </c>
      <c r="V64" s="113">
        <f t="shared" si="123"/>
        <v>0</v>
      </c>
      <c r="W64" s="114">
        <f t="shared" si="124"/>
        <v>0</v>
      </c>
      <c r="X64" s="115">
        <f t="shared" si="125"/>
        <v>0</v>
      </c>
      <c r="Y64" s="115">
        <f t="shared" si="126"/>
        <v>0</v>
      </c>
      <c r="Z64" s="116">
        <f t="shared" si="127"/>
        <v>0</v>
      </c>
      <c r="AA64" s="113">
        <f t="shared" si="128"/>
        <v>0</v>
      </c>
      <c r="AB64" s="114">
        <f t="shared" si="129"/>
        <v>0</v>
      </c>
      <c r="AC64" s="115">
        <f t="shared" si="130"/>
        <v>0</v>
      </c>
      <c r="AD64" s="115">
        <f t="shared" si="131"/>
        <v>0</v>
      </c>
      <c r="AE64" s="116">
        <f t="shared" si="132"/>
        <v>0</v>
      </c>
      <c r="AF64" s="113">
        <f t="shared" si="133"/>
        <v>0</v>
      </c>
      <c r="AG64" s="114">
        <f t="shared" si="134"/>
        <v>0</v>
      </c>
      <c r="AH64" s="115">
        <f t="shared" si="135"/>
        <v>0</v>
      </c>
      <c r="AI64" s="115">
        <f t="shared" si="136"/>
        <v>0</v>
      </c>
      <c r="AJ64" s="116">
        <f t="shared" si="137"/>
        <v>0</v>
      </c>
      <c r="AK64" s="113">
        <f t="shared" si="138"/>
        <v>0</v>
      </c>
      <c r="AL64" s="114">
        <f t="shared" si="183"/>
        <v>0</v>
      </c>
      <c r="AM64" s="115">
        <f t="shared" si="184"/>
        <v>0</v>
      </c>
      <c r="AN64" s="115">
        <f t="shared" si="185"/>
        <v>0</v>
      </c>
      <c r="AO64" s="116">
        <f t="shared" si="186"/>
        <v>0</v>
      </c>
      <c r="AP64" s="113">
        <f t="shared" si="139"/>
        <v>0</v>
      </c>
      <c r="AQ64" s="114">
        <f t="shared" si="264"/>
        <v>0</v>
      </c>
      <c r="AR64" s="115">
        <f t="shared" si="265"/>
        <v>0</v>
      </c>
      <c r="AS64" s="115">
        <f t="shared" si="266"/>
        <v>0</v>
      </c>
      <c r="AT64" s="116">
        <f t="shared" si="267"/>
        <v>0</v>
      </c>
      <c r="AU64" s="113">
        <f t="shared" si="140"/>
        <v>0</v>
      </c>
      <c r="AV64" s="114">
        <f t="shared" si="268"/>
        <v>0</v>
      </c>
      <c r="AW64" s="115">
        <f t="shared" si="269"/>
        <v>0</v>
      </c>
      <c r="AX64" s="115">
        <f t="shared" si="270"/>
        <v>0</v>
      </c>
      <c r="AY64" s="116">
        <f t="shared" si="271"/>
        <v>0</v>
      </c>
      <c r="AZ64" s="113">
        <f t="shared" si="145"/>
        <v>0</v>
      </c>
      <c r="BA64" s="114">
        <f t="shared" si="146"/>
        <v>0</v>
      </c>
      <c r="BB64" s="115">
        <f t="shared" si="147"/>
        <v>0</v>
      </c>
      <c r="BC64" s="115">
        <f t="shared" si="148"/>
        <v>0</v>
      </c>
      <c r="BD64" s="116">
        <f t="shared" si="149"/>
        <v>0</v>
      </c>
      <c r="BE64" s="113">
        <f t="shared" si="150"/>
        <v>0</v>
      </c>
      <c r="BF64" s="194"/>
      <c r="BG64" s="118">
        <f t="shared" si="151"/>
        <v>0</v>
      </c>
      <c r="BH64" s="119">
        <f t="shared" si="152"/>
        <v>0</v>
      </c>
      <c r="BI64" s="120">
        <f t="shared" si="153"/>
        <v>0</v>
      </c>
      <c r="BJ64" s="120">
        <f t="shared" si="154"/>
        <v>0</v>
      </c>
      <c r="BK64" s="121">
        <f t="shared" si="155"/>
        <v>0</v>
      </c>
      <c r="BL64" s="118">
        <f t="shared" si="156"/>
        <v>0</v>
      </c>
      <c r="BM64" s="119">
        <f t="shared" si="157"/>
        <v>0</v>
      </c>
      <c r="BN64" s="120">
        <f t="shared" si="158"/>
        <v>0</v>
      </c>
      <c r="BO64" s="120">
        <f t="shared" si="159"/>
        <v>0</v>
      </c>
      <c r="BP64" s="121">
        <f t="shared" si="160"/>
        <v>0</v>
      </c>
      <c r="BQ64" s="118">
        <f t="shared" si="161"/>
        <v>0</v>
      </c>
      <c r="BR64" s="119">
        <f t="shared" si="162"/>
        <v>0</v>
      </c>
      <c r="BS64" s="120">
        <f t="shared" si="163"/>
        <v>0</v>
      </c>
      <c r="BT64" s="120">
        <f t="shared" si="164"/>
        <v>0</v>
      </c>
      <c r="BU64" s="121">
        <f t="shared" si="165"/>
        <v>0</v>
      </c>
      <c r="BV64" s="118">
        <f t="shared" si="166"/>
        <v>0</v>
      </c>
      <c r="BW64" s="119">
        <f t="shared" si="167"/>
        <v>0</v>
      </c>
      <c r="BX64" s="120">
        <f t="shared" si="168"/>
        <v>0</v>
      </c>
      <c r="BY64" s="120">
        <f t="shared" si="169"/>
        <v>0</v>
      </c>
      <c r="BZ64" s="121">
        <f t="shared" si="170"/>
        <v>0</v>
      </c>
      <c r="CA64" s="118">
        <f t="shared" si="171"/>
        <v>0</v>
      </c>
      <c r="CB64" s="119">
        <f t="shared" si="172"/>
        <v>0</v>
      </c>
      <c r="CC64" s="120">
        <f t="shared" si="173"/>
        <v>0</v>
      </c>
      <c r="CD64" s="120">
        <f t="shared" si="174"/>
        <v>0</v>
      </c>
      <c r="CE64" s="121">
        <f t="shared" si="175"/>
        <v>0</v>
      </c>
      <c r="CF64" s="118">
        <f t="shared" si="176"/>
        <v>0</v>
      </c>
      <c r="CG64" s="119">
        <f t="shared" si="272"/>
        <v>0</v>
      </c>
      <c r="CH64" s="120">
        <f t="shared" si="192"/>
        <v>0</v>
      </c>
      <c r="CI64" s="120">
        <f t="shared" si="193"/>
        <v>0</v>
      </c>
      <c r="CJ64" s="121">
        <f t="shared" si="194"/>
        <v>0</v>
      </c>
      <c r="CK64" s="118">
        <f t="shared" si="195"/>
        <v>0</v>
      </c>
      <c r="CL64" s="119">
        <f t="shared" si="273"/>
        <v>0</v>
      </c>
      <c r="CM64" s="120">
        <f t="shared" si="274"/>
        <v>0</v>
      </c>
      <c r="CN64" s="120">
        <f t="shared" si="275"/>
        <v>0</v>
      </c>
      <c r="CO64" s="121">
        <f t="shared" si="276"/>
        <v>0</v>
      </c>
      <c r="CP64" s="118">
        <f t="shared" si="277"/>
        <v>0</v>
      </c>
      <c r="CQ64" s="119">
        <f t="shared" si="177"/>
        <v>0</v>
      </c>
      <c r="CR64" s="120">
        <f t="shared" si="278"/>
        <v>0</v>
      </c>
      <c r="CS64" s="120">
        <f t="shared" si="279"/>
        <v>0</v>
      </c>
      <c r="CT64" s="121">
        <f t="shared" si="280"/>
        <v>0</v>
      </c>
      <c r="CU64" s="118">
        <f t="shared" si="281"/>
        <v>0</v>
      </c>
      <c r="CV64" s="119">
        <f t="shared" si="178"/>
        <v>0</v>
      </c>
      <c r="CW64" s="120">
        <f t="shared" si="179"/>
        <v>0</v>
      </c>
      <c r="CX64" s="120">
        <f t="shared" si="180"/>
        <v>0</v>
      </c>
      <c r="CY64" s="121">
        <f t="shared" si="181"/>
        <v>0</v>
      </c>
      <c r="CZ64" s="118">
        <f t="shared" si="182"/>
        <v>0</v>
      </c>
    </row>
    <row r="65" spans="1:104" ht="12.75" customHeight="1">
      <c r="A65" s="7"/>
      <c r="B65" s="7"/>
      <c r="C65" s="7" t="s">
        <v>724</v>
      </c>
      <c r="D65" s="195"/>
      <c r="E65" s="191">
        <f t="shared" si="112"/>
        <v>450</v>
      </c>
      <c r="F65" s="193">
        <v>450</v>
      </c>
      <c r="G65" s="193">
        <v>450</v>
      </c>
      <c r="H65" s="1217">
        <v>2042</v>
      </c>
      <c r="I65" s="1218">
        <v>3.95E-2</v>
      </c>
      <c r="J65" s="1217">
        <v>5</v>
      </c>
      <c r="K65" s="112"/>
      <c r="L65" s="113">
        <f t="shared" si="113"/>
        <v>0</v>
      </c>
      <c r="M65" s="114">
        <f t="shared" si="114"/>
        <v>0</v>
      </c>
      <c r="N65" s="115">
        <f t="shared" si="115"/>
        <v>0</v>
      </c>
      <c r="O65" s="115">
        <f t="shared" si="116"/>
        <v>0</v>
      </c>
      <c r="P65" s="116">
        <f t="shared" si="117"/>
        <v>0</v>
      </c>
      <c r="Q65" s="113">
        <f t="shared" si="118"/>
        <v>0</v>
      </c>
      <c r="R65" s="114">
        <f t="shared" si="119"/>
        <v>0</v>
      </c>
      <c r="S65" s="115">
        <f t="shared" si="120"/>
        <v>0</v>
      </c>
      <c r="T65" s="115">
        <f t="shared" si="121"/>
        <v>0</v>
      </c>
      <c r="U65" s="116">
        <f t="shared" si="122"/>
        <v>0</v>
      </c>
      <c r="V65" s="113">
        <f t="shared" si="123"/>
        <v>0</v>
      </c>
      <c r="W65" s="114">
        <f t="shared" si="124"/>
        <v>0</v>
      </c>
      <c r="X65" s="115">
        <f t="shared" si="125"/>
        <v>0</v>
      </c>
      <c r="Y65" s="115">
        <f t="shared" si="126"/>
        <v>0</v>
      </c>
      <c r="Z65" s="116">
        <f t="shared" si="127"/>
        <v>0</v>
      </c>
      <c r="AA65" s="113">
        <f t="shared" si="128"/>
        <v>0</v>
      </c>
      <c r="AB65" s="114">
        <f t="shared" si="129"/>
        <v>0</v>
      </c>
      <c r="AC65" s="115">
        <f t="shared" si="130"/>
        <v>0</v>
      </c>
      <c r="AD65" s="115">
        <f t="shared" si="131"/>
        <v>0</v>
      </c>
      <c r="AE65" s="116">
        <f t="shared" si="132"/>
        <v>0</v>
      </c>
      <c r="AF65" s="113">
        <f t="shared" si="133"/>
        <v>0</v>
      </c>
      <c r="AG65" s="114">
        <f t="shared" si="134"/>
        <v>0</v>
      </c>
      <c r="AH65" s="115">
        <f t="shared" si="135"/>
        <v>0</v>
      </c>
      <c r="AI65" s="115">
        <f t="shared" si="136"/>
        <v>0</v>
      </c>
      <c r="AJ65" s="116">
        <f t="shared" si="137"/>
        <v>0</v>
      </c>
      <c r="AK65" s="113">
        <f t="shared" si="138"/>
        <v>0</v>
      </c>
      <c r="AL65" s="114">
        <f t="shared" si="183"/>
        <v>0</v>
      </c>
      <c r="AM65" s="115">
        <f t="shared" si="184"/>
        <v>0</v>
      </c>
      <c r="AN65" s="115">
        <f t="shared" si="185"/>
        <v>0</v>
      </c>
      <c r="AO65" s="116">
        <f t="shared" si="186"/>
        <v>0</v>
      </c>
      <c r="AP65" s="113">
        <f t="shared" si="139"/>
        <v>0</v>
      </c>
      <c r="AQ65" s="114">
        <f t="shared" si="264"/>
        <v>0</v>
      </c>
      <c r="AR65" s="115">
        <f t="shared" si="265"/>
        <v>0</v>
      </c>
      <c r="AS65" s="115">
        <f t="shared" si="266"/>
        <v>0</v>
      </c>
      <c r="AT65" s="116">
        <f t="shared" si="267"/>
        <v>0</v>
      </c>
      <c r="AU65" s="113">
        <f t="shared" si="140"/>
        <v>0</v>
      </c>
      <c r="AV65" s="114">
        <f t="shared" si="268"/>
        <v>0</v>
      </c>
      <c r="AW65" s="115">
        <f t="shared" si="269"/>
        <v>0</v>
      </c>
      <c r="AX65" s="115">
        <f t="shared" si="270"/>
        <v>0</v>
      </c>
      <c r="AY65" s="116">
        <f t="shared" si="271"/>
        <v>0</v>
      </c>
      <c r="AZ65" s="113">
        <f t="shared" si="145"/>
        <v>0</v>
      </c>
      <c r="BA65" s="114">
        <f t="shared" si="146"/>
        <v>0</v>
      </c>
      <c r="BB65" s="115">
        <f t="shared" si="147"/>
        <v>0</v>
      </c>
      <c r="BC65" s="115">
        <f t="shared" si="148"/>
        <v>0</v>
      </c>
      <c r="BD65" s="116">
        <f t="shared" si="149"/>
        <v>0</v>
      </c>
      <c r="BE65" s="113">
        <f t="shared" si="150"/>
        <v>0</v>
      </c>
      <c r="BF65" s="194"/>
      <c r="BG65" s="118">
        <f t="shared" si="151"/>
        <v>0</v>
      </c>
      <c r="BH65" s="119">
        <f t="shared" si="152"/>
        <v>0</v>
      </c>
      <c r="BI65" s="120">
        <f t="shared" si="153"/>
        <v>0</v>
      </c>
      <c r="BJ65" s="120">
        <f t="shared" si="154"/>
        <v>0</v>
      </c>
      <c r="BK65" s="121">
        <f t="shared" si="155"/>
        <v>0</v>
      </c>
      <c r="BL65" s="118">
        <f t="shared" si="156"/>
        <v>0</v>
      </c>
      <c r="BM65" s="119">
        <f t="shared" si="157"/>
        <v>0</v>
      </c>
      <c r="BN65" s="120">
        <f t="shared" si="158"/>
        <v>0</v>
      </c>
      <c r="BO65" s="120">
        <f t="shared" si="159"/>
        <v>0</v>
      </c>
      <c r="BP65" s="121">
        <f t="shared" si="160"/>
        <v>0</v>
      </c>
      <c r="BQ65" s="118">
        <f t="shared" si="161"/>
        <v>0</v>
      </c>
      <c r="BR65" s="119">
        <f t="shared" si="162"/>
        <v>0</v>
      </c>
      <c r="BS65" s="120">
        <f t="shared" si="163"/>
        <v>0</v>
      </c>
      <c r="BT65" s="120">
        <f t="shared" si="164"/>
        <v>0</v>
      </c>
      <c r="BU65" s="121">
        <f t="shared" si="165"/>
        <v>0</v>
      </c>
      <c r="BV65" s="118">
        <f t="shared" si="166"/>
        <v>0</v>
      </c>
      <c r="BW65" s="119">
        <f t="shared" si="167"/>
        <v>0</v>
      </c>
      <c r="BX65" s="120">
        <f t="shared" si="168"/>
        <v>0</v>
      </c>
      <c r="BY65" s="120">
        <f t="shared" si="169"/>
        <v>0</v>
      </c>
      <c r="BZ65" s="121">
        <f t="shared" si="170"/>
        <v>0</v>
      </c>
      <c r="CA65" s="118">
        <f t="shared" si="171"/>
        <v>0</v>
      </c>
      <c r="CB65" s="119">
        <f t="shared" si="172"/>
        <v>0</v>
      </c>
      <c r="CC65" s="120">
        <f t="shared" si="173"/>
        <v>0</v>
      </c>
      <c r="CD65" s="120">
        <f t="shared" si="174"/>
        <v>0</v>
      </c>
      <c r="CE65" s="121">
        <f t="shared" si="175"/>
        <v>0</v>
      </c>
      <c r="CF65" s="118">
        <f t="shared" si="176"/>
        <v>0</v>
      </c>
      <c r="CG65" s="119">
        <f t="shared" si="272"/>
        <v>0</v>
      </c>
      <c r="CH65" s="120">
        <f t="shared" si="192"/>
        <v>0</v>
      </c>
      <c r="CI65" s="120">
        <f t="shared" si="193"/>
        <v>0</v>
      </c>
      <c r="CJ65" s="121">
        <f t="shared" si="194"/>
        <v>0</v>
      </c>
      <c r="CK65" s="118">
        <f t="shared" si="195"/>
        <v>0</v>
      </c>
      <c r="CL65" s="119">
        <f t="shared" si="273"/>
        <v>0</v>
      </c>
      <c r="CM65" s="120">
        <f t="shared" si="274"/>
        <v>0</v>
      </c>
      <c r="CN65" s="120">
        <f t="shared" si="275"/>
        <v>0</v>
      </c>
      <c r="CO65" s="121">
        <f t="shared" si="276"/>
        <v>0</v>
      </c>
      <c r="CP65" s="118">
        <f t="shared" si="277"/>
        <v>0</v>
      </c>
      <c r="CQ65" s="119">
        <f t="shared" si="177"/>
        <v>0</v>
      </c>
      <c r="CR65" s="120">
        <f t="shared" si="278"/>
        <v>0</v>
      </c>
      <c r="CS65" s="120">
        <f t="shared" si="279"/>
        <v>0</v>
      </c>
      <c r="CT65" s="121">
        <f t="shared" si="280"/>
        <v>0</v>
      </c>
      <c r="CU65" s="118">
        <f t="shared" si="281"/>
        <v>0</v>
      </c>
      <c r="CV65" s="119">
        <f t="shared" si="178"/>
        <v>0</v>
      </c>
      <c r="CW65" s="120">
        <f t="shared" si="179"/>
        <v>0</v>
      </c>
      <c r="CX65" s="120">
        <f t="shared" si="180"/>
        <v>0</v>
      </c>
      <c r="CY65" s="121">
        <f t="shared" si="181"/>
        <v>0</v>
      </c>
      <c r="CZ65" s="118">
        <f t="shared" si="182"/>
        <v>0</v>
      </c>
    </row>
    <row r="66" spans="1:104" ht="12.75" customHeight="1">
      <c r="A66" s="7"/>
      <c r="B66" s="7"/>
      <c r="C66" s="7" t="s">
        <v>874</v>
      </c>
      <c r="D66" s="195"/>
      <c r="E66" s="191">
        <f>IF(F66=0,G66,F66)</f>
        <v>350</v>
      </c>
      <c r="F66" s="193">
        <v>350</v>
      </c>
      <c r="G66" s="193">
        <v>350</v>
      </c>
      <c r="H66" s="442">
        <v>2042</v>
      </c>
      <c r="I66" s="587">
        <v>3.6499999999999998E-2</v>
      </c>
      <c r="J66" s="526">
        <v>5</v>
      </c>
      <c r="K66" s="112"/>
      <c r="L66" s="113">
        <f>IF(L$5=$H66,-$E66,0)</f>
        <v>0</v>
      </c>
      <c r="M66" s="114">
        <f>IF(Q66=0,0,IF(Q66&lt;0,IF($J66=3,Q66,IF($J66=2,Q66,IF($J66=1,Q66,0)))))</f>
        <v>0</v>
      </c>
      <c r="N66" s="115">
        <f>IF(Q66=0,0,IF(Q66&lt;0,IF($J66=6,Q66,IF($J66=5,Q66,IF($J66=4,Q66,0)))))</f>
        <v>0</v>
      </c>
      <c r="O66" s="115">
        <f>IF(Q66=0,0,IF(Q66&lt;0,IF($J66=9,Q66,IF($J66=8,Q66,IF($J66=7,Q66,0)))))</f>
        <v>0</v>
      </c>
      <c r="P66" s="116">
        <f>IF(Q66=0,0,IF(Q66&lt;0,IF($J66=12,Q66,IF($J66=11,Q66,IF($J66=10,Q66,0)))))</f>
        <v>0</v>
      </c>
      <c r="Q66" s="113">
        <f>IF(Q$5=$H66,-$E66,0)</f>
        <v>0</v>
      </c>
      <c r="R66" s="114">
        <f>IF(V66=0,0,IF(V66&lt;0,IF($J66=3,V66,IF($J66=2,V66,IF($J66=1,V66,0)))))</f>
        <v>0</v>
      </c>
      <c r="S66" s="115">
        <f>IF(V66=0,0,IF(V66&lt;0,IF($J66=6,V66,IF($J66=5,V66,IF($J66=4,V66,0)))))</f>
        <v>0</v>
      </c>
      <c r="T66" s="115">
        <f>IF(V66=0,0,IF(V66&lt;0,IF($J66=9,V66,IF($J66=8,V66,IF($J66=7,V66,0)))))</f>
        <v>0</v>
      </c>
      <c r="U66" s="116">
        <f>IF(V66=0,0,IF(V66&lt;0,IF($J66=12,V66,IF($J66=11,V66,IF($J66=10,V66,0)))))</f>
        <v>0</v>
      </c>
      <c r="V66" s="113">
        <f>IF(V$5=$H66,-$E66,0)</f>
        <v>0</v>
      </c>
      <c r="W66" s="114">
        <f>IF(AA66=0,0,IF(AA66&lt;0,IF($J66=3,AA66,IF($J66=2,AA66,IF($J66=1,AA66,0)))))</f>
        <v>0</v>
      </c>
      <c r="X66" s="115">
        <f>IF(AA66=0,0,IF(AA66&lt;0,IF($J66=6,AA66,IF($J66=5,AA66,IF($J66=4,AA66,0)))))</f>
        <v>0</v>
      </c>
      <c r="Y66" s="115">
        <f>IF(AA66=0,0,IF(AA66&lt;0,IF($J66=9,AA66,IF($J66=8,AA66,IF($J66=7,AA66,0)))))</f>
        <v>0</v>
      </c>
      <c r="Z66" s="116">
        <f>IF(AA66=0,0,IF(AA66&lt;0,IF($J66=12,AA66,IF($J66=11,AA66,IF($J66=10,AA66,0)))))</f>
        <v>0</v>
      </c>
      <c r="AA66" s="113">
        <f>IF(AA$5=$H66,-$E66,0)</f>
        <v>0</v>
      </c>
      <c r="AB66" s="114">
        <f>IF(AF66=0,0,IF(AF66&lt;0,IF($J66=3,AF66,IF($J66=2,AF66,IF($J66=1,AF66,0)))))</f>
        <v>0</v>
      </c>
      <c r="AC66" s="115">
        <f>IF(AF66=0,0,IF(AF66&lt;0,IF($J66=6,AF66,IF($J66=5,AF66,IF($J66=4,AF66,0)))))</f>
        <v>0</v>
      </c>
      <c r="AD66" s="115">
        <f>IF(AF66=0,0,IF(AF66&lt;0,IF($J66=9,AF66,IF($J66=8,AF66,IF($J66=7,AF66,0)))))</f>
        <v>0</v>
      </c>
      <c r="AE66" s="116">
        <f>IF(AF66=0,0,IF(AF66&lt;0,IF($J66=12,AF66,IF($J66=11,AF66,IF($J66=10,AF66,0)))))</f>
        <v>0</v>
      </c>
      <c r="AF66" s="113">
        <f>IF(AF$5=$H66,-$E66,0)</f>
        <v>0</v>
      </c>
      <c r="AG66" s="114">
        <f>IF(AK66=0,0,IF(AK66&lt;0,IF($J66=3,AK66,IF($J66=2,AK66,IF($J66=1,AK66,0)))))</f>
        <v>0</v>
      </c>
      <c r="AH66" s="115">
        <f>IF(AK66=0,0,IF(AK66&lt;0,IF($J66=6,AK66,IF($J66=5,AK66,IF($J66=4,AK66,0)))))</f>
        <v>0</v>
      </c>
      <c r="AI66" s="115">
        <f>IF(AK66=0,0,IF(AK66&lt;0,IF($J66=9,AK66,IF($J66=8,AK66,IF($J66=7,AK66,0)))))</f>
        <v>0</v>
      </c>
      <c r="AJ66" s="116">
        <f>IF(AK66=0,0,IF(AK66&lt;0,IF($J66=12,AK66,IF($J66=11,AK66,IF($J66=10,AK66,0)))))</f>
        <v>0</v>
      </c>
      <c r="AK66" s="113">
        <f>IF(AK$5=$H66,-$E66,0)</f>
        <v>0</v>
      </c>
      <c r="AL66" s="114">
        <f t="shared" si="183"/>
        <v>0</v>
      </c>
      <c r="AM66" s="115">
        <f t="shared" si="184"/>
        <v>0</v>
      </c>
      <c r="AN66" s="115">
        <f t="shared" si="185"/>
        <v>0</v>
      </c>
      <c r="AO66" s="116">
        <f t="shared" si="186"/>
        <v>0</v>
      </c>
      <c r="AP66" s="113">
        <f>IF(AP$5=$H66,-$E66,0)</f>
        <v>0</v>
      </c>
      <c r="AQ66" s="114">
        <f t="shared" ref="AQ66:AQ71" si="282">IF(AU66=0,0,IF(AU66&lt;0,IF($J66=3,AU66,IF($J66=2,AU66,IF($J66=1,AU66,0)))))</f>
        <v>0</v>
      </c>
      <c r="AR66" s="115">
        <f t="shared" ref="AR66:AR71" si="283">IF(AU66=0,0,IF(AU66&lt;0,IF($J66=6,AU66,IF($J66=5,AU66,IF($J66=4,AU66,0)))))</f>
        <v>0</v>
      </c>
      <c r="AS66" s="115">
        <f t="shared" ref="AS66:AS71" si="284">IF(AU66=0,0,IF(AU66&lt;0,IF($J66=9,AU66,IF($J66=8,AU66,IF($J66=7,AU66,0)))))</f>
        <v>0</v>
      </c>
      <c r="AT66" s="116">
        <f t="shared" ref="AT66:AT71" si="285">IF(AU66=0,0,IF(AU66&lt;0,IF($J66=12,AU66,IF($J66=11,AU66,IF($J66=10,AU66,0)))))</f>
        <v>0</v>
      </c>
      <c r="AU66" s="113">
        <f>IF(AU$5=$H66,-$E66,0)</f>
        <v>0</v>
      </c>
      <c r="AV66" s="114">
        <f t="shared" si="268"/>
        <v>0</v>
      </c>
      <c r="AW66" s="115">
        <f t="shared" si="269"/>
        <v>0</v>
      </c>
      <c r="AX66" s="115">
        <f t="shared" si="270"/>
        <v>0</v>
      </c>
      <c r="AY66" s="116">
        <f t="shared" si="271"/>
        <v>0</v>
      </c>
      <c r="AZ66" s="113">
        <f>IF(AZ$5=$H66,-$E66,0)</f>
        <v>0</v>
      </c>
      <c r="BA66" s="114">
        <f t="shared" si="146"/>
        <v>0</v>
      </c>
      <c r="BB66" s="115">
        <f t="shared" si="147"/>
        <v>0</v>
      </c>
      <c r="BC66" s="115">
        <f t="shared" si="148"/>
        <v>0</v>
      </c>
      <c r="BD66" s="116">
        <f t="shared" si="149"/>
        <v>0</v>
      </c>
      <c r="BE66" s="113">
        <f>IF(BE$5=$H66,-$E66,0)</f>
        <v>0</v>
      </c>
      <c r="BF66" s="194"/>
      <c r="BG66" s="118">
        <f t="shared" si="151"/>
        <v>0</v>
      </c>
      <c r="BH66" s="119">
        <f>IF($H66&lt;&gt;BL$5,0,IF(BL66&lt;0,IF($J66=1,-$E66*$I66/12*3,IF($J66=2,-$E66*$I66/12*2,IF($J66=3,-$E66*$I66/12*1,0)))))+IF(BG$5&lt;&gt;$H66,0,IF(BG66&lt;0,IF($J66=1,-$E66*$I66/12*0,IF($J66=2,-$E66*$I66/12*1,IF($J66=3,-$E66*$I66/12*2,IF($J66&gt;=4,-$E66*$I66/12*3,0))))))</f>
        <v>0</v>
      </c>
      <c r="BI66" s="120">
        <f>IF($H66&lt;&gt;BL$5,0,IF(BL66&lt;0,IF(OR($J66=1,$J66=2,$J66=3,$J66=4),-$E66*$I66/12*3,IF($J66=5,-$E66*$I66/12*2,IF($J66=6,-$E66*$I66/12*1,0)))))+IF(BG$5&lt;&gt;$H66,0,IF(BG66&lt;0,IF($J66=4,-$E66*$I66/12*0,IF($J66=5,-$E66*$I66/12*1,IF($J66=6,-$E66*$I66/12*2,IF($J66&gt;=7,-$E66*$I66/12*3,0))))))</f>
        <v>0</v>
      </c>
      <c r="BJ66" s="120">
        <f>IF($H66&lt;&gt;BL$5,0,IF(BL66&lt;0,IF(OR($J66=1,$J66=2,$J66=3,$J66=4,$J66=5,$J66=6,$J66=7),-$E66*$I66/12*3,IF($J66=8,-$E66*$I66/12*2,IF($J66=9,-$E66*$I66/12*1,0)))))+IF(BG$5&lt;&gt;$H66,0,IF(BG66&lt;0,IF($J66=7,-$E66*$I66/12*0,IF($J66=8,-$E66*$I66/12*1,IF($J66=9,-$E66*$I66/12*2,IF($J66&gt;=10,-$E66*$I66/12*3,0))))))</f>
        <v>0</v>
      </c>
      <c r="BK66" s="121">
        <f>IF($H66&lt;&gt;BL$5,0,IF(BL66&lt;0,IF(OR($J66=1,$J66=2,$J66=3,$J66=4,$J66=5,$J66=6,$J66=7,$J66=8,$J66=9,$J66=10),-$E66*$I66/12*3,IF($J66=11,-$E66*$I66/12*2,IF($J66=12,-$E66*$I66/12*1,0)))))+IF(BG$5&lt;&gt;$H66,0,IF(BG66&lt;0,IF($J66=10,-$E66*$I66/12*0,IF($J66=11,-$E66*$I66/12*1,IF($J66=12,-$E66*$I66/12*2,0)))))</f>
        <v>0</v>
      </c>
      <c r="BL66" s="118">
        <f>IF(AND(BG66&lt;&gt;0,BG$5=$H66),-$I66*$E66-BG66,IF(BL$5=$H66,-$I66*$E66*(12-$J66+1)/12,0))</f>
        <v>0</v>
      </c>
      <c r="BM66" s="119">
        <f>IF($H66&lt;&gt;BQ$5,0,IF(BQ66&lt;0,IF($J66=1,-$E66*$I66/12*3,IF($J66=2,-$E66*$I66/12*2,IF($J66=3,-$E66*$I66/12*1,0)))))+IF(BL$5&lt;&gt;$H66,0,IF(BL66&lt;0,IF($J66=1,-$E66*$I66/12*0,IF($J66=2,-$E66*$I66/12*1,IF($J66=3,-$E66*$I66/12*2,IF($J66&gt;=4,-$E66*$I66/12*3,0))))))</f>
        <v>0</v>
      </c>
      <c r="BN66" s="120">
        <f>IF($H66&lt;&gt;BQ$5,0,IF(BQ66&lt;0,IF(OR($J66=1,$J66=2,$J66=3,$J66=4),-$E66*$I66/12*3,IF($J66=5,-$E66*$I66/12*2,IF($J66=6,-$E66*$I66/12*1,0)))))+IF(BL$5&lt;&gt;$H66,0,IF(BL66&lt;0,IF($J66=4,-$E66*$I66/12*0,IF($J66=5,-$E66*$I66/12*1,IF($J66=6,-$E66*$I66/12*2,IF($J66&gt;=7,-$E66*$I66/12*3,0))))))</f>
        <v>0</v>
      </c>
      <c r="BO66" s="120">
        <f>IF($H66&lt;&gt;BQ$5,0,IF(BQ66&lt;0,IF(OR($J66=1,$J66=2,$J66=3,$J66=4,$J66=5,$J66=6,$J66=7),-$E66*$I66/12*3,IF($J66=8,-$E66*$I66/12*2,IF($J66=9,-$E66*$I66/12*1,0)))))+IF(BL$5&lt;&gt;$H66,0,IF(BL66&lt;0,IF($J66=7,-$E66*$I66/12*0,IF($J66=8,-$E66*$I66/12*1,IF($J66=9,-$E66*$I66/12*2,IF($J66&gt;=10,-$E66*$I66/12*3,0))))))</f>
        <v>0</v>
      </c>
      <c r="BP66" s="121">
        <f>IF($H66&lt;&gt;BQ$5,0,IF(BQ66&lt;0,IF(OR($J66=1,$J66=2,$J66=3,$J66=4,$J66=5,$J66=6,$J66=7,$J66=8,$J66=9,$J66=10),-$E66*$I66/12*3,IF($J66=11,-$E66*$I66/12*2,IF($J66=12,-$E66*$I66/12*1,0)))))+IF(BL$5&lt;&gt;$H66,0,IF(BL66&lt;0,IF($J66=10,-$E66*$I66/12*0,IF($J66=11,-$E66*$I66/12*1,IF($J66=12,-$E66*$I66/12*2,0)))))</f>
        <v>0</v>
      </c>
      <c r="BQ66" s="118">
        <f>IF(AND(BL66&lt;&gt;0,BL$5=$H66),-$I66*$E66-BL66,IF(BQ$5=$H66,-$I66*$E66*(12-$J66+1)/12,0))</f>
        <v>0</v>
      </c>
      <c r="BR66" s="119">
        <f>IF($H66&lt;&gt;BV$5,0,IF(BV66&lt;0,IF($J66=1,-$E66*$I66/12*3,IF($J66=2,-$E66*$I66/12*2,IF($J66=3,-$E66*$I66/12*1,0)))))+IF(BQ$5&lt;&gt;$H66,0,IF(BQ66&lt;0,IF($J66=1,-$E66*$I66/12*0,IF($J66=2,-$E66*$I66/12*1,IF($J66=3,-$E66*$I66/12*2,IF($J66&gt;=4,-$E66*$I66/12*3,0))))))</f>
        <v>0</v>
      </c>
      <c r="BS66" s="120">
        <f>IF($H66&lt;&gt;BV$5,0,IF(BV66&lt;0,IF(OR($J66=1,$J66=2,$J66=3,$J66=4),-$E66*$I66/12*3,IF($J66=5,-$E66*$I66/12*2,IF($J66=6,-$E66*$I66/12*1,0)))))+IF(BQ$5&lt;&gt;$H66,0,IF(BQ66&lt;0,IF($J66=4,-$E66*$I66/12*0,IF($J66=5,-$E66*$I66/12*1,IF($J66=6,-$E66*$I66/12*2,IF($J66&gt;=7,-$E66*$I66/12*3,0))))))</f>
        <v>0</v>
      </c>
      <c r="BT66" s="120">
        <f>IF($H66&lt;&gt;BV$5,0,IF(BV66&lt;0,IF(OR($J66=1,$J66=2,$J66=3,$J66=4,$J66=5,$J66=6,$J66=7),-$E66*$I66/12*3,IF($J66=8,-$E66*$I66/12*2,IF($J66=9,-$E66*$I66/12*1,0)))))+IF(BQ$5&lt;&gt;$H66,0,IF(BQ66&lt;0,IF($J66=7,-$E66*$I66/12*0,IF($J66=8,-$E66*$I66/12*1,IF($J66=9,-$E66*$I66/12*2,IF($J66&gt;=10,-$E66*$I66/12*3,0))))))</f>
        <v>0</v>
      </c>
      <c r="BU66" s="121">
        <f>IF($H66&lt;&gt;BV$5,0,IF(BV66&lt;0,IF(OR($J66=1,$J66=2,$J66=3,$J66=4,$J66=5,$J66=6,$J66=7,$J66=8,$J66=9,$J66=10),-$E66*$I66/12*3,IF($J66=11,-$E66*$I66/12*2,IF($J66=12,-$E66*$I66/12*1,0)))))+IF(BQ$5&lt;&gt;$H66,0,IF(BQ66&lt;0,IF($J66=10,-$E66*$I66/12*0,IF($J66=11,-$E66*$I66/12*1,IF($J66=12,-$E66*$I66/12*2,0)))))</f>
        <v>0</v>
      </c>
      <c r="BV66" s="118">
        <f>IF(AND(BQ66&lt;&gt;0,BQ$5=$H66),-$I66*$E66-BQ66,IF(BV$5=$H66,-$I66*$E66*(12-$J66+1)/12,0))</f>
        <v>0</v>
      </c>
      <c r="BW66" s="119">
        <f>IF($H66&lt;&gt;CA$5,0,IF(CA66&lt;0,IF($J66=1,-$E66*$I66/12*3,IF($J66=2,-$E66*$I66/12*2,IF($J66=3,-$E66*$I66/12*1,0)))))+IF(BV$5&lt;&gt;$H66,0,IF(BV66&lt;0,IF($J66=1,-$E66*$I66/12*0,IF($J66=2,-$E66*$I66/12*1,IF($J66=3,-$E66*$I66/12*2,IF($J66&gt;=4,-$E66*$I66/12*3,0))))))</f>
        <v>0</v>
      </c>
      <c r="BX66" s="120">
        <f>IF($H66&lt;&gt;CA$5,0,IF(CA66&lt;0,IF(OR($J66=1,$J66=2,$J66=3,$J66=4),-$E66*$I66/12*3,IF($J66=5,-$E66*$I66/12*2,IF($J66=6,-$E66*$I66/12*1,0)))))+IF(BV$5&lt;&gt;$H66,0,IF(BV66&lt;0,IF($J66=4,-$E66*$I66/12*0,IF($J66=5,-$E66*$I66/12*1,IF($J66=6,-$E66*$I66/12*2,IF($J66&gt;=7,-$E66*$I66/12*3,0))))))</f>
        <v>0</v>
      </c>
      <c r="BY66" s="120">
        <f>IF($H66&lt;&gt;CA$5,0,IF(CA66&lt;0,IF(OR($J66=1,$J66=2,$J66=3,$J66=4,$J66=5,$J66=6,$J66=7),-$E66*$I66/12*3,IF($J66=8,-$E66*$I66/12*2,IF($J66=9,-$E66*$I66/12*1,0)))))+IF(BV$5&lt;&gt;$H66,0,IF(BV66&lt;0,IF($J66=7,-$E66*$I66/12*0,IF($J66=8,-$E66*$I66/12*1,IF($J66=9,-$E66*$I66/12*2,IF($J66&gt;=10,-$E66*$I66/12*3,0))))))</f>
        <v>0</v>
      </c>
      <c r="BZ66" s="121">
        <f>IF($H66&lt;&gt;CA$5,0,IF(CA66&lt;0,IF(OR($J66=1,$J66=2,$J66=3,$J66=4,$J66=5,$J66=6,$J66=7,$J66=8,$J66=9,$J66=10),-$E66*$I66/12*3,IF($J66=11,-$E66*$I66/12*2,IF($J66=12,-$E66*$I66/12*1,0)))))+IF(BV$5&lt;&gt;$H66,0,IF(BV66&lt;0,IF($J66=10,-$E66*$I66/12*0,IF($J66=11,-$E66*$I66/12*1,IF($J66=12,-$E66*$I66/12*2,0)))))</f>
        <v>0</v>
      </c>
      <c r="CA66" s="118">
        <f>IF(AND(BV66&lt;&gt;0,BV$5=$H66),-$I66*$E66-BV66,IF(CA$5=$H66,-$I66*$E66*(12-$J66+1)/12,0))</f>
        <v>0</v>
      </c>
      <c r="CB66" s="119">
        <f>IF($H66&lt;&gt;CF$5,0,IF(CF66&lt;0,IF($J66=1,-$E66*$I66/12*3,IF($J66=2,-$E66*$I66/12*2,IF($J66=3,-$E66*$I66/12*1,0)))))+IF(CA$5&lt;&gt;$H66,0,IF(CA66&lt;0,IF($J66=1,-$E66*$I66/12*0,IF($J66=2,-$E66*$I66/12*1,IF($J66=3,-$E66*$I66/12*2,IF($J66&gt;=4,-$E66*$I66/12*3,0))))))</f>
        <v>0</v>
      </c>
      <c r="CC66" s="120">
        <f>IF($H66&lt;&gt;CF$5,0,IF(CF66&lt;0,IF(OR($J66=1,$J66=2,$J66=3,$J66=4),-$E66*$I66/12*3,IF($J66=5,-$E66*$I66/12*2,IF($J66=6,-$E66*$I66/12*1,0)))))+IF(CA$5&lt;&gt;$H66,0,IF(CA66&lt;0,IF($J66=4,-$E66*$I66/12*0,IF($J66=5,-$E66*$I66/12*1,IF($J66=6,-$E66*$I66/12*2,IF($J66&gt;=7,-$E66*$I66/12*3,0))))))</f>
        <v>0</v>
      </c>
      <c r="CD66" s="120">
        <f>IF($H66&lt;&gt;CF$5,0,IF(CF66&lt;0,IF(OR($J66=1,$J66=2,$J66=3,$J66=4,$J66=5,$J66=6,$J66=7),-$E66*$I66/12*3,IF($J66=8,-$E66*$I66/12*2,IF($J66=9,-$E66*$I66/12*1,0)))))+IF(CA$5&lt;&gt;$H66,0,IF(CA66&lt;0,IF($J66=7,-$E66*$I66/12*0,IF($J66=8,-$E66*$I66/12*1,IF($J66=9,-$E66*$I66/12*2,IF($J66&gt;=10,-$E66*$I66/12*3,0))))))</f>
        <v>0</v>
      </c>
      <c r="CE66" s="121">
        <f>IF($H66&lt;&gt;CF$5,0,IF(CF66&lt;0,IF(OR($J66=1,$J66=2,$J66=3,$J66=4,$J66=5,$J66=6,$J66=7,$J66=8,$J66=9,$J66=10),-$E66*$I66/12*3,IF($J66=11,-$E66*$I66/12*2,IF($J66=12,-$E66*$I66/12*1,0)))))+IF(CA$5&lt;&gt;$H66,0,IF(CA66&lt;0,IF($J66=10,-$E66*$I66/12*0,IF($J66=11,-$E66*$I66/12*1,IF($J66=12,-$E66*$I66/12*2,0)))))</f>
        <v>0</v>
      </c>
      <c r="CF66" s="118">
        <f>IF(AND(CA66&lt;&gt;0,CA$5=$H66),-$I66*$E66-CA66,IF(CF$5=$H66,-$I66*$E66*(12-$J66+1)/12,0))</f>
        <v>0</v>
      </c>
      <c r="CG66" s="119">
        <f t="shared" ref="CG66:CG71" si="286">IF($H66&lt;&gt;CK$5,0,IF(CK66&lt;0,IF($J66=1,-$E66*$I66/12*3,IF($J66=2,-$E66*$I66/12*2,IF($J66=3,-$E66*$I66/12*1,0)))))+IF(CF$5&lt;&gt;$H66,0,IF(CF66&lt;0,IF($J66=1,-$E66*$I66/12*0,IF($J66=2,-$E66*$I66/12*1,IF($J66=3,-$E66*$I66/12*2,IF($J66&gt;=4,-$E66*$I66/12*3,0))))))</f>
        <v>0</v>
      </c>
      <c r="CH66" s="120">
        <f t="shared" si="192"/>
        <v>0</v>
      </c>
      <c r="CI66" s="120">
        <f t="shared" si="193"/>
        <v>0</v>
      </c>
      <c r="CJ66" s="121">
        <f t="shared" si="194"/>
        <v>0</v>
      </c>
      <c r="CK66" s="118">
        <f t="shared" si="195"/>
        <v>0</v>
      </c>
      <c r="CL66" s="119">
        <f t="shared" ref="CL66:CL71" si="287">IF($H66&lt;&gt;CP$5,0,IF(CP66&lt;0,IF($J66=1,-$E66*$I66/12*3,IF($J66=2,-$E66*$I66/12*2,IF($J66=3,-$E66*$I66/12*1,0)))))+IF(CK$5&lt;&gt;$H66,0,IF(CK66&lt;0,IF($J66=1,-$E66*$I66/12*0,IF($J66=2,-$E66*$I66/12*1,IF($J66=3,-$E66*$I66/12*2,IF($J66&gt;=4,-$E66*$I66/12*3,0))))))</f>
        <v>0</v>
      </c>
      <c r="CM66" s="120">
        <f t="shared" ref="CM66:CM71" si="288">IF($H66&lt;&gt;CP$5,0,IF(CP66&lt;0,IF(OR($J66=1,$J66=2,$J66=3,$J66=4),-$E66*$I66/12*3,IF($J66=5,-$E66*$I66/12*2,IF($J66=6,-$E66*$I66/12*1,0)))))+IF(CK$5&lt;&gt;$H66,0,IF(CK66&lt;0,IF($J66=4,-$E66*$I66/12*0,IF($J66=5,-$E66*$I66/12*1,IF($J66=6,-$E66*$I66/12*2,IF($J66&gt;=7,-$E66*$I66/12*3,0))))))</f>
        <v>0</v>
      </c>
      <c r="CN66" s="120">
        <f t="shared" ref="CN66:CN71" si="289">IF($H66&lt;&gt;CP$5,0,IF(CP66&lt;0,IF(OR($J66=1,$J66=2,$J66=3,$J66=4,$J66=5,$J66=6,$J66=7),-$E66*$I66/12*3,IF($J66=8,-$E66*$I66/12*2,IF($J66=9,-$E66*$I66/12*1,0)))))+IF(CK$5&lt;&gt;$H66,0,IF(CK66&lt;0,IF($J66=7,-$E66*$I66/12*0,IF($J66=8,-$E66*$I66/12*1,IF($J66=9,-$E66*$I66/12*2,IF($J66&gt;=10,-$E66*$I66/12*3,0))))))</f>
        <v>0</v>
      </c>
      <c r="CO66" s="121">
        <f t="shared" ref="CO66:CO71" si="290">IF($H66&lt;&gt;CP$5,0,IF(CP66&lt;0,IF(OR($J66=1,$J66=2,$J66=3,$J66=4,$J66=5,$J66=6,$J66=7,$J66=8,$J66=9,$J66=10),-$E66*$I66/12*3,IF($J66=11,-$E66*$I66/12*2,IF($J66=12,-$E66*$I66/12*1,0)))))+IF(CK$5&lt;&gt;$H66,0,IF(CK66&lt;0,IF($J66=10,-$E66*$I66/12*0,IF($J66=11,-$E66*$I66/12*1,IF($J66=12,-$E66*$I66/12*2,0)))))</f>
        <v>0</v>
      </c>
      <c r="CP66" s="118">
        <f t="shared" ref="CP66:CP71" si="291">IF(AND(CK66&lt;&gt;0,CK$5=$H66),-$I66*$E66-CK66,IF(CP$5=$H66,-$I66*$E66*(12-$J66+1)/12,0))</f>
        <v>0</v>
      </c>
      <c r="CQ66" s="119">
        <f t="shared" ref="CQ66:CQ71" si="292">IF($H66&lt;&gt;CU$5,0,IF(CU66&lt;0,IF($J66=1,-$E66*$I66/12*3,IF($J66=2,-$E66*$I66/12*2,IF($J66=3,-$E66*$I66/12*1,0)))))+IF(CP$5&lt;&gt;$H66,0,IF(CP66&lt;0,IF($J66=1,-$E66*$I66/12*0,IF($J66=2,-$E66*$I66/12*1,IF($J66=3,-$E66*$I66/12*2,IF($J66&gt;=4,-$E66*$I66/12*3,0))))))</f>
        <v>0</v>
      </c>
      <c r="CR66" s="120">
        <f t="shared" si="278"/>
        <v>0</v>
      </c>
      <c r="CS66" s="120">
        <f t="shared" si="279"/>
        <v>0</v>
      </c>
      <c r="CT66" s="121">
        <f t="shared" si="280"/>
        <v>0</v>
      </c>
      <c r="CU66" s="118">
        <f t="shared" si="281"/>
        <v>0</v>
      </c>
      <c r="CV66" s="119">
        <f t="shared" si="178"/>
        <v>0</v>
      </c>
      <c r="CW66" s="120">
        <f t="shared" si="179"/>
        <v>0</v>
      </c>
      <c r="CX66" s="120">
        <f t="shared" si="180"/>
        <v>0</v>
      </c>
      <c r="CY66" s="121">
        <f t="shared" si="181"/>
        <v>0</v>
      </c>
      <c r="CZ66" s="118">
        <f t="shared" si="182"/>
        <v>0</v>
      </c>
    </row>
    <row r="67" spans="1:104" ht="12.75" customHeight="1">
      <c r="A67" s="7"/>
      <c r="B67" s="7"/>
      <c r="C67" s="7" t="s">
        <v>808</v>
      </c>
      <c r="D67" s="195"/>
      <c r="E67" s="191">
        <f t="shared" si="112"/>
        <v>400</v>
      </c>
      <c r="F67" s="193">
        <v>400</v>
      </c>
      <c r="G67" s="193">
        <v>400</v>
      </c>
      <c r="H67" s="442">
        <v>2043</v>
      </c>
      <c r="I67" s="587">
        <v>3.7999999999999999E-2</v>
      </c>
      <c r="J67" s="442">
        <v>1</v>
      </c>
      <c r="K67" s="112"/>
      <c r="L67" s="113">
        <f t="shared" si="113"/>
        <v>0</v>
      </c>
      <c r="M67" s="114">
        <f t="shared" si="114"/>
        <v>0</v>
      </c>
      <c r="N67" s="115">
        <f t="shared" si="115"/>
        <v>0</v>
      </c>
      <c r="O67" s="115">
        <f t="shared" si="116"/>
        <v>0</v>
      </c>
      <c r="P67" s="116">
        <f t="shared" si="117"/>
        <v>0</v>
      </c>
      <c r="Q67" s="113">
        <f t="shared" si="118"/>
        <v>0</v>
      </c>
      <c r="R67" s="114">
        <f t="shared" si="119"/>
        <v>0</v>
      </c>
      <c r="S67" s="115">
        <f t="shared" si="120"/>
        <v>0</v>
      </c>
      <c r="T67" s="115">
        <f t="shared" si="121"/>
        <v>0</v>
      </c>
      <c r="U67" s="116">
        <f t="shared" si="122"/>
        <v>0</v>
      </c>
      <c r="V67" s="113">
        <f t="shared" si="123"/>
        <v>0</v>
      </c>
      <c r="W67" s="114">
        <f t="shared" si="124"/>
        <v>0</v>
      </c>
      <c r="X67" s="115">
        <f t="shared" si="125"/>
        <v>0</v>
      </c>
      <c r="Y67" s="115">
        <f t="shared" si="126"/>
        <v>0</v>
      </c>
      <c r="Z67" s="116">
        <f t="shared" si="127"/>
        <v>0</v>
      </c>
      <c r="AA67" s="113">
        <f t="shared" si="128"/>
        <v>0</v>
      </c>
      <c r="AB67" s="114">
        <f t="shared" si="129"/>
        <v>0</v>
      </c>
      <c r="AC67" s="115">
        <f t="shared" si="130"/>
        <v>0</v>
      </c>
      <c r="AD67" s="115">
        <f t="shared" si="131"/>
        <v>0</v>
      </c>
      <c r="AE67" s="116">
        <f t="shared" si="132"/>
        <v>0</v>
      </c>
      <c r="AF67" s="113">
        <f t="shared" si="133"/>
        <v>0</v>
      </c>
      <c r="AG67" s="114">
        <f t="shared" si="134"/>
        <v>0</v>
      </c>
      <c r="AH67" s="115">
        <f t="shared" si="135"/>
        <v>0</v>
      </c>
      <c r="AI67" s="115">
        <f t="shared" si="136"/>
        <v>0</v>
      </c>
      <c r="AJ67" s="116">
        <f t="shared" si="137"/>
        <v>0</v>
      </c>
      <c r="AK67" s="113">
        <f t="shared" si="138"/>
        <v>0</v>
      </c>
      <c r="AL67" s="114">
        <f t="shared" si="183"/>
        <v>0</v>
      </c>
      <c r="AM67" s="115">
        <f t="shared" si="184"/>
        <v>0</v>
      </c>
      <c r="AN67" s="115">
        <f t="shared" si="185"/>
        <v>0</v>
      </c>
      <c r="AO67" s="116">
        <f t="shared" si="186"/>
        <v>0</v>
      </c>
      <c r="AP67" s="113">
        <f t="shared" si="139"/>
        <v>0</v>
      </c>
      <c r="AQ67" s="114">
        <f t="shared" si="282"/>
        <v>0</v>
      </c>
      <c r="AR67" s="115">
        <f t="shared" si="283"/>
        <v>0</v>
      </c>
      <c r="AS67" s="115">
        <f t="shared" si="284"/>
        <v>0</v>
      </c>
      <c r="AT67" s="116">
        <f t="shared" si="285"/>
        <v>0</v>
      </c>
      <c r="AU67" s="113">
        <f t="shared" si="140"/>
        <v>0</v>
      </c>
      <c r="AV67" s="114">
        <f t="shared" si="268"/>
        <v>0</v>
      </c>
      <c r="AW67" s="115">
        <f t="shared" si="269"/>
        <v>0</v>
      </c>
      <c r="AX67" s="115">
        <f t="shared" si="270"/>
        <v>0</v>
      </c>
      <c r="AY67" s="116">
        <f t="shared" si="271"/>
        <v>0</v>
      </c>
      <c r="AZ67" s="113">
        <f t="shared" si="145"/>
        <v>0</v>
      </c>
      <c r="BA67" s="114">
        <f t="shared" si="146"/>
        <v>0</v>
      </c>
      <c r="BB67" s="115">
        <f t="shared" si="147"/>
        <v>0</v>
      </c>
      <c r="BC67" s="115">
        <f t="shared" si="148"/>
        <v>0</v>
      </c>
      <c r="BD67" s="116">
        <f t="shared" si="149"/>
        <v>0</v>
      </c>
      <c r="BE67" s="113">
        <f t="shared" si="150"/>
        <v>0</v>
      </c>
      <c r="BF67" s="194"/>
      <c r="BG67" s="118">
        <f t="shared" si="151"/>
        <v>0</v>
      </c>
      <c r="BH67" s="119">
        <f t="shared" si="152"/>
        <v>0</v>
      </c>
      <c r="BI67" s="120">
        <f t="shared" si="153"/>
        <v>0</v>
      </c>
      <c r="BJ67" s="120">
        <f t="shared" si="154"/>
        <v>0</v>
      </c>
      <c r="BK67" s="121">
        <f t="shared" si="155"/>
        <v>0</v>
      </c>
      <c r="BL67" s="118">
        <f t="shared" si="156"/>
        <v>0</v>
      </c>
      <c r="BM67" s="119">
        <f t="shared" si="157"/>
        <v>0</v>
      </c>
      <c r="BN67" s="120">
        <f t="shared" si="158"/>
        <v>0</v>
      </c>
      <c r="BO67" s="120">
        <f t="shared" si="159"/>
        <v>0</v>
      </c>
      <c r="BP67" s="121">
        <f t="shared" si="160"/>
        <v>0</v>
      </c>
      <c r="BQ67" s="118">
        <f t="shared" si="161"/>
        <v>0</v>
      </c>
      <c r="BR67" s="119">
        <f t="shared" si="162"/>
        <v>0</v>
      </c>
      <c r="BS67" s="120">
        <f t="shared" si="163"/>
        <v>0</v>
      </c>
      <c r="BT67" s="120">
        <f t="shared" si="164"/>
        <v>0</v>
      </c>
      <c r="BU67" s="121">
        <f t="shared" si="165"/>
        <v>0</v>
      </c>
      <c r="BV67" s="118">
        <f t="shared" si="166"/>
        <v>0</v>
      </c>
      <c r="BW67" s="119">
        <f t="shared" si="167"/>
        <v>0</v>
      </c>
      <c r="BX67" s="120">
        <f t="shared" si="168"/>
        <v>0</v>
      </c>
      <c r="BY67" s="120">
        <f t="shared" si="169"/>
        <v>0</v>
      </c>
      <c r="BZ67" s="121">
        <f t="shared" si="170"/>
        <v>0</v>
      </c>
      <c r="CA67" s="118">
        <f t="shared" si="171"/>
        <v>0</v>
      </c>
      <c r="CB67" s="119">
        <f t="shared" si="172"/>
        <v>0</v>
      </c>
      <c r="CC67" s="120">
        <f t="shared" si="173"/>
        <v>0</v>
      </c>
      <c r="CD67" s="120">
        <f t="shared" si="174"/>
        <v>0</v>
      </c>
      <c r="CE67" s="121">
        <f t="shared" si="175"/>
        <v>0</v>
      </c>
      <c r="CF67" s="118">
        <f t="shared" si="176"/>
        <v>0</v>
      </c>
      <c r="CG67" s="119">
        <f t="shared" si="286"/>
        <v>0</v>
      </c>
      <c r="CH67" s="120">
        <f t="shared" si="192"/>
        <v>0</v>
      </c>
      <c r="CI67" s="120">
        <f t="shared" si="193"/>
        <v>0</v>
      </c>
      <c r="CJ67" s="121">
        <f t="shared" si="194"/>
        <v>0</v>
      </c>
      <c r="CK67" s="118">
        <f t="shared" si="195"/>
        <v>0</v>
      </c>
      <c r="CL67" s="119">
        <f t="shared" si="287"/>
        <v>0</v>
      </c>
      <c r="CM67" s="120">
        <f t="shared" si="288"/>
        <v>0</v>
      </c>
      <c r="CN67" s="120">
        <f t="shared" si="289"/>
        <v>0</v>
      </c>
      <c r="CO67" s="121">
        <f t="shared" si="290"/>
        <v>0</v>
      </c>
      <c r="CP67" s="118">
        <f t="shared" si="291"/>
        <v>0</v>
      </c>
      <c r="CQ67" s="119">
        <f t="shared" si="292"/>
        <v>0</v>
      </c>
      <c r="CR67" s="120">
        <f t="shared" si="278"/>
        <v>0</v>
      </c>
      <c r="CS67" s="120">
        <f t="shared" si="279"/>
        <v>0</v>
      </c>
      <c r="CT67" s="121">
        <f t="shared" si="280"/>
        <v>0</v>
      </c>
      <c r="CU67" s="118">
        <f t="shared" si="281"/>
        <v>0</v>
      </c>
      <c r="CV67" s="119">
        <f t="shared" si="178"/>
        <v>0</v>
      </c>
      <c r="CW67" s="120">
        <f t="shared" si="179"/>
        <v>0</v>
      </c>
      <c r="CX67" s="120">
        <f t="shared" si="180"/>
        <v>0</v>
      </c>
      <c r="CY67" s="121">
        <f t="shared" si="181"/>
        <v>0</v>
      </c>
      <c r="CZ67" s="118">
        <f t="shared" si="182"/>
        <v>0</v>
      </c>
    </row>
    <row r="68" spans="1:104" ht="12.75" customHeight="1">
      <c r="A68" s="7"/>
      <c r="B68" s="7"/>
      <c r="C68" s="189" t="s">
        <v>894</v>
      </c>
      <c r="D68" s="190"/>
      <c r="E68" s="191">
        <f t="shared" si="112"/>
        <v>250</v>
      </c>
      <c r="F68" s="193">
        <v>250</v>
      </c>
      <c r="G68" s="193">
        <v>250</v>
      </c>
      <c r="H68" s="1346">
        <v>2044</v>
      </c>
      <c r="I68" s="1363">
        <v>0.04</v>
      </c>
      <c r="J68" s="1346">
        <v>6</v>
      </c>
      <c r="K68" s="112"/>
      <c r="L68" s="113">
        <f t="shared" si="113"/>
        <v>0</v>
      </c>
      <c r="M68" s="114">
        <f>IF(Q68=0,0,IF(Q68&lt;0,IF($J68=3,Q68,IF($J68=2,Q68,IF($J68=1,Q68,0)))))</f>
        <v>0</v>
      </c>
      <c r="N68" s="115">
        <f>IF(Q68=0,0,IF(Q68&lt;0,IF($J68=6,Q68,IF($J68=5,Q68,IF($J68=4,Q68,0)))))</f>
        <v>0</v>
      </c>
      <c r="O68" s="115">
        <f>IF(Q68=0,0,IF(Q68&lt;0,IF($J68=9,Q68,IF($J68=8,Q68,IF($J68=7,Q68,0)))))</f>
        <v>0</v>
      </c>
      <c r="P68" s="116">
        <f>IF(Q68=0,0,IF(Q68&lt;0,IF($J68=12,Q68,IF($J68=11,Q68,IF($J68=10,Q68,0)))))</f>
        <v>0</v>
      </c>
      <c r="Q68" s="113">
        <f t="shared" si="118"/>
        <v>0</v>
      </c>
      <c r="R68" s="114">
        <f>IF(V68=0,0,IF(V68&lt;0,IF($J68=3,V68,IF($J68=2,V68,IF($J68=1,V68,0)))))</f>
        <v>0</v>
      </c>
      <c r="S68" s="115">
        <f>IF(V68=0,0,IF(V68&lt;0,IF($J68=6,V68,IF($J68=5,V68,IF($J68=4,V68,0)))))</f>
        <v>0</v>
      </c>
      <c r="T68" s="115">
        <f>IF(V68=0,0,IF(V68&lt;0,IF($J68=9,V68,IF($J68=8,V68,IF($J68=7,V68,0)))))</f>
        <v>0</v>
      </c>
      <c r="U68" s="116">
        <f>IF(V68=0,0,IF(V68&lt;0,IF($J68=12,V68,IF($J68=11,V68,IF($J68=10,V68,0)))))</f>
        <v>0</v>
      </c>
      <c r="V68" s="113">
        <f t="shared" si="123"/>
        <v>0</v>
      </c>
      <c r="W68" s="114">
        <f>IF(AA68=0,0,IF(AA68&lt;0,IF($J68=3,AA68,IF($J68=2,AA68,IF($J68=1,AA68,0)))))</f>
        <v>0</v>
      </c>
      <c r="X68" s="115">
        <f>IF(AA68=0,0,IF(AA68&lt;0,IF($J68=6,AA68,IF($J68=5,AA68,IF($J68=4,AA68,0)))))</f>
        <v>0</v>
      </c>
      <c r="Y68" s="115">
        <f>IF(AA68=0,0,IF(AA68&lt;0,IF($J68=9,AA68,IF($J68=8,AA68,IF($J68=7,AA68,0)))))</f>
        <v>0</v>
      </c>
      <c r="Z68" s="116">
        <f>IF(AA68=0,0,IF(AA68&lt;0,IF($J68=12,AA68,IF($J68=11,AA68,IF($J68=10,AA68,0)))))</f>
        <v>0</v>
      </c>
      <c r="AA68" s="113">
        <f t="shared" si="128"/>
        <v>0</v>
      </c>
      <c r="AB68" s="114">
        <f>IF(AF68=0,0,IF(AF68&lt;0,IF($J68=3,AF68,IF($J68=2,AF68,IF($J68=1,AF68,0)))))</f>
        <v>0</v>
      </c>
      <c r="AC68" s="115">
        <f>IF(AF68=0,0,IF(AF68&lt;0,IF($J68=6,AF68,IF($J68=5,AF68,IF($J68=4,AF68,0)))))</f>
        <v>0</v>
      </c>
      <c r="AD68" s="115">
        <f>IF(AF68=0,0,IF(AF68&lt;0,IF($J68=9,AF68,IF($J68=8,AF68,IF($J68=7,AF68,0)))))</f>
        <v>0</v>
      </c>
      <c r="AE68" s="116">
        <f>IF(AF68=0,0,IF(AF68&lt;0,IF($J68=12,AF68,IF($J68=11,AF68,IF($J68=10,AF68,0)))))</f>
        <v>0</v>
      </c>
      <c r="AF68" s="113">
        <f t="shared" si="133"/>
        <v>0</v>
      </c>
      <c r="AG68" s="114">
        <f>IF(AK68=0,0,IF(AK68&lt;0,IF($J68=3,AK68,IF($J68=2,AK68,IF($J68=1,AK68,0)))))</f>
        <v>0</v>
      </c>
      <c r="AH68" s="115">
        <f>IF(AK68=0,0,IF(AK68&lt;0,IF($J68=6,AK68,IF($J68=5,AK68,IF($J68=4,AK68,0)))))</f>
        <v>0</v>
      </c>
      <c r="AI68" s="115">
        <f>IF(AK68=0,0,IF(AK68&lt;0,IF($J68=9,AK68,IF($J68=8,AK68,IF($J68=7,AK68,0)))))</f>
        <v>0</v>
      </c>
      <c r="AJ68" s="116">
        <f>IF(AK68=0,0,IF(AK68&lt;0,IF($J68=12,AK68,IF($J68=11,AK68,IF($J68=10,AK68,0)))))</f>
        <v>0</v>
      </c>
      <c r="AK68" s="113">
        <f t="shared" si="138"/>
        <v>0</v>
      </c>
      <c r="AL68" s="114">
        <f>IF(AP68=0,0,IF(AP68&lt;0,IF($J68=3,AP68,IF($J68=2,AP68,IF($J68=1,AP68,0)))))</f>
        <v>0</v>
      </c>
      <c r="AM68" s="115">
        <f>IF(AP68=0,0,IF(AP68&lt;0,IF($J68=6,AP68,IF($J68=5,AP68,IF($J68=4,AP68,0)))))</f>
        <v>0</v>
      </c>
      <c r="AN68" s="115">
        <f>IF(AP68=0,0,IF(AP68&lt;0,IF($J68=9,AP68,IF($J68=8,AP68,IF($J68=7,AP68,0)))))</f>
        <v>0</v>
      </c>
      <c r="AO68" s="116">
        <f>IF(AP68=0,0,IF(AP68&lt;0,IF($J68=12,AP68,IF($J68=11,AP68,IF($J68=10,AP68,0)))))</f>
        <v>0</v>
      </c>
      <c r="AP68" s="113">
        <f t="shared" si="139"/>
        <v>0</v>
      </c>
      <c r="AQ68" s="114">
        <f t="shared" si="282"/>
        <v>0</v>
      </c>
      <c r="AR68" s="115">
        <f t="shared" si="283"/>
        <v>0</v>
      </c>
      <c r="AS68" s="115">
        <f t="shared" si="284"/>
        <v>0</v>
      </c>
      <c r="AT68" s="116">
        <f t="shared" si="285"/>
        <v>0</v>
      </c>
      <c r="AU68" s="113">
        <f t="shared" si="140"/>
        <v>0</v>
      </c>
      <c r="AV68" s="114">
        <f t="shared" si="268"/>
        <v>0</v>
      </c>
      <c r="AW68" s="115">
        <f t="shared" si="269"/>
        <v>0</v>
      </c>
      <c r="AX68" s="115">
        <f t="shared" si="270"/>
        <v>0</v>
      </c>
      <c r="AY68" s="116">
        <f t="shared" si="271"/>
        <v>0</v>
      </c>
      <c r="AZ68" s="113">
        <f t="shared" si="145"/>
        <v>0</v>
      </c>
      <c r="BA68" s="114">
        <f t="shared" si="146"/>
        <v>0</v>
      </c>
      <c r="BB68" s="115">
        <f t="shared" si="147"/>
        <v>0</v>
      </c>
      <c r="BC68" s="115">
        <f t="shared" si="148"/>
        <v>0</v>
      </c>
      <c r="BD68" s="116">
        <f t="shared" si="149"/>
        <v>0</v>
      </c>
      <c r="BE68" s="113">
        <f t="shared" si="150"/>
        <v>0</v>
      </c>
      <c r="BF68" s="194"/>
      <c r="BG68" s="118">
        <f>IF(AND(BF68&lt;&gt;0,BF$5=$H68),-$I68*$E68-BF68,IF(BG$5=$H68,-$I68*$E68*(12-$J68+1)/12,0))</f>
        <v>0</v>
      </c>
      <c r="BH68" s="119">
        <f>IF($H68&lt;&gt;BL$5,0,IF(BL68&lt;0,IF($J68=1,-$E68*$I68/12*3,IF($J68=2,-$E68*$I68/12*2,IF($J68=3,-$E68*$I68/12*1,0)))))+IF(BG$5&lt;&gt;$H68,0,IF(BG68&lt;0,IF($J68=1,-$E68*$I68/12*0,IF($J68=2,-$E68*$I68/12*1,IF($J68=3,-$E68*$I68/12*2,IF($J68&gt;=4,-$E68*$I68/12*3,0))))))</f>
        <v>0</v>
      </c>
      <c r="BI68" s="120">
        <f>IF($H68&lt;&gt;BL$5,0,IF(BL68&lt;0,IF(OR($J68=1,$J68=2,$J68=3,$J68=4),-$E68*$I68/12*3,IF($J68=5,-$E68*$I68/12*2,IF($J68=6,-$E68*$I68/12*1,0)))))+IF(BG$5&lt;&gt;$H68,0,IF(BG68&lt;0,IF($J68=4,-$E68*$I68/12*0,IF($J68=5,-$E68*$I68/12*1,IF($J68=6,-$E68*$I68/12*2,IF($J68&gt;=7,-$E68*$I68/12*3,0))))))</f>
        <v>0</v>
      </c>
      <c r="BJ68" s="120">
        <f>IF($H68&lt;&gt;BL$5,0,IF(BL68&lt;0,IF(OR($J68=1,$J68=2,$J68=3,$J68=4,$J68=5,$J68=6,$J68=7),-$E68*$I68/12*3,IF($J68=8,-$E68*$I68/12*2,IF($J68=9,-$E68*$I68/12*1,0)))))+IF(BG$5&lt;&gt;$H68,0,IF(BG68&lt;0,IF($J68=7,-$E68*$I68/12*0,IF($J68=8,-$E68*$I68/12*1,IF($J68=9,-$E68*$I68/12*2,IF($J68&gt;=10,-$E68*$I68/12*3,0))))))</f>
        <v>0</v>
      </c>
      <c r="BK68" s="121">
        <f>IF($H68&lt;&gt;BL$5,0,IF(BL68&lt;0,IF(OR($J68=1,$J68=2,$J68=3,$J68=4,$J68=5,$J68=6,$J68=7,$J68=8,$J68=9,$J68=10),-$E68*$I68/12*3,IF($J68=11,-$E68*$I68/12*2,IF($J68=12,-$E68*$I68/12*1,0)))))+IF(BG$5&lt;&gt;$H68,0,IF(BG68&lt;0,IF($J68=10,-$E68*$I68/12*0,IF($J68=11,-$E68*$I68/12*1,IF($J68=12,-$E68*$I68/12*2,0)))))</f>
        <v>0</v>
      </c>
      <c r="BL68" s="118">
        <f>IF(AND(BG68&lt;&gt;0,BG$5=$H68),-$I68*$E68-BG68,IF(BL$5=$H68,-$I68*$E68*(12-$J68+1)/12,0))</f>
        <v>0</v>
      </c>
      <c r="BM68" s="119">
        <f>IF($H68&lt;&gt;BQ$5,0,IF(BQ68&lt;0,IF($J68=1,-$E68*$I68/12*3,IF($J68=2,-$E68*$I68/12*2,IF($J68=3,-$E68*$I68/12*1,0)))))+IF(BL$5&lt;&gt;$H68,0,IF(BL68&lt;0,IF($J68=1,-$E68*$I68/12*0,IF($J68=2,-$E68*$I68/12*1,IF($J68=3,-$E68*$I68/12*2,IF($J68&gt;=4,-$E68*$I68/12*3,0))))))</f>
        <v>0</v>
      </c>
      <c r="BN68" s="120">
        <f>IF($H68&lt;&gt;BQ$5,0,IF(BQ68&lt;0,IF(OR($J68=1,$J68=2,$J68=3,$J68=4),-$E68*$I68/12*3,IF($J68=5,-$E68*$I68/12*2,IF($J68=6,-$E68*$I68/12*1,0)))))+IF(BL$5&lt;&gt;$H68,0,IF(BL68&lt;0,IF($J68=4,-$E68*$I68/12*0,IF($J68=5,-$E68*$I68/12*1,IF($J68=6,-$E68*$I68/12*2,IF($J68&gt;=7,-$E68*$I68/12*3,0))))))</f>
        <v>0</v>
      </c>
      <c r="BO68" s="120">
        <f>IF($H68&lt;&gt;BQ$5,0,IF(BQ68&lt;0,IF(OR($J68=1,$J68=2,$J68=3,$J68=4,$J68=5,$J68=6,$J68=7),-$E68*$I68/12*3,IF($J68=8,-$E68*$I68/12*2,IF($J68=9,-$E68*$I68/12*1,0)))))+IF(BL$5&lt;&gt;$H68,0,IF(BL68&lt;0,IF($J68=7,-$E68*$I68/12*0,IF($J68=8,-$E68*$I68/12*1,IF($J68=9,-$E68*$I68/12*2,IF($J68&gt;=10,-$E68*$I68/12*3,0))))))</f>
        <v>0</v>
      </c>
      <c r="BP68" s="121">
        <f>IF($H68&lt;&gt;BQ$5,0,IF(BQ68&lt;0,IF(OR($J68=1,$J68=2,$J68=3,$J68=4,$J68=5,$J68=6,$J68=7,$J68=8,$J68=9,$J68=10),-$E68*$I68/12*3,IF($J68=11,-$E68*$I68/12*2,IF($J68=12,-$E68*$I68/12*1,0)))))+IF(BL$5&lt;&gt;$H68,0,IF(BL68&lt;0,IF($J68=10,-$E68*$I68/12*0,IF($J68=11,-$E68*$I68/12*1,IF($J68=12,-$E68*$I68/12*2,0)))))</f>
        <v>0</v>
      </c>
      <c r="BQ68" s="118">
        <f>IF(AND(BL68&lt;&gt;0,BL$5=$H68),-$I68*$E68-BL68,IF(BQ$5=$H68,-$I68*$E68*(12-$J68+1)/12,0))</f>
        <v>0</v>
      </c>
      <c r="BR68" s="119">
        <f>IF($H68&lt;&gt;BV$5,0,IF(BV68&lt;0,IF($J68=1,-$E68*$I68/12*3,IF($J68=2,-$E68*$I68/12*2,IF($J68=3,-$E68*$I68/12*1,0)))))+IF(BQ$5&lt;&gt;$H68,0,IF(BQ68&lt;0,IF($J68=1,-$E68*$I68/12*0,IF($J68=2,-$E68*$I68/12*1,IF($J68=3,-$E68*$I68/12*2,IF($J68&gt;=4,-$E68*$I68/12*3,0))))))</f>
        <v>0</v>
      </c>
      <c r="BS68" s="120">
        <f>IF($H68&lt;&gt;BV$5,0,IF(BV68&lt;0,IF(OR($J68=1,$J68=2,$J68=3,$J68=4),-$E68*$I68/12*3,IF($J68=5,-$E68*$I68/12*2,IF($J68=6,-$E68*$I68/12*1,0)))))+IF(BQ$5&lt;&gt;$H68,0,IF(BQ68&lt;0,IF($J68=4,-$E68*$I68/12*0,IF($J68=5,-$E68*$I68/12*1,IF($J68=6,-$E68*$I68/12*2,IF($J68&gt;=7,-$E68*$I68/12*3,0))))))</f>
        <v>0</v>
      </c>
      <c r="BT68" s="120">
        <f>IF($H68&lt;&gt;BV$5,0,IF(BV68&lt;0,IF(OR($J68=1,$J68=2,$J68=3,$J68=4,$J68=5,$J68=6,$J68=7),-$E68*$I68/12*3,IF($J68=8,-$E68*$I68/12*2,IF($J68=9,-$E68*$I68/12*1,0)))))+IF(BQ$5&lt;&gt;$H68,0,IF(BQ68&lt;0,IF($J68=7,-$E68*$I68/12*0,IF($J68=8,-$E68*$I68/12*1,IF($J68=9,-$E68*$I68/12*2,IF($J68&gt;=10,-$E68*$I68/12*3,0))))))</f>
        <v>0</v>
      </c>
      <c r="BU68" s="121">
        <f>IF($H68&lt;&gt;BV$5,0,IF(BV68&lt;0,IF(OR($J68=1,$J68=2,$J68=3,$J68=4,$J68=5,$J68=6,$J68=7,$J68=8,$J68=9,$J68=10),-$E68*$I68/12*3,IF($J68=11,-$E68*$I68/12*2,IF($J68=12,-$E68*$I68/12*1,0)))))+IF(BQ$5&lt;&gt;$H68,0,IF(BQ68&lt;0,IF($J68=10,-$E68*$I68/12*0,IF($J68=11,-$E68*$I68/12*1,IF($J68=12,-$E68*$I68/12*2,0)))))</f>
        <v>0</v>
      </c>
      <c r="BV68" s="118">
        <f>IF(AND(BQ68&lt;&gt;0,BQ$5=$H68),-$I68*$E68-BQ68,IF(BV$5=$H68,-$I68*$E68*(12-$J68+1)/12,0))</f>
        <v>0</v>
      </c>
      <c r="BW68" s="119">
        <f>IF($H68&lt;&gt;CA$5,0,IF(CA68&lt;0,IF($J68=1,-$E68*$I68/12*3,IF($J68=2,-$E68*$I68/12*2,IF($J68=3,-$E68*$I68/12*1,0)))))+IF(BV$5&lt;&gt;$H68,0,IF(BV68&lt;0,IF($J68=1,-$E68*$I68/12*0,IF($J68=2,-$E68*$I68/12*1,IF($J68=3,-$E68*$I68/12*2,IF($J68&gt;=4,-$E68*$I68/12*3,0))))))</f>
        <v>0</v>
      </c>
      <c r="BX68" s="120">
        <f>IF($H68&lt;&gt;CA$5,0,IF(CA68&lt;0,IF(OR($J68=1,$J68=2,$J68=3,$J68=4),-$E68*$I68/12*3,IF($J68=5,-$E68*$I68/12*2,IF($J68=6,-$E68*$I68/12*1,0)))))+IF(BV$5&lt;&gt;$H68,0,IF(BV68&lt;0,IF($J68=4,-$E68*$I68/12*0,IF($J68=5,-$E68*$I68/12*1,IF($J68=6,-$E68*$I68/12*2,IF($J68&gt;=7,-$E68*$I68/12*3,0))))))</f>
        <v>0</v>
      </c>
      <c r="BY68" s="120">
        <f>IF($H68&lt;&gt;CA$5,0,IF(CA68&lt;0,IF(OR($J68=1,$J68=2,$J68=3,$J68=4,$J68=5,$J68=6,$J68=7),-$E68*$I68/12*3,IF($J68=8,-$E68*$I68/12*2,IF($J68=9,-$E68*$I68/12*1,0)))))+IF(BV$5&lt;&gt;$H68,0,IF(BV68&lt;0,IF($J68=7,-$E68*$I68/12*0,IF($J68=8,-$E68*$I68/12*1,IF($J68=9,-$E68*$I68/12*2,IF($J68&gt;=10,-$E68*$I68/12*3,0))))))</f>
        <v>0</v>
      </c>
      <c r="BZ68" s="121">
        <f>IF($H68&lt;&gt;CA$5,0,IF(CA68&lt;0,IF(OR($J68=1,$J68=2,$J68=3,$J68=4,$J68=5,$J68=6,$J68=7,$J68=8,$J68=9,$J68=10),-$E68*$I68/12*3,IF($J68=11,-$E68*$I68/12*2,IF($J68=12,-$E68*$I68/12*1,0)))))+IF(BV$5&lt;&gt;$H68,0,IF(BV68&lt;0,IF($J68=10,-$E68*$I68/12*0,IF($J68=11,-$E68*$I68/12*1,IF($J68=12,-$E68*$I68/12*2,0)))))</f>
        <v>0</v>
      </c>
      <c r="CA68" s="118">
        <f>IF(AND(BV68&lt;&gt;0,BV$5=$H68),-$I68*$E68-BV68,IF(CA$5=$H68,-$I68*$E68*(12-$J68+1)/12,0))</f>
        <v>0</v>
      </c>
      <c r="CB68" s="119">
        <f>IF($H68&lt;&gt;CF$5,0,IF(CF68&lt;0,IF($J68=1,-$E68*$I68/12*3,IF($J68=2,-$E68*$I68/12*2,IF($J68=3,-$E68*$I68/12*1,0)))))+IF(CA$5&lt;&gt;$H68,0,IF(CA68&lt;0,IF($J68=1,-$E68*$I68/12*0,IF($J68=2,-$E68*$I68/12*1,IF($J68=3,-$E68*$I68/12*2,IF($J68&gt;=4,-$E68*$I68/12*3,0))))))</f>
        <v>0</v>
      </c>
      <c r="CC68" s="120">
        <f>IF($H68&lt;&gt;CF$5,0,IF(CF68&lt;0,IF(OR($J68=1,$J68=2,$J68=3,$J68=4),-$E68*$I68/12*3,IF($J68=5,-$E68*$I68/12*2,IF($J68=6,-$E68*$I68/12*1,0)))))+IF(CA$5&lt;&gt;$H68,0,IF(CA68&lt;0,IF($J68=4,-$E68*$I68/12*0,IF($J68=5,-$E68*$I68/12*1,IF($J68=6,-$E68*$I68/12*2,IF($J68&gt;=7,-$E68*$I68/12*3,0))))))</f>
        <v>0</v>
      </c>
      <c r="CD68" s="120">
        <f>IF($H68&lt;&gt;CF$5,0,IF(CF68&lt;0,IF(OR($J68=1,$J68=2,$J68=3,$J68=4,$J68=5,$J68=6,$J68=7),-$E68*$I68/12*3,IF($J68=8,-$E68*$I68/12*2,IF($J68=9,-$E68*$I68/12*1,0)))))+IF(CA$5&lt;&gt;$H68,0,IF(CA68&lt;0,IF($J68=7,-$E68*$I68/12*0,IF($J68=8,-$E68*$I68/12*1,IF($J68=9,-$E68*$I68/12*2,IF($J68&gt;=10,-$E68*$I68/12*3,0))))))</f>
        <v>0</v>
      </c>
      <c r="CE68" s="121">
        <f>IF($H68&lt;&gt;CF$5,0,IF(CF68&lt;0,IF(OR($J68=1,$J68=2,$J68=3,$J68=4,$J68=5,$J68=6,$J68=7,$J68=8,$J68=9,$J68=10),-$E68*$I68/12*3,IF($J68=11,-$E68*$I68/12*2,IF($J68=12,-$E68*$I68/12*1,0)))))+IF(CA$5&lt;&gt;$H68,0,IF(CA68&lt;0,IF($J68=10,-$E68*$I68/12*0,IF($J68=11,-$E68*$I68/12*1,IF($J68=12,-$E68*$I68/12*2,0)))))</f>
        <v>0</v>
      </c>
      <c r="CF68" s="118">
        <f>IF(AND(CA68&lt;&gt;0,CA$5=$H68),-$I68*$E68-CA68,IF(CF$5=$H68,-$I68*$E68*(12-$J68+1)/12,0))</f>
        <v>0</v>
      </c>
      <c r="CG68" s="119">
        <f t="shared" si="286"/>
        <v>0</v>
      </c>
      <c r="CH68" s="120">
        <f>IF($H68&lt;&gt;CK$5,0,IF(CK68&lt;0,IF(OR($J68=1,$J68=2,$J68=3,$J68=4),-$E68*$I68/12*3,IF($J68=5,-$E68*$I68/12*2,IF($J68=6,-$E68*$I68/12*1,0)))))+IF(CF$5&lt;&gt;$H68,0,IF(CF68&lt;0,IF($J68=4,-$E68*$I68/12*0,IF($J68=5,-$E68*$I68/12*1,IF($J68=6,-$E68*$I68/12*2,IF($J68&gt;=7,-$E68*$I68/12*3,0))))))</f>
        <v>0</v>
      </c>
      <c r="CI68" s="120">
        <f>IF($H68&lt;&gt;CK$5,0,IF(CK68&lt;0,IF(OR($J68=1,$J68=2,$J68=3,$J68=4,$J68=5,$J68=6,$J68=7),-$E68*$I68/12*3,IF($J68=8,-$E68*$I68/12*2,IF($J68=9,-$E68*$I68/12*1,0)))))+IF(CF$5&lt;&gt;$H68,0,IF(CF68&lt;0,IF($J68=7,-$E68*$I68/12*0,IF($J68=8,-$E68*$I68/12*1,IF($J68=9,-$E68*$I68/12*2,IF($J68&gt;=10,-$E68*$I68/12*3,0))))))</f>
        <v>0</v>
      </c>
      <c r="CJ68" s="121">
        <f>IF($H68&lt;&gt;CK$5,0,IF(CK68&lt;0,IF(OR($J68=1,$J68=2,$J68=3,$J68=4,$J68=5,$J68=6,$J68=7,$J68=8,$J68=9,$J68=10),-$E68*$I68/12*3,IF($J68=11,-$E68*$I68/12*2,IF($J68=12,-$E68*$I68/12*1,0)))))+IF(CF$5&lt;&gt;$H68,0,IF(CF68&lt;0,IF($J68=10,-$E68*$I68/12*0,IF($J68=11,-$E68*$I68/12*1,IF($J68=12,-$E68*$I68/12*2,0)))))</f>
        <v>0</v>
      </c>
      <c r="CK68" s="118">
        <f>IF(AND(CF68&lt;&gt;0,CF$5=$H68),-$I68*$E68-CF68,IF(CK$5=$H68,-$I68*$E68*(12-$J68+1)/12,0))</f>
        <v>0</v>
      </c>
      <c r="CL68" s="119">
        <f t="shared" si="287"/>
        <v>0</v>
      </c>
      <c r="CM68" s="120">
        <f t="shared" si="288"/>
        <v>0</v>
      </c>
      <c r="CN68" s="120">
        <f t="shared" si="289"/>
        <v>0</v>
      </c>
      <c r="CO68" s="121">
        <f t="shared" si="290"/>
        <v>0</v>
      </c>
      <c r="CP68" s="118">
        <f t="shared" si="291"/>
        <v>0</v>
      </c>
      <c r="CQ68" s="119">
        <f t="shared" si="292"/>
        <v>0</v>
      </c>
      <c r="CR68" s="120">
        <f>IF($H68&lt;&gt;CU$5,0,IF(CU68&lt;0,IF(OR($J68=1,$J68=2,$J68=3,$J68=4),-$E68*$I68/12*3,IF($J68=5,-$E68*$I68/12*2,IF($J68=6,-$E68*$I68/12*1,0)))))+IF(CP$5&lt;&gt;$H68,0,IF(CP68&lt;0,IF($J68=4,-$E68*$I68/12*0,IF($J68=5,-$E68*$I68/12*1,IF($J68=6,-$E68*$I68/12*2,IF($J68&gt;=7,-$E68*$I68/12*3,0))))))</f>
        <v>0</v>
      </c>
      <c r="CS68" s="120">
        <f>IF($H68&lt;&gt;CU$5,0,IF(CU68&lt;0,IF(OR($J68=1,$J68=2,$J68=3,$J68=4,$J68=5,$J68=6,$J68=7),-$E68*$I68/12*3,IF($J68=8,-$E68*$I68/12*2,IF($J68=9,-$E68*$I68/12*1,0)))))+IF(CP$5&lt;&gt;$H68,0,IF(CP68&lt;0,IF($J68=7,-$E68*$I68/12*0,IF($J68=8,-$E68*$I68/12*1,IF($J68=9,-$E68*$I68/12*2,IF($J68&gt;=10,-$E68*$I68/12*3,0))))))</f>
        <v>0</v>
      </c>
      <c r="CT68" s="121">
        <f>IF($H68&lt;&gt;CU$5,0,IF(CU68&lt;0,IF(OR($J68=1,$J68=2,$J68=3,$J68=4,$J68=5,$J68=6,$J68=7,$J68=8,$J68=9,$J68=10),-$E68*$I68/12*3,IF($J68=11,-$E68*$I68/12*2,IF($J68=12,-$E68*$I68/12*1,0)))))+IF(CP$5&lt;&gt;$H68,0,IF(CP68&lt;0,IF($J68=10,-$E68*$I68/12*0,IF($J68=11,-$E68*$I68/12*1,IF($J68=12,-$E68*$I68/12*2,0)))))</f>
        <v>0</v>
      </c>
      <c r="CU68" s="118">
        <f>IF(AND(CP68&lt;&gt;0,CP$5=$H68),-$I68*$E68-CP68,IF(CU$5=$H68,-$I68*$E68*(12-$J68+1)/12,0))</f>
        <v>0</v>
      </c>
      <c r="CV68" s="119">
        <f t="shared" si="178"/>
        <v>0</v>
      </c>
      <c r="CW68" s="120">
        <f t="shared" si="179"/>
        <v>0</v>
      </c>
      <c r="CX68" s="120">
        <f t="shared" si="180"/>
        <v>0</v>
      </c>
      <c r="CY68" s="121">
        <f t="shared" si="181"/>
        <v>0</v>
      </c>
      <c r="CZ68" s="118">
        <f t="shared" si="182"/>
        <v>0</v>
      </c>
    </row>
    <row r="69" spans="1:104" ht="12.75" customHeight="1">
      <c r="A69" s="7"/>
      <c r="B69" s="7"/>
      <c r="C69" s="1508" t="s">
        <v>1003</v>
      </c>
      <c r="D69" s="190"/>
      <c r="E69" s="191">
        <f t="shared" si="112"/>
        <v>250</v>
      </c>
      <c r="F69" s="193">
        <v>250</v>
      </c>
      <c r="G69" s="193">
        <v>250</v>
      </c>
      <c r="H69" s="1346">
        <v>2045</v>
      </c>
      <c r="I69" s="1363">
        <v>4.0500000000000001E-2</v>
      </c>
      <c r="J69" s="1346">
        <v>5</v>
      </c>
      <c r="K69" s="112"/>
      <c r="L69" s="113">
        <f t="shared" si="113"/>
        <v>0</v>
      </c>
      <c r="M69" s="114">
        <f>IF(Q69=0,0,IF(Q69&lt;0,IF($J69=3,Q69,IF($J69=2,Q69,IF($J69=1,Q69,0)))))</f>
        <v>0</v>
      </c>
      <c r="N69" s="115">
        <f>IF(Q69=0,0,IF(Q69&lt;0,IF($J69=6,Q69,IF($J69=5,Q69,IF($J69=4,Q69,0)))))</f>
        <v>0</v>
      </c>
      <c r="O69" s="115">
        <f>IF(Q69=0,0,IF(Q69&lt;0,IF($J69=9,Q69,IF($J69=8,Q69,IF($J69=7,Q69,0)))))</f>
        <v>0</v>
      </c>
      <c r="P69" s="116">
        <f>IF(Q69=0,0,IF(Q69&lt;0,IF($J69=12,Q69,IF($J69=11,Q69,IF($J69=10,Q69,0)))))</f>
        <v>0</v>
      </c>
      <c r="Q69" s="113">
        <f t="shared" si="118"/>
        <v>0</v>
      </c>
      <c r="R69" s="114">
        <f>IF(V69=0,0,IF(V69&lt;0,IF($J69=3,V69,IF($J69=2,V69,IF($J69=1,V69,0)))))</f>
        <v>0</v>
      </c>
      <c r="S69" s="115">
        <f>IF(V69=0,0,IF(V69&lt;0,IF($J69=6,V69,IF($J69=5,V69,IF($J69=4,V69,0)))))</f>
        <v>0</v>
      </c>
      <c r="T69" s="115">
        <f>IF(V69=0,0,IF(V69&lt;0,IF($J69=9,V69,IF($J69=8,V69,IF($J69=7,V69,0)))))</f>
        <v>0</v>
      </c>
      <c r="U69" s="116">
        <f>IF(V69=0,0,IF(V69&lt;0,IF($J69=12,V69,IF($J69=11,V69,IF($J69=10,V69,0)))))</f>
        <v>0</v>
      </c>
      <c r="V69" s="113">
        <f t="shared" si="123"/>
        <v>0</v>
      </c>
      <c r="W69" s="114">
        <f>IF(AA69=0,0,IF(AA69&lt;0,IF($J69=3,AA69,IF($J69=2,AA69,IF($J69=1,AA69,0)))))</f>
        <v>0</v>
      </c>
      <c r="X69" s="115">
        <f>IF(AA69=0,0,IF(AA69&lt;0,IF($J69=6,AA69,IF($J69=5,AA69,IF($J69=4,AA69,0)))))</f>
        <v>0</v>
      </c>
      <c r="Y69" s="115">
        <f>IF(AA69=0,0,IF(AA69&lt;0,IF($J69=9,AA69,IF($J69=8,AA69,IF($J69=7,AA69,0)))))</f>
        <v>0</v>
      </c>
      <c r="Z69" s="116">
        <f>IF(AA69=0,0,IF(AA69&lt;0,IF($J69=12,AA69,IF($J69=11,AA69,IF($J69=10,AA69,0)))))</f>
        <v>0</v>
      </c>
      <c r="AA69" s="113">
        <f t="shared" si="128"/>
        <v>0</v>
      </c>
      <c r="AB69" s="114">
        <f>IF(AF69=0,0,IF(AF69&lt;0,IF($J69=3,AF69,IF($J69=2,AF69,IF($J69=1,AF69,0)))))</f>
        <v>0</v>
      </c>
      <c r="AC69" s="115">
        <f>IF(AF69=0,0,IF(AF69&lt;0,IF($J69=6,AF69,IF($J69=5,AF69,IF($J69=4,AF69,0)))))</f>
        <v>0</v>
      </c>
      <c r="AD69" s="115">
        <f>IF(AF69=0,0,IF(AF69&lt;0,IF($J69=9,AF69,IF($J69=8,AF69,IF($J69=7,AF69,0)))))</f>
        <v>0</v>
      </c>
      <c r="AE69" s="116">
        <f>IF(AF69=0,0,IF(AF69&lt;0,IF($J69=12,AF69,IF($J69=11,AF69,IF($J69=10,AF69,0)))))</f>
        <v>0</v>
      </c>
      <c r="AF69" s="113">
        <f t="shared" si="133"/>
        <v>0</v>
      </c>
      <c r="AG69" s="114">
        <f>IF(AK69=0,0,IF(AK69&lt;0,IF($J69=3,AK69,IF($J69=2,AK69,IF($J69=1,AK69,0)))))</f>
        <v>0</v>
      </c>
      <c r="AH69" s="115">
        <f>IF(AK69=0,0,IF(AK69&lt;0,IF($J69=6,AK69,IF($J69=5,AK69,IF($J69=4,AK69,0)))))</f>
        <v>0</v>
      </c>
      <c r="AI69" s="115">
        <f>IF(AK69=0,0,IF(AK69&lt;0,IF($J69=9,AK69,IF($J69=8,AK69,IF($J69=7,AK69,0)))))</f>
        <v>0</v>
      </c>
      <c r="AJ69" s="116">
        <f>IF(AK69=0,0,IF(AK69&lt;0,IF($J69=12,AK69,IF($J69=11,AK69,IF($J69=10,AK69,0)))))</f>
        <v>0</v>
      </c>
      <c r="AK69" s="113">
        <f t="shared" si="138"/>
        <v>0</v>
      </c>
      <c r="AL69" s="114">
        <f>IF(AP69=0,0,IF(AP69&lt;0,IF($J69=3,AP69,IF($J69=2,AP69,IF($J69=1,AP69,0)))))</f>
        <v>0</v>
      </c>
      <c r="AM69" s="115">
        <f>IF(AP69=0,0,IF(AP69&lt;0,IF($J69=6,AP69,IF($J69=5,AP69,IF($J69=4,AP69,0)))))</f>
        <v>0</v>
      </c>
      <c r="AN69" s="115">
        <f>IF(AP69=0,0,IF(AP69&lt;0,IF($J69=9,AP69,IF($J69=8,AP69,IF($J69=7,AP69,0)))))</f>
        <v>0</v>
      </c>
      <c r="AO69" s="116">
        <f>IF(AP69=0,0,IF(AP69&lt;0,IF($J69=12,AP69,IF($J69=11,AP69,IF($J69=10,AP69,0)))))</f>
        <v>0</v>
      </c>
      <c r="AP69" s="113">
        <f t="shared" si="139"/>
        <v>0</v>
      </c>
      <c r="AQ69" s="114">
        <f t="shared" si="282"/>
        <v>0</v>
      </c>
      <c r="AR69" s="115">
        <f t="shared" si="283"/>
        <v>0</v>
      </c>
      <c r="AS69" s="115">
        <f t="shared" si="284"/>
        <v>0</v>
      </c>
      <c r="AT69" s="116">
        <f t="shared" si="285"/>
        <v>0</v>
      </c>
      <c r="AU69" s="113">
        <f t="shared" si="140"/>
        <v>0</v>
      </c>
      <c r="AV69" s="114">
        <f t="shared" si="268"/>
        <v>0</v>
      </c>
      <c r="AW69" s="115">
        <f t="shared" si="269"/>
        <v>0</v>
      </c>
      <c r="AX69" s="115">
        <f t="shared" si="270"/>
        <v>0</v>
      </c>
      <c r="AY69" s="116">
        <f t="shared" si="271"/>
        <v>0</v>
      </c>
      <c r="AZ69" s="113">
        <f t="shared" si="145"/>
        <v>0</v>
      </c>
      <c r="BA69" s="114">
        <f t="shared" si="146"/>
        <v>0</v>
      </c>
      <c r="BB69" s="115">
        <f t="shared" si="147"/>
        <v>0</v>
      </c>
      <c r="BC69" s="115">
        <f t="shared" si="148"/>
        <v>0</v>
      </c>
      <c r="BD69" s="116">
        <f t="shared" si="149"/>
        <v>0</v>
      </c>
      <c r="BE69" s="113">
        <f t="shared" si="150"/>
        <v>0</v>
      </c>
      <c r="BF69" s="194"/>
      <c r="BG69" s="118">
        <f>IF(AND(BF69&lt;&gt;0,BF$5=$H69),-$I69*$E69-BF69,IF(BG$5=$H69,-$I69*$E69*(12-$J69+1)/12,0))</f>
        <v>0</v>
      </c>
      <c r="BH69" s="119">
        <f>IF($H69&lt;&gt;BL$5,0,IF(BL69&lt;0,IF($J69=1,-$E69*$I69/12*3,IF($J69=2,-$E69*$I69/12*2,IF($J69=3,-$E69*$I69/12*1,0)))))+IF(BG$5&lt;&gt;$H69,0,IF(BG69&lt;0,IF($J69=1,-$E69*$I69/12*0,IF($J69=2,-$E69*$I69/12*1,IF($J69=3,-$E69*$I69/12*2,IF($J69&gt;=4,-$E69*$I69/12*3,0))))))</f>
        <v>0</v>
      </c>
      <c r="BI69" s="120">
        <f>IF($H69&lt;&gt;BL$5,0,IF(BL69&lt;0,IF(OR($J69=1,$J69=2,$J69=3,$J69=4),-$E69*$I69/12*3,IF($J69=5,-$E69*$I69/12*2,IF($J69=6,-$E69*$I69/12*1,0)))))+IF(BG$5&lt;&gt;$H69,0,IF(BG69&lt;0,IF($J69=4,-$E69*$I69/12*0,IF($J69=5,-$E69*$I69/12*1,IF($J69=6,-$E69*$I69/12*2,IF($J69&gt;=7,-$E69*$I69/12*3,0))))))</f>
        <v>0</v>
      </c>
      <c r="BJ69" s="120">
        <f>IF($H69&lt;&gt;BL$5,0,IF(BL69&lt;0,IF(OR($J69=1,$J69=2,$J69=3,$J69=4,$J69=5,$J69=6,$J69=7),-$E69*$I69/12*3,IF($J69=8,-$E69*$I69/12*2,IF($J69=9,-$E69*$I69/12*1,0)))))+IF(BG$5&lt;&gt;$H69,0,IF(BG69&lt;0,IF($J69=7,-$E69*$I69/12*0,IF($J69=8,-$E69*$I69/12*1,IF($J69=9,-$E69*$I69/12*2,IF($J69&gt;=10,-$E69*$I69/12*3,0))))))</f>
        <v>0</v>
      </c>
      <c r="BK69" s="121">
        <f>IF($H69&lt;&gt;BL$5,0,IF(BL69&lt;0,IF(OR($J69=1,$J69=2,$J69=3,$J69=4,$J69=5,$J69=6,$J69=7,$J69=8,$J69=9,$J69=10),-$E69*$I69/12*3,IF($J69=11,-$E69*$I69/12*2,IF($J69=12,-$E69*$I69/12*1,0)))))+IF(BG$5&lt;&gt;$H69,0,IF(BG69&lt;0,IF($J69=10,-$E69*$I69/12*0,IF($J69=11,-$E69*$I69/12*1,IF($J69=12,-$E69*$I69/12*2,0)))))</f>
        <v>0</v>
      </c>
      <c r="BL69" s="118">
        <f>IF(AND(BG69&lt;&gt;0,BG$5=$H69),-$I69*$E69-BG69,IF(BL$5=$H69,-$I69*$E69*(12-$J69+1)/12,0))</f>
        <v>0</v>
      </c>
      <c r="BM69" s="119">
        <f>IF($H69&lt;&gt;BQ$5,0,IF(BQ69&lt;0,IF($J69=1,-$E69*$I69/12*3,IF($J69=2,-$E69*$I69/12*2,IF($J69=3,-$E69*$I69/12*1,0)))))+IF(BL$5&lt;&gt;$H69,0,IF(BL69&lt;0,IF($J69=1,-$E69*$I69/12*0,IF($J69=2,-$E69*$I69/12*1,IF($J69=3,-$E69*$I69/12*2,IF($J69&gt;=4,-$E69*$I69/12*3,0))))))</f>
        <v>0</v>
      </c>
      <c r="BN69" s="120">
        <f>IF($H69&lt;&gt;BQ$5,0,IF(BQ69&lt;0,IF(OR($J69=1,$J69=2,$J69=3,$J69=4),-$E69*$I69/12*3,IF($J69=5,-$E69*$I69/12*2,IF($J69=6,-$E69*$I69/12*1,0)))))+IF(BL$5&lt;&gt;$H69,0,IF(BL69&lt;0,IF($J69=4,-$E69*$I69/12*0,IF($J69=5,-$E69*$I69/12*1,IF($J69=6,-$E69*$I69/12*2,IF($J69&gt;=7,-$E69*$I69/12*3,0))))))</f>
        <v>0</v>
      </c>
      <c r="BO69" s="120">
        <f>IF($H69&lt;&gt;BQ$5,0,IF(BQ69&lt;0,IF(OR($J69=1,$J69=2,$J69=3,$J69=4,$J69=5,$J69=6,$J69=7),-$E69*$I69/12*3,IF($J69=8,-$E69*$I69/12*2,IF($J69=9,-$E69*$I69/12*1,0)))))+IF(BL$5&lt;&gt;$H69,0,IF(BL69&lt;0,IF($J69=7,-$E69*$I69/12*0,IF($J69=8,-$E69*$I69/12*1,IF($J69=9,-$E69*$I69/12*2,IF($J69&gt;=10,-$E69*$I69/12*3,0))))))</f>
        <v>0</v>
      </c>
      <c r="BP69" s="121">
        <f>IF($H69&lt;&gt;BQ$5,0,IF(BQ69&lt;0,IF(OR($J69=1,$J69=2,$J69=3,$J69=4,$J69=5,$J69=6,$J69=7,$J69=8,$J69=9,$J69=10),-$E69*$I69/12*3,IF($J69=11,-$E69*$I69/12*2,IF($J69=12,-$E69*$I69/12*1,0)))))+IF(BL$5&lt;&gt;$H69,0,IF(BL69&lt;0,IF($J69=10,-$E69*$I69/12*0,IF($J69=11,-$E69*$I69/12*1,IF($J69=12,-$E69*$I69/12*2,0)))))</f>
        <v>0</v>
      </c>
      <c r="BQ69" s="118">
        <f>IF(AND(BL69&lt;&gt;0,BL$5=$H69),-$I69*$E69-BL69,IF(BQ$5=$H69,-$I69*$E69*(12-$J69+1)/12,0))</f>
        <v>0</v>
      </c>
      <c r="BR69" s="119">
        <f>IF($H69&lt;&gt;BV$5,0,IF(BV69&lt;0,IF($J69=1,-$E69*$I69/12*3,IF($J69=2,-$E69*$I69/12*2,IF($J69=3,-$E69*$I69/12*1,0)))))+IF(BQ$5&lt;&gt;$H69,0,IF(BQ69&lt;0,IF($J69=1,-$E69*$I69/12*0,IF($J69=2,-$E69*$I69/12*1,IF($J69=3,-$E69*$I69/12*2,IF($J69&gt;=4,-$E69*$I69/12*3,0))))))</f>
        <v>0</v>
      </c>
      <c r="BS69" s="120">
        <f>IF($H69&lt;&gt;BV$5,0,IF(BV69&lt;0,IF(OR($J69=1,$J69=2,$J69=3,$J69=4),-$E69*$I69/12*3,IF($J69=5,-$E69*$I69/12*2,IF($J69=6,-$E69*$I69/12*1,0)))))+IF(BQ$5&lt;&gt;$H69,0,IF(BQ69&lt;0,IF($J69=4,-$E69*$I69/12*0,IF($J69=5,-$E69*$I69/12*1,IF($J69=6,-$E69*$I69/12*2,IF($J69&gt;=7,-$E69*$I69/12*3,0))))))</f>
        <v>0</v>
      </c>
      <c r="BT69" s="120">
        <f>IF($H69&lt;&gt;BV$5,0,IF(BV69&lt;0,IF(OR($J69=1,$J69=2,$J69=3,$J69=4,$J69=5,$J69=6,$J69=7),-$E69*$I69/12*3,IF($J69=8,-$E69*$I69/12*2,IF($J69=9,-$E69*$I69/12*1,0)))))+IF(BQ$5&lt;&gt;$H69,0,IF(BQ69&lt;0,IF($J69=7,-$E69*$I69/12*0,IF($J69=8,-$E69*$I69/12*1,IF($J69=9,-$E69*$I69/12*2,IF($J69&gt;=10,-$E69*$I69/12*3,0))))))</f>
        <v>0</v>
      </c>
      <c r="BU69" s="121">
        <f>IF($H69&lt;&gt;BV$5,0,IF(BV69&lt;0,IF(OR($J69=1,$J69=2,$J69=3,$J69=4,$J69=5,$J69=6,$J69=7,$J69=8,$J69=9,$J69=10),-$E69*$I69/12*3,IF($J69=11,-$E69*$I69/12*2,IF($J69=12,-$E69*$I69/12*1,0)))))+IF(BQ$5&lt;&gt;$H69,0,IF(BQ69&lt;0,IF($J69=10,-$E69*$I69/12*0,IF($J69=11,-$E69*$I69/12*1,IF($J69=12,-$E69*$I69/12*2,0)))))</f>
        <v>0</v>
      </c>
      <c r="BV69" s="118">
        <f>IF(AND(BQ69&lt;&gt;0,BQ$5=$H69),-$I69*$E69-BQ69,IF(BV$5=$H69,-$I69*$E69*(12-$J69+1)/12,0))</f>
        <v>0</v>
      </c>
      <c r="BW69" s="119">
        <f>IF($H69&lt;&gt;CA$5,0,IF(CA69&lt;0,IF($J69=1,-$E69*$I69/12*3,IF($J69=2,-$E69*$I69/12*2,IF($J69=3,-$E69*$I69/12*1,0)))))+IF(BV$5&lt;&gt;$H69,0,IF(BV69&lt;0,IF($J69=1,-$E69*$I69/12*0,IF($J69=2,-$E69*$I69/12*1,IF($J69=3,-$E69*$I69/12*2,IF($J69&gt;=4,-$E69*$I69/12*3,0))))))</f>
        <v>0</v>
      </c>
      <c r="BX69" s="120">
        <f>IF($H69&lt;&gt;CA$5,0,IF(CA69&lt;0,IF(OR($J69=1,$J69=2,$J69=3,$J69=4),-$E69*$I69/12*3,IF($J69=5,-$E69*$I69/12*2,IF($J69=6,-$E69*$I69/12*1,0)))))+IF(BV$5&lt;&gt;$H69,0,IF(BV69&lt;0,IF($J69=4,-$E69*$I69/12*0,IF($J69=5,-$E69*$I69/12*1,IF($J69=6,-$E69*$I69/12*2,IF($J69&gt;=7,-$E69*$I69/12*3,0))))))</f>
        <v>0</v>
      </c>
      <c r="BY69" s="120">
        <f>IF($H69&lt;&gt;CA$5,0,IF(CA69&lt;0,IF(OR($J69=1,$J69=2,$J69=3,$J69=4,$J69=5,$J69=6,$J69=7),-$E69*$I69/12*3,IF($J69=8,-$E69*$I69/12*2,IF($J69=9,-$E69*$I69/12*1,0)))))+IF(BV$5&lt;&gt;$H69,0,IF(BV69&lt;0,IF($J69=7,-$E69*$I69/12*0,IF($J69=8,-$E69*$I69/12*1,IF($J69=9,-$E69*$I69/12*2,IF($J69&gt;=10,-$E69*$I69/12*3,0))))))</f>
        <v>0</v>
      </c>
      <c r="BZ69" s="121">
        <f>IF($H69&lt;&gt;CA$5,0,IF(CA69&lt;0,IF(OR($J69=1,$J69=2,$J69=3,$J69=4,$J69=5,$J69=6,$J69=7,$J69=8,$J69=9,$J69=10),-$E69*$I69/12*3,IF($J69=11,-$E69*$I69/12*2,IF($J69=12,-$E69*$I69/12*1,0)))))+IF(BV$5&lt;&gt;$H69,0,IF(BV69&lt;0,IF($J69=10,-$E69*$I69/12*0,IF($J69=11,-$E69*$I69/12*1,IF($J69=12,-$E69*$I69/12*2,0)))))</f>
        <v>0</v>
      </c>
      <c r="CA69" s="118">
        <f>IF(AND(BV69&lt;&gt;0,BV$5=$H69),-$I69*$E69-BV69,IF(CA$5=$H69,-$I69*$E69*(12-$J69+1)/12,0))</f>
        <v>0</v>
      </c>
      <c r="CB69" s="119">
        <f>IF($H69&lt;&gt;CF$5,0,IF(CF69&lt;0,IF($J69=1,-$E69*$I69/12*3,IF($J69=2,-$E69*$I69/12*2,IF($J69=3,-$E69*$I69/12*1,0)))))+IF(CA$5&lt;&gt;$H69,0,IF(CA69&lt;0,IF($J69=1,-$E69*$I69/12*0,IF($J69=2,-$E69*$I69/12*1,IF($J69=3,-$E69*$I69/12*2,IF($J69&gt;=4,-$E69*$I69/12*3,0))))))</f>
        <v>0</v>
      </c>
      <c r="CC69" s="120">
        <f>IF($H69&lt;&gt;CF$5,0,IF(CF69&lt;0,IF(OR($J69=1,$J69=2,$J69=3,$J69=4),-$E69*$I69/12*3,IF($J69=5,-$E69*$I69/12*2,IF($J69=6,-$E69*$I69/12*1,0)))))+IF(CA$5&lt;&gt;$H69,0,IF(CA69&lt;0,IF($J69=4,-$E69*$I69/12*0,IF($J69=5,-$E69*$I69/12*1,IF($J69=6,-$E69*$I69/12*2,IF($J69&gt;=7,-$E69*$I69/12*3,0))))))</f>
        <v>0</v>
      </c>
      <c r="CD69" s="120">
        <f>IF($H69&lt;&gt;CF$5,0,IF(CF69&lt;0,IF(OR($J69=1,$J69=2,$J69=3,$J69=4,$J69=5,$J69=6,$J69=7),-$E69*$I69/12*3,IF($J69=8,-$E69*$I69/12*2,IF($J69=9,-$E69*$I69/12*1,0)))))+IF(CA$5&lt;&gt;$H69,0,IF(CA69&lt;0,IF($J69=7,-$E69*$I69/12*0,IF($J69=8,-$E69*$I69/12*1,IF($J69=9,-$E69*$I69/12*2,IF($J69&gt;=10,-$E69*$I69/12*3,0))))))</f>
        <v>0</v>
      </c>
      <c r="CE69" s="121">
        <f>IF($H69&lt;&gt;CF$5,0,IF(CF69&lt;0,IF(OR($J69=1,$J69=2,$J69=3,$J69=4,$J69=5,$J69=6,$J69=7,$J69=8,$J69=9,$J69=10),-$E69*$I69/12*3,IF($J69=11,-$E69*$I69/12*2,IF($J69=12,-$E69*$I69/12*1,0)))))+IF(CA$5&lt;&gt;$H69,0,IF(CA69&lt;0,IF($J69=10,-$E69*$I69/12*0,IF($J69=11,-$E69*$I69/12*1,IF($J69=12,-$E69*$I69/12*2,0)))))</f>
        <v>0</v>
      </c>
      <c r="CF69" s="118">
        <f>IF(AND(CA69&lt;&gt;0,CA$5=$H69),-$I69*$E69-CA69,IF(CF$5=$H69,-$I69*$E69*(12-$J69+1)/12,0))</f>
        <v>0</v>
      </c>
      <c r="CG69" s="119">
        <f t="shared" si="286"/>
        <v>0</v>
      </c>
      <c r="CH69" s="120">
        <f>IF($H69&lt;&gt;CK$5,0,IF(CK69&lt;0,IF(OR($J69=1,$J69=2,$J69=3,$J69=4),-$E69*$I69/12*3,IF($J69=5,-$E69*$I69/12*2,IF($J69=6,-$E69*$I69/12*1,0)))))+IF(CF$5&lt;&gt;$H69,0,IF(CF69&lt;0,IF($J69=4,-$E69*$I69/12*0,IF($J69=5,-$E69*$I69/12*1,IF($J69=6,-$E69*$I69/12*2,IF($J69&gt;=7,-$E69*$I69/12*3,0))))))</f>
        <v>0</v>
      </c>
      <c r="CI69" s="120">
        <f>IF($H69&lt;&gt;CK$5,0,IF(CK69&lt;0,IF(OR($J69=1,$J69=2,$J69=3,$J69=4,$J69=5,$J69=6,$J69=7),-$E69*$I69/12*3,IF($J69=8,-$E69*$I69/12*2,IF($J69=9,-$E69*$I69/12*1,0)))))+IF(CF$5&lt;&gt;$H69,0,IF(CF69&lt;0,IF($J69=7,-$E69*$I69/12*0,IF($J69=8,-$E69*$I69/12*1,IF($J69=9,-$E69*$I69/12*2,IF($J69&gt;=10,-$E69*$I69/12*3,0))))))</f>
        <v>0</v>
      </c>
      <c r="CJ69" s="121">
        <f>IF($H69&lt;&gt;CK$5,0,IF(CK69&lt;0,IF(OR($J69=1,$J69=2,$J69=3,$J69=4,$J69=5,$J69=6,$J69=7,$J69=8,$J69=9,$J69=10),-$E69*$I69/12*3,IF($J69=11,-$E69*$I69/12*2,IF($J69=12,-$E69*$I69/12*1,0)))))+IF(CF$5&lt;&gt;$H69,0,IF(CF69&lt;0,IF($J69=10,-$E69*$I69/12*0,IF($J69=11,-$E69*$I69/12*1,IF($J69=12,-$E69*$I69/12*2,0)))))</f>
        <v>0</v>
      </c>
      <c r="CK69" s="118">
        <f>IF(AND(CF69&lt;&gt;0,CF$5=$H69),-$I69*$E69-CF69,IF(CK$5=$H69,-$I69*$E69*(12-$J69+1)/12,0))</f>
        <v>0</v>
      </c>
      <c r="CL69" s="119">
        <f t="shared" si="287"/>
        <v>0</v>
      </c>
      <c r="CM69" s="120">
        <f t="shared" si="288"/>
        <v>0</v>
      </c>
      <c r="CN69" s="120">
        <f t="shared" si="289"/>
        <v>0</v>
      </c>
      <c r="CO69" s="121">
        <f t="shared" si="290"/>
        <v>0</v>
      </c>
      <c r="CP69" s="118">
        <f t="shared" si="291"/>
        <v>0</v>
      </c>
      <c r="CQ69" s="119">
        <f t="shared" si="292"/>
        <v>0</v>
      </c>
      <c r="CR69" s="120">
        <f>IF($H69&lt;&gt;CU$5,0,IF(CU69&lt;0,IF(OR($J69=1,$J69=2,$J69=3,$J69=4),-$E69*$I69/12*3,IF($J69=5,-$E69*$I69/12*2,IF($J69=6,-$E69*$I69/12*1,0)))))+IF(CP$5&lt;&gt;$H69,0,IF(CP69&lt;0,IF($J69=4,-$E69*$I69/12*0,IF($J69=5,-$E69*$I69/12*1,IF($J69=6,-$E69*$I69/12*2,IF($J69&gt;=7,-$E69*$I69/12*3,0))))))</f>
        <v>0</v>
      </c>
      <c r="CS69" s="120">
        <f>IF($H69&lt;&gt;CU$5,0,IF(CU69&lt;0,IF(OR($J69=1,$J69=2,$J69=3,$J69=4,$J69=5,$J69=6,$J69=7),-$E69*$I69/12*3,IF($J69=8,-$E69*$I69/12*2,IF($J69=9,-$E69*$I69/12*1,0)))))+IF(CP$5&lt;&gt;$H69,0,IF(CP69&lt;0,IF($J69=7,-$E69*$I69/12*0,IF($J69=8,-$E69*$I69/12*1,IF($J69=9,-$E69*$I69/12*2,IF($J69&gt;=10,-$E69*$I69/12*3,0))))))</f>
        <v>0</v>
      </c>
      <c r="CT69" s="121">
        <f>IF($H69&lt;&gt;CU$5,0,IF(CU69&lt;0,IF(OR($J69=1,$J69=2,$J69=3,$J69=4,$J69=5,$J69=6,$J69=7,$J69=8,$J69=9,$J69=10),-$E69*$I69/12*3,IF($J69=11,-$E69*$I69/12*2,IF($J69=12,-$E69*$I69/12*1,0)))))+IF(CP$5&lt;&gt;$H69,0,IF(CP69&lt;0,IF($J69=10,-$E69*$I69/12*0,IF($J69=11,-$E69*$I69/12*1,IF($J69=12,-$E69*$I69/12*2,0)))))</f>
        <v>0</v>
      </c>
      <c r="CU69" s="118">
        <f>IF(AND(CP69&lt;&gt;0,CP$5=$H69),-$I69*$E69-CP69,IF(CU$5=$H69,-$I69*$E69*(12-$J69+1)/12,0))</f>
        <v>0</v>
      </c>
      <c r="CV69" s="119">
        <f t="shared" si="178"/>
        <v>0</v>
      </c>
      <c r="CW69" s="120">
        <f t="shared" si="179"/>
        <v>0</v>
      </c>
      <c r="CX69" s="120">
        <f t="shared" si="180"/>
        <v>0</v>
      </c>
      <c r="CY69" s="121">
        <f t="shared" si="181"/>
        <v>0</v>
      </c>
      <c r="CZ69" s="118">
        <f t="shared" si="182"/>
        <v>0</v>
      </c>
    </row>
    <row r="70" spans="1:104" ht="12.75" customHeight="1">
      <c r="A70" s="7"/>
      <c r="B70" s="7"/>
      <c r="C70" s="1508" t="s">
        <v>1011</v>
      </c>
      <c r="D70" s="190"/>
      <c r="E70" s="191">
        <f>IF(F70=0,G70,F70)</f>
        <v>250</v>
      </c>
      <c r="F70" s="193">
        <v>250</v>
      </c>
      <c r="G70" s="193">
        <v>250</v>
      </c>
      <c r="H70" s="1346">
        <v>2045</v>
      </c>
      <c r="I70" s="1363">
        <v>4.1500000000000002E-2</v>
      </c>
      <c r="J70" s="1346">
        <v>11</v>
      </c>
      <c r="K70" s="112"/>
      <c r="L70" s="113">
        <f t="shared" si="113"/>
        <v>0</v>
      </c>
      <c r="M70" s="114">
        <f>IF(Q70=0,0,IF(Q70&lt;0,IF($J70=3,Q70,IF($J70=2,Q70,IF($J70=1,Q70,0)))))</f>
        <v>0</v>
      </c>
      <c r="N70" s="115">
        <f>IF(Q70=0,0,IF(Q70&lt;0,IF($J70=6,Q70,IF($J70=5,Q70,IF($J70=4,Q70,0)))))</f>
        <v>0</v>
      </c>
      <c r="O70" s="115">
        <f>IF(Q70=0,0,IF(Q70&lt;0,IF($J70=9,Q70,IF($J70=8,Q70,IF($J70=7,Q70,0)))))</f>
        <v>0</v>
      </c>
      <c r="P70" s="116">
        <f>IF(Q70=0,0,IF(Q70&lt;0,IF($J70=12,Q70,IF($J70=11,Q70,IF($J70=10,Q70,0)))))</f>
        <v>0</v>
      </c>
      <c r="Q70" s="113">
        <f t="shared" si="118"/>
        <v>0</v>
      </c>
      <c r="R70" s="114">
        <f>IF(V70=0,0,IF(V70&lt;0,IF($J70=3,V70,IF($J70=2,V70,IF($J70=1,V70,0)))))</f>
        <v>0</v>
      </c>
      <c r="S70" s="115">
        <f>IF(V70=0,0,IF(V70&lt;0,IF($J70=6,V70,IF($J70=5,V70,IF($J70=4,V70,0)))))</f>
        <v>0</v>
      </c>
      <c r="T70" s="115">
        <f>IF(V70=0,0,IF(V70&lt;0,IF($J70=9,V70,IF($J70=8,V70,IF($J70=7,V70,0)))))</f>
        <v>0</v>
      </c>
      <c r="U70" s="116">
        <f>IF(V70=0,0,IF(V70&lt;0,IF($J70=12,V70,IF($J70=11,V70,IF($J70=10,V70,0)))))</f>
        <v>0</v>
      </c>
      <c r="V70" s="113">
        <f t="shared" si="123"/>
        <v>0</v>
      </c>
      <c r="W70" s="114">
        <f>IF(AA70=0,0,IF(AA70&lt;0,IF($J70=3,AA70,IF($J70=2,AA70,IF($J70=1,AA70,0)))))</f>
        <v>0</v>
      </c>
      <c r="X70" s="115">
        <f>IF(AA70=0,0,IF(AA70&lt;0,IF($J70=6,AA70,IF($J70=5,AA70,IF($J70=4,AA70,0)))))</f>
        <v>0</v>
      </c>
      <c r="Y70" s="115">
        <f>IF(AA70=0,0,IF(AA70&lt;0,IF($J70=9,AA70,IF($J70=8,AA70,IF($J70=7,AA70,0)))))</f>
        <v>0</v>
      </c>
      <c r="Z70" s="116">
        <f>IF(AA70=0,0,IF(AA70&lt;0,IF($J70=12,AA70,IF($J70=11,AA70,IF($J70=10,AA70,0)))))</f>
        <v>0</v>
      </c>
      <c r="AA70" s="113">
        <f t="shared" si="128"/>
        <v>0</v>
      </c>
      <c r="AB70" s="114">
        <f>IF(AF70=0,0,IF(AF70&lt;0,IF($J70=3,AF70,IF($J70=2,AF70,IF($J70=1,AF70,0)))))</f>
        <v>0</v>
      </c>
      <c r="AC70" s="115">
        <f>IF(AF70=0,0,IF(AF70&lt;0,IF($J70=6,AF70,IF($J70=5,AF70,IF($J70=4,AF70,0)))))</f>
        <v>0</v>
      </c>
      <c r="AD70" s="115">
        <f>IF(AF70=0,0,IF(AF70&lt;0,IF($J70=9,AF70,IF($J70=8,AF70,IF($J70=7,AF70,0)))))</f>
        <v>0</v>
      </c>
      <c r="AE70" s="116">
        <f>IF(AF70=0,0,IF(AF70&lt;0,IF($J70=12,AF70,IF($J70=11,AF70,IF($J70=10,AF70,0)))))</f>
        <v>0</v>
      </c>
      <c r="AF70" s="113">
        <f t="shared" si="133"/>
        <v>0</v>
      </c>
      <c r="AG70" s="114">
        <f>IF(AK70=0,0,IF(AK70&lt;0,IF($J70=3,AK70,IF($J70=2,AK70,IF($J70=1,AK70,0)))))</f>
        <v>0</v>
      </c>
      <c r="AH70" s="115">
        <f>IF(AK70=0,0,IF(AK70&lt;0,IF($J70=6,AK70,IF($J70=5,AK70,IF($J70=4,AK70,0)))))</f>
        <v>0</v>
      </c>
      <c r="AI70" s="115">
        <f>IF(AK70=0,0,IF(AK70&lt;0,IF($J70=9,AK70,IF($J70=8,AK70,IF($J70=7,AK70,0)))))</f>
        <v>0</v>
      </c>
      <c r="AJ70" s="116">
        <f>IF(AK70=0,0,IF(AK70&lt;0,IF($J70=12,AK70,IF($J70=11,AK70,IF($J70=10,AK70,0)))))</f>
        <v>0</v>
      </c>
      <c r="AK70" s="113">
        <f t="shared" si="138"/>
        <v>0</v>
      </c>
      <c r="AL70" s="114">
        <f>IF(AP70=0,0,IF(AP70&lt;0,IF($J70=3,AP70,IF($J70=2,AP70,IF($J70=1,AP70,0)))))</f>
        <v>0</v>
      </c>
      <c r="AM70" s="115">
        <f>IF(AP70=0,0,IF(AP70&lt;0,IF($J70=6,AP70,IF($J70=5,AP70,IF($J70=4,AP70,0)))))</f>
        <v>0</v>
      </c>
      <c r="AN70" s="115">
        <f>IF(AP70=0,0,IF(AP70&lt;0,IF($J70=9,AP70,IF($J70=8,AP70,IF($J70=7,AP70,0)))))</f>
        <v>0</v>
      </c>
      <c r="AO70" s="116">
        <f>IF(AP70=0,0,IF(AP70&lt;0,IF($J70=12,AP70,IF($J70=11,AP70,IF($J70=10,AP70,0)))))</f>
        <v>0</v>
      </c>
      <c r="AP70" s="113">
        <f t="shared" si="139"/>
        <v>0</v>
      </c>
      <c r="AQ70" s="114">
        <f t="shared" si="282"/>
        <v>0</v>
      </c>
      <c r="AR70" s="115">
        <f t="shared" si="283"/>
        <v>0</v>
      </c>
      <c r="AS70" s="115">
        <f t="shared" si="284"/>
        <v>0</v>
      </c>
      <c r="AT70" s="116">
        <f t="shared" si="285"/>
        <v>0</v>
      </c>
      <c r="AU70" s="113">
        <f t="shared" si="140"/>
        <v>0</v>
      </c>
      <c r="AV70" s="114">
        <f t="shared" si="268"/>
        <v>0</v>
      </c>
      <c r="AW70" s="115">
        <f t="shared" si="269"/>
        <v>0</v>
      </c>
      <c r="AX70" s="115">
        <f t="shared" si="270"/>
        <v>0</v>
      </c>
      <c r="AY70" s="116">
        <f t="shared" si="271"/>
        <v>0</v>
      </c>
      <c r="AZ70" s="113">
        <f t="shared" si="145"/>
        <v>0</v>
      </c>
      <c r="BA70" s="114">
        <f t="shared" si="146"/>
        <v>0</v>
      </c>
      <c r="BB70" s="115">
        <f t="shared" si="147"/>
        <v>0</v>
      </c>
      <c r="BC70" s="115">
        <f t="shared" si="148"/>
        <v>0</v>
      </c>
      <c r="BD70" s="116">
        <f t="shared" si="149"/>
        <v>0</v>
      </c>
      <c r="BE70" s="113">
        <f t="shared" si="150"/>
        <v>0</v>
      </c>
      <c r="BF70" s="194"/>
      <c r="BG70" s="118">
        <f>IF(AND(BF70&lt;&gt;0,BF$5=$H70),-$I70*$E70-BF70,IF(BG$5=$H70,-$I70*$E70*(12-$J70+1)/12,0))</f>
        <v>0</v>
      </c>
      <c r="BH70" s="119">
        <f>IF($H70&lt;&gt;BL$5,0,IF(BL70&lt;0,IF($J70=1,-$E70*$I70/12*3,IF($J70=2,-$E70*$I70/12*2,IF($J70=3,-$E70*$I70/12*1,0)))))+IF(BG$5&lt;&gt;$H70,0,IF(BG70&lt;0,IF($J70=1,-$E70*$I70/12*0,IF($J70=2,-$E70*$I70/12*1,IF($J70=3,-$E70*$I70/12*2,IF($J70&gt;=4,-$E70*$I70/12*3,0))))))</f>
        <v>0</v>
      </c>
      <c r="BI70" s="120">
        <f>IF($H70&lt;&gt;BL$5,0,IF(BL70&lt;0,IF(OR($J70=1,$J70=2,$J70=3,$J70=4),-$E70*$I70/12*3,IF($J70=5,-$E70*$I70/12*2,IF($J70=6,-$E70*$I70/12*1,0)))))+IF(BG$5&lt;&gt;$H70,0,IF(BG70&lt;0,IF($J70=4,-$E70*$I70/12*0,IF($J70=5,-$E70*$I70/12*1,IF($J70=6,-$E70*$I70/12*2,IF($J70&gt;=7,-$E70*$I70/12*3,0))))))</f>
        <v>0</v>
      </c>
      <c r="BJ70" s="120">
        <f>IF($H70&lt;&gt;BL$5,0,IF(BL70&lt;0,IF(OR($J70=1,$J70=2,$J70=3,$J70=4,$J70=5,$J70=6,$J70=7),-$E70*$I70/12*3,IF($J70=8,-$E70*$I70/12*2,IF($J70=9,-$E70*$I70/12*1,0)))))+IF(BG$5&lt;&gt;$H70,0,IF(BG70&lt;0,IF($J70=7,-$E70*$I70/12*0,IF($J70=8,-$E70*$I70/12*1,IF($J70=9,-$E70*$I70/12*2,IF($J70&gt;=10,-$E70*$I70/12*3,0))))))</f>
        <v>0</v>
      </c>
      <c r="BK70" s="121">
        <f>IF($H70&lt;&gt;BL$5,0,IF(BL70&lt;0,IF(OR($J70=1,$J70=2,$J70=3,$J70=4,$J70=5,$J70=6,$J70=7,$J70=8,$J70=9,$J70=10),-$E70*$I70/12*3,IF($J70=11,-$E70*$I70/12*2,IF($J70=12,-$E70*$I70/12*1,0)))))+IF(BG$5&lt;&gt;$H70,0,IF(BG70&lt;0,IF($J70=10,-$E70*$I70/12*0,IF($J70=11,-$E70*$I70/12*1,IF($J70=12,-$E70*$I70/12*2,0)))))</f>
        <v>0</v>
      </c>
      <c r="BL70" s="118">
        <f>IF(AND(BG70&lt;&gt;0,BG$5=$H70),-$I70*$E70-BG70,IF(BL$5=$H70,-$I70*$E70*(12-$J70+1)/12,0))</f>
        <v>0</v>
      </c>
      <c r="BM70" s="119">
        <f>IF($H70&lt;&gt;BQ$5,0,IF(BQ70&lt;0,IF($J70=1,-$E70*$I70/12*3,IF($J70=2,-$E70*$I70/12*2,IF($J70=3,-$E70*$I70/12*1,0)))))+IF(BL$5&lt;&gt;$H70,0,IF(BL70&lt;0,IF($J70=1,-$E70*$I70/12*0,IF($J70=2,-$E70*$I70/12*1,IF($J70=3,-$E70*$I70/12*2,IF($J70&gt;=4,-$E70*$I70/12*3,0))))))</f>
        <v>0</v>
      </c>
      <c r="BN70" s="120">
        <f>IF($H70&lt;&gt;BQ$5,0,IF(BQ70&lt;0,IF(OR($J70=1,$J70=2,$J70=3,$J70=4),-$E70*$I70/12*3,IF($J70=5,-$E70*$I70/12*2,IF($J70=6,-$E70*$I70/12*1,0)))))+IF(BL$5&lt;&gt;$H70,0,IF(BL70&lt;0,IF($J70=4,-$E70*$I70/12*0,IF($J70=5,-$E70*$I70/12*1,IF($J70=6,-$E70*$I70/12*2,IF($J70&gt;=7,-$E70*$I70/12*3,0))))))</f>
        <v>0</v>
      </c>
      <c r="BO70" s="120">
        <f>IF($H70&lt;&gt;BQ$5,0,IF(BQ70&lt;0,IF(OR($J70=1,$J70=2,$J70=3,$J70=4,$J70=5,$J70=6,$J70=7),-$E70*$I70/12*3,IF($J70=8,-$E70*$I70/12*2,IF($J70=9,-$E70*$I70/12*1,0)))))+IF(BL$5&lt;&gt;$H70,0,IF(BL70&lt;0,IF($J70=7,-$E70*$I70/12*0,IF($J70=8,-$E70*$I70/12*1,IF($J70=9,-$E70*$I70/12*2,IF($J70&gt;=10,-$E70*$I70/12*3,0))))))</f>
        <v>0</v>
      </c>
      <c r="BP70" s="121">
        <f>IF($H70&lt;&gt;BQ$5,0,IF(BQ70&lt;0,IF(OR($J70=1,$J70=2,$J70=3,$J70=4,$J70=5,$J70=6,$J70=7,$J70=8,$J70=9,$J70=10),-$E70*$I70/12*3,IF($J70=11,-$E70*$I70/12*2,IF($J70=12,-$E70*$I70/12*1,0)))))+IF(BL$5&lt;&gt;$H70,0,IF(BL70&lt;0,IF($J70=10,-$E70*$I70/12*0,IF($J70=11,-$E70*$I70/12*1,IF($J70=12,-$E70*$I70/12*2,0)))))</f>
        <v>0</v>
      </c>
      <c r="BQ70" s="118">
        <f>IF(AND(BL70&lt;&gt;0,BL$5=$H70),-$I70*$E70-BL70,IF(BQ$5=$H70,-$I70*$E70*(12-$J70+1)/12,0))</f>
        <v>0</v>
      </c>
      <c r="BR70" s="119">
        <f>IF($H70&lt;&gt;BV$5,0,IF(BV70&lt;0,IF($J70=1,-$E70*$I70/12*3,IF($J70=2,-$E70*$I70/12*2,IF($J70=3,-$E70*$I70/12*1,0)))))+IF(BQ$5&lt;&gt;$H70,0,IF(BQ70&lt;0,IF($J70=1,-$E70*$I70/12*0,IF($J70=2,-$E70*$I70/12*1,IF($J70=3,-$E70*$I70/12*2,IF($J70&gt;=4,-$E70*$I70/12*3,0))))))</f>
        <v>0</v>
      </c>
      <c r="BS70" s="120">
        <f>IF($H70&lt;&gt;BV$5,0,IF(BV70&lt;0,IF(OR($J70=1,$J70=2,$J70=3,$J70=4),-$E70*$I70/12*3,IF($J70=5,-$E70*$I70/12*2,IF($J70=6,-$E70*$I70/12*1,0)))))+IF(BQ$5&lt;&gt;$H70,0,IF(BQ70&lt;0,IF($J70=4,-$E70*$I70/12*0,IF($J70=5,-$E70*$I70/12*1,IF($J70=6,-$E70*$I70/12*2,IF($J70&gt;=7,-$E70*$I70/12*3,0))))))</f>
        <v>0</v>
      </c>
      <c r="BT70" s="120">
        <f>IF($H70&lt;&gt;BV$5,0,IF(BV70&lt;0,IF(OR($J70=1,$J70=2,$J70=3,$J70=4,$J70=5,$J70=6,$J70=7),-$E70*$I70/12*3,IF($J70=8,-$E70*$I70/12*2,IF($J70=9,-$E70*$I70/12*1,0)))))+IF(BQ$5&lt;&gt;$H70,0,IF(BQ70&lt;0,IF($J70=7,-$E70*$I70/12*0,IF($J70=8,-$E70*$I70/12*1,IF($J70=9,-$E70*$I70/12*2,IF($J70&gt;=10,-$E70*$I70/12*3,0))))))</f>
        <v>0</v>
      </c>
      <c r="BU70" s="121">
        <f>IF($H70&lt;&gt;BV$5,0,IF(BV70&lt;0,IF(OR($J70=1,$J70=2,$J70=3,$J70=4,$J70=5,$J70=6,$J70=7,$J70=8,$J70=9,$J70=10),-$E70*$I70/12*3,IF($J70=11,-$E70*$I70/12*2,IF($J70=12,-$E70*$I70/12*1,0)))))+IF(BQ$5&lt;&gt;$H70,0,IF(BQ70&lt;0,IF($J70=10,-$E70*$I70/12*0,IF($J70=11,-$E70*$I70/12*1,IF($J70=12,-$E70*$I70/12*2,0)))))</f>
        <v>0</v>
      </c>
      <c r="BV70" s="118">
        <f>IF(AND(BQ70&lt;&gt;0,BQ$5=$H70),-$I70*$E70-BQ70,IF(BV$5=$H70,-$I70*$E70*(12-$J70+1)/12,0))</f>
        <v>0</v>
      </c>
      <c r="BW70" s="119">
        <f>IF($H70&lt;&gt;CA$5,0,IF(CA70&lt;0,IF($J70=1,-$E70*$I70/12*3,IF($J70=2,-$E70*$I70/12*2,IF($J70=3,-$E70*$I70/12*1,0)))))+IF(BV$5&lt;&gt;$H70,0,IF(BV70&lt;0,IF($J70=1,-$E70*$I70/12*0,IF($J70=2,-$E70*$I70/12*1,IF($J70=3,-$E70*$I70/12*2,IF($J70&gt;=4,-$E70*$I70/12*3,0))))))</f>
        <v>0</v>
      </c>
      <c r="BX70" s="120">
        <f>IF($H70&lt;&gt;CA$5,0,IF(CA70&lt;0,IF(OR($J70=1,$J70=2,$J70=3,$J70=4),-$E70*$I70/12*3,IF($J70=5,-$E70*$I70/12*2,IF($J70=6,-$E70*$I70/12*1,0)))))+IF(BV$5&lt;&gt;$H70,0,IF(BV70&lt;0,IF($J70=4,-$E70*$I70/12*0,IF($J70=5,-$E70*$I70/12*1,IF($J70=6,-$E70*$I70/12*2,IF($J70&gt;=7,-$E70*$I70/12*3,0))))))</f>
        <v>0</v>
      </c>
      <c r="BY70" s="120">
        <f>IF($H70&lt;&gt;CA$5,0,IF(CA70&lt;0,IF(OR($J70=1,$J70=2,$J70=3,$J70=4,$J70=5,$J70=6,$J70=7),-$E70*$I70/12*3,IF($J70=8,-$E70*$I70/12*2,IF($J70=9,-$E70*$I70/12*1,0)))))+IF(BV$5&lt;&gt;$H70,0,IF(BV70&lt;0,IF($J70=7,-$E70*$I70/12*0,IF($J70=8,-$E70*$I70/12*1,IF($J70=9,-$E70*$I70/12*2,IF($J70&gt;=10,-$E70*$I70/12*3,0))))))</f>
        <v>0</v>
      </c>
      <c r="BZ70" s="121">
        <f>IF($H70&lt;&gt;CA$5,0,IF(CA70&lt;0,IF(OR($J70=1,$J70=2,$J70=3,$J70=4,$J70=5,$J70=6,$J70=7,$J70=8,$J70=9,$J70=10),-$E70*$I70/12*3,IF($J70=11,-$E70*$I70/12*2,IF($J70=12,-$E70*$I70/12*1,0)))))+IF(BV$5&lt;&gt;$H70,0,IF(BV70&lt;0,IF($J70=10,-$E70*$I70/12*0,IF($J70=11,-$E70*$I70/12*1,IF($J70=12,-$E70*$I70/12*2,0)))))</f>
        <v>0</v>
      </c>
      <c r="CA70" s="118">
        <f>IF(AND(BV70&lt;&gt;0,BV$5=$H70),-$I70*$E70-BV70,IF(CA$5=$H70,-$I70*$E70*(12-$J70+1)/12,0))</f>
        <v>0</v>
      </c>
      <c r="CB70" s="119">
        <f>IF($H70&lt;&gt;CF$5,0,IF(CF70&lt;0,IF($J70=1,-$E70*$I70/12*3,IF($J70=2,-$E70*$I70/12*2,IF($J70=3,-$E70*$I70/12*1,0)))))+IF(CA$5&lt;&gt;$H70,0,IF(CA70&lt;0,IF($J70=1,-$E70*$I70/12*0,IF($J70=2,-$E70*$I70/12*1,IF($J70=3,-$E70*$I70/12*2,IF($J70&gt;=4,-$E70*$I70/12*3,0))))))</f>
        <v>0</v>
      </c>
      <c r="CC70" s="120">
        <f>IF($H70&lt;&gt;CF$5,0,IF(CF70&lt;0,IF(OR($J70=1,$J70=2,$J70=3,$J70=4),-$E70*$I70/12*3,IF($J70=5,-$E70*$I70/12*2,IF($J70=6,-$E70*$I70/12*1,0)))))+IF(CA$5&lt;&gt;$H70,0,IF(CA70&lt;0,IF($J70=4,-$E70*$I70/12*0,IF($J70=5,-$E70*$I70/12*1,IF($J70=6,-$E70*$I70/12*2,IF($J70&gt;=7,-$E70*$I70/12*3,0))))))</f>
        <v>0</v>
      </c>
      <c r="CD70" s="120">
        <f>IF($H70&lt;&gt;CF$5,0,IF(CF70&lt;0,IF(OR($J70=1,$J70=2,$J70=3,$J70=4,$J70=5,$J70=6,$J70=7),-$E70*$I70/12*3,IF($J70=8,-$E70*$I70/12*2,IF($J70=9,-$E70*$I70/12*1,0)))))+IF(CA$5&lt;&gt;$H70,0,IF(CA70&lt;0,IF($J70=7,-$E70*$I70/12*0,IF($J70=8,-$E70*$I70/12*1,IF($J70=9,-$E70*$I70/12*2,IF($J70&gt;=10,-$E70*$I70/12*3,0))))))</f>
        <v>0</v>
      </c>
      <c r="CE70" s="121">
        <f>IF($H70&lt;&gt;CF$5,0,IF(CF70&lt;0,IF(OR($J70=1,$J70=2,$J70=3,$J70=4,$J70=5,$J70=6,$J70=7,$J70=8,$J70=9,$J70=10),-$E70*$I70/12*3,IF($J70=11,-$E70*$I70/12*2,IF($J70=12,-$E70*$I70/12*1,0)))))+IF(CA$5&lt;&gt;$H70,0,IF(CA70&lt;0,IF($J70=10,-$E70*$I70/12*0,IF($J70=11,-$E70*$I70/12*1,IF($J70=12,-$E70*$I70/12*2,0)))))</f>
        <v>0</v>
      </c>
      <c r="CF70" s="118">
        <f>IF(AND(CA70&lt;&gt;0,CA$5=$H70),-$I70*$E70-CA70,IF(CF$5=$H70,-$I70*$E70*(12-$J70+1)/12,0))</f>
        <v>0</v>
      </c>
      <c r="CG70" s="119">
        <f t="shared" si="286"/>
        <v>0</v>
      </c>
      <c r="CH70" s="120">
        <f>IF($H70&lt;&gt;CK$5,0,IF(CK70&lt;0,IF(OR($J70=1,$J70=2,$J70=3,$J70=4),-$E70*$I70/12*3,IF($J70=5,-$E70*$I70/12*2,IF($J70=6,-$E70*$I70/12*1,0)))))+IF(CF$5&lt;&gt;$H70,0,IF(CF70&lt;0,IF($J70=4,-$E70*$I70/12*0,IF($J70=5,-$E70*$I70/12*1,IF($J70=6,-$E70*$I70/12*2,IF($J70&gt;=7,-$E70*$I70/12*3,0))))))</f>
        <v>0</v>
      </c>
      <c r="CI70" s="120">
        <f>IF($H70&lt;&gt;CK$5,0,IF(CK70&lt;0,IF(OR($J70=1,$J70=2,$J70=3,$J70=4,$J70=5,$J70=6,$J70=7),-$E70*$I70/12*3,IF($J70=8,-$E70*$I70/12*2,IF($J70=9,-$E70*$I70/12*1,0)))))+IF(CF$5&lt;&gt;$H70,0,IF(CF70&lt;0,IF($J70=7,-$E70*$I70/12*0,IF($J70=8,-$E70*$I70/12*1,IF($J70=9,-$E70*$I70/12*2,IF($J70&gt;=10,-$E70*$I70/12*3,0))))))</f>
        <v>0</v>
      </c>
      <c r="CJ70" s="121">
        <f>IF($H70&lt;&gt;CK$5,0,IF(CK70&lt;0,IF(OR($J70=1,$J70=2,$J70=3,$J70=4,$J70=5,$J70=6,$J70=7,$J70=8,$J70=9,$J70=10),-$E70*$I70/12*3,IF($J70=11,-$E70*$I70/12*2,IF($J70=12,-$E70*$I70/12*1,0)))))+IF(CF$5&lt;&gt;$H70,0,IF(CF70&lt;0,IF($J70=10,-$E70*$I70/12*0,IF($J70=11,-$E70*$I70/12*1,IF($J70=12,-$E70*$I70/12*2,0)))))</f>
        <v>0</v>
      </c>
      <c r="CK70" s="118">
        <f>IF(AND(CF70&lt;&gt;0,CF$5=$H70),-$I70*$E70-CF70,IF(CK$5=$H70,-$I70*$E70*(12-$J70+1)/12,0))</f>
        <v>0</v>
      </c>
      <c r="CL70" s="119">
        <f t="shared" si="287"/>
        <v>0</v>
      </c>
      <c r="CM70" s="120">
        <f t="shared" si="288"/>
        <v>0</v>
      </c>
      <c r="CN70" s="120">
        <f t="shared" si="289"/>
        <v>0</v>
      </c>
      <c r="CO70" s="121">
        <f t="shared" si="290"/>
        <v>0</v>
      </c>
      <c r="CP70" s="118">
        <f t="shared" si="291"/>
        <v>0</v>
      </c>
      <c r="CQ70" s="119">
        <f t="shared" si="292"/>
        <v>0</v>
      </c>
      <c r="CR70" s="120">
        <f>IF($H70&lt;&gt;CU$5,0,IF(CU70&lt;0,IF(OR($J70=1,$J70=2,$J70=3,$J70=4),-$E70*$I70/12*3,IF($J70=5,-$E70*$I70/12*2,IF($J70=6,-$E70*$I70/12*1,0)))))+IF(CP$5&lt;&gt;$H70,0,IF(CP70&lt;0,IF($J70=4,-$E70*$I70/12*0,IF($J70=5,-$E70*$I70/12*1,IF($J70=6,-$E70*$I70/12*2,IF($J70&gt;=7,-$E70*$I70/12*3,0))))))</f>
        <v>0</v>
      </c>
      <c r="CS70" s="120">
        <f>IF($H70&lt;&gt;CU$5,0,IF(CU70&lt;0,IF(OR($J70=1,$J70=2,$J70=3,$J70=4,$J70=5,$J70=6,$J70=7),-$E70*$I70/12*3,IF($J70=8,-$E70*$I70/12*2,IF($J70=9,-$E70*$I70/12*1,0)))))+IF(CP$5&lt;&gt;$H70,0,IF(CP70&lt;0,IF($J70=7,-$E70*$I70/12*0,IF($J70=8,-$E70*$I70/12*1,IF($J70=9,-$E70*$I70/12*2,IF($J70&gt;=10,-$E70*$I70/12*3,0))))))</f>
        <v>0</v>
      </c>
      <c r="CT70" s="121">
        <f>IF($H70&lt;&gt;CU$5,0,IF(CU70&lt;0,IF(OR($J70=1,$J70=2,$J70=3,$J70=4,$J70=5,$J70=6,$J70=7,$J70=8,$J70=9,$J70=10),-$E70*$I70/12*3,IF($J70=11,-$E70*$I70/12*2,IF($J70=12,-$E70*$I70/12*1,0)))))+IF(CP$5&lt;&gt;$H70,0,IF(CP70&lt;0,IF($J70=10,-$E70*$I70/12*0,IF($J70=11,-$E70*$I70/12*1,IF($J70=12,-$E70*$I70/12*2,0)))))</f>
        <v>0</v>
      </c>
      <c r="CU70" s="118">
        <f>IF(AND(CP70&lt;&gt;0,CP$5=$H70),-$I70*$E70-CP70,IF(CU$5=$H70,-$I70*$E70*(12-$J70+1)/12,0))</f>
        <v>0</v>
      </c>
      <c r="CV70" s="119">
        <f t="shared" si="178"/>
        <v>0</v>
      </c>
      <c r="CW70" s="120">
        <f t="shared" si="179"/>
        <v>0</v>
      </c>
      <c r="CX70" s="120">
        <f t="shared" si="180"/>
        <v>0</v>
      </c>
      <c r="CY70" s="121">
        <f t="shared" si="181"/>
        <v>0</v>
      </c>
      <c r="CZ70" s="118">
        <f t="shared" si="182"/>
        <v>0</v>
      </c>
    </row>
    <row r="71" spans="1:104" ht="12.75" customHeight="1">
      <c r="A71" s="7"/>
      <c r="B71" s="7"/>
      <c r="C71" s="1508" t="s">
        <v>1030</v>
      </c>
      <c r="D71" s="190"/>
      <c r="E71" s="191">
        <f>IF(F71=0,G71,F71)</f>
        <v>550</v>
      </c>
      <c r="F71" s="193">
        <v>550</v>
      </c>
      <c r="G71" s="193">
        <v>550</v>
      </c>
      <c r="H71" s="1346">
        <v>2046</v>
      </c>
      <c r="I71" s="1363">
        <v>3.7999999999999999E-2</v>
      </c>
      <c r="J71" s="1346">
        <v>3</v>
      </c>
      <c r="K71" s="112"/>
      <c r="L71" s="113">
        <f t="shared" si="113"/>
        <v>0</v>
      </c>
      <c r="M71" s="114">
        <f>IF(Q71=0,0,IF(Q71&lt;0,IF($J71=3,Q71,IF($J71=2,Q71,IF($J71=1,Q71,0)))))</f>
        <v>0</v>
      </c>
      <c r="N71" s="115">
        <f>IF(Q71=0,0,IF(Q71&lt;0,IF($J71=6,Q71,IF($J71=5,Q71,IF($J71=4,Q71,0)))))</f>
        <v>0</v>
      </c>
      <c r="O71" s="115">
        <f>IF(Q71=0,0,IF(Q71&lt;0,IF($J71=9,Q71,IF($J71=8,Q71,IF($J71=7,Q71,0)))))</f>
        <v>0</v>
      </c>
      <c r="P71" s="116">
        <f>IF(Q71=0,0,IF(Q71&lt;0,IF($J71=12,Q71,IF($J71=11,Q71,IF($J71=10,Q71,0)))))</f>
        <v>0</v>
      </c>
      <c r="Q71" s="113">
        <f t="shared" si="118"/>
        <v>0</v>
      </c>
      <c r="R71" s="114">
        <f>IF(V71=0,0,IF(V71&lt;0,IF($J71=3,V71,IF($J71=2,V71,IF($J71=1,V71,0)))))</f>
        <v>0</v>
      </c>
      <c r="S71" s="115">
        <f>IF(V71=0,0,IF(V71&lt;0,IF($J71=6,V71,IF($J71=5,V71,IF($J71=4,V71,0)))))</f>
        <v>0</v>
      </c>
      <c r="T71" s="115">
        <f>IF(V71=0,0,IF(V71&lt;0,IF($J71=9,V71,IF($J71=8,V71,IF($J71=7,V71,0)))))</f>
        <v>0</v>
      </c>
      <c r="U71" s="116">
        <f>IF(V71=0,0,IF(V71&lt;0,IF($J71=12,V71,IF($J71=11,V71,IF($J71=10,V71,0)))))</f>
        <v>0</v>
      </c>
      <c r="V71" s="113">
        <f t="shared" si="123"/>
        <v>0</v>
      </c>
      <c r="W71" s="114">
        <f>IF(AA71=0,0,IF(AA71&lt;0,IF($J71=3,AA71,IF($J71=2,AA71,IF($J71=1,AA71,0)))))</f>
        <v>0</v>
      </c>
      <c r="X71" s="115">
        <f>IF(AA71=0,0,IF(AA71&lt;0,IF($J71=6,AA71,IF($J71=5,AA71,IF($J71=4,AA71,0)))))</f>
        <v>0</v>
      </c>
      <c r="Y71" s="115">
        <f>IF(AA71=0,0,IF(AA71&lt;0,IF($J71=9,AA71,IF($J71=8,AA71,IF($J71=7,AA71,0)))))</f>
        <v>0</v>
      </c>
      <c r="Z71" s="116">
        <f>IF(AA71=0,0,IF(AA71&lt;0,IF($J71=12,AA71,IF($J71=11,AA71,IF($J71=10,AA71,0)))))</f>
        <v>0</v>
      </c>
      <c r="AA71" s="113">
        <f t="shared" si="128"/>
        <v>0</v>
      </c>
      <c r="AB71" s="114">
        <f>IF(AF71=0,0,IF(AF71&lt;0,IF($J71=3,AF71,IF($J71=2,AF71,IF($J71=1,AF71,0)))))</f>
        <v>0</v>
      </c>
      <c r="AC71" s="115">
        <f>IF(AF71=0,0,IF(AF71&lt;0,IF($J71=6,AF71,IF($J71=5,AF71,IF($J71=4,AF71,0)))))</f>
        <v>0</v>
      </c>
      <c r="AD71" s="115">
        <f>IF(AF71=0,0,IF(AF71&lt;0,IF($J71=9,AF71,IF($J71=8,AF71,IF($J71=7,AF71,0)))))</f>
        <v>0</v>
      </c>
      <c r="AE71" s="116">
        <f>IF(AF71=0,0,IF(AF71&lt;0,IF($J71=12,AF71,IF($J71=11,AF71,IF($J71=10,AF71,0)))))</f>
        <v>0</v>
      </c>
      <c r="AF71" s="113">
        <f t="shared" si="133"/>
        <v>0</v>
      </c>
      <c r="AG71" s="114">
        <f>IF(AK71=0,0,IF(AK71&lt;0,IF($J71=3,AK71,IF($J71=2,AK71,IF($J71=1,AK71,0)))))</f>
        <v>0</v>
      </c>
      <c r="AH71" s="115">
        <f>IF(AK71=0,0,IF(AK71&lt;0,IF($J71=6,AK71,IF($J71=5,AK71,IF($J71=4,AK71,0)))))</f>
        <v>0</v>
      </c>
      <c r="AI71" s="115">
        <f>IF(AK71=0,0,IF(AK71&lt;0,IF($J71=9,AK71,IF($J71=8,AK71,IF($J71=7,AK71,0)))))</f>
        <v>0</v>
      </c>
      <c r="AJ71" s="116">
        <f>IF(AK71=0,0,IF(AK71&lt;0,IF($J71=12,AK71,IF($J71=11,AK71,IF($J71=10,AK71,0)))))</f>
        <v>0</v>
      </c>
      <c r="AK71" s="113">
        <f t="shared" si="138"/>
        <v>0</v>
      </c>
      <c r="AL71" s="114">
        <f>IF(AP71=0,0,IF(AP71&lt;0,IF($J71=3,AP71,IF($J71=2,AP71,IF($J71=1,AP71,0)))))</f>
        <v>0</v>
      </c>
      <c r="AM71" s="115">
        <f>IF(AP71=0,0,IF(AP71&lt;0,IF($J71=6,AP71,IF($J71=5,AP71,IF($J71=4,AP71,0)))))</f>
        <v>0</v>
      </c>
      <c r="AN71" s="115">
        <f>IF(AP71=0,0,IF(AP71&lt;0,IF($J71=9,AP71,IF($J71=8,AP71,IF($J71=7,AP71,0)))))</f>
        <v>0</v>
      </c>
      <c r="AO71" s="116">
        <f>IF(AP71=0,0,IF(AP71&lt;0,IF($J71=12,AP71,IF($J71=11,AP71,IF($J71=10,AP71,0)))))</f>
        <v>0</v>
      </c>
      <c r="AP71" s="113">
        <f t="shared" si="139"/>
        <v>0</v>
      </c>
      <c r="AQ71" s="114">
        <f t="shared" si="282"/>
        <v>0</v>
      </c>
      <c r="AR71" s="115">
        <f t="shared" si="283"/>
        <v>0</v>
      </c>
      <c r="AS71" s="115">
        <f t="shared" si="284"/>
        <v>0</v>
      </c>
      <c r="AT71" s="116">
        <f t="shared" si="285"/>
        <v>0</v>
      </c>
      <c r="AU71" s="113">
        <f t="shared" si="140"/>
        <v>0</v>
      </c>
      <c r="AV71" s="114">
        <f t="shared" si="268"/>
        <v>0</v>
      </c>
      <c r="AW71" s="115">
        <f t="shared" si="269"/>
        <v>0</v>
      </c>
      <c r="AX71" s="115">
        <f t="shared" si="270"/>
        <v>0</v>
      </c>
      <c r="AY71" s="116">
        <f t="shared" si="271"/>
        <v>0</v>
      </c>
      <c r="AZ71" s="113">
        <f t="shared" si="145"/>
        <v>0</v>
      </c>
      <c r="BA71" s="114">
        <f t="shared" si="146"/>
        <v>0</v>
      </c>
      <c r="BB71" s="115">
        <f t="shared" si="147"/>
        <v>0</v>
      </c>
      <c r="BC71" s="115">
        <f t="shared" si="148"/>
        <v>0</v>
      </c>
      <c r="BD71" s="116">
        <f t="shared" si="149"/>
        <v>0</v>
      </c>
      <c r="BE71" s="113">
        <f t="shared" si="150"/>
        <v>0</v>
      </c>
      <c r="BF71" s="194"/>
      <c r="BG71" s="118">
        <f>IF(AND(BF71&lt;&gt;0,BF$5=$H71),-$I71*$E71-BF71,IF(BG$5=$H71,-$I71*$E71*(12-$J71+1)/12,0))</f>
        <v>0</v>
      </c>
      <c r="BH71" s="119">
        <f>IF($H71&lt;&gt;BL$5,0,IF(BL71&lt;0,IF($J71=1,-$E71*$I71/12*3,IF($J71=2,-$E71*$I71/12*2,IF($J71=3,-$E71*$I71/12*1,0)))))+IF(BG$5&lt;&gt;$H71,0,IF(BG71&lt;0,IF($J71=1,-$E71*$I71/12*0,IF($J71=2,-$E71*$I71/12*1,IF($J71=3,-$E71*$I71/12*2,IF($J71&gt;=4,-$E71*$I71/12*3,0))))))</f>
        <v>0</v>
      </c>
      <c r="BI71" s="120">
        <f>IF($H71&lt;&gt;BL$5,0,IF(BL71&lt;0,IF(OR($J71=1,$J71=2,$J71=3,$J71=4),-$E71*$I71/12*3,IF($J71=5,-$E71*$I71/12*2,IF($J71=6,-$E71*$I71/12*1,0)))))+IF(BG$5&lt;&gt;$H71,0,IF(BG71&lt;0,IF($J71=4,-$E71*$I71/12*0,IF($J71=5,-$E71*$I71/12*1,IF($J71=6,-$E71*$I71/12*2,IF($J71&gt;=7,-$E71*$I71/12*3,0))))))</f>
        <v>0</v>
      </c>
      <c r="BJ71" s="120">
        <f>IF($H71&lt;&gt;BL$5,0,IF(BL71&lt;0,IF(OR($J71=1,$J71=2,$J71=3,$J71=4,$J71=5,$J71=6,$J71=7),-$E71*$I71/12*3,IF($J71=8,-$E71*$I71/12*2,IF($J71=9,-$E71*$I71/12*1,0)))))+IF(BG$5&lt;&gt;$H71,0,IF(BG71&lt;0,IF($J71=7,-$E71*$I71/12*0,IF($J71=8,-$E71*$I71/12*1,IF($J71=9,-$E71*$I71/12*2,IF($J71&gt;=10,-$E71*$I71/12*3,0))))))</f>
        <v>0</v>
      </c>
      <c r="BK71" s="121">
        <f>IF($H71&lt;&gt;BL$5,0,IF(BL71&lt;0,IF(OR($J71=1,$J71=2,$J71=3,$J71=4,$J71=5,$J71=6,$J71=7,$J71=8,$J71=9,$J71=10),-$E71*$I71/12*3,IF($J71=11,-$E71*$I71/12*2,IF($J71=12,-$E71*$I71/12*1,0)))))+IF(BG$5&lt;&gt;$H71,0,IF(BG71&lt;0,IF($J71=10,-$E71*$I71/12*0,IF($J71=11,-$E71*$I71/12*1,IF($J71=12,-$E71*$I71/12*2,0)))))</f>
        <v>0</v>
      </c>
      <c r="BL71" s="118">
        <f>IF(AND(BG71&lt;&gt;0,BG$5=$H71),-$I71*$E71-BG71,IF(BL$5=$H71,-$I71*$E71*(12-$J71+1)/12,0))</f>
        <v>0</v>
      </c>
      <c r="BM71" s="119">
        <f>IF($H71&lt;&gt;BQ$5,0,IF(BQ71&lt;0,IF($J71=1,-$E71*$I71/12*3,IF($J71=2,-$E71*$I71/12*2,IF($J71=3,-$E71*$I71/12*1,0)))))+IF(BL$5&lt;&gt;$H71,0,IF(BL71&lt;0,IF($J71=1,-$E71*$I71/12*0,IF($J71=2,-$E71*$I71/12*1,IF($J71=3,-$E71*$I71/12*2,IF($J71&gt;=4,-$E71*$I71/12*3,0))))))</f>
        <v>0</v>
      </c>
      <c r="BN71" s="120">
        <f>IF($H71&lt;&gt;BQ$5,0,IF(BQ71&lt;0,IF(OR($J71=1,$J71=2,$J71=3,$J71=4),-$E71*$I71/12*3,IF($J71=5,-$E71*$I71/12*2,IF($J71=6,-$E71*$I71/12*1,0)))))+IF(BL$5&lt;&gt;$H71,0,IF(BL71&lt;0,IF($J71=4,-$E71*$I71/12*0,IF($J71=5,-$E71*$I71/12*1,IF($J71=6,-$E71*$I71/12*2,IF($J71&gt;=7,-$E71*$I71/12*3,0))))))</f>
        <v>0</v>
      </c>
      <c r="BO71" s="120">
        <f>IF($H71&lt;&gt;BQ$5,0,IF(BQ71&lt;0,IF(OR($J71=1,$J71=2,$J71=3,$J71=4,$J71=5,$J71=6,$J71=7),-$E71*$I71/12*3,IF($J71=8,-$E71*$I71/12*2,IF($J71=9,-$E71*$I71/12*1,0)))))+IF(BL$5&lt;&gt;$H71,0,IF(BL71&lt;0,IF($J71=7,-$E71*$I71/12*0,IF($J71=8,-$E71*$I71/12*1,IF($J71=9,-$E71*$I71/12*2,IF($J71&gt;=10,-$E71*$I71/12*3,0))))))</f>
        <v>0</v>
      </c>
      <c r="BP71" s="121">
        <f>IF($H71&lt;&gt;BQ$5,0,IF(BQ71&lt;0,IF(OR($J71=1,$J71=2,$J71=3,$J71=4,$J71=5,$J71=6,$J71=7,$J71=8,$J71=9,$J71=10),-$E71*$I71/12*3,IF($J71=11,-$E71*$I71/12*2,IF($J71=12,-$E71*$I71/12*1,0)))))+IF(BL$5&lt;&gt;$H71,0,IF(BL71&lt;0,IF($J71=10,-$E71*$I71/12*0,IF($J71=11,-$E71*$I71/12*1,IF($J71=12,-$E71*$I71/12*2,0)))))</f>
        <v>0</v>
      </c>
      <c r="BQ71" s="118">
        <f>IF(AND(BL71&lt;&gt;0,BL$5=$H71),-$I71*$E71-BL71,IF(BQ$5=$H71,-$I71*$E71*(12-$J71+1)/12,0))</f>
        <v>0</v>
      </c>
      <c r="BR71" s="119">
        <f>IF($H71&lt;&gt;BV$5,0,IF(BV71&lt;0,IF($J71=1,-$E71*$I71/12*3,IF($J71=2,-$E71*$I71/12*2,IF($J71=3,-$E71*$I71/12*1,0)))))+IF(BQ$5&lt;&gt;$H71,0,IF(BQ71&lt;0,IF($J71=1,-$E71*$I71/12*0,IF($J71=2,-$E71*$I71/12*1,IF($J71=3,-$E71*$I71/12*2,IF($J71&gt;=4,-$E71*$I71/12*3,0))))))</f>
        <v>0</v>
      </c>
      <c r="BS71" s="120">
        <f>IF($H71&lt;&gt;BV$5,0,IF(BV71&lt;0,IF(OR($J71=1,$J71=2,$J71=3,$J71=4),-$E71*$I71/12*3,IF($J71=5,-$E71*$I71/12*2,IF($J71=6,-$E71*$I71/12*1,0)))))+IF(BQ$5&lt;&gt;$H71,0,IF(BQ71&lt;0,IF($J71=4,-$E71*$I71/12*0,IF($J71=5,-$E71*$I71/12*1,IF($J71=6,-$E71*$I71/12*2,IF($J71&gt;=7,-$E71*$I71/12*3,0))))))</f>
        <v>0</v>
      </c>
      <c r="BT71" s="120">
        <f>IF($H71&lt;&gt;BV$5,0,IF(BV71&lt;0,IF(OR($J71=1,$J71=2,$J71=3,$J71=4,$J71=5,$J71=6,$J71=7),-$E71*$I71/12*3,IF($J71=8,-$E71*$I71/12*2,IF($J71=9,-$E71*$I71/12*1,0)))))+IF(BQ$5&lt;&gt;$H71,0,IF(BQ71&lt;0,IF($J71=7,-$E71*$I71/12*0,IF($J71=8,-$E71*$I71/12*1,IF($J71=9,-$E71*$I71/12*2,IF($J71&gt;=10,-$E71*$I71/12*3,0))))))</f>
        <v>0</v>
      </c>
      <c r="BU71" s="121">
        <f>IF($H71&lt;&gt;BV$5,0,IF(BV71&lt;0,IF(OR($J71=1,$J71=2,$J71=3,$J71=4,$J71=5,$J71=6,$J71=7,$J71=8,$J71=9,$J71=10),-$E71*$I71/12*3,IF($J71=11,-$E71*$I71/12*2,IF($J71=12,-$E71*$I71/12*1,0)))))+IF(BQ$5&lt;&gt;$H71,0,IF(BQ71&lt;0,IF($J71=10,-$E71*$I71/12*0,IF($J71=11,-$E71*$I71/12*1,IF($J71=12,-$E71*$I71/12*2,0)))))</f>
        <v>0</v>
      </c>
      <c r="BV71" s="118">
        <f>IF(AND(BQ71&lt;&gt;0,BQ$5=$H71),-$I71*$E71-BQ71,IF(BV$5=$H71,-$I71*$E71*(12-$J71+1)/12,0))</f>
        <v>0</v>
      </c>
      <c r="BW71" s="119">
        <f>IF($H71&lt;&gt;CA$5,0,IF(CA71&lt;0,IF($J71=1,-$E71*$I71/12*3,IF($J71=2,-$E71*$I71/12*2,IF($J71=3,-$E71*$I71/12*1,0)))))+IF(BV$5&lt;&gt;$H71,0,IF(BV71&lt;0,IF($J71=1,-$E71*$I71/12*0,IF($J71=2,-$E71*$I71/12*1,IF($J71=3,-$E71*$I71/12*2,IF($J71&gt;=4,-$E71*$I71/12*3,0))))))</f>
        <v>0</v>
      </c>
      <c r="BX71" s="120">
        <f>IF($H71&lt;&gt;CA$5,0,IF(CA71&lt;0,IF(OR($J71=1,$J71=2,$J71=3,$J71=4),-$E71*$I71/12*3,IF($J71=5,-$E71*$I71/12*2,IF($J71=6,-$E71*$I71/12*1,0)))))+IF(BV$5&lt;&gt;$H71,0,IF(BV71&lt;0,IF($J71=4,-$E71*$I71/12*0,IF($J71=5,-$E71*$I71/12*1,IF($J71=6,-$E71*$I71/12*2,IF($J71&gt;=7,-$E71*$I71/12*3,0))))))</f>
        <v>0</v>
      </c>
      <c r="BY71" s="120">
        <f>IF($H71&lt;&gt;CA$5,0,IF(CA71&lt;0,IF(OR($J71=1,$J71=2,$J71=3,$J71=4,$J71=5,$J71=6,$J71=7),-$E71*$I71/12*3,IF($J71=8,-$E71*$I71/12*2,IF($J71=9,-$E71*$I71/12*1,0)))))+IF(BV$5&lt;&gt;$H71,0,IF(BV71&lt;0,IF($J71=7,-$E71*$I71/12*0,IF($J71=8,-$E71*$I71/12*1,IF($J71=9,-$E71*$I71/12*2,IF($J71&gt;=10,-$E71*$I71/12*3,0))))))</f>
        <v>0</v>
      </c>
      <c r="BZ71" s="121">
        <f>IF($H71&lt;&gt;CA$5,0,IF(CA71&lt;0,IF(OR($J71=1,$J71=2,$J71=3,$J71=4,$J71=5,$J71=6,$J71=7,$J71=8,$J71=9,$J71=10),-$E71*$I71/12*3,IF($J71=11,-$E71*$I71/12*2,IF($J71=12,-$E71*$I71/12*1,0)))))+IF(BV$5&lt;&gt;$H71,0,IF(BV71&lt;0,IF($J71=10,-$E71*$I71/12*0,IF($J71=11,-$E71*$I71/12*1,IF($J71=12,-$E71*$I71/12*2,0)))))</f>
        <v>0</v>
      </c>
      <c r="CA71" s="118">
        <f>IF(AND(BV71&lt;&gt;0,BV$5=$H71),-$I71*$E71-BV71,IF(CA$5=$H71,-$I71*$E71*(12-$J71+1)/12,0))</f>
        <v>0</v>
      </c>
      <c r="CB71" s="119">
        <f>IF($H71&lt;&gt;CF$5,0,IF(CF71&lt;0,IF($J71=1,-$E71*$I71/12*3,IF($J71=2,-$E71*$I71/12*2,IF($J71=3,-$E71*$I71/12*1,0)))))+IF(CA$5&lt;&gt;$H71,0,IF(CA71&lt;0,IF($J71=1,-$E71*$I71/12*0,IF($J71=2,-$E71*$I71/12*1,IF($J71=3,-$E71*$I71/12*2,IF($J71&gt;=4,-$E71*$I71/12*3,0))))))</f>
        <v>0</v>
      </c>
      <c r="CC71" s="120">
        <f>IF($H71&lt;&gt;CF$5,0,IF(CF71&lt;0,IF(OR($J71=1,$J71=2,$J71=3,$J71=4),-$E71*$I71/12*3,IF($J71=5,-$E71*$I71/12*2,IF($J71=6,-$E71*$I71/12*1,0)))))+IF(CA$5&lt;&gt;$H71,0,IF(CA71&lt;0,IF($J71=4,-$E71*$I71/12*0,IF($J71=5,-$E71*$I71/12*1,IF($J71=6,-$E71*$I71/12*2,IF($J71&gt;=7,-$E71*$I71/12*3,0))))))</f>
        <v>0</v>
      </c>
      <c r="CD71" s="120">
        <f>IF($H71&lt;&gt;CF$5,0,IF(CF71&lt;0,IF(OR($J71=1,$J71=2,$J71=3,$J71=4,$J71=5,$J71=6,$J71=7),-$E71*$I71/12*3,IF($J71=8,-$E71*$I71/12*2,IF($J71=9,-$E71*$I71/12*1,0)))))+IF(CA$5&lt;&gt;$H71,0,IF(CA71&lt;0,IF($J71=7,-$E71*$I71/12*0,IF($J71=8,-$E71*$I71/12*1,IF($J71=9,-$E71*$I71/12*2,IF($J71&gt;=10,-$E71*$I71/12*3,0))))))</f>
        <v>0</v>
      </c>
      <c r="CE71" s="121">
        <f>IF($H71&lt;&gt;CF$5,0,IF(CF71&lt;0,IF(OR($J71=1,$J71=2,$J71=3,$J71=4,$J71=5,$J71=6,$J71=7,$J71=8,$J71=9,$J71=10),-$E71*$I71/12*3,IF($J71=11,-$E71*$I71/12*2,IF($J71=12,-$E71*$I71/12*1,0)))))+IF(CA$5&lt;&gt;$H71,0,IF(CA71&lt;0,IF($J71=10,-$E71*$I71/12*0,IF($J71=11,-$E71*$I71/12*1,IF($J71=12,-$E71*$I71/12*2,0)))))</f>
        <v>0</v>
      </c>
      <c r="CF71" s="118">
        <f>IF(AND(CA71&lt;&gt;0,CA$5=$H71),-$I71*$E71-CA71,IF(CF$5=$H71,-$I71*$E71*(12-$J71+1)/12,0))</f>
        <v>0</v>
      </c>
      <c r="CG71" s="119">
        <f t="shared" si="286"/>
        <v>0</v>
      </c>
      <c r="CH71" s="120">
        <f>IF($H71&lt;&gt;CK$5,0,IF(CK71&lt;0,IF(OR($J71=1,$J71=2,$J71=3,$J71=4),-$E71*$I71/12*3,IF($J71=5,-$E71*$I71/12*2,IF($J71=6,-$E71*$I71/12*1,0)))))+IF(CF$5&lt;&gt;$H71,0,IF(CF71&lt;0,IF($J71=4,-$E71*$I71/12*0,IF($J71=5,-$E71*$I71/12*1,IF($J71=6,-$E71*$I71/12*2,IF($J71&gt;=7,-$E71*$I71/12*3,0))))))</f>
        <v>0</v>
      </c>
      <c r="CI71" s="120">
        <f>IF($H71&lt;&gt;CK$5,0,IF(CK71&lt;0,IF(OR($J71=1,$J71=2,$J71=3,$J71=4,$J71=5,$J71=6,$J71=7),-$E71*$I71/12*3,IF($J71=8,-$E71*$I71/12*2,IF($J71=9,-$E71*$I71/12*1,0)))))+IF(CF$5&lt;&gt;$H71,0,IF(CF71&lt;0,IF($J71=7,-$E71*$I71/12*0,IF($J71=8,-$E71*$I71/12*1,IF($J71=9,-$E71*$I71/12*2,IF($J71&gt;=10,-$E71*$I71/12*3,0))))))</f>
        <v>0</v>
      </c>
      <c r="CJ71" s="121">
        <f>IF($H71&lt;&gt;CK$5,0,IF(CK71&lt;0,IF(OR($J71=1,$J71=2,$J71=3,$J71=4,$J71=5,$J71=6,$J71=7,$J71=8,$J71=9,$J71=10),-$E71*$I71/12*3,IF($J71=11,-$E71*$I71/12*2,IF($J71=12,-$E71*$I71/12*1,0)))))+IF(CF$5&lt;&gt;$H71,0,IF(CF71&lt;0,IF($J71=10,-$E71*$I71/12*0,IF($J71=11,-$E71*$I71/12*1,IF($J71=12,-$E71*$I71/12*2,0)))))</f>
        <v>0</v>
      </c>
      <c r="CK71" s="118">
        <f>IF(AND(CF71&lt;&gt;0,CF$5=$H71),-$I71*$E71-CF71,IF(CK$5=$H71,-$I71*$E71*(12-$J71+1)/12,0))</f>
        <v>0</v>
      </c>
      <c r="CL71" s="119">
        <f t="shared" si="287"/>
        <v>0</v>
      </c>
      <c r="CM71" s="120">
        <f t="shared" si="288"/>
        <v>0</v>
      </c>
      <c r="CN71" s="120">
        <f t="shared" si="289"/>
        <v>0</v>
      </c>
      <c r="CO71" s="121">
        <f t="shared" si="290"/>
        <v>0</v>
      </c>
      <c r="CP71" s="118">
        <f t="shared" si="291"/>
        <v>0</v>
      </c>
      <c r="CQ71" s="119">
        <f t="shared" si="292"/>
        <v>0</v>
      </c>
      <c r="CR71" s="120">
        <f>IF($H71&lt;&gt;CU$5,0,IF(CU71&lt;0,IF(OR($J71=1,$J71=2,$J71=3,$J71=4),-$E71*$I71/12*3,IF($J71=5,-$E71*$I71/12*2,IF($J71=6,-$E71*$I71/12*1,0)))))+IF(CP$5&lt;&gt;$H71,0,IF(CP71&lt;0,IF($J71=4,-$E71*$I71/12*0,IF($J71=5,-$E71*$I71/12*1,IF($J71=6,-$E71*$I71/12*2,IF($J71&gt;=7,-$E71*$I71/12*3,0))))))</f>
        <v>0</v>
      </c>
      <c r="CS71" s="120">
        <f>IF($H71&lt;&gt;CU$5,0,IF(CU71&lt;0,IF(OR($J71=1,$J71=2,$J71=3,$J71=4,$J71=5,$J71=6,$J71=7),-$E71*$I71/12*3,IF($J71=8,-$E71*$I71/12*2,IF($J71=9,-$E71*$I71/12*1,0)))))+IF(CP$5&lt;&gt;$H71,0,IF(CP71&lt;0,IF($J71=7,-$E71*$I71/12*0,IF($J71=8,-$E71*$I71/12*1,IF($J71=9,-$E71*$I71/12*2,IF($J71&gt;=10,-$E71*$I71/12*3,0))))))</f>
        <v>0</v>
      </c>
      <c r="CT71" s="121">
        <f>IF($H71&lt;&gt;CU$5,0,IF(CU71&lt;0,IF(OR($J71=1,$J71=2,$J71=3,$J71=4,$J71=5,$J71=6,$J71=7,$J71=8,$J71=9,$J71=10),-$E71*$I71/12*3,IF($J71=11,-$E71*$I71/12*2,IF($J71=12,-$E71*$I71/12*1,0)))))+IF(CP$5&lt;&gt;$H71,0,IF(CP71&lt;0,IF($J71=10,-$E71*$I71/12*0,IF($J71=11,-$E71*$I71/12*1,IF($J71=12,-$E71*$I71/12*2,0)))))</f>
        <v>0</v>
      </c>
      <c r="CU71" s="118">
        <f>IF(AND(CP71&lt;&gt;0,CP$5=$H71),-$I71*$E71-CP71,IF(CU$5=$H71,-$I71*$E71*(12-$J71+1)/12,0))</f>
        <v>0</v>
      </c>
      <c r="CV71" s="119">
        <f>IF($H71&lt;&gt;CZ$5,0,IF(CZ71&lt;0,IF($J71=1,-$E71*$I71/12*3,IF($J71=2,-$E71*$I71/12*2,IF($J71=3,-$E71*$I71/12*1,0)))))+IF(CU$5&lt;&gt;$H71,0,IF(CU71&lt;0,IF($J71=1,-$E71*$I71/12*0,IF($J71=2,-$E71*$I71/12*1,IF($J71=3,-$E71*$I71/12*2,IF($J71&gt;=4,-$E71*$I71/12*3,0))))))</f>
        <v>0</v>
      </c>
      <c r="CW71" s="120">
        <f t="shared" si="179"/>
        <v>0</v>
      </c>
      <c r="CX71" s="120">
        <f t="shared" si="180"/>
        <v>0</v>
      </c>
      <c r="CY71" s="121">
        <f t="shared" si="181"/>
        <v>0</v>
      </c>
      <c r="CZ71" s="118">
        <f t="shared" si="182"/>
        <v>0</v>
      </c>
    </row>
    <row r="72" spans="1:104" ht="12.75" customHeight="1">
      <c r="A72" s="7"/>
      <c r="B72" s="7"/>
      <c r="C72" s="1508" t="s">
        <v>1113</v>
      </c>
      <c r="D72" s="190"/>
      <c r="E72" s="191">
        <f>IF(F72=0,G72,F72)</f>
        <v>350</v>
      </c>
      <c r="F72" s="193">
        <v>350</v>
      </c>
      <c r="G72" s="193">
        <v>0</v>
      </c>
      <c r="H72" s="1346">
        <v>2047</v>
      </c>
      <c r="I72" s="1363">
        <v>3.5999999999999997E-2</v>
      </c>
      <c r="J72" s="1346">
        <v>11</v>
      </c>
      <c r="K72" s="112"/>
      <c r="L72" s="113">
        <f t="shared" si="113"/>
        <v>0</v>
      </c>
      <c r="M72" s="114">
        <f>IF(Q72=0,0,IF(Q72&lt;0,IF($J72=3,Q72,IF($J72=2,Q72,IF($J72=1,Q72,0)))))</f>
        <v>0</v>
      </c>
      <c r="N72" s="115">
        <f>IF(Q72=0,0,IF(Q72&lt;0,IF($J72=6,Q72,IF($J72=5,Q72,IF($J72=4,Q72,0)))))</f>
        <v>0</v>
      </c>
      <c r="O72" s="115">
        <f>IF(Q72=0,0,IF(Q72&lt;0,IF($J72=9,Q72,IF($J72=8,Q72,IF($J72=7,Q72,0)))))</f>
        <v>0</v>
      </c>
      <c r="P72" s="116">
        <f>IF(Q72=0,0,IF(Q72&lt;0,IF($J72=12,Q72,IF($J72=11,Q72,IF($J72=10,Q72,0)))))</f>
        <v>0</v>
      </c>
      <c r="Q72" s="113">
        <f t="shared" si="118"/>
        <v>0</v>
      </c>
      <c r="R72" s="114">
        <f>IF(V72=0,0,IF(V72&lt;0,IF($J72=3,V72,IF($J72=2,V72,IF($J72=1,V72,0)))))</f>
        <v>0</v>
      </c>
      <c r="S72" s="115">
        <f>IF(V72=0,0,IF(V72&lt;0,IF($J72=6,V72,IF($J72=5,V72,IF($J72=4,V72,0)))))</f>
        <v>0</v>
      </c>
      <c r="T72" s="115">
        <f>IF(V72=0,0,IF(V72&lt;0,IF($J72=9,V72,IF($J72=8,V72,IF($J72=7,V72,0)))))</f>
        <v>0</v>
      </c>
      <c r="U72" s="116">
        <f>IF(V72=0,0,IF(V72&lt;0,IF($J72=12,V72,IF($J72=11,V72,IF($J72=10,V72,0)))))</f>
        <v>0</v>
      </c>
      <c r="V72" s="113">
        <f t="shared" si="123"/>
        <v>0</v>
      </c>
      <c r="W72" s="114">
        <f>IF(AA72=0,0,IF(AA72&lt;0,IF($J72=3,AA72,IF($J72=2,AA72,IF($J72=1,AA72,0)))))</f>
        <v>0</v>
      </c>
      <c r="X72" s="115">
        <f>IF(AA72=0,0,IF(AA72&lt;0,IF($J72=6,AA72,IF($J72=5,AA72,IF($J72=4,AA72,0)))))</f>
        <v>0</v>
      </c>
      <c r="Y72" s="115">
        <f>IF(AA72=0,0,IF(AA72&lt;0,IF($J72=9,AA72,IF($J72=8,AA72,IF($J72=7,AA72,0)))))</f>
        <v>0</v>
      </c>
      <c r="Z72" s="116">
        <f>IF(AA72=0,0,IF(AA72&lt;0,IF($J72=12,AA72,IF($J72=11,AA72,IF($J72=10,AA72,0)))))</f>
        <v>0</v>
      </c>
      <c r="AA72" s="113">
        <f t="shared" si="128"/>
        <v>0</v>
      </c>
      <c r="AB72" s="114">
        <f>IF(AF72=0,0,IF(AF72&lt;0,IF($J72=3,AF72,IF($J72=2,AF72,IF($J72=1,AF72,0)))))</f>
        <v>0</v>
      </c>
      <c r="AC72" s="115">
        <f>IF(AF72=0,0,IF(AF72&lt;0,IF($J72=6,AF72,IF($J72=5,AF72,IF($J72=4,AF72,0)))))</f>
        <v>0</v>
      </c>
      <c r="AD72" s="115">
        <f>IF(AF72=0,0,IF(AF72&lt;0,IF($J72=9,AF72,IF($J72=8,AF72,IF($J72=7,AF72,0)))))</f>
        <v>0</v>
      </c>
      <c r="AE72" s="116">
        <f>IF(AF72=0,0,IF(AF72&lt;0,IF($J72=12,AF72,IF($J72=11,AF72,IF($J72=10,AF72,0)))))</f>
        <v>0</v>
      </c>
      <c r="AF72" s="113">
        <f t="shared" si="133"/>
        <v>0</v>
      </c>
      <c r="AG72" s="114">
        <f>IF(AK72=0,0,IF(AK72&lt;0,IF($J72=3,AK72,IF($J72=2,AK72,IF($J72=1,AK72,0)))))</f>
        <v>0</v>
      </c>
      <c r="AH72" s="115">
        <f>IF(AK72=0,0,IF(AK72&lt;0,IF($J72=6,AK72,IF($J72=5,AK72,IF($J72=4,AK72,0)))))</f>
        <v>0</v>
      </c>
      <c r="AI72" s="115">
        <f>IF(AK72=0,0,IF(AK72&lt;0,IF($J72=9,AK72,IF($J72=8,AK72,IF($J72=7,AK72,0)))))</f>
        <v>0</v>
      </c>
      <c r="AJ72" s="116">
        <f>IF(AK72=0,0,IF(AK72&lt;0,IF($J72=12,AK72,IF($J72=11,AK72,IF($J72=10,AK72,0)))))</f>
        <v>0</v>
      </c>
      <c r="AK72" s="113">
        <f t="shared" si="138"/>
        <v>0</v>
      </c>
      <c r="AL72" s="114">
        <f>IF(AP72=0,0,IF(AP72&lt;0,IF($J72=3,AP72,IF($J72=2,AP72,IF($J72=1,AP72,0)))))</f>
        <v>0</v>
      </c>
      <c r="AM72" s="115">
        <f>IF(AP72=0,0,IF(AP72&lt;0,IF($J72=6,AP72,IF($J72=5,AP72,IF($J72=4,AP72,0)))))</f>
        <v>0</v>
      </c>
      <c r="AN72" s="115">
        <f>IF(AP72=0,0,IF(AP72&lt;0,IF($J72=9,AP72,IF($J72=8,AP72,IF($J72=7,AP72,0)))))</f>
        <v>0</v>
      </c>
      <c r="AO72" s="116">
        <f>IF(AP72=0,0,IF(AP72&lt;0,IF($J72=12,AP72,IF($J72=11,AP72,IF($J72=10,AP72,0)))))</f>
        <v>0</v>
      </c>
      <c r="AP72" s="113">
        <f t="shared" si="139"/>
        <v>0</v>
      </c>
      <c r="AQ72" s="114">
        <f>IF(AU72=0,0,IF(AU72&lt;0,IF($J72=3,AU72,IF($J72=2,AU72,IF($J72=1,AU72,0)))))</f>
        <v>0</v>
      </c>
      <c r="AR72" s="115">
        <f>IF(AU72=0,0,IF(AU72&lt;0,IF($J72=6,AU72,IF($J72=5,AU72,IF($J72=4,AU72,0)))))</f>
        <v>0</v>
      </c>
      <c r="AS72" s="115">
        <f>IF(AU72=0,0,IF(AU72&lt;0,IF($J72=9,AU72,IF($J72=8,AU72,IF($J72=7,AU72,0)))))</f>
        <v>0</v>
      </c>
      <c r="AT72" s="116">
        <f>IF(AU72=0,0,IF(AU72&lt;0,IF($J72=12,AU72,IF($J72=11,AU72,IF($J72=10,AU72,0)))))</f>
        <v>0</v>
      </c>
      <c r="AU72" s="113">
        <f t="shared" si="140"/>
        <v>0</v>
      </c>
      <c r="AV72" s="114">
        <f>IF(AZ72=0,0,IF(AZ72&lt;0,IF($J72=3,AZ72,IF($J72=2,AZ72,IF($J72=1,AZ72,0)))))</f>
        <v>0</v>
      </c>
      <c r="AW72" s="115">
        <f>IF(AZ72=0,0,IF(AZ72&lt;0,IF($J72=6,AZ72,IF($J72=5,AZ72,IF($J72=4,AZ72,0)))))</f>
        <v>0</v>
      </c>
      <c r="AX72" s="115">
        <f>IF(AZ72=0,0,IF(AZ72&lt;0,IF($J72=9,AZ72,IF($J72=8,AZ72,IF($J72=7,AZ72,0)))))</f>
        <v>0</v>
      </c>
      <c r="AY72" s="116">
        <f>IF(AZ72=0,0,IF(AZ72&lt;0,IF($J72=12,AZ72,IF($J72=11,AZ72,IF($J72=10,AZ72,0)))))</f>
        <v>0</v>
      </c>
      <c r="AZ72" s="113">
        <f t="shared" si="145"/>
        <v>0</v>
      </c>
      <c r="BA72" s="114">
        <f>IF(BE72=0,0,IF(BE72&lt;0,IF($J72=3,BE72,IF($J72=2,BE72,IF($J72=1,BE72,0)))))</f>
        <v>0</v>
      </c>
      <c r="BB72" s="115">
        <f>IF(BE72=0,0,IF(BE72&lt;0,IF($J72=6,BE72,IF($J72=5,BE72,IF($J72=4,BE72,0)))))</f>
        <v>0</v>
      </c>
      <c r="BC72" s="115">
        <f>IF(BE72=0,0,IF(BE72&lt;0,IF($J72=9,BE72,IF($J72=8,BE72,IF($J72=7,BE72,0)))))</f>
        <v>0</v>
      </c>
      <c r="BD72" s="116">
        <f>IF(BE72=0,0,IF(BE72&lt;0,IF($J72=12,BE72,IF($J72=11,BE72,IF($J72=10,BE72,0)))))</f>
        <v>0</v>
      </c>
      <c r="BE72" s="113">
        <f t="shared" si="150"/>
        <v>0</v>
      </c>
      <c r="BF72" s="194"/>
      <c r="BG72" s="118">
        <f>IF(AND(BF72&lt;&gt;0,BF$5=$H72),-$I72*$E72-BF72,IF(BG$5=$H72,-$I72*$E72*(12-$J72+1)/12,0))</f>
        <v>0</v>
      </c>
      <c r="BH72" s="119">
        <f>IF($H72&lt;&gt;BL$5,0,IF(BL72&lt;0,IF($J72=1,-$E72*$I72/12*3,IF($J72=2,-$E72*$I72/12*2,IF($J72=3,-$E72*$I72/12*1,0)))))+IF(BG$5&lt;&gt;$H72,0,IF(BG72&lt;0,IF($J72=1,-$E72*$I72/12*0,IF($J72=2,-$E72*$I72/12*1,IF($J72=3,-$E72*$I72/12*2,IF($J72&gt;=4,-$E72*$I72/12*3,0))))))</f>
        <v>0</v>
      </c>
      <c r="BI72" s="120">
        <f>IF($H72&lt;&gt;BL$5,0,IF(BL72&lt;0,IF(OR($J72=1,$J72=2,$J72=3,$J72=4),-$E72*$I72/12*3,IF($J72=5,-$E72*$I72/12*2,IF($J72=6,-$E72*$I72/12*1,0)))))+IF(BG$5&lt;&gt;$H72,0,IF(BG72&lt;0,IF($J72=4,-$E72*$I72/12*0,IF($J72=5,-$E72*$I72/12*1,IF($J72=6,-$E72*$I72/12*2,IF($J72&gt;=7,-$E72*$I72/12*3,0))))))</f>
        <v>0</v>
      </c>
      <c r="BJ72" s="120">
        <f>IF($H72&lt;&gt;BL$5,0,IF(BL72&lt;0,IF(OR($J72=1,$J72=2,$J72=3,$J72=4,$J72=5,$J72=6,$J72=7),-$E72*$I72/12*3,IF($J72=8,-$E72*$I72/12*2,IF($J72=9,-$E72*$I72/12*1,0)))))+IF(BG$5&lt;&gt;$H72,0,IF(BG72&lt;0,IF($J72=7,-$E72*$I72/12*0,IF($J72=8,-$E72*$I72/12*1,IF($J72=9,-$E72*$I72/12*2,IF($J72&gt;=10,-$E72*$I72/12*3,0))))))</f>
        <v>0</v>
      </c>
      <c r="BK72" s="121">
        <f>IF($H72&lt;&gt;BL$5,0,IF(BL72&lt;0,IF(OR($J72=1,$J72=2,$J72=3,$J72=4,$J72=5,$J72=6,$J72=7,$J72=8,$J72=9,$J72=10),-$E72*$I72/12*3,IF($J72=11,-$E72*$I72/12*2,IF($J72=12,-$E72*$I72/12*1,0)))))+IF(BG$5&lt;&gt;$H72,0,IF(BG72&lt;0,IF($J72=10,-$E72*$I72/12*0,IF($J72=11,-$E72*$I72/12*1,IF($J72=12,-$E72*$I72/12*2,0)))))</f>
        <v>0</v>
      </c>
      <c r="BL72" s="118">
        <f>IF(AND(BG72&lt;&gt;0,BG$5=$H72),-$I72*$E72-BG72,IF(BL$5=$H72,-$I72*$E72*(12-$J72+1)/12,0))</f>
        <v>0</v>
      </c>
      <c r="BM72" s="119">
        <f>IF($H72&lt;&gt;BQ$5,0,IF(BQ72&lt;0,IF($J72=1,-$E72*$I72/12*3,IF($J72=2,-$E72*$I72/12*2,IF($J72=3,-$E72*$I72/12*1,0)))))+IF(BL$5&lt;&gt;$H72,0,IF(BL72&lt;0,IF($J72=1,-$E72*$I72/12*0,IF($J72=2,-$E72*$I72/12*1,IF($J72=3,-$E72*$I72/12*2,IF($J72&gt;=4,-$E72*$I72/12*3,0))))))</f>
        <v>0</v>
      </c>
      <c r="BN72" s="120">
        <f>IF($H72&lt;&gt;BQ$5,0,IF(BQ72&lt;0,IF(OR($J72=1,$J72=2,$J72=3,$J72=4),-$E72*$I72/12*3,IF($J72=5,-$E72*$I72/12*2,IF($J72=6,-$E72*$I72/12*1,0)))))+IF(BL$5&lt;&gt;$H72,0,IF(BL72&lt;0,IF($J72=4,-$E72*$I72/12*0,IF($J72=5,-$E72*$I72/12*1,IF($J72=6,-$E72*$I72/12*2,IF($J72&gt;=7,-$E72*$I72/12*3,0))))))</f>
        <v>0</v>
      </c>
      <c r="BO72" s="120">
        <f>IF($H72&lt;&gt;BQ$5,0,IF(BQ72&lt;0,IF(OR($J72=1,$J72=2,$J72=3,$J72=4,$J72=5,$J72=6,$J72=7),-$E72*$I72/12*3,IF($J72=8,-$E72*$I72/12*2,IF($J72=9,-$E72*$I72/12*1,0)))))+IF(BL$5&lt;&gt;$H72,0,IF(BL72&lt;0,IF($J72=7,-$E72*$I72/12*0,IF($J72=8,-$E72*$I72/12*1,IF($J72=9,-$E72*$I72/12*2,IF($J72&gt;=10,-$E72*$I72/12*3,0))))))</f>
        <v>0</v>
      </c>
      <c r="BP72" s="121">
        <f>IF($H72&lt;&gt;BQ$5,0,IF(BQ72&lt;0,IF(OR($J72=1,$J72=2,$J72=3,$J72=4,$J72=5,$J72=6,$J72=7,$J72=8,$J72=9,$J72=10),-$E72*$I72/12*3,IF($J72=11,-$E72*$I72/12*2,IF($J72=12,-$E72*$I72/12*1,0)))))+IF(BL$5&lt;&gt;$H72,0,IF(BL72&lt;0,IF($J72=10,-$E72*$I72/12*0,IF($J72=11,-$E72*$I72/12*1,IF($J72=12,-$E72*$I72/12*2,0)))))</f>
        <v>0</v>
      </c>
      <c r="BQ72" s="118">
        <f>IF(AND(BL72&lt;&gt;0,BL$5=$H72),-$I72*$E72-BL72,IF(BQ$5=$H72,-$I72*$E72*(12-$J72+1)/12,0))</f>
        <v>0</v>
      </c>
      <c r="BR72" s="119">
        <f>IF($H72&lt;&gt;BV$5,0,IF(BV72&lt;0,IF($J72=1,-$E72*$I72/12*3,IF($J72=2,-$E72*$I72/12*2,IF($J72=3,-$E72*$I72/12*1,0)))))+IF(BQ$5&lt;&gt;$H72,0,IF(BQ72&lt;0,IF($J72=1,-$E72*$I72/12*0,IF($J72=2,-$E72*$I72/12*1,IF($J72=3,-$E72*$I72/12*2,IF($J72&gt;=4,-$E72*$I72/12*3,0))))))</f>
        <v>0</v>
      </c>
      <c r="BS72" s="120">
        <f>IF($H72&lt;&gt;BV$5,0,IF(BV72&lt;0,IF(OR($J72=1,$J72=2,$J72=3,$J72=4),-$E72*$I72/12*3,IF($J72=5,-$E72*$I72/12*2,IF($J72=6,-$E72*$I72/12*1,0)))))+IF(BQ$5&lt;&gt;$H72,0,IF(BQ72&lt;0,IF($J72=4,-$E72*$I72/12*0,IF($J72=5,-$E72*$I72/12*1,IF($J72=6,-$E72*$I72/12*2,IF($J72&gt;=7,-$E72*$I72/12*3,0))))))</f>
        <v>0</v>
      </c>
      <c r="BT72" s="120">
        <f>IF($H72&lt;&gt;BV$5,0,IF(BV72&lt;0,IF(OR($J72=1,$J72=2,$J72=3,$J72=4,$J72=5,$J72=6,$J72=7),-$E72*$I72/12*3,IF($J72=8,-$E72*$I72/12*2,IF($J72=9,-$E72*$I72/12*1,0)))))+IF(BQ$5&lt;&gt;$H72,0,IF(BQ72&lt;0,IF($J72=7,-$E72*$I72/12*0,IF($J72=8,-$E72*$I72/12*1,IF($J72=9,-$E72*$I72/12*2,IF($J72&gt;=10,-$E72*$I72/12*3,0))))))</f>
        <v>0</v>
      </c>
      <c r="BU72" s="121">
        <f>IF($H72&lt;&gt;BV$5,0,IF(BV72&lt;0,IF(OR($J72=1,$J72=2,$J72=3,$J72=4,$J72=5,$J72=6,$J72=7,$J72=8,$J72=9,$J72=10),-$E72*$I72/12*3,IF($J72=11,-$E72*$I72/12*2,IF($J72=12,-$E72*$I72/12*1,0)))))+IF(BQ$5&lt;&gt;$H72,0,IF(BQ72&lt;0,IF($J72=10,-$E72*$I72/12*0,IF($J72=11,-$E72*$I72/12*1,IF($J72=12,-$E72*$I72/12*2,0)))))</f>
        <v>0</v>
      </c>
      <c r="BV72" s="118">
        <f>IF(AND(BQ72&lt;&gt;0,BQ$5=$H72),-$I72*$E72-BQ72,IF(BV$5=$H72,-$I72*$E72*(12-$J72+1)/12,0))</f>
        <v>0</v>
      </c>
      <c r="BW72" s="119">
        <f>IF($H72&lt;&gt;CA$5,0,IF(CA72&lt;0,IF($J72=1,-$E72*$I72/12*3,IF($J72=2,-$E72*$I72/12*2,IF($J72=3,-$E72*$I72/12*1,0)))))+IF(BV$5&lt;&gt;$H72,0,IF(BV72&lt;0,IF($J72=1,-$E72*$I72/12*0,IF($J72=2,-$E72*$I72/12*1,IF($J72=3,-$E72*$I72/12*2,IF($J72&gt;=4,-$E72*$I72/12*3,0))))))</f>
        <v>0</v>
      </c>
      <c r="BX72" s="120">
        <f>IF($H72&lt;&gt;CA$5,0,IF(CA72&lt;0,IF(OR($J72=1,$J72=2,$J72=3,$J72=4),-$E72*$I72/12*3,IF($J72=5,-$E72*$I72/12*2,IF($J72=6,-$E72*$I72/12*1,0)))))+IF(BV$5&lt;&gt;$H72,0,IF(BV72&lt;0,IF($J72=4,-$E72*$I72/12*0,IF($J72=5,-$E72*$I72/12*1,IF($J72=6,-$E72*$I72/12*2,IF($J72&gt;=7,-$E72*$I72/12*3,0))))))</f>
        <v>0</v>
      </c>
      <c r="BY72" s="120">
        <f>IF($H72&lt;&gt;CA$5,0,IF(CA72&lt;0,IF(OR($J72=1,$J72=2,$J72=3,$J72=4,$J72=5,$J72=6,$J72=7),-$E72*$I72/12*3,IF($J72=8,-$E72*$I72/12*2,IF($J72=9,-$E72*$I72/12*1,0)))))+IF(BV$5&lt;&gt;$H72,0,IF(BV72&lt;0,IF($J72=7,-$E72*$I72/12*0,IF($J72=8,-$E72*$I72/12*1,IF($J72=9,-$E72*$I72/12*2,IF($J72&gt;=10,-$E72*$I72/12*3,0))))))</f>
        <v>0</v>
      </c>
      <c r="BZ72" s="121">
        <f>IF($H72&lt;&gt;CA$5,0,IF(CA72&lt;0,IF(OR($J72=1,$J72=2,$J72=3,$J72=4,$J72=5,$J72=6,$J72=7,$J72=8,$J72=9,$J72=10),-$E72*$I72/12*3,IF($J72=11,-$E72*$I72/12*2,IF($J72=12,-$E72*$I72/12*1,0)))))+IF(BV$5&lt;&gt;$H72,0,IF(BV72&lt;0,IF($J72=10,-$E72*$I72/12*0,IF($J72=11,-$E72*$I72/12*1,IF($J72=12,-$E72*$I72/12*2,0)))))</f>
        <v>0</v>
      </c>
      <c r="CA72" s="118">
        <f>IF(AND(BV72&lt;&gt;0,BV$5=$H72),-$I72*$E72-BV72,IF(CA$5=$H72,-$I72*$E72*(12-$J72+1)/12,0))</f>
        <v>0</v>
      </c>
      <c r="CB72" s="119">
        <f>IF($H72&lt;&gt;CF$5,0,IF(CF72&lt;0,IF($J72=1,-$E72*$I72/12*3,IF($J72=2,-$E72*$I72/12*2,IF($J72=3,-$E72*$I72/12*1,0)))))+IF(CA$5&lt;&gt;$H72,0,IF(CA72&lt;0,IF($J72=1,-$E72*$I72/12*0,IF($J72=2,-$E72*$I72/12*1,IF($J72=3,-$E72*$I72/12*2,IF($J72&gt;=4,-$E72*$I72/12*3,0))))))</f>
        <v>0</v>
      </c>
      <c r="CC72" s="120">
        <f>IF($H72&lt;&gt;CF$5,0,IF(CF72&lt;0,IF(OR($J72=1,$J72=2,$J72=3,$J72=4),-$E72*$I72/12*3,IF($J72=5,-$E72*$I72/12*2,IF($J72=6,-$E72*$I72/12*1,0)))))+IF(CA$5&lt;&gt;$H72,0,IF(CA72&lt;0,IF($J72=4,-$E72*$I72/12*0,IF($J72=5,-$E72*$I72/12*1,IF($J72=6,-$E72*$I72/12*2,IF($J72&gt;=7,-$E72*$I72/12*3,0))))))</f>
        <v>0</v>
      </c>
      <c r="CD72" s="120">
        <f>IF($H72&lt;&gt;CF$5,0,IF(CF72&lt;0,IF(OR($J72=1,$J72=2,$J72=3,$J72=4,$J72=5,$J72=6,$J72=7),-$E72*$I72/12*3,IF($J72=8,-$E72*$I72/12*2,IF($J72=9,-$E72*$I72/12*1,0)))))+IF(CA$5&lt;&gt;$H72,0,IF(CA72&lt;0,IF($J72=7,-$E72*$I72/12*0,IF($J72=8,-$E72*$I72/12*1,IF($J72=9,-$E72*$I72/12*2,IF($J72&gt;=10,-$E72*$I72/12*3,0))))))</f>
        <v>0</v>
      </c>
      <c r="CE72" s="121">
        <f>IF($H72&lt;&gt;CF$5,0,IF(CF72&lt;0,IF(OR($J72=1,$J72=2,$J72=3,$J72=4,$J72=5,$J72=6,$J72=7,$J72=8,$J72=9,$J72=10),-$E72*$I72/12*3,IF($J72=11,-$E72*$I72/12*2,IF($J72=12,-$E72*$I72/12*1,0)))))+IF(CA$5&lt;&gt;$H72,0,IF(CA72&lt;0,IF($J72=10,-$E72*$I72/12*0,IF($J72=11,-$E72*$I72/12*1,IF($J72=12,-$E72*$I72/12*2,0)))))</f>
        <v>0</v>
      </c>
      <c r="CF72" s="118">
        <f>IF(AND(CA72&lt;&gt;0,CA$5=$H72),-$I72*$E72-CA72,IF(CF$5=$H72,-$I72*$E72*(12-$J72+1)/12,0))</f>
        <v>0</v>
      </c>
      <c r="CG72" s="119">
        <f>IF($H72&lt;&gt;CK$5,0,IF(CK72&lt;0,IF($J72=1,-$E72*$I72/12*3,IF($J72=2,-$E72*$I72/12*2,IF($J72=3,-$E72*$I72/12*1,0)))))+IF(CF$5&lt;&gt;$H72,0,IF(CF72&lt;0,IF($J72=1,-$E72*$I72/12*0,IF($J72=2,-$E72*$I72/12*1,IF($J72=3,-$E72*$I72/12*2,IF($J72&gt;=4,-$E72*$I72/12*3,0))))))</f>
        <v>0</v>
      </c>
      <c r="CH72" s="120">
        <f>IF($H72&lt;&gt;CK$5,0,IF(CK72&lt;0,IF(OR($J72=1,$J72=2,$J72=3,$J72=4),-$E72*$I72/12*3,IF($J72=5,-$E72*$I72/12*2,IF($J72=6,-$E72*$I72/12*1,0)))))+IF(CF$5&lt;&gt;$H72,0,IF(CF72&lt;0,IF($J72=4,-$E72*$I72/12*0,IF($J72=5,-$E72*$I72/12*1,IF($J72=6,-$E72*$I72/12*2,IF($J72&gt;=7,-$E72*$I72/12*3,0))))))</f>
        <v>0</v>
      </c>
      <c r="CI72" s="120">
        <f>IF($H72&lt;&gt;CK$5,0,IF(CK72&lt;0,IF(OR($J72=1,$J72=2,$J72=3,$J72=4,$J72=5,$J72=6,$J72=7),-$E72*$I72/12*3,IF($J72=8,-$E72*$I72/12*2,IF($J72=9,-$E72*$I72/12*1,0)))))+IF(CF$5&lt;&gt;$H72,0,IF(CF72&lt;0,IF($J72=7,-$E72*$I72/12*0,IF($J72=8,-$E72*$I72/12*1,IF($J72=9,-$E72*$I72/12*2,IF($J72&gt;=10,-$E72*$I72/12*3,0))))))</f>
        <v>0</v>
      </c>
      <c r="CJ72" s="121">
        <f>IF($H72&lt;&gt;CK$5,0,IF(CK72&lt;0,IF(OR($J72=1,$J72=2,$J72=3,$J72=4,$J72=5,$J72=6,$J72=7,$J72=8,$J72=9,$J72=10),-$E72*$I72/12*3,IF($J72=11,-$E72*$I72/12*2,IF($J72=12,-$E72*$I72/12*1,0)))))+IF(CF$5&lt;&gt;$H72,0,IF(CF72&lt;0,IF($J72=10,-$E72*$I72/12*0,IF($J72=11,-$E72*$I72/12*1,IF($J72=12,-$E72*$I72/12*2,0)))))</f>
        <v>0</v>
      </c>
      <c r="CK72" s="118">
        <f>IF(AND(CF72&lt;&gt;0,CF$5=$H72),-$I72*$E72-CF72,IF(CK$5=$H72,-$I72*$E72*(12-$J72+1)/12,0))</f>
        <v>0</v>
      </c>
      <c r="CL72" s="119">
        <f>IF($H72&lt;&gt;CP$5,0,IF(CP72&lt;0,IF($J72=1,-$E72*$I72/12*3,IF($J72=2,-$E72*$I72/12*2,IF($J72=3,-$E72*$I72/12*1,0)))))+IF(CK$5&lt;&gt;$H72,0,IF(CK72&lt;0,IF($J72=1,-$E72*$I72/12*0,IF($J72=2,-$E72*$I72/12*1,IF($J72=3,-$E72*$I72/12*2,IF($J72&gt;=4,-$E72*$I72/12*3,0))))))</f>
        <v>0</v>
      </c>
      <c r="CM72" s="120">
        <f>IF($H72&lt;&gt;CP$5,0,IF(CP72&lt;0,IF(OR($J72=1,$J72=2,$J72=3,$J72=4),-$E72*$I72/12*3,IF($J72=5,-$E72*$I72/12*2,IF($J72=6,-$E72*$I72/12*1,0)))))+IF(CK$5&lt;&gt;$H72,0,IF(CK72&lt;0,IF($J72=4,-$E72*$I72/12*0,IF($J72=5,-$E72*$I72/12*1,IF($J72=6,-$E72*$I72/12*2,IF($J72&gt;=7,-$E72*$I72/12*3,0))))))</f>
        <v>0</v>
      </c>
      <c r="CN72" s="120">
        <f>IF($H72&lt;&gt;CP$5,0,IF(CP72&lt;0,IF(OR($J72=1,$J72=2,$J72=3,$J72=4,$J72=5,$J72=6,$J72=7),-$E72*$I72/12*3,IF($J72=8,-$E72*$I72/12*2,IF($J72=9,-$E72*$I72/12*1,0)))))+IF(CK$5&lt;&gt;$H72,0,IF(CK72&lt;0,IF($J72=7,-$E72*$I72/12*0,IF($J72=8,-$E72*$I72/12*1,IF($J72=9,-$E72*$I72/12*2,IF($J72&gt;=10,-$E72*$I72/12*3,0))))))</f>
        <v>0</v>
      </c>
      <c r="CO72" s="121">
        <f>IF($H72&lt;&gt;CP$5,0,IF(CP72&lt;0,IF(OR($J72=1,$J72=2,$J72=3,$J72=4,$J72=5,$J72=6,$J72=7,$J72=8,$J72=9,$J72=10),-$E72*$I72/12*3,IF($J72=11,-$E72*$I72/12*2,IF($J72=12,-$E72*$I72/12*1,0)))))+IF(CK$5&lt;&gt;$H72,0,IF(CK72&lt;0,IF($J72=10,-$E72*$I72/12*0,IF($J72=11,-$E72*$I72/12*1,IF($J72=12,-$E72*$I72/12*2,0)))))</f>
        <v>0</v>
      </c>
      <c r="CP72" s="118">
        <f>IF(AND(CK72&lt;&gt;0,CK$5=$H72),-$I72*$E72-CK72,IF(CP$5=$H72,-$I72*$E72*(12-$J72+1)/12,0))</f>
        <v>0</v>
      </c>
      <c r="CQ72" s="119">
        <f>IF($H72&lt;&gt;CU$5,0,IF(CU72&lt;0,IF($J72=1,-$E72*$I72/12*3,IF($J72=2,-$E72*$I72/12*2,IF($J72=3,-$E72*$I72/12*1,0)))))+IF(CP$5&lt;&gt;$H72,0,IF(CP72&lt;0,IF($J72=1,-$E72*$I72/12*0,IF($J72=2,-$E72*$I72/12*1,IF($J72=3,-$E72*$I72/12*2,IF($J72&gt;=4,-$E72*$I72/12*3,0))))))</f>
        <v>0</v>
      </c>
      <c r="CR72" s="120">
        <f>IF($H72&lt;&gt;CU$5,0,IF(CU72&lt;0,IF(OR($J72=1,$J72=2,$J72=3,$J72=4),-$E72*$I72/12*3,IF($J72=5,-$E72*$I72/12*2,IF($J72=6,-$E72*$I72/12*1,0)))))+IF(CP$5&lt;&gt;$H72,0,IF(CP72&lt;0,IF($J72=4,-$E72*$I72/12*0,IF($J72=5,-$E72*$I72/12*1,IF($J72=6,-$E72*$I72/12*2,IF($J72&gt;=7,-$E72*$I72/12*3,0))))))</f>
        <v>0</v>
      </c>
      <c r="CS72" s="120">
        <f>IF($H72&lt;&gt;CU$5,0,IF(CU72&lt;0,IF(OR($J72=1,$J72=2,$J72=3,$J72=4,$J72=5,$J72=6,$J72=7),-$E72*$I72/12*3,IF($J72=8,-$E72*$I72/12*2,IF($J72=9,-$E72*$I72/12*1,0)))))+IF(CP$5&lt;&gt;$H72,0,IF(CP72&lt;0,IF($J72=7,-$E72*$I72/12*0,IF($J72=8,-$E72*$I72/12*1,IF($J72=9,-$E72*$I72/12*2,IF($J72&gt;=10,-$E72*$I72/12*3,0))))))</f>
        <v>0</v>
      </c>
      <c r="CT72" s="121">
        <f>IF($H72&lt;&gt;CU$5,0,IF(CU72&lt;0,IF(OR($J72=1,$J72=2,$J72=3,$J72=4,$J72=5,$J72=6,$J72=7,$J72=8,$J72=9,$J72=10),-$E72*$I72/12*3,IF($J72=11,-$E72*$I72/12*2,IF($J72=12,-$E72*$I72/12*1,0)))))+IF(CP$5&lt;&gt;$H72,0,IF(CP72&lt;0,IF($J72=10,-$E72*$I72/12*0,IF($J72=11,-$E72*$I72/12*1,IF($J72=12,-$E72*$I72/12*2,0)))))</f>
        <v>0</v>
      </c>
      <c r="CU72" s="118">
        <f>IF(AND(CP72&lt;&gt;0,CP$5=$H72),-$I72*$E72-CP72,IF(CU$5=$H72,-$I72*$E72*(12-$J72+1)/12,0))</f>
        <v>0</v>
      </c>
      <c r="CV72" s="119">
        <f>IF($H72&lt;&gt;CZ$5,0,IF(CZ72&lt;0,IF($J72=1,-$E72*$I72/12*3,IF($J72=2,-$E72*$I72/12*2,IF($J72=3,-$E72*$I72/12*1,0)))))+IF(CU$5&lt;&gt;$H72,0,IF(CU72&lt;0,IF($J72=1,-$E72*$I72/12*0,IF($J72=2,-$E72*$I72/12*1,IF($J72=3,-$E72*$I72/12*2,IF($J72&gt;=4,-$E72*$I72/12*3,0))))))</f>
        <v>0</v>
      </c>
      <c r="CW72" s="120">
        <f>IF($H72&lt;&gt;CZ$5,0,IF(CZ72&lt;0,IF(OR($J72=1,$J72=2,$J72=3,$J72=4),-$E72*$I72/12*3,IF($J72=5,-$E72*$I72/12*2,IF($J72=6,-$E72*$I72/12*1,0)))))+IF(CU$5&lt;&gt;$H72,0,IF(CU72&lt;0,IF($J72=4,-$E72*$I72/12*0,IF($J72=5,-$E72*$I72/12*1,IF($J72=6,-$E72*$I72/12*2,IF($J72&gt;=7,-$E72*$I72/12*3,0))))))</f>
        <v>0</v>
      </c>
      <c r="CX72" s="120">
        <f>IF($H72&lt;&gt;CZ$5,0,IF(CZ72&lt;0,IF(OR($J72=1,$J72=2,$J72=3,$J72=4,$J72=5,$J72=6,$J72=7),-$E72*$I72/12*3,IF($J72=8,-$E72*$I72/12*2,IF($J72=9,-$E72*$I72/12*1,0)))))+IF(CU$5&lt;&gt;$H72,0,IF(CU72&lt;0,IF($J72=7,-$E72*$I72/12*0,IF($J72=8,-$E72*$I72/12*1,IF($J72=9,-$E72*$I72/12*2,IF($J72&gt;=10,-$E72*$I72/12*3,0))))))</f>
        <v>0</v>
      </c>
      <c r="CY72" s="121">
        <f>IF($H72&lt;&gt;CZ$5,0,IF(CZ72&lt;0,IF(OR($J72=1,$J72=2,$J72=3,$J72=4,$J72=5,$J72=6,$J72=7,$J72=8,$J72=9,$J72=10),-$E72*$I72/12*3,IF($J72=11,-$E72*$I72/12*2,IF($J72=12,-$E72*$I72/12*1,0)))))+IF(CU$5&lt;&gt;$H72,0,IF(CU72&lt;0,IF($J72=10,-$E72*$I72/12*0,IF($J72=11,-$E72*$I72/12*1,IF($J72=12,-$E72*$I72/12*2,0)))))</f>
        <v>0</v>
      </c>
      <c r="CZ72" s="118">
        <f>IF(AND(CU72&lt;&gt;0,CU$5=$H72),-$I72*$E72-CU72,IF(CZ$5=$H72,-$I72*$E72*(12-$J72+1)/12,0))</f>
        <v>0</v>
      </c>
    </row>
    <row r="73" spans="1:104" ht="12.75" customHeight="1">
      <c r="A73" s="7"/>
      <c r="B73" s="7"/>
      <c r="C73" s="1502"/>
      <c r="D73" s="190"/>
      <c r="E73" s="191"/>
      <c r="F73" s="193"/>
      <c r="G73" s="193"/>
      <c r="H73" s="442"/>
      <c r="I73" s="587"/>
      <c r="J73" s="442"/>
      <c r="K73" s="112"/>
      <c r="L73" s="113"/>
      <c r="M73" s="114"/>
      <c r="N73" s="115"/>
      <c r="O73" s="115"/>
      <c r="P73" s="116"/>
      <c r="Q73" s="113"/>
      <c r="R73" s="114"/>
      <c r="S73" s="115"/>
      <c r="T73" s="115"/>
      <c r="U73" s="116"/>
      <c r="V73" s="113"/>
      <c r="W73" s="114"/>
      <c r="X73" s="115"/>
      <c r="Y73" s="115"/>
      <c r="Z73" s="116"/>
      <c r="AA73" s="113"/>
      <c r="AB73" s="114"/>
      <c r="AC73" s="115"/>
      <c r="AD73" s="115"/>
      <c r="AE73" s="116"/>
      <c r="AF73" s="113"/>
      <c r="AG73" s="114"/>
      <c r="AH73" s="115"/>
      <c r="AI73" s="115"/>
      <c r="AJ73" s="116"/>
      <c r="AK73" s="113"/>
      <c r="AL73" s="114"/>
      <c r="AM73" s="115"/>
      <c r="AN73" s="115"/>
      <c r="AO73" s="116"/>
      <c r="AP73" s="113"/>
      <c r="AQ73" s="114"/>
      <c r="AR73" s="115"/>
      <c r="AS73" s="115"/>
      <c r="AT73" s="116"/>
      <c r="AU73" s="113"/>
      <c r="AV73" s="114"/>
      <c r="AW73" s="115"/>
      <c r="AX73" s="115"/>
      <c r="AY73" s="116"/>
      <c r="AZ73" s="113"/>
      <c r="BA73" s="114"/>
      <c r="BB73" s="115"/>
      <c r="BC73" s="115"/>
      <c r="BD73" s="116"/>
      <c r="BE73" s="113"/>
      <c r="BF73" s="194"/>
      <c r="BG73" s="118"/>
      <c r="BH73" s="119"/>
      <c r="BI73" s="120"/>
      <c r="BJ73" s="120"/>
      <c r="BK73" s="121"/>
      <c r="BL73" s="118"/>
      <c r="BM73" s="119"/>
      <c r="BN73" s="120"/>
      <c r="BO73" s="120"/>
      <c r="BP73" s="121"/>
      <c r="BQ73" s="118"/>
      <c r="BR73" s="119"/>
      <c r="BS73" s="120"/>
      <c r="BT73" s="120"/>
      <c r="BU73" s="121"/>
      <c r="BV73" s="118"/>
      <c r="BW73" s="119"/>
      <c r="BX73" s="120"/>
      <c r="BY73" s="120"/>
      <c r="BZ73" s="121"/>
      <c r="CA73" s="118"/>
      <c r="CB73" s="119"/>
      <c r="CC73" s="120"/>
      <c r="CD73" s="120"/>
      <c r="CE73" s="121"/>
      <c r="CF73" s="118"/>
      <c r="CG73" s="119"/>
      <c r="CH73" s="120"/>
      <c r="CI73" s="120"/>
      <c r="CJ73" s="121"/>
      <c r="CK73" s="118"/>
      <c r="CL73" s="119"/>
      <c r="CM73" s="120"/>
      <c r="CN73" s="120"/>
      <c r="CO73" s="121"/>
      <c r="CP73" s="118"/>
      <c r="CQ73" s="119"/>
      <c r="CR73" s="120"/>
      <c r="CS73" s="120"/>
      <c r="CT73" s="121"/>
      <c r="CU73" s="118"/>
      <c r="CV73" s="119"/>
      <c r="CW73" s="120"/>
      <c r="CX73" s="120"/>
      <c r="CY73" s="121"/>
      <c r="CZ73" s="118"/>
    </row>
    <row r="74" spans="1:104" ht="12.75" customHeight="1">
      <c r="A74" s="7"/>
      <c r="B74" s="7"/>
      <c r="C74" s="223"/>
      <c r="D74" s="224"/>
      <c r="E74" s="127"/>
      <c r="F74" s="128"/>
      <c r="G74" s="128"/>
      <c r="H74" s="225"/>
      <c r="I74" s="225"/>
      <c r="J74" s="227"/>
      <c r="K74" s="132"/>
      <c r="L74" s="133"/>
      <c r="M74" s="134"/>
      <c r="N74" s="135"/>
      <c r="O74" s="135"/>
      <c r="P74" s="136"/>
      <c r="Q74" s="133"/>
      <c r="R74" s="134"/>
      <c r="S74" s="135"/>
      <c r="T74" s="135"/>
      <c r="U74" s="136"/>
      <c r="V74" s="133"/>
      <c r="W74" s="134"/>
      <c r="X74" s="135"/>
      <c r="Y74" s="135"/>
      <c r="Z74" s="136"/>
      <c r="AA74" s="133"/>
      <c r="AB74" s="134"/>
      <c r="AC74" s="135"/>
      <c r="AD74" s="135"/>
      <c r="AE74" s="136"/>
      <c r="AF74" s="133"/>
      <c r="AG74" s="134"/>
      <c r="AH74" s="135"/>
      <c r="AI74" s="135"/>
      <c r="AJ74" s="136"/>
      <c r="AK74" s="133"/>
      <c r="AL74" s="134"/>
      <c r="AM74" s="135"/>
      <c r="AN74" s="135"/>
      <c r="AO74" s="136"/>
      <c r="AP74" s="133"/>
      <c r="AQ74" s="134"/>
      <c r="AR74" s="135"/>
      <c r="AS74" s="135"/>
      <c r="AT74" s="136"/>
      <c r="AU74" s="133"/>
      <c r="AV74" s="134"/>
      <c r="AW74" s="135"/>
      <c r="AX74" s="135"/>
      <c r="AY74" s="136"/>
      <c r="AZ74" s="133"/>
      <c r="BA74" s="134"/>
      <c r="BB74" s="135"/>
      <c r="BC74" s="135"/>
      <c r="BD74" s="136"/>
      <c r="BE74" s="133"/>
      <c r="BF74" s="248"/>
      <c r="BG74" s="284"/>
      <c r="BH74" s="285"/>
      <c r="BI74" s="286"/>
      <c r="BJ74" s="286"/>
      <c r="BK74" s="287"/>
      <c r="BL74" s="284"/>
      <c r="BM74" s="285"/>
      <c r="BN74" s="286"/>
      <c r="BO74" s="286"/>
      <c r="BP74" s="287"/>
      <c r="BQ74" s="284"/>
      <c r="BR74" s="285"/>
      <c r="BS74" s="286"/>
      <c r="BT74" s="286"/>
      <c r="BU74" s="287"/>
      <c r="BV74" s="284"/>
      <c r="BW74" s="285"/>
      <c r="BX74" s="286"/>
      <c r="BY74" s="286"/>
      <c r="BZ74" s="287"/>
      <c r="CA74" s="284"/>
      <c r="CB74" s="285"/>
      <c r="CC74" s="286"/>
      <c r="CD74" s="286"/>
      <c r="CE74" s="287"/>
      <c r="CF74" s="284"/>
      <c r="CG74" s="285"/>
      <c r="CH74" s="286"/>
      <c r="CI74" s="286"/>
      <c r="CJ74" s="287"/>
      <c r="CK74" s="284"/>
      <c r="CL74" s="285"/>
      <c r="CM74" s="286"/>
      <c r="CN74" s="286"/>
      <c r="CO74" s="287"/>
      <c r="CP74" s="284"/>
      <c r="CQ74" s="285"/>
      <c r="CR74" s="286"/>
      <c r="CS74" s="286"/>
      <c r="CT74" s="287"/>
      <c r="CU74" s="284"/>
      <c r="CV74" s="285"/>
      <c r="CW74" s="286"/>
      <c r="CX74" s="286"/>
      <c r="CY74" s="287"/>
      <c r="CZ74" s="284"/>
    </row>
    <row r="75" spans="1:104" ht="12.75" customHeight="1">
      <c r="A75" s="203"/>
      <c r="B75" s="203"/>
      <c r="C75" s="573" t="s">
        <v>449</v>
      </c>
      <c r="D75" s="574"/>
      <c r="E75" s="445">
        <f>SUM(E43:E74)</f>
        <v>8658</v>
      </c>
      <c r="F75" s="575">
        <f>SUM(F43:F74)</f>
        <v>8658</v>
      </c>
      <c r="G75" s="575">
        <f>SUM(G43:G74)</f>
        <v>7883</v>
      </c>
      <c r="H75" s="576"/>
      <c r="I75" s="577"/>
      <c r="J75" s="578"/>
      <c r="K75" s="579"/>
      <c r="L75" s="147">
        <f t="shared" ref="L75:AU75" si="293">SUM(L43:L74)</f>
        <v>0</v>
      </c>
      <c r="M75" s="148">
        <f t="shared" si="293"/>
        <v>0</v>
      </c>
      <c r="N75" s="149">
        <f t="shared" si="293"/>
        <v>0</v>
      </c>
      <c r="O75" s="149">
        <f t="shared" si="293"/>
        <v>0</v>
      </c>
      <c r="P75" s="150">
        <f t="shared" si="293"/>
        <v>0</v>
      </c>
      <c r="Q75" s="147">
        <f t="shared" si="293"/>
        <v>0</v>
      </c>
      <c r="R75" s="148">
        <f t="shared" si="293"/>
        <v>0</v>
      </c>
      <c r="S75" s="149">
        <f t="shared" si="293"/>
        <v>0</v>
      </c>
      <c r="T75" s="149">
        <f t="shared" si="293"/>
        <v>0</v>
      </c>
      <c r="U75" s="150">
        <f t="shared" si="293"/>
        <v>0</v>
      </c>
      <c r="V75" s="147">
        <f t="shared" si="293"/>
        <v>0</v>
      </c>
      <c r="W75" s="148">
        <f t="shared" si="293"/>
        <v>0</v>
      </c>
      <c r="X75" s="149">
        <f t="shared" si="293"/>
        <v>0</v>
      </c>
      <c r="Y75" s="149">
        <f t="shared" si="293"/>
        <v>0</v>
      </c>
      <c r="Z75" s="150">
        <f t="shared" si="293"/>
        <v>0</v>
      </c>
      <c r="AA75" s="147">
        <f t="shared" si="293"/>
        <v>0</v>
      </c>
      <c r="AB75" s="148">
        <f t="shared" si="293"/>
        <v>0</v>
      </c>
      <c r="AC75" s="149">
        <f t="shared" si="293"/>
        <v>0</v>
      </c>
      <c r="AD75" s="149">
        <f t="shared" si="293"/>
        <v>0</v>
      </c>
      <c r="AE75" s="150">
        <f t="shared" si="293"/>
        <v>0</v>
      </c>
      <c r="AF75" s="147">
        <f t="shared" si="293"/>
        <v>0</v>
      </c>
      <c r="AG75" s="148">
        <f t="shared" si="293"/>
        <v>0</v>
      </c>
      <c r="AH75" s="149">
        <f t="shared" si="293"/>
        <v>0</v>
      </c>
      <c r="AI75" s="149">
        <f t="shared" si="293"/>
        <v>0</v>
      </c>
      <c r="AJ75" s="150">
        <f t="shared" si="293"/>
        <v>0</v>
      </c>
      <c r="AK75" s="147">
        <f t="shared" si="293"/>
        <v>0</v>
      </c>
      <c r="AL75" s="148">
        <f t="shared" si="293"/>
        <v>0</v>
      </c>
      <c r="AM75" s="149">
        <f t="shared" si="293"/>
        <v>-750</v>
      </c>
      <c r="AN75" s="149">
        <f t="shared" si="293"/>
        <v>0</v>
      </c>
      <c r="AO75" s="150">
        <f t="shared" si="293"/>
        <v>0</v>
      </c>
      <c r="AP75" s="147">
        <f t="shared" si="293"/>
        <v>-750</v>
      </c>
      <c r="AQ75" s="148">
        <f t="shared" si="293"/>
        <v>0</v>
      </c>
      <c r="AR75" s="149">
        <f t="shared" si="293"/>
        <v>-250</v>
      </c>
      <c r="AS75" s="149">
        <f t="shared" si="293"/>
        <v>-250</v>
      </c>
      <c r="AT75" s="150">
        <f t="shared" si="293"/>
        <v>0</v>
      </c>
      <c r="AU75" s="147">
        <f t="shared" si="293"/>
        <v>-500</v>
      </c>
      <c r="AV75" s="148">
        <f t="shared" ref="AV75:BE75" si="294">SUM(AV43:AV74)</f>
        <v>0</v>
      </c>
      <c r="AW75" s="149">
        <f t="shared" si="294"/>
        <v>-250</v>
      </c>
      <c r="AX75" s="149">
        <f t="shared" si="294"/>
        <v>0</v>
      </c>
      <c r="AY75" s="150">
        <f t="shared" si="294"/>
        <v>-9</v>
      </c>
      <c r="AZ75" s="147">
        <f t="shared" si="294"/>
        <v>-259</v>
      </c>
      <c r="BA75" s="148">
        <f t="shared" si="294"/>
        <v>-300</v>
      </c>
      <c r="BB75" s="149">
        <f t="shared" si="294"/>
        <v>-134</v>
      </c>
      <c r="BC75" s="149">
        <f t="shared" si="294"/>
        <v>0</v>
      </c>
      <c r="BD75" s="150">
        <f t="shared" si="294"/>
        <v>0</v>
      </c>
      <c r="BE75" s="147">
        <f t="shared" si="294"/>
        <v>-434</v>
      </c>
      <c r="BF75" s="249"/>
      <c r="BG75" s="152">
        <f t="shared" ref="BG75:CL75" si="295">SUM(BG43:BG74)</f>
        <v>0</v>
      </c>
      <c r="BH75" s="153">
        <f t="shared" si="295"/>
        <v>0</v>
      </c>
      <c r="BI75" s="154">
        <f t="shared" si="295"/>
        <v>0</v>
      </c>
      <c r="BJ75" s="154">
        <f t="shared" si="295"/>
        <v>0</v>
      </c>
      <c r="BK75" s="155">
        <f t="shared" si="295"/>
        <v>0</v>
      </c>
      <c r="BL75" s="152">
        <f t="shared" si="295"/>
        <v>0</v>
      </c>
      <c r="BM75" s="153">
        <f t="shared" si="295"/>
        <v>0</v>
      </c>
      <c r="BN75" s="154">
        <f t="shared" si="295"/>
        <v>0</v>
      </c>
      <c r="BO75" s="154">
        <f t="shared" si="295"/>
        <v>0</v>
      </c>
      <c r="BP75" s="155">
        <f t="shared" si="295"/>
        <v>0</v>
      </c>
      <c r="BQ75" s="152">
        <f t="shared" si="295"/>
        <v>0</v>
      </c>
      <c r="BR75" s="153">
        <f t="shared" si="295"/>
        <v>0</v>
      </c>
      <c r="BS75" s="154">
        <f t="shared" si="295"/>
        <v>0</v>
      </c>
      <c r="BT75" s="154">
        <f t="shared" si="295"/>
        <v>0</v>
      </c>
      <c r="BU75" s="155">
        <f t="shared" si="295"/>
        <v>0</v>
      </c>
      <c r="BV75" s="152">
        <f t="shared" si="295"/>
        <v>0</v>
      </c>
      <c r="BW75" s="153">
        <f t="shared" si="295"/>
        <v>0</v>
      </c>
      <c r="BX75" s="154">
        <f t="shared" si="295"/>
        <v>0</v>
      </c>
      <c r="BY75" s="154">
        <f t="shared" si="295"/>
        <v>0</v>
      </c>
      <c r="BZ75" s="155">
        <f t="shared" si="295"/>
        <v>0</v>
      </c>
      <c r="CA75" s="152">
        <f t="shared" si="295"/>
        <v>0</v>
      </c>
      <c r="CB75" s="153">
        <f t="shared" si="295"/>
        <v>0</v>
      </c>
      <c r="CC75" s="154">
        <f t="shared" si="295"/>
        <v>0</v>
      </c>
      <c r="CD75" s="154">
        <f t="shared" si="295"/>
        <v>0</v>
      </c>
      <c r="CE75" s="155">
        <f t="shared" si="295"/>
        <v>0</v>
      </c>
      <c r="CF75" s="152">
        <f t="shared" si="295"/>
        <v>0</v>
      </c>
      <c r="CG75" s="153">
        <f t="shared" si="295"/>
        <v>0</v>
      </c>
      <c r="CH75" s="154">
        <f t="shared" si="295"/>
        <v>-4.875</v>
      </c>
      <c r="CI75" s="154">
        <f t="shared" si="295"/>
        <v>-7.3125</v>
      </c>
      <c r="CJ75" s="155">
        <f t="shared" si="295"/>
        <v>-7.3125</v>
      </c>
      <c r="CK75" s="152">
        <f t="shared" si="295"/>
        <v>-19.5</v>
      </c>
      <c r="CL75" s="153">
        <f t="shared" si="295"/>
        <v>-7.3125</v>
      </c>
      <c r="CM75" s="154">
        <f t="shared" ref="CM75:CZ75" si="296">SUM(CM43:CM74)</f>
        <v>-2.8125</v>
      </c>
      <c r="CN75" s="154">
        <f t="shared" si="296"/>
        <v>-1.9583333333333335</v>
      </c>
      <c r="CO75" s="155">
        <f t="shared" si="296"/>
        <v>-2.375</v>
      </c>
      <c r="CP75" s="152">
        <f t="shared" si="296"/>
        <v>-14.458333333333334</v>
      </c>
      <c r="CQ75" s="153">
        <f t="shared" si="296"/>
        <v>-2.375</v>
      </c>
      <c r="CR75" s="154">
        <f t="shared" si="296"/>
        <v>-3.458333333333333</v>
      </c>
      <c r="CS75" s="154">
        <f t="shared" si="296"/>
        <v>-2.6041666666666665</v>
      </c>
      <c r="CT75" s="155">
        <f t="shared" si="296"/>
        <v>-2.2930999999999999</v>
      </c>
      <c r="CU75" s="152">
        <f t="shared" si="296"/>
        <v>-10.730599999999999</v>
      </c>
      <c r="CV75" s="153">
        <f t="shared" si="296"/>
        <v>-2.8209</v>
      </c>
      <c r="CW75" s="154">
        <f t="shared" si="296"/>
        <v>-3.3454833333333331</v>
      </c>
      <c r="CX75" s="154">
        <f t="shared" si="296"/>
        <v>-4.68215</v>
      </c>
      <c r="CY75" s="155">
        <f t="shared" si="296"/>
        <v>-4.5765500000000001</v>
      </c>
      <c r="CZ75" s="152">
        <f t="shared" si="296"/>
        <v>-15.425083333333333</v>
      </c>
    </row>
    <row r="76" spans="1:104" ht="12.75" customHeight="1">
      <c r="A76" s="7"/>
      <c r="B76" s="7"/>
      <c r="C76" s="195"/>
      <c r="D76" s="195"/>
      <c r="E76" s="191"/>
      <c r="F76" s="213"/>
      <c r="G76" s="213"/>
      <c r="H76" s="214"/>
      <c r="I76" s="250" t="s">
        <v>77</v>
      </c>
      <c r="J76" s="221" t="s">
        <v>77</v>
      </c>
      <c r="K76" s="112"/>
      <c r="L76" s="113"/>
      <c r="M76" s="114"/>
      <c r="N76" s="115"/>
      <c r="O76" s="115"/>
      <c r="P76" s="116"/>
      <c r="Q76" s="113"/>
      <c r="R76" s="114"/>
      <c r="S76" s="115"/>
      <c r="T76" s="115"/>
      <c r="U76" s="116"/>
      <c r="V76" s="113"/>
      <c r="W76" s="114"/>
      <c r="X76" s="115"/>
      <c r="Y76" s="115"/>
      <c r="Z76" s="116"/>
      <c r="AA76" s="113"/>
      <c r="AB76" s="114"/>
      <c r="AC76" s="115"/>
      <c r="AD76" s="115"/>
      <c r="AE76" s="116"/>
      <c r="AF76" s="113"/>
      <c r="AG76" s="114"/>
      <c r="AH76" s="115"/>
      <c r="AI76" s="115"/>
      <c r="AJ76" s="116"/>
      <c r="AK76" s="113"/>
      <c r="AL76" s="114"/>
      <c r="AM76" s="115"/>
      <c r="AN76" s="115"/>
      <c r="AO76" s="116"/>
      <c r="AP76" s="113"/>
      <c r="AQ76" s="114"/>
      <c r="AR76" s="115"/>
      <c r="AS76" s="115"/>
      <c r="AT76" s="116"/>
      <c r="AU76" s="113"/>
      <c r="AV76" s="114"/>
      <c r="AW76" s="115"/>
      <c r="AX76" s="115"/>
      <c r="AY76" s="116"/>
      <c r="AZ76" s="113"/>
      <c r="BA76" s="114"/>
      <c r="BB76" s="115"/>
      <c r="BC76" s="115"/>
      <c r="BD76" s="116"/>
      <c r="BE76" s="113"/>
      <c r="BF76" s="194"/>
      <c r="BG76" s="118"/>
      <c r="BH76" s="119"/>
      <c r="BI76" s="120"/>
      <c r="BJ76" s="120"/>
      <c r="BK76" s="121"/>
      <c r="BL76" s="118"/>
      <c r="BM76" s="119"/>
      <c r="BN76" s="120"/>
      <c r="BO76" s="120"/>
      <c r="BP76" s="121"/>
      <c r="BQ76" s="118"/>
      <c r="BR76" s="119"/>
      <c r="BS76" s="120"/>
      <c r="BT76" s="120"/>
      <c r="BU76" s="121"/>
      <c r="BV76" s="118"/>
      <c r="BW76" s="119"/>
      <c r="BX76" s="120"/>
      <c r="BY76" s="120"/>
      <c r="BZ76" s="121"/>
      <c r="CA76" s="118"/>
      <c r="CB76" s="119"/>
      <c r="CC76" s="120"/>
      <c r="CD76" s="120"/>
      <c r="CE76" s="121"/>
      <c r="CF76" s="118"/>
      <c r="CG76" s="119"/>
      <c r="CH76" s="120"/>
      <c r="CI76" s="120"/>
      <c r="CJ76" s="121"/>
      <c r="CK76" s="118"/>
      <c r="CL76" s="119"/>
      <c r="CM76" s="120"/>
      <c r="CN76" s="120"/>
      <c r="CO76" s="121"/>
      <c r="CP76" s="118"/>
      <c r="CQ76" s="119"/>
      <c r="CR76" s="120"/>
      <c r="CS76" s="120"/>
      <c r="CT76" s="121"/>
      <c r="CU76" s="118"/>
      <c r="CV76" s="119"/>
      <c r="CW76" s="120"/>
      <c r="CX76" s="120"/>
      <c r="CY76" s="121"/>
      <c r="CZ76" s="118"/>
    </row>
    <row r="77" spans="1:104" ht="12.75" customHeight="1">
      <c r="A77" s="7"/>
      <c r="B77" s="7"/>
      <c r="C77" s="251" t="s">
        <v>580</v>
      </c>
      <c r="D77" s="251"/>
      <c r="E77" s="107"/>
      <c r="F77" s="108"/>
      <c r="G77" s="108"/>
      <c r="H77" s="109"/>
      <c r="I77" s="110"/>
      <c r="J77" s="269"/>
      <c r="K77" s="112"/>
      <c r="L77" s="113"/>
      <c r="M77" s="114"/>
      <c r="N77" s="115"/>
      <c r="O77" s="115"/>
      <c r="P77" s="116"/>
      <c r="Q77" s="113"/>
      <c r="R77" s="114"/>
      <c r="S77" s="115"/>
      <c r="T77" s="115"/>
      <c r="U77" s="116"/>
      <c r="V77" s="113"/>
      <c r="W77" s="114"/>
      <c r="X77" s="115"/>
      <c r="Y77" s="115"/>
      <c r="Z77" s="116"/>
      <c r="AA77" s="113"/>
      <c r="AB77" s="114"/>
      <c r="AC77" s="115"/>
      <c r="AD77" s="115"/>
      <c r="AE77" s="116"/>
      <c r="AF77" s="113"/>
      <c r="AG77" s="114"/>
      <c r="AH77" s="115"/>
      <c r="AI77" s="115"/>
      <c r="AJ77" s="116"/>
      <c r="AK77" s="113"/>
      <c r="AL77" s="114"/>
      <c r="AM77" s="115"/>
      <c r="AN77" s="115"/>
      <c r="AO77" s="116"/>
      <c r="AP77" s="113"/>
      <c r="AQ77" s="114"/>
      <c r="AR77" s="115"/>
      <c r="AS77" s="115"/>
      <c r="AT77" s="116"/>
      <c r="AU77" s="113"/>
      <c r="AV77" s="114"/>
      <c r="AW77" s="115"/>
      <c r="AX77" s="115"/>
      <c r="AY77" s="116"/>
      <c r="AZ77" s="113"/>
      <c r="BA77" s="114"/>
      <c r="BB77" s="115"/>
      <c r="BC77" s="115"/>
      <c r="BD77" s="116"/>
      <c r="BE77" s="113"/>
      <c r="BF77" s="222"/>
      <c r="BG77" s="118"/>
      <c r="BH77" s="119"/>
      <c r="BI77" s="120"/>
      <c r="BJ77" s="120"/>
      <c r="BK77" s="121"/>
      <c r="BL77" s="118"/>
      <c r="BM77" s="119"/>
      <c r="BN77" s="120"/>
      <c r="BO77" s="120"/>
      <c r="BP77" s="121"/>
      <c r="BQ77" s="118"/>
      <c r="BR77" s="119"/>
      <c r="BS77" s="120"/>
      <c r="BT77" s="120"/>
      <c r="BU77" s="121"/>
      <c r="BV77" s="118"/>
      <c r="BW77" s="119"/>
      <c r="BX77" s="120"/>
      <c r="BY77" s="120"/>
      <c r="BZ77" s="121"/>
      <c r="CA77" s="118"/>
      <c r="CB77" s="119"/>
      <c r="CC77" s="120"/>
      <c r="CD77" s="120"/>
      <c r="CE77" s="121"/>
      <c r="CF77" s="118"/>
      <c r="CG77" s="119"/>
      <c r="CH77" s="120"/>
      <c r="CI77" s="120"/>
      <c r="CJ77" s="121"/>
      <c r="CK77" s="118"/>
      <c r="CL77" s="119"/>
      <c r="CM77" s="120"/>
      <c r="CN77" s="120"/>
      <c r="CO77" s="121"/>
      <c r="CP77" s="118"/>
      <c r="CQ77" s="119"/>
      <c r="CR77" s="120"/>
      <c r="CS77" s="120"/>
      <c r="CT77" s="121"/>
      <c r="CU77" s="118"/>
      <c r="CV77" s="119"/>
      <c r="CW77" s="120"/>
      <c r="CX77" s="120"/>
      <c r="CY77" s="121"/>
      <c r="CZ77" s="118"/>
    </row>
    <row r="78" spans="1:104" ht="12.75" customHeight="1">
      <c r="A78" s="7"/>
      <c r="B78" s="7"/>
      <c r="C78" s="1508" t="s">
        <v>1080</v>
      </c>
      <c r="D78" s="190"/>
      <c r="E78" s="1364">
        <v>425</v>
      </c>
      <c r="F78" s="444"/>
      <c r="G78" s="444"/>
      <c r="H78" s="1346">
        <v>2017</v>
      </c>
      <c r="I78" s="1363">
        <v>0.03</v>
      </c>
      <c r="J78" s="1346">
        <v>5</v>
      </c>
      <c r="K78" s="112"/>
      <c r="L78" s="113">
        <f t="shared" ref="L78:L83" si="297">IF(L$5=$H78,$E78,0)</f>
        <v>0</v>
      </c>
      <c r="M78" s="114">
        <f t="shared" ref="M78:M83" si="298">IF(Q78=0,0,IF(Q78&gt;0,IF($J78=3,Q78,IF($J78=2,Q78,IF($J78=1,Q78,0)))))</f>
        <v>0</v>
      </c>
      <c r="N78" s="115">
        <f t="shared" ref="N78:N83" si="299">IF(Q78=0,0,IF(Q78&gt;0,IF($J78=6,Q78,IF($J78=5,Q78,IF($J78=4,Q78,0)))))</f>
        <v>0</v>
      </c>
      <c r="O78" s="115">
        <f t="shared" ref="O78:O83" si="300">IF(Q78=0,0,IF(Q78&gt;0,IF($J78=9,Q78,IF($J78=8,Q78,IF($J78=7,Q78,0)))))</f>
        <v>0</v>
      </c>
      <c r="P78" s="116">
        <f t="shared" ref="P78:P83" si="301">IF(Q78=0,0,IF(Q78&gt;0,IF($J78=12,Q78,IF($J78=11,Q78,IF($J78=10,Q78,0)))))</f>
        <v>0</v>
      </c>
      <c r="Q78" s="113">
        <f t="shared" ref="Q78:Q83" si="302">IF(Q$5=$H78,$E78,0)</f>
        <v>0</v>
      </c>
      <c r="R78" s="114">
        <f t="shared" ref="R78:R83" si="303">IF(V78=0,0,IF(V78&gt;0,IF($J78=3,V78,IF($J78=2,V78,IF($J78=1,V78,0)))))</f>
        <v>0</v>
      </c>
      <c r="S78" s="115">
        <f t="shared" ref="S78:S83" si="304">IF(V78=0,0,IF(V78&gt;0,IF($J78=6,V78,IF($J78=5,V78,IF($J78=4,V78,0)))))</f>
        <v>0</v>
      </c>
      <c r="T78" s="115">
        <f t="shared" ref="T78:T83" si="305">IF(V78=0,0,IF(V78&gt;0,IF($J78=9,V78,IF($J78=8,V78,IF($J78=7,V78,0)))))</f>
        <v>0</v>
      </c>
      <c r="U78" s="116">
        <f t="shared" ref="U78:U83" si="306">IF(V78=0,0,IF(V78&gt;0,IF($J78=12,V78,IF($J78=11,V78,IF($J78=10,V78,0)))))</f>
        <v>0</v>
      </c>
      <c r="V78" s="113">
        <f t="shared" ref="V78:V83" si="307">IF(V$5=$H78,$E78,0)</f>
        <v>0</v>
      </c>
      <c r="W78" s="114">
        <f t="shared" ref="W78:W83" si="308">IF(AA78=0,0,IF(AA78&gt;0,IF($J78=3,AA78,IF($J78=2,AA78,IF($J78=1,AA78,0)))))</f>
        <v>0</v>
      </c>
      <c r="X78" s="115">
        <f t="shared" ref="X78:X83" si="309">IF(AA78=0,0,IF(AA78&gt;0,IF($J78=6,AA78,IF($J78=5,AA78,IF($J78=4,AA78,0)))))</f>
        <v>0</v>
      </c>
      <c r="Y78" s="115">
        <f t="shared" ref="Y78:Y83" si="310">IF(AA78=0,0,IF(AA78&gt;0,IF($J78=9,AA78,IF($J78=8,AA78,IF($J78=7,AA78,0)))))</f>
        <v>0</v>
      </c>
      <c r="Z78" s="116">
        <f t="shared" ref="Z78:Z83" si="311">IF(AA78=0,0,IF(AA78&gt;0,IF($J78=12,AA78,IF($J78=11,AA78,IF($J78=10,AA78,0)))))</f>
        <v>0</v>
      </c>
      <c r="AA78" s="113">
        <f t="shared" ref="AA78:AA83" si="312">IF(AA$5=$H78,$E78,0)</f>
        <v>0</v>
      </c>
      <c r="AB78" s="114">
        <f t="shared" ref="AB78:AB83" si="313">IF(AF78=0,0,IF(AF78&gt;0,IF($J78=3,AF78,IF($J78=2,AF78,IF($J78=1,AF78,0)))))</f>
        <v>0</v>
      </c>
      <c r="AC78" s="115">
        <f t="shared" ref="AC78:AC83" si="314">IF(AF78=0,0,IF(AF78&gt;0,IF($J78=6,AF78,IF($J78=5,AF78,IF($J78=4,AF78,0)))))</f>
        <v>0</v>
      </c>
      <c r="AD78" s="115">
        <f t="shared" ref="AD78:AD83" si="315">IF(AF78=0,0,IF(AF78&gt;0,IF($J78=9,AF78,IF($J78=8,AF78,IF($J78=7,AF78,0)))))</f>
        <v>0</v>
      </c>
      <c r="AE78" s="116">
        <f t="shared" ref="AE78:AE83" si="316">IF(AF78=0,0,IF(AF78&gt;0,IF($J78=12,AF78,IF($J78=11,AF78,IF($J78=10,AF78,0)))))</f>
        <v>0</v>
      </c>
      <c r="AF78" s="113">
        <f t="shared" ref="AF78:AF83" si="317">IF(AF$5=$H78,$E78,0)</f>
        <v>0</v>
      </c>
      <c r="AG78" s="114">
        <f t="shared" ref="AG78:AG83" si="318">IF(AK78=0,0,IF(AK78&gt;0,IF($J78=3,AK78,IF($J78=2,AK78,IF($J78=1,AK78,0)))))</f>
        <v>0</v>
      </c>
      <c r="AH78" s="115">
        <f t="shared" ref="AH78:AH83" si="319">IF(AK78=0,0,IF(AK78&gt;0,IF($J78=6,AK78,IF($J78=5,AK78,IF($J78=4,AK78,0)))))</f>
        <v>425</v>
      </c>
      <c r="AI78" s="115">
        <f t="shared" ref="AI78:AI83" si="320">IF(AK78=0,0,IF(AK78&gt;0,IF($J78=9,AK78,IF($J78=8,AK78,IF($J78=7,AK78,0)))))</f>
        <v>0</v>
      </c>
      <c r="AJ78" s="116">
        <f t="shared" ref="AJ78:AJ83" si="321">IF(AK78=0,0,IF(AK78&gt;0,IF($J78=12,AK78,IF($J78=11,AK78,IF($J78=10,AK78,0)))))</f>
        <v>0</v>
      </c>
      <c r="AK78" s="113">
        <f t="shared" ref="AK78:AK83" si="322">IF(AK$5=$H78,$E78,0)</f>
        <v>425</v>
      </c>
      <c r="AL78" s="114">
        <f t="shared" ref="AL78:AL83" si="323">IF(AP78=0,0,IF(AP78&gt;0,IF($J78=3,AP78,IF($J78=2,AP78,IF($J78=1,AP78,0)))))</f>
        <v>0</v>
      </c>
      <c r="AM78" s="115">
        <f t="shared" ref="AM78:AM83" si="324">IF(AP78=0,0,IF(AP78&gt;0,IF($J78=6,AP78,IF($J78=5,AP78,IF($J78=4,AP78,0)))))</f>
        <v>0</v>
      </c>
      <c r="AN78" s="115">
        <f t="shared" ref="AN78:AN83" si="325">IF(AP78=0,0,IF(AP78&gt;0,IF($J78=9,AP78,IF($J78=8,AP78,IF($J78=7,AP78,0)))))</f>
        <v>0</v>
      </c>
      <c r="AO78" s="116">
        <f t="shared" ref="AO78:AO83" si="326">IF(AP78=0,0,IF(AP78&gt;0,IF($J78=12,AP78,IF($J78=11,AP78,IF($J78=10,AP78,0)))))</f>
        <v>0</v>
      </c>
      <c r="AP78" s="113">
        <f t="shared" ref="AP78:AP83" si="327">IF(AP$5=$H78,$E78,0)</f>
        <v>0</v>
      </c>
      <c r="AQ78" s="114">
        <f t="shared" ref="AQ78:AQ83" si="328">IF(AU78=0,0,IF(AU78&gt;0,IF($J78=3,AU78,IF($J78=2,AU78,IF($J78=1,AU78,0)))))</f>
        <v>0</v>
      </c>
      <c r="AR78" s="115">
        <f t="shared" ref="AR78:AR83" si="329">IF(AU78=0,0,IF(AU78&gt;0,IF($J78=6,AU78,IF($J78=5,AU78,IF($J78=4,AU78,0)))))</f>
        <v>0</v>
      </c>
      <c r="AS78" s="115">
        <f t="shared" ref="AS78:AS83" si="330">IF(AU78=0,0,IF(AU78&gt;0,IF($J78=9,AU78,IF($J78=8,AU78,IF($J78=7,AU78,0)))))</f>
        <v>0</v>
      </c>
      <c r="AT78" s="116">
        <f t="shared" ref="AT78:AT83" si="331">IF(AU78=0,0,IF(AU78&gt;0,IF($J78=12,AU78,IF($J78=11,AU78,IF($J78=10,AU78,0)))))</f>
        <v>0</v>
      </c>
      <c r="AU78" s="113">
        <f t="shared" ref="AU78:AU83" si="332">IF(AU$5=$H78,$E78,0)</f>
        <v>0</v>
      </c>
      <c r="AV78" s="114">
        <f t="shared" ref="AV78:AV83" si="333">IF(AZ78=0,0,IF(AZ78&gt;0,IF($J78=3,AZ78,IF($J78=2,AZ78,IF($J78=1,AZ78,0)))))</f>
        <v>0</v>
      </c>
      <c r="AW78" s="115">
        <f t="shared" ref="AW78:AW83" si="334">IF(AZ78=0,0,IF(AZ78&gt;0,IF($J78=6,AZ78,IF($J78=5,AZ78,IF($J78=4,AZ78,0)))))</f>
        <v>0</v>
      </c>
      <c r="AX78" s="115">
        <f t="shared" ref="AX78:AX83" si="335">IF(AZ78=0,0,IF(AZ78&gt;0,IF($J78=9,AZ78,IF($J78=8,AZ78,IF($J78=7,AZ78,0)))))</f>
        <v>0</v>
      </c>
      <c r="AY78" s="116">
        <f t="shared" ref="AY78:AY83" si="336">IF(AZ78=0,0,IF(AZ78&gt;0,IF($J78=12,AZ78,IF($J78=11,AZ78,IF($J78=10,AZ78,0)))))</f>
        <v>0</v>
      </c>
      <c r="AZ78" s="113">
        <f t="shared" ref="AZ78:AZ83" si="337">IF(AZ$5=$H78,$E78,0)</f>
        <v>0</v>
      </c>
      <c r="BA78" s="114">
        <f t="shared" ref="BA78:BA83" si="338">IF(BE78=0,0,IF(BE78&gt;0,IF($J78=3,BE78,IF($J78=2,BE78,IF($J78=1,BE78,0)))))</f>
        <v>0</v>
      </c>
      <c r="BB78" s="115">
        <f t="shared" ref="BB78:BB83" si="339">IF(BE78=0,0,IF(BE78&gt;0,IF($J78=6,BE78,IF($J78=5,BE78,IF($J78=4,BE78,0)))))</f>
        <v>0</v>
      </c>
      <c r="BC78" s="115">
        <f t="shared" ref="BC78:BC83" si="340">IF(BE78=0,0,IF(BE78&gt;0,IF($J78=9,BE78,IF($J78=8,BE78,IF($J78=7,BE78,0)))))</f>
        <v>0</v>
      </c>
      <c r="BD78" s="116">
        <f t="shared" ref="BD78:BD83" si="341">IF(BE78=0,0,IF(BE78&gt;0,IF($J78=12,BE78,IF($J78=11,BE78,IF($J78=10,BE78,0)))))</f>
        <v>0</v>
      </c>
      <c r="BE78" s="113">
        <f t="shared" ref="BE78:BE83" si="342">IF(BE$5=$H78,$E78,0)</f>
        <v>0</v>
      </c>
      <c r="BF78" s="222"/>
      <c r="BG78" s="118">
        <f t="shared" ref="BG78:BG83" si="343">IF(AND(BF78&lt;&gt;0,BF$5=$H78),$I78*$E78-BF78,IF(BG$5=$H78,$I78*$E78*(12-$J78+1)/12,0))</f>
        <v>0</v>
      </c>
      <c r="BH78" s="119">
        <f t="shared" ref="BH78:BH83" si="344">IF($H78&lt;&gt;BL$5,0,IF(BL78&gt;0,IF($J78=1,$E78*$I78/12*3,IF($J78=2,$E78*$I78/12*2,IF($J78=3,$E78*$I78/12*1,0)))))+IF(BG$5&lt;&gt;$H78,0,IF(BG78&gt;0,IF($J78=1,$E78*$I78/12*0,IF($J78=2,$E78*$I78/12*1,IF($J78=3,$E78*$I78/12*2,IF($J78&gt;=4,$E78*$I78/12*3,0))))))</f>
        <v>0</v>
      </c>
      <c r="BI78" s="120">
        <f t="shared" ref="BI78:BI83" si="345">IF($H78&lt;&gt;BL$5,0,IF(BL78&gt;0,IF(OR($J78=1,$J78=2,$J78=3,$J78=4),$E78*$I78/12*3,IF($J78=5,$E78*$I78/12*2,IF($J78=6,$E78*$I78/12*1,0)))))+IF(BG$5&lt;&gt;$H78,0,IF(BG78&gt;0,IF($J78=4,$E78*$I78/12*0,IF($J78=5,$E78*$I78/12*1,IF($J78=6,$E78*$I78/12*2,IF($J78&gt;=7,$E78*$I78/12*3,0))))))</f>
        <v>0</v>
      </c>
      <c r="BJ78" s="120">
        <f t="shared" ref="BJ78:BJ83" si="346">IF($H78&lt;&gt;BL$5,0,IF(BL78&gt;0,IF(OR($J78=1,$J78=2,$J78=3,$J78=4,$J78=5,$J78=6,$J78=7),$E78*$I78/12*3,IF($J78=8,$E78*$I78/12*2,IF($J78=9,$E78*$I78/12*1,0)))))+IF(BG$5&lt;&gt;$H78,0,IF(BG78&gt;0,IF($J78=7,$E78*$I78/12*0,IF($J78=8,$E78*$I78/12*1,IF($J78=9,$E78*$I78/12*2,IF($J78&gt;=10,$E78*$I78/12*3,0))))))</f>
        <v>0</v>
      </c>
      <c r="BK78" s="121">
        <f t="shared" ref="BK78:BK83" si="347">IF($H78&lt;&gt;BL$5,0,IF(BL78&gt;0,IF(OR($J78=1,$J78=2,$J78=3,$J78=4,$J78=5,$J78=6,$J78=7,$J78=8,$J78=9,$J78=10),$E78*$I78/12*3,IF($J78=11,$E78*$I78/12*2,IF($J78=12,$E78*$I78/12*1,0)))))+IF(BG$5&lt;&gt;$H78,0,IF(BG78&gt;0,IF($J78=10,$E78*$I78/12*0,IF($J78=11,$E78*$I78/12*1,IF($J78=12,$E78*$I78/12*2,0)))))</f>
        <v>0</v>
      </c>
      <c r="BL78" s="118">
        <f t="shared" ref="BL78:BL83" si="348">IF(AND(BG78&lt;&gt;0,BG$5=$H78),$I78*$E78-BG78,IF(BL$5=$H78,$I78*$E78*(12-$J78+1)/12,0))</f>
        <v>0</v>
      </c>
      <c r="BM78" s="119">
        <f t="shared" ref="BM78:BM83" si="349">IF($H78&lt;&gt;BQ$5,0,IF(BQ78&gt;0,IF($J78=1,$E78*$I78/12*3,IF($J78=2,$E78*$I78/12*2,IF($J78=3,$E78*$I78/12*1,0)))))+IF(BL$5&lt;&gt;$H78,0,IF(BL78&gt;0,IF($J78=1,$E78*$I78/12*0,IF($J78=2,$E78*$I78/12*1,IF($J78=3,$E78*$I78/12*2,IF($J78&gt;=4,$E78*$I78/12*3,0))))))</f>
        <v>0</v>
      </c>
      <c r="BN78" s="120">
        <f t="shared" ref="BN78:BN83" si="350">IF($H78&lt;&gt;BQ$5,0,IF(BQ78&gt;0,IF(OR($J78=1,$J78=2,$J78=3,$J78=4),$E78*$I78/12*3,IF($J78=5,$E78*$I78/12*2,IF($J78=6,$E78*$I78/12*1,0)))))+IF(BL$5&lt;&gt;$H78,0,IF(BL78&gt;0,IF($J78=4,$E78*$I78/12*0,IF($J78=5,$E78*$I78/12*1,IF($J78=6,$E78*$I78/12*2,IF($J78&gt;=7,$E78*$I78/12*3,0))))))</f>
        <v>0</v>
      </c>
      <c r="BO78" s="120">
        <f t="shared" ref="BO78:BO83" si="351">IF($H78&lt;&gt;BQ$5,0,IF(BQ78&gt;0,IF(OR($J78=1,$J78=2,$J78=3,$J78=4,$J78=5,$J78=6,$J78=7),$E78*$I78/12*3,IF($J78=8,$E78*$I78/12*2,IF($J78=9,$E78*$I78/12*1,0)))))+IF(BL$5&lt;&gt;$H78,0,IF(BL78&gt;0,IF($J78=7,$E78*$I78/12*0,IF($J78=8,$E78*$I78/12*1,IF($J78=9,$E78*$I78/12*2,IF($J78&gt;=10,$E78*$I78/12*3,0))))))</f>
        <v>0</v>
      </c>
      <c r="BP78" s="121">
        <f t="shared" ref="BP78:BP83" si="352">IF($H78&lt;&gt;BQ$5,0,IF(BQ78&gt;0,IF(OR($J78=1,$J78=2,$J78=3,$J78=4,$J78=5,$J78=6,$J78=7,$J78=8,$J78=9,$J78=10),$E78*$I78/12*3,IF($J78=11,$E78*$I78/12*2,IF($J78=12,$E78*$I78/12*1,0)))))+IF(BL$5&lt;&gt;$H78,0,IF(BL78&gt;0,IF($J78=10,$E78*$I78/12*0,IF($J78=11,$E78*$I78/12*1,IF($J78=12,$E78*$I78/12*2,0)))))</f>
        <v>0</v>
      </c>
      <c r="BQ78" s="118">
        <f t="shared" ref="BQ78:BQ83" si="353">IF(AND(BL78&lt;&gt;0,BL$5=$H78),$I78*$E78-BL78,IF(BQ$5=$H78,$I78*$E78*(12-$J78+1)/12,0))</f>
        <v>0</v>
      </c>
      <c r="BR78" s="119">
        <f t="shared" ref="BR78:BR83" si="354">IF($H78&lt;&gt;BV$5,0,IF(BV78&gt;0,IF($J78=1,$E78*$I78/12*3,IF($J78=2,$E78*$I78/12*2,IF($J78=3,$E78*$I78/12*1,0)))))+IF(BQ$5&lt;&gt;$H78,0,IF(BQ78&gt;0,IF($J78=1,$E78*$I78/12*0,IF($J78=2,$E78*$I78/12*1,IF($J78=3,$E78*$I78/12*2,IF($J78&gt;=4,$E78*$I78/12*3,0))))))</f>
        <v>0</v>
      </c>
      <c r="BS78" s="120">
        <f t="shared" ref="BS78:BS83" si="355">IF($H78&lt;&gt;BV$5,0,IF(BV78&gt;0,IF(OR($J78=1,$J78=2,$J78=3,$J78=4),$E78*$I78/12*3,IF($J78=5,$E78*$I78/12*2,IF($J78=6,$E78*$I78/12*1,0)))))+IF(BQ$5&lt;&gt;$H78,0,IF(BQ78&gt;0,IF($J78=4,$E78*$I78/12*0,IF($J78=5,$E78*$I78/12*1,IF($J78=6,$E78*$I78/12*2,IF($J78&gt;=7,$E78*$I78/12*3,0))))))</f>
        <v>0</v>
      </c>
      <c r="BT78" s="120">
        <f t="shared" ref="BT78:BT83" si="356">IF($H78&lt;&gt;BV$5,0,IF(BV78&gt;0,IF(OR($J78=1,$J78=2,$J78=3,$J78=4,$J78=5,$J78=6,$J78=7),$E78*$I78/12*3,IF($J78=8,$E78*$I78/12*2,IF($J78=9,$E78*$I78/12*1,0)))))+IF(BQ$5&lt;&gt;$H78,0,IF(BQ78&gt;0,IF($J78=7,$E78*$I78/12*0,IF($J78=8,$E78*$I78/12*1,IF($J78=9,$E78*$I78/12*2,IF($J78&gt;=10,$E78*$I78/12*3,0))))))</f>
        <v>0</v>
      </c>
      <c r="BU78" s="121">
        <f t="shared" ref="BU78:BU83" si="357">IF($H78&lt;&gt;BV$5,0,IF(BV78&gt;0,IF(OR($J78=1,$J78=2,$J78=3,$J78=4,$J78=5,$J78=6,$J78=7,$J78=8,$J78=9,$J78=10),$E78*$I78/12*3,IF($J78=11,$E78*$I78/12*2,IF($J78=12,$E78*$I78/12*1,0)))))+IF(BQ$5&lt;&gt;$H78,0,IF(BQ78&gt;0,IF($J78=10,$E78*$I78/12*0,IF($J78=11,$E78*$I78/12*1,IF($J78=12,$E78*$I78/12*2,0)))))</f>
        <v>0</v>
      </c>
      <c r="BV78" s="118">
        <f t="shared" ref="BV78:BV83" si="358">IF(AND(BQ78&lt;&gt;0,BQ$5=$H78),$I78*$E78-BQ78,IF(BV$5=$H78,$I78*$E78*(12-$J78+1)/12,0))</f>
        <v>0</v>
      </c>
      <c r="BW78" s="119">
        <f t="shared" ref="BW78:BW83" si="359">IF($H78&lt;&gt;CA$5,0,IF(CA78&gt;0,IF($J78=1,$E78*$I78/12*3,IF($J78=2,$E78*$I78/12*2,IF($J78=3,$E78*$I78/12*1,0)))))+IF(BV$5&lt;&gt;$H78,0,IF(BV78&gt;0,IF($J78=1,$E78*$I78/12*0,IF($J78=2,$E78*$I78/12*1,IF($J78=3,$E78*$I78/12*2,IF($J78&gt;=4,$E78*$I78/12*3,0))))))</f>
        <v>0</v>
      </c>
      <c r="BX78" s="120">
        <f t="shared" ref="BX78:BX83" si="360">IF($H78&lt;&gt;CA$5,0,IF(CA78&gt;0,IF(OR($J78=1,$J78=2,$J78=3,$J78=4),$E78*$I78/12*3,IF($J78=5,$E78*$I78/12*2,IF($J78=6,$E78*$I78/12*1,0)))))+IF(BV$5&lt;&gt;$H78,0,IF(BV78&gt;0,IF($J78=4,$E78*$I78/12*0,IF($J78=5,$E78*$I78/12*1,IF($J78=6,$E78*$I78/12*2,IF($J78&gt;=7,$E78*$I78/12*3,0))))))</f>
        <v>0</v>
      </c>
      <c r="BY78" s="120">
        <f t="shared" ref="BY78:BY83" si="361">IF($H78&lt;&gt;CA$5,0,IF(CA78&gt;0,IF(OR($J78=1,$J78=2,$J78=3,$J78=4,$J78=5,$J78=6,$J78=7),$E78*$I78/12*3,IF($J78=8,$E78*$I78/12*2,IF($J78=9,$E78*$I78/12*1,0)))))+IF(BV$5&lt;&gt;$H78,0,IF(BV78&gt;0,IF($J78=7,$E78*$I78/12*0,IF($J78=8,$E78*$I78/12*1,IF($J78=9,$E78*$I78/12*2,IF($J78&gt;=10,$E78*$I78/12*3,0))))))</f>
        <v>0</v>
      </c>
      <c r="BZ78" s="121">
        <f t="shared" ref="BZ78:BZ83" si="362">IF($H78&lt;&gt;CA$5,0,IF(CA78&gt;0,IF(OR($J78=1,$J78=2,$J78=3,$J78=4,$J78=5,$J78=6,$J78=7,$J78=8,$J78=9,$J78=10),$E78*$I78/12*3,IF($J78=11,$E78*$I78/12*2,IF($J78=12,$E78*$I78/12*1,0)))))+IF(BV$5&lt;&gt;$H78,0,IF(BV78&gt;0,IF($J78=10,$E78*$I78/12*0,IF($J78=11,$E78*$I78/12*1,IF($J78=12,$E78*$I78/12*2,0)))))</f>
        <v>0</v>
      </c>
      <c r="CA78" s="118">
        <f t="shared" ref="CA78:CA83" si="363">IF(AND(BV78&lt;&gt;0,BV$5=$H78),$I78*$E78-BV78,IF(CA$5=$H78,$I78*$E78*(12-$J78+1)/12,0))</f>
        <v>0</v>
      </c>
      <c r="CB78" s="119">
        <f t="shared" ref="CB78:CB83" si="364">IF($H78&lt;&gt;CF$5,0,IF(CF78&gt;0,IF($J78=1,$E78*$I78/12*3,IF($J78=2,$E78*$I78/12*2,IF($J78=3,$E78*$I78/12*1,0)))))+IF(CA$5&lt;&gt;$H78,0,IF(CA78&gt;0,IF($J78=1,$E78*$I78/12*0,IF($J78=2,$E78*$I78/12*1,IF($J78=3,$E78*$I78/12*2,IF($J78&gt;=4,$E78*$I78/12*3,0))))))</f>
        <v>0</v>
      </c>
      <c r="CC78" s="120">
        <f t="shared" ref="CC78:CC83" si="365">IF($H78&lt;&gt;CF$5,0,IF(CF78&gt;0,IF(OR($J78=1,$J78=2,$J78=3,$J78=4),$E78*$I78/12*3,IF($J78=5,$E78*$I78/12*2,IF($J78=6,$E78*$I78/12*1,0)))))+IF(CA$5&lt;&gt;$H78,0,IF(CA78&gt;0,IF($J78=4,$E78*$I78/12*0,IF($J78=5,$E78*$I78/12*1,IF($J78=6,$E78*$I78/12*2,IF($J78&gt;=7,$E78*$I78/12*3,0))))))</f>
        <v>2.125</v>
      </c>
      <c r="CD78" s="120">
        <f t="shared" ref="CD78:CD83" si="366">IF($H78&lt;&gt;CF$5,0,IF(CF78&gt;0,IF(OR($J78=1,$J78=2,$J78=3,$J78=4,$J78=5,$J78=6,$J78=7),$E78*$I78/12*3,IF($J78=8,$E78*$I78/12*2,IF($J78=9,$E78*$I78/12*1,0)))))+IF(CA$5&lt;&gt;$H78,0,IF(CA78&gt;0,IF($J78=7,$E78*$I78/12*0,IF($J78=8,$E78*$I78/12*1,IF($J78=9,$E78*$I78/12*2,IF($J78&gt;=10,$E78*$I78/12*3,0))))))</f>
        <v>3.1875</v>
      </c>
      <c r="CE78" s="121">
        <f t="shared" ref="CE78:CE83" si="367">IF($H78&lt;&gt;CF$5,0,IF(CF78&gt;0,IF(OR($J78=1,$J78=2,$J78=3,$J78=4,$J78=5,$J78=6,$J78=7,$J78=8,$J78=9,$J78=10),$E78*$I78/12*3,IF($J78=11,$E78*$I78/12*2,IF($J78=12,$E78*$I78/12*1,0)))))+IF(CA$5&lt;&gt;$H78,0,IF(CA78&gt;0,IF($J78=10,$E78*$I78/12*0,IF($J78=11,$E78*$I78/12*1,IF($J78=12,$E78*$I78/12*2,0)))))</f>
        <v>3.1875</v>
      </c>
      <c r="CF78" s="118">
        <f t="shared" ref="CF78:CF83" si="368">IF(AND(CA78&lt;&gt;0,CA$5=$H78),$I78*$E78-CA78,IF(CF$5=$H78,$I78*$E78*(12-$J78+1)/12,0))</f>
        <v>8.5</v>
      </c>
      <c r="CG78" s="119">
        <f t="shared" ref="CG78:CG83" si="369">IF($H78&lt;&gt;CK$5,0,IF(CK78&gt;0,IF($J78=1,$E78*$I78/12*3,IF($J78=2,$E78*$I78/12*2,IF($J78=3,$E78*$I78/12*1,0)))))+IF(CF$5&lt;&gt;$H78,0,IF(CF78&gt;0,IF($J78=1,$E78*$I78/12*0,IF($J78=2,$E78*$I78/12*1,IF($J78=3,$E78*$I78/12*2,IF($J78&gt;=4,$E78*$I78/12*3,0))))))</f>
        <v>3.1875</v>
      </c>
      <c r="CH78" s="120">
        <f t="shared" ref="CH78:CH83" si="370">IF($H78&lt;&gt;CK$5,0,IF(CK78&gt;0,IF(OR($J78=1,$J78=2,$J78=3,$J78=4),$E78*$I78/12*3,IF($J78=5,$E78*$I78/12*2,IF($J78=6,$E78*$I78/12*1,0)))))+IF(CF$5&lt;&gt;$H78,0,IF(CF78&gt;0,IF($J78=4,$E78*$I78/12*0,IF($J78=5,$E78*$I78/12*1,IF($J78=6,$E78*$I78/12*2,IF($J78&gt;=7,$E78*$I78/12*3,0))))))</f>
        <v>1.0625</v>
      </c>
      <c r="CI78" s="120">
        <f t="shared" ref="CI78:CI83" si="371">IF($H78&lt;&gt;CK$5,0,IF(CK78&gt;0,IF(OR($J78=1,$J78=2,$J78=3,$J78=4,$J78=5,$J78=6,$J78=7),$E78*$I78/12*3,IF($J78=8,$E78*$I78/12*2,IF($J78=9,$E78*$I78/12*1,0)))))+IF(CF$5&lt;&gt;$H78,0,IF(CF78&gt;0,IF($J78=7,$E78*$I78/12*0,IF($J78=8,$E78*$I78/12*1,IF($J78=9,$E78*$I78/12*2,IF($J78&gt;=10,$E78*$I78/12*3,0))))))</f>
        <v>0</v>
      </c>
      <c r="CJ78" s="121">
        <f t="shared" ref="CJ78:CJ83" si="372">IF($H78&lt;&gt;CK$5,0,IF(CK78&gt;0,IF(OR($J78=1,$J78=2,$J78=3,$J78=4,$J78=5,$J78=6,$J78=7,$J78=8,$J78=9,$J78=10),$E78*$I78/12*3,IF($J78=11,$E78*$I78/12*2,IF($J78=12,$E78*$I78/12*1,0)))))+IF(CF$5&lt;&gt;$H78,0,IF(CF78&gt;0,IF($J78=10,$E78*$I78/12*0,IF($J78=11,$E78*$I78/12*1,IF($J78=12,$E78*$I78/12*2,0)))))</f>
        <v>0</v>
      </c>
      <c r="CK78" s="118">
        <f t="shared" ref="CK78:CK83" si="373">IF(AND(CF78&lt;&gt;0,CF$5=$H78),$I78*$E78-CF78,IF(CK$5=$H78,$I78*$E78*(12-$J78+1)/12,0))</f>
        <v>4.25</v>
      </c>
      <c r="CL78" s="119">
        <f t="shared" ref="CL78:CL83" si="374">IF($H78&lt;&gt;CP$5,0,IF(CP78&gt;0,IF($J78=1,$E78*$I78/12*3,IF($J78=2,$E78*$I78/12*2,IF($J78=3,$E78*$I78/12*1,0)))))+IF(CK$5&lt;&gt;$H78,0,IF(CK78&gt;0,IF($J78=1,$E78*$I78/12*0,IF($J78=2,$E78*$I78/12*1,IF($J78=3,$E78*$I78/12*2,IF($J78&gt;=4,$E78*$I78/12*3,0))))))</f>
        <v>0</v>
      </c>
      <c r="CM78" s="120">
        <f t="shared" ref="CM78:CM83" si="375">IF($H78&lt;&gt;CP$5,0,IF(CP78&gt;0,IF(OR($J78=1,$J78=2,$J78=3,$J78=4),$E78*$I78/12*3,IF($J78=5,$E78*$I78/12*2,IF($J78=6,$E78*$I78/12*1,0)))))+IF(CK$5&lt;&gt;$H78,0,IF(CK78&gt;0,IF($J78=4,$E78*$I78/12*0,IF($J78=5,$E78*$I78/12*1,IF($J78=6,$E78*$I78/12*2,IF($J78&gt;=7,$E78*$I78/12*3,0))))))</f>
        <v>0</v>
      </c>
      <c r="CN78" s="120">
        <f t="shared" ref="CN78:CN83" si="376">IF($H78&lt;&gt;CP$5,0,IF(CP78&gt;0,IF(OR($J78=1,$J78=2,$J78=3,$J78=4,$J78=5,$J78=6,$J78=7),$E78*$I78/12*3,IF($J78=8,$E78*$I78/12*2,IF($J78=9,$E78*$I78/12*1,0)))))+IF(CK$5&lt;&gt;$H78,0,IF(CK78&gt;0,IF($J78=7,$E78*$I78/12*0,IF($J78=8,$E78*$I78/12*1,IF($J78=9,$E78*$I78/12*2,IF($J78&gt;=10,$E78*$I78/12*3,0))))))</f>
        <v>0</v>
      </c>
      <c r="CO78" s="121">
        <f t="shared" ref="CO78:CO83" si="377">IF($H78&lt;&gt;CP$5,0,IF(CP78&gt;0,IF(OR($J78=1,$J78=2,$J78=3,$J78=4,$J78=5,$J78=6,$J78=7,$J78=8,$J78=9,$J78=10),$E78*$I78/12*3,IF($J78=11,$E78*$I78/12*2,IF($J78=12,$E78*$I78/12*1,0)))))+IF(CK$5&lt;&gt;$H78,0,IF(CK78&gt;0,IF($J78=10,$E78*$I78/12*0,IF($J78=11,$E78*$I78/12*1,IF($J78=12,$E78*$I78/12*2,0)))))</f>
        <v>0</v>
      </c>
      <c r="CP78" s="118">
        <f t="shared" ref="CP78:CP83" si="378">IF(AND(CK78&lt;&gt;0,CK$5=$H78),$I78*$E78-CK78,IF(CP$5=$H78,$I78*$E78*(12-$J78+1)/12,0))</f>
        <v>0</v>
      </c>
      <c r="CQ78" s="119">
        <f t="shared" ref="CQ78:CQ83" si="379">IF($H78&lt;&gt;CU$5,0,IF(CU78&gt;0,IF($J78=1,$E78*$I78/12*3,IF($J78=2,$E78*$I78/12*2,IF($J78=3,$E78*$I78/12*1,0)))))+IF(CP$5&lt;&gt;$H78,0,IF(CP78&gt;0,IF($J78=1,$E78*$I78/12*0,IF($J78=2,$E78*$I78/12*1,IF($J78=3,$E78*$I78/12*2,IF($J78&gt;=4,$E78*$I78/12*3,0))))))</f>
        <v>0</v>
      </c>
      <c r="CR78" s="120">
        <f t="shared" ref="CR78:CR83" si="380">IF($H78&lt;&gt;CU$5,0,IF(CU78&gt;0,IF(OR($J78=1,$J78=2,$J78=3,$J78=4),$E78*$I78/12*3,IF($J78=5,$E78*$I78/12*2,IF($J78=6,$E78*$I78/12*1,0)))))+IF(CP$5&lt;&gt;$H78,0,IF(CP78&gt;0,IF($J78=4,$E78*$I78/12*0,IF($J78=5,$E78*$I78/12*1,IF($J78=6,$E78*$I78/12*2,IF($J78&gt;=7,$E78*$I78/12*3,0))))))</f>
        <v>0</v>
      </c>
      <c r="CS78" s="120">
        <f t="shared" ref="CS78:CS83" si="381">IF($H78&lt;&gt;CU$5,0,IF(CU78&gt;0,IF(OR($J78=1,$J78=2,$J78=3,$J78=4,$J78=5,$J78=6,$J78=7),$E78*$I78/12*3,IF($J78=8,$E78*$I78/12*2,IF($J78=9,$E78*$I78/12*1,0)))))+IF(CP$5&lt;&gt;$H78,0,IF(CP78&gt;0,IF($J78=7,$E78*$I78/12*0,IF($J78=8,$E78*$I78/12*1,IF($J78=9,$E78*$I78/12*2,IF($J78&gt;=10,$E78*$I78/12*3,0))))))</f>
        <v>0</v>
      </c>
      <c r="CT78" s="121">
        <f t="shared" ref="CT78:CT83" si="382">IF($H78&lt;&gt;CU$5,0,IF(CU78&gt;0,IF(OR($J78=1,$J78=2,$J78=3,$J78=4,$J78=5,$J78=6,$J78=7,$J78=8,$J78=9,$J78=10),$E78*$I78/12*3,IF($J78=11,$E78*$I78/12*2,IF($J78=12,$E78*$I78/12*1,0)))))+IF(CP$5&lt;&gt;$H78,0,IF(CP78&gt;0,IF($J78=10,$E78*$I78/12*0,IF($J78=11,$E78*$I78/12*1,IF($J78=12,$E78*$I78/12*2,0)))))</f>
        <v>0</v>
      </c>
      <c r="CU78" s="118">
        <f t="shared" ref="CU78:CU83" si="383">IF(AND(CP78&lt;&gt;0,CP$5=$H78),$I78*$E78-CP78,IF(CU$5=$H78,$I78*$E78*(12-$J78+1)/12,0))</f>
        <v>0</v>
      </c>
      <c r="CV78" s="119">
        <f t="shared" ref="CV78:CV83" si="384">IF($H78&lt;&gt;CZ$5,0,IF(CZ78&gt;0,IF($J78=1,$E78*$I78/12*3,IF($J78=2,$E78*$I78/12*2,IF($J78=3,$E78*$I78/12*1,0)))))+IF(CU$5&lt;&gt;$H78,0,IF(CU78&gt;0,IF($J78=1,$E78*$I78/12*0,IF($J78=2,$E78*$I78/12*1,IF($J78=3,$E78*$I78/12*2,IF($J78&gt;=4,$E78*$I78/12*3,0))))))</f>
        <v>0</v>
      </c>
      <c r="CW78" s="120">
        <f t="shared" ref="CW78:CW83" si="385">IF($H78&lt;&gt;CZ$5,0,IF(CZ78&gt;0,IF(OR($J78=1,$J78=2,$J78=3,$J78=4),$E78*$I78/12*3,IF($J78=5,$E78*$I78/12*2,IF($J78=6,$E78*$I78/12*1,0)))))+IF(CU$5&lt;&gt;$H78,0,IF(CU78&gt;0,IF($J78=4,$E78*$I78/12*0,IF($J78=5,$E78*$I78/12*1,IF($J78=6,$E78*$I78/12*2,IF($J78&gt;=7,$E78*$I78/12*3,0))))))</f>
        <v>0</v>
      </c>
      <c r="CX78" s="120">
        <f t="shared" ref="CX78:CX83" si="386">IF($H78&lt;&gt;CZ$5,0,IF(CZ78&gt;0,IF(OR($J78=1,$J78=2,$J78=3,$J78=4,$J78=5,$J78=6,$J78=7),$E78*$I78/12*3,IF($J78=8,$E78*$I78/12*2,IF($J78=9,$E78*$I78/12*1,0)))))+IF(CU$5&lt;&gt;$H78,0,IF(CU78&gt;0,IF($J78=7,$E78*$I78/12*0,IF($J78=8,$E78*$I78/12*1,IF($J78=9,$E78*$I78/12*2,IF($J78&gt;=10,$E78*$I78/12*3,0))))))</f>
        <v>0</v>
      </c>
      <c r="CY78" s="121">
        <f t="shared" ref="CY78:CY83" si="387">IF($H78&lt;&gt;CZ$5,0,IF(CZ78&gt;0,IF(OR($J78=1,$J78=2,$J78=3,$J78=4,$J78=5,$J78=6,$J78=7,$J78=8,$J78=9,$J78=10),$E78*$I78/12*3,IF($J78=11,$E78*$I78/12*2,IF($J78=12,$E78*$I78/12*1,0)))))+IF(CU$5&lt;&gt;$H78,0,IF(CU78&gt;0,IF($J78=10,$E78*$I78/12*0,IF($J78=11,$E78*$I78/12*1,IF($J78=12,$E78*$I78/12*2,0)))))</f>
        <v>0</v>
      </c>
      <c r="CZ78" s="118">
        <f t="shared" ref="CZ78:CZ83" si="388">IF(AND(CU78&lt;&gt;0,CU$5=$H78),$I78*$E78-CU78,IF(CZ$5=$H78,$I78*$E78*(12-$J78+1)/12,0))</f>
        <v>0</v>
      </c>
    </row>
    <row r="79" spans="1:104" ht="12.75" customHeight="1">
      <c r="A79" s="7"/>
      <c r="B79" s="7"/>
      <c r="C79" s="1508" t="s">
        <v>1113</v>
      </c>
      <c r="D79" s="190"/>
      <c r="E79" s="1364">
        <v>350</v>
      </c>
      <c r="F79" s="444"/>
      <c r="G79" s="444"/>
      <c r="H79" s="1346">
        <v>2017</v>
      </c>
      <c r="I79" s="1363">
        <v>3.5999999999999997E-2</v>
      </c>
      <c r="J79" s="1346">
        <v>11</v>
      </c>
      <c r="K79" s="112"/>
      <c r="L79" s="113">
        <f t="shared" si="297"/>
        <v>0</v>
      </c>
      <c r="M79" s="114">
        <f t="shared" si="298"/>
        <v>0</v>
      </c>
      <c r="N79" s="115">
        <f t="shared" si="299"/>
        <v>0</v>
      </c>
      <c r="O79" s="115">
        <f t="shared" si="300"/>
        <v>0</v>
      </c>
      <c r="P79" s="116">
        <f t="shared" si="301"/>
        <v>0</v>
      </c>
      <c r="Q79" s="113">
        <f t="shared" si="302"/>
        <v>0</v>
      </c>
      <c r="R79" s="114">
        <f t="shared" si="303"/>
        <v>0</v>
      </c>
      <c r="S79" s="115">
        <f t="shared" si="304"/>
        <v>0</v>
      </c>
      <c r="T79" s="115">
        <f t="shared" si="305"/>
        <v>0</v>
      </c>
      <c r="U79" s="116">
        <f t="shared" si="306"/>
        <v>0</v>
      </c>
      <c r="V79" s="113">
        <f t="shared" si="307"/>
        <v>0</v>
      </c>
      <c r="W79" s="114">
        <f t="shared" si="308"/>
        <v>0</v>
      </c>
      <c r="X79" s="115">
        <f t="shared" si="309"/>
        <v>0</v>
      </c>
      <c r="Y79" s="115">
        <f t="shared" si="310"/>
        <v>0</v>
      </c>
      <c r="Z79" s="116">
        <f t="shared" si="311"/>
        <v>0</v>
      </c>
      <c r="AA79" s="113">
        <f t="shared" si="312"/>
        <v>0</v>
      </c>
      <c r="AB79" s="114">
        <f t="shared" si="313"/>
        <v>0</v>
      </c>
      <c r="AC79" s="115">
        <f t="shared" si="314"/>
        <v>0</v>
      </c>
      <c r="AD79" s="115">
        <f t="shared" si="315"/>
        <v>0</v>
      </c>
      <c r="AE79" s="116">
        <f t="shared" si="316"/>
        <v>0</v>
      </c>
      <c r="AF79" s="113">
        <f t="shared" si="317"/>
        <v>0</v>
      </c>
      <c r="AG79" s="114">
        <f t="shared" si="318"/>
        <v>0</v>
      </c>
      <c r="AH79" s="115">
        <f t="shared" si="319"/>
        <v>0</v>
      </c>
      <c r="AI79" s="115">
        <f t="shared" si="320"/>
        <v>0</v>
      </c>
      <c r="AJ79" s="116">
        <f t="shared" si="321"/>
        <v>350</v>
      </c>
      <c r="AK79" s="113">
        <f t="shared" si="322"/>
        <v>350</v>
      </c>
      <c r="AL79" s="114">
        <f t="shared" si="323"/>
        <v>0</v>
      </c>
      <c r="AM79" s="115">
        <f t="shared" si="324"/>
        <v>0</v>
      </c>
      <c r="AN79" s="115">
        <f t="shared" si="325"/>
        <v>0</v>
      </c>
      <c r="AO79" s="116">
        <f t="shared" si="326"/>
        <v>0</v>
      </c>
      <c r="AP79" s="113">
        <f t="shared" si="327"/>
        <v>0</v>
      </c>
      <c r="AQ79" s="114">
        <f t="shared" si="328"/>
        <v>0</v>
      </c>
      <c r="AR79" s="115">
        <f t="shared" si="329"/>
        <v>0</v>
      </c>
      <c r="AS79" s="115">
        <f t="shared" si="330"/>
        <v>0</v>
      </c>
      <c r="AT79" s="116">
        <f t="shared" si="331"/>
        <v>0</v>
      </c>
      <c r="AU79" s="113">
        <f t="shared" si="332"/>
        <v>0</v>
      </c>
      <c r="AV79" s="114">
        <f t="shared" si="333"/>
        <v>0</v>
      </c>
      <c r="AW79" s="115">
        <f t="shared" si="334"/>
        <v>0</v>
      </c>
      <c r="AX79" s="115">
        <f t="shared" si="335"/>
        <v>0</v>
      </c>
      <c r="AY79" s="116">
        <f t="shared" si="336"/>
        <v>0</v>
      </c>
      <c r="AZ79" s="113">
        <f t="shared" si="337"/>
        <v>0</v>
      </c>
      <c r="BA79" s="114">
        <f t="shared" si="338"/>
        <v>0</v>
      </c>
      <c r="BB79" s="115">
        <f t="shared" si="339"/>
        <v>0</v>
      </c>
      <c r="BC79" s="115">
        <f t="shared" si="340"/>
        <v>0</v>
      </c>
      <c r="BD79" s="116">
        <f t="shared" si="341"/>
        <v>0</v>
      </c>
      <c r="BE79" s="113">
        <f t="shared" si="342"/>
        <v>0</v>
      </c>
      <c r="BF79" s="222"/>
      <c r="BG79" s="118">
        <f t="shared" si="343"/>
        <v>0</v>
      </c>
      <c r="BH79" s="119">
        <f t="shared" si="344"/>
        <v>0</v>
      </c>
      <c r="BI79" s="120">
        <f t="shared" si="345"/>
        <v>0</v>
      </c>
      <c r="BJ79" s="120">
        <f t="shared" si="346"/>
        <v>0</v>
      </c>
      <c r="BK79" s="121">
        <f t="shared" si="347"/>
        <v>0</v>
      </c>
      <c r="BL79" s="118">
        <f t="shared" si="348"/>
        <v>0</v>
      </c>
      <c r="BM79" s="119">
        <f t="shared" si="349"/>
        <v>0</v>
      </c>
      <c r="BN79" s="120">
        <f t="shared" si="350"/>
        <v>0</v>
      </c>
      <c r="BO79" s="120">
        <f t="shared" si="351"/>
        <v>0</v>
      </c>
      <c r="BP79" s="121">
        <f t="shared" si="352"/>
        <v>0</v>
      </c>
      <c r="BQ79" s="118">
        <f t="shared" si="353"/>
        <v>0</v>
      </c>
      <c r="BR79" s="119">
        <f t="shared" si="354"/>
        <v>0</v>
      </c>
      <c r="BS79" s="120">
        <f t="shared" si="355"/>
        <v>0</v>
      </c>
      <c r="BT79" s="120">
        <f t="shared" si="356"/>
        <v>0</v>
      </c>
      <c r="BU79" s="121">
        <f t="shared" si="357"/>
        <v>0</v>
      </c>
      <c r="BV79" s="118">
        <f t="shared" si="358"/>
        <v>0</v>
      </c>
      <c r="BW79" s="119">
        <f t="shared" si="359"/>
        <v>0</v>
      </c>
      <c r="BX79" s="120">
        <f t="shared" si="360"/>
        <v>0</v>
      </c>
      <c r="BY79" s="120">
        <f t="shared" si="361"/>
        <v>0</v>
      </c>
      <c r="BZ79" s="121">
        <f t="shared" si="362"/>
        <v>0</v>
      </c>
      <c r="CA79" s="118">
        <f t="shared" si="363"/>
        <v>0</v>
      </c>
      <c r="CB79" s="119">
        <f t="shared" si="364"/>
        <v>0</v>
      </c>
      <c r="CC79" s="120">
        <f t="shared" si="365"/>
        <v>0</v>
      </c>
      <c r="CD79" s="120">
        <f t="shared" si="366"/>
        <v>0</v>
      </c>
      <c r="CE79" s="121">
        <f t="shared" si="367"/>
        <v>2.1</v>
      </c>
      <c r="CF79" s="118">
        <f t="shared" si="368"/>
        <v>2.1</v>
      </c>
      <c r="CG79" s="119">
        <f t="shared" si="369"/>
        <v>3.1500000000000004</v>
      </c>
      <c r="CH79" s="120">
        <f t="shared" si="370"/>
        <v>3.1500000000000004</v>
      </c>
      <c r="CI79" s="120">
        <f t="shared" si="371"/>
        <v>3.1500000000000004</v>
      </c>
      <c r="CJ79" s="121">
        <f t="shared" si="372"/>
        <v>1.05</v>
      </c>
      <c r="CK79" s="118">
        <f t="shared" si="373"/>
        <v>10.5</v>
      </c>
      <c r="CL79" s="119">
        <f t="shared" si="374"/>
        <v>0</v>
      </c>
      <c r="CM79" s="120">
        <f t="shared" si="375"/>
        <v>0</v>
      </c>
      <c r="CN79" s="120">
        <f t="shared" si="376"/>
        <v>0</v>
      </c>
      <c r="CO79" s="121">
        <f t="shared" si="377"/>
        <v>0</v>
      </c>
      <c r="CP79" s="118">
        <f t="shared" si="378"/>
        <v>0</v>
      </c>
      <c r="CQ79" s="119">
        <f t="shared" si="379"/>
        <v>0</v>
      </c>
      <c r="CR79" s="120">
        <f t="shared" si="380"/>
        <v>0</v>
      </c>
      <c r="CS79" s="120">
        <f t="shared" si="381"/>
        <v>0</v>
      </c>
      <c r="CT79" s="121">
        <f t="shared" si="382"/>
        <v>0</v>
      </c>
      <c r="CU79" s="118">
        <f t="shared" si="383"/>
        <v>0</v>
      </c>
      <c r="CV79" s="119">
        <f t="shared" si="384"/>
        <v>0</v>
      </c>
      <c r="CW79" s="120">
        <f t="shared" si="385"/>
        <v>0</v>
      </c>
      <c r="CX79" s="120">
        <f t="shared" si="386"/>
        <v>0</v>
      </c>
      <c r="CY79" s="121">
        <f t="shared" si="387"/>
        <v>0</v>
      </c>
      <c r="CZ79" s="118">
        <f t="shared" si="388"/>
        <v>0</v>
      </c>
    </row>
    <row r="80" spans="1:104" ht="12.75" customHeight="1">
      <c r="A80" s="7"/>
      <c r="B80" s="7"/>
      <c r="C80" s="189" t="s">
        <v>884</v>
      </c>
      <c r="D80" s="190"/>
      <c r="E80" s="191">
        <f>'PSE&amp;G'!BB173</f>
        <v>1600</v>
      </c>
      <c r="F80" s="444"/>
      <c r="G80" s="444"/>
      <c r="H80" s="219">
        <v>2018</v>
      </c>
      <c r="I80" s="220">
        <v>0.05</v>
      </c>
      <c r="J80" s="219">
        <v>5</v>
      </c>
      <c r="K80" s="112"/>
      <c r="L80" s="113">
        <f t="shared" si="297"/>
        <v>0</v>
      </c>
      <c r="M80" s="114">
        <f t="shared" si="298"/>
        <v>0</v>
      </c>
      <c r="N80" s="115">
        <f t="shared" si="299"/>
        <v>0</v>
      </c>
      <c r="O80" s="115">
        <f t="shared" si="300"/>
        <v>0</v>
      </c>
      <c r="P80" s="116">
        <f t="shared" si="301"/>
        <v>0</v>
      </c>
      <c r="Q80" s="113">
        <f t="shared" si="302"/>
        <v>0</v>
      </c>
      <c r="R80" s="114">
        <f t="shared" si="303"/>
        <v>0</v>
      </c>
      <c r="S80" s="115">
        <f t="shared" si="304"/>
        <v>0</v>
      </c>
      <c r="T80" s="115">
        <f t="shared" si="305"/>
        <v>0</v>
      </c>
      <c r="U80" s="116">
        <f t="shared" si="306"/>
        <v>0</v>
      </c>
      <c r="V80" s="113">
        <f t="shared" si="307"/>
        <v>0</v>
      </c>
      <c r="W80" s="114">
        <f t="shared" si="308"/>
        <v>0</v>
      </c>
      <c r="X80" s="115">
        <f t="shared" si="309"/>
        <v>0</v>
      </c>
      <c r="Y80" s="115">
        <f t="shared" si="310"/>
        <v>0</v>
      </c>
      <c r="Z80" s="116">
        <f t="shared" si="311"/>
        <v>0</v>
      </c>
      <c r="AA80" s="113">
        <f t="shared" si="312"/>
        <v>0</v>
      </c>
      <c r="AB80" s="114">
        <f t="shared" si="313"/>
        <v>0</v>
      </c>
      <c r="AC80" s="115">
        <f t="shared" si="314"/>
        <v>0</v>
      </c>
      <c r="AD80" s="115">
        <f t="shared" si="315"/>
        <v>0</v>
      </c>
      <c r="AE80" s="116">
        <f t="shared" si="316"/>
        <v>0</v>
      </c>
      <c r="AF80" s="113">
        <f t="shared" si="317"/>
        <v>0</v>
      </c>
      <c r="AG80" s="114">
        <f t="shared" si="318"/>
        <v>0</v>
      </c>
      <c r="AH80" s="115">
        <f t="shared" si="319"/>
        <v>0</v>
      </c>
      <c r="AI80" s="115">
        <f t="shared" si="320"/>
        <v>0</v>
      </c>
      <c r="AJ80" s="116">
        <f t="shared" si="321"/>
        <v>0</v>
      </c>
      <c r="AK80" s="113">
        <f t="shared" si="322"/>
        <v>0</v>
      </c>
      <c r="AL80" s="114">
        <f t="shared" si="323"/>
        <v>0</v>
      </c>
      <c r="AM80" s="115">
        <f t="shared" si="324"/>
        <v>1600</v>
      </c>
      <c r="AN80" s="115">
        <f t="shared" si="325"/>
        <v>0</v>
      </c>
      <c r="AO80" s="116">
        <f t="shared" si="326"/>
        <v>0</v>
      </c>
      <c r="AP80" s="113">
        <f t="shared" si="327"/>
        <v>1600</v>
      </c>
      <c r="AQ80" s="114">
        <f t="shared" si="328"/>
        <v>0</v>
      </c>
      <c r="AR80" s="115">
        <f t="shared" si="329"/>
        <v>0</v>
      </c>
      <c r="AS80" s="115">
        <f t="shared" si="330"/>
        <v>0</v>
      </c>
      <c r="AT80" s="116">
        <f t="shared" si="331"/>
        <v>0</v>
      </c>
      <c r="AU80" s="113">
        <f t="shared" si="332"/>
        <v>0</v>
      </c>
      <c r="AV80" s="114">
        <f t="shared" si="333"/>
        <v>0</v>
      </c>
      <c r="AW80" s="115">
        <f t="shared" si="334"/>
        <v>0</v>
      </c>
      <c r="AX80" s="115">
        <f t="shared" si="335"/>
        <v>0</v>
      </c>
      <c r="AY80" s="116">
        <f t="shared" si="336"/>
        <v>0</v>
      </c>
      <c r="AZ80" s="113">
        <f t="shared" si="337"/>
        <v>0</v>
      </c>
      <c r="BA80" s="114">
        <f t="shared" si="338"/>
        <v>0</v>
      </c>
      <c r="BB80" s="115">
        <f t="shared" si="339"/>
        <v>0</v>
      </c>
      <c r="BC80" s="115">
        <f t="shared" si="340"/>
        <v>0</v>
      </c>
      <c r="BD80" s="116">
        <f t="shared" si="341"/>
        <v>0</v>
      </c>
      <c r="BE80" s="113">
        <f t="shared" si="342"/>
        <v>0</v>
      </c>
      <c r="BF80" s="222"/>
      <c r="BG80" s="118">
        <f t="shared" si="343"/>
        <v>0</v>
      </c>
      <c r="BH80" s="119">
        <f t="shared" si="344"/>
        <v>0</v>
      </c>
      <c r="BI80" s="120">
        <f t="shared" si="345"/>
        <v>0</v>
      </c>
      <c r="BJ80" s="120">
        <f t="shared" si="346"/>
        <v>0</v>
      </c>
      <c r="BK80" s="121">
        <f t="shared" si="347"/>
        <v>0</v>
      </c>
      <c r="BL80" s="118">
        <f t="shared" si="348"/>
        <v>0</v>
      </c>
      <c r="BM80" s="119">
        <f t="shared" si="349"/>
        <v>0</v>
      </c>
      <c r="BN80" s="120">
        <f t="shared" si="350"/>
        <v>0</v>
      </c>
      <c r="BO80" s="120">
        <f t="shared" si="351"/>
        <v>0</v>
      </c>
      <c r="BP80" s="121">
        <f t="shared" si="352"/>
        <v>0</v>
      </c>
      <c r="BQ80" s="118">
        <f t="shared" si="353"/>
        <v>0</v>
      </c>
      <c r="BR80" s="119">
        <f t="shared" si="354"/>
        <v>0</v>
      </c>
      <c r="BS80" s="120">
        <f t="shared" si="355"/>
        <v>0</v>
      </c>
      <c r="BT80" s="120">
        <f t="shared" si="356"/>
        <v>0</v>
      </c>
      <c r="BU80" s="121">
        <f t="shared" si="357"/>
        <v>0</v>
      </c>
      <c r="BV80" s="118">
        <f t="shared" si="358"/>
        <v>0</v>
      </c>
      <c r="BW80" s="119">
        <f t="shared" si="359"/>
        <v>0</v>
      </c>
      <c r="BX80" s="120">
        <f t="shared" si="360"/>
        <v>0</v>
      </c>
      <c r="BY80" s="120">
        <f t="shared" si="361"/>
        <v>0</v>
      </c>
      <c r="BZ80" s="121">
        <f t="shared" si="362"/>
        <v>0</v>
      </c>
      <c r="CA80" s="118">
        <f t="shared" si="363"/>
        <v>0</v>
      </c>
      <c r="CB80" s="119">
        <f t="shared" si="364"/>
        <v>0</v>
      </c>
      <c r="CC80" s="120">
        <f t="shared" si="365"/>
        <v>0</v>
      </c>
      <c r="CD80" s="120">
        <f t="shared" si="366"/>
        <v>0</v>
      </c>
      <c r="CE80" s="121">
        <f t="shared" si="367"/>
        <v>0</v>
      </c>
      <c r="CF80" s="118">
        <f t="shared" si="368"/>
        <v>0</v>
      </c>
      <c r="CG80" s="119">
        <f t="shared" si="369"/>
        <v>0</v>
      </c>
      <c r="CH80" s="120">
        <f t="shared" si="370"/>
        <v>13.333333333333334</v>
      </c>
      <c r="CI80" s="120">
        <f t="shared" si="371"/>
        <v>20</v>
      </c>
      <c r="CJ80" s="121">
        <f t="shared" si="372"/>
        <v>20</v>
      </c>
      <c r="CK80" s="118">
        <f t="shared" si="373"/>
        <v>53.333333333333336</v>
      </c>
      <c r="CL80" s="119">
        <f t="shared" si="374"/>
        <v>20</v>
      </c>
      <c r="CM80" s="120">
        <f t="shared" si="375"/>
        <v>6.666666666666667</v>
      </c>
      <c r="CN80" s="120">
        <f t="shared" si="376"/>
        <v>0</v>
      </c>
      <c r="CO80" s="121">
        <f t="shared" si="377"/>
        <v>0</v>
      </c>
      <c r="CP80" s="118">
        <f t="shared" si="378"/>
        <v>26.666666666666664</v>
      </c>
      <c r="CQ80" s="119">
        <f t="shared" si="379"/>
        <v>0</v>
      </c>
      <c r="CR80" s="120">
        <f t="shared" si="380"/>
        <v>0</v>
      </c>
      <c r="CS80" s="120">
        <f t="shared" si="381"/>
        <v>0</v>
      </c>
      <c r="CT80" s="121">
        <f t="shared" si="382"/>
        <v>0</v>
      </c>
      <c r="CU80" s="118">
        <f t="shared" si="383"/>
        <v>0</v>
      </c>
      <c r="CV80" s="119">
        <f t="shared" si="384"/>
        <v>0</v>
      </c>
      <c r="CW80" s="120">
        <f t="shared" si="385"/>
        <v>0</v>
      </c>
      <c r="CX80" s="120">
        <f t="shared" si="386"/>
        <v>0</v>
      </c>
      <c r="CY80" s="121">
        <f t="shared" si="387"/>
        <v>0</v>
      </c>
      <c r="CZ80" s="118">
        <f t="shared" si="388"/>
        <v>0</v>
      </c>
    </row>
    <row r="81" spans="1:104" ht="12.75" customHeight="1">
      <c r="A81" s="7"/>
      <c r="B81" s="7"/>
      <c r="C81" s="1508" t="s">
        <v>955</v>
      </c>
      <c r="D81" s="190"/>
      <c r="E81" s="191">
        <f>'PSE&amp;G'!$BG$173</f>
        <v>1500</v>
      </c>
      <c r="F81" s="444"/>
      <c r="G81" s="444"/>
      <c r="H81" s="219">
        <v>2019</v>
      </c>
      <c r="I81" s="220">
        <v>0.05</v>
      </c>
      <c r="J81" s="219">
        <v>5</v>
      </c>
      <c r="K81" s="112"/>
      <c r="L81" s="113">
        <f t="shared" si="297"/>
        <v>0</v>
      </c>
      <c r="M81" s="114">
        <f t="shared" si="298"/>
        <v>0</v>
      </c>
      <c r="N81" s="115">
        <f t="shared" si="299"/>
        <v>0</v>
      </c>
      <c r="O81" s="115">
        <f t="shared" si="300"/>
        <v>0</v>
      </c>
      <c r="P81" s="116">
        <f t="shared" si="301"/>
        <v>0</v>
      </c>
      <c r="Q81" s="113">
        <f t="shared" si="302"/>
        <v>0</v>
      </c>
      <c r="R81" s="114">
        <f t="shared" si="303"/>
        <v>0</v>
      </c>
      <c r="S81" s="115">
        <f t="shared" si="304"/>
        <v>0</v>
      </c>
      <c r="T81" s="115">
        <f t="shared" si="305"/>
        <v>0</v>
      </c>
      <c r="U81" s="116">
        <f t="shared" si="306"/>
        <v>0</v>
      </c>
      <c r="V81" s="113">
        <f t="shared" si="307"/>
        <v>0</v>
      </c>
      <c r="W81" s="114">
        <f t="shared" si="308"/>
        <v>0</v>
      </c>
      <c r="X81" s="115">
        <f t="shared" si="309"/>
        <v>0</v>
      </c>
      <c r="Y81" s="115">
        <f t="shared" si="310"/>
        <v>0</v>
      </c>
      <c r="Z81" s="116">
        <f t="shared" si="311"/>
        <v>0</v>
      </c>
      <c r="AA81" s="113">
        <f t="shared" si="312"/>
        <v>0</v>
      </c>
      <c r="AB81" s="114">
        <f t="shared" si="313"/>
        <v>0</v>
      </c>
      <c r="AC81" s="115">
        <f t="shared" si="314"/>
        <v>0</v>
      </c>
      <c r="AD81" s="115">
        <f t="shared" si="315"/>
        <v>0</v>
      </c>
      <c r="AE81" s="116">
        <f t="shared" si="316"/>
        <v>0</v>
      </c>
      <c r="AF81" s="113">
        <f t="shared" si="317"/>
        <v>0</v>
      </c>
      <c r="AG81" s="114">
        <f t="shared" si="318"/>
        <v>0</v>
      </c>
      <c r="AH81" s="115">
        <f t="shared" si="319"/>
        <v>0</v>
      </c>
      <c r="AI81" s="115">
        <f t="shared" si="320"/>
        <v>0</v>
      </c>
      <c r="AJ81" s="116">
        <f t="shared" si="321"/>
        <v>0</v>
      </c>
      <c r="AK81" s="113">
        <f t="shared" si="322"/>
        <v>0</v>
      </c>
      <c r="AL81" s="114">
        <f t="shared" si="323"/>
        <v>0</v>
      </c>
      <c r="AM81" s="115">
        <f t="shared" si="324"/>
        <v>0</v>
      </c>
      <c r="AN81" s="115">
        <f t="shared" si="325"/>
        <v>0</v>
      </c>
      <c r="AO81" s="116">
        <f t="shared" si="326"/>
        <v>0</v>
      </c>
      <c r="AP81" s="113">
        <f t="shared" si="327"/>
        <v>0</v>
      </c>
      <c r="AQ81" s="114">
        <f t="shared" si="328"/>
        <v>0</v>
      </c>
      <c r="AR81" s="115">
        <f t="shared" si="329"/>
        <v>1500</v>
      </c>
      <c r="AS81" s="115">
        <f t="shared" si="330"/>
        <v>0</v>
      </c>
      <c r="AT81" s="116">
        <f t="shared" si="331"/>
        <v>0</v>
      </c>
      <c r="AU81" s="113">
        <f t="shared" si="332"/>
        <v>1500</v>
      </c>
      <c r="AV81" s="114">
        <f t="shared" si="333"/>
        <v>0</v>
      </c>
      <c r="AW81" s="115">
        <f t="shared" si="334"/>
        <v>0</v>
      </c>
      <c r="AX81" s="115">
        <f t="shared" si="335"/>
        <v>0</v>
      </c>
      <c r="AY81" s="116">
        <f t="shared" si="336"/>
        <v>0</v>
      </c>
      <c r="AZ81" s="113">
        <f t="shared" si="337"/>
        <v>0</v>
      </c>
      <c r="BA81" s="114">
        <f t="shared" si="338"/>
        <v>0</v>
      </c>
      <c r="BB81" s="115">
        <f t="shared" si="339"/>
        <v>0</v>
      </c>
      <c r="BC81" s="115">
        <f t="shared" si="340"/>
        <v>0</v>
      </c>
      <c r="BD81" s="116">
        <f t="shared" si="341"/>
        <v>0</v>
      </c>
      <c r="BE81" s="113">
        <f t="shared" si="342"/>
        <v>0</v>
      </c>
      <c r="BF81" s="222"/>
      <c r="BG81" s="118">
        <f t="shared" si="343"/>
        <v>0</v>
      </c>
      <c r="BH81" s="119">
        <f t="shared" si="344"/>
        <v>0</v>
      </c>
      <c r="BI81" s="120">
        <f t="shared" si="345"/>
        <v>0</v>
      </c>
      <c r="BJ81" s="120">
        <f t="shared" si="346"/>
        <v>0</v>
      </c>
      <c r="BK81" s="121">
        <f t="shared" si="347"/>
        <v>0</v>
      </c>
      <c r="BL81" s="118">
        <f t="shared" si="348"/>
        <v>0</v>
      </c>
      <c r="BM81" s="119">
        <f t="shared" si="349"/>
        <v>0</v>
      </c>
      <c r="BN81" s="120">
        <f t="shared" si="350"/>
        <v>0</v>
      </c>
      <c r="BO81" s="120">
        <f t="shared" si="351"/>
        <v>0</v>
      </c>
      <c r="BP81" s="121">
        <f t="shared" si="352"/>
        <v>0</v>
      </c>
      <c r="BQ81" s="118">
        <f t="shared" si="353"/>
        <v>0</v>
      </c>
      <c r="BR81" s="119">
        <f t="shared" si="354"/>
        <v>0</v>
      </c>
      <c r="BS81" s="120">
        <f t="shared" si="355"/>
        <v>0</v>
      </c>
      <c r="BT81" s="120">
        <f t="shared" si="356"/>
        <v>0</v>
      </c>
      <c r="BU81" s="121">
        <f t="shared" si="357"/>
        <v>0</v>
      </c>
      <c r="BV81" s="118">
        <f t="shared" si="358"/>
        <v>0</v>
      </c>
      <c r="BW81" s="119">
        <f t="shared" si="359"/>
        <v>0</v>
      </c>
      <c r="BX81" s="120">
        <f t="shared" si="360"/>
        <v>0</v>
      </c>
      <c r="BY81" s="120">
        <f t="shared" si="361"/>
        <v>0</v>
      </c>
      <c r="BZ81" s="121">
        <f t="shared" si="362"/>
        <v>0</v>
      </c>
      <c r="CA81" s="118">
        <f t="shared" si="363"/>
        <v>0</v>
      </c>
      <c r="CB81" s="119">
        <f t="shared" si="364"/>
        <v>0</v>
      </c>
      <c r="CC81" s="120">
        <f t="shared" si="365"/>
        <v>0</v>
      </c>
      <c r="CD81" s="120">
        <f t="shared" si="366"/>
        <v>0</v>
      </c>
      <c r="CE81" s="121">
        <f t="shared" si="367"/>
        <v>0</v>
      </c>
      <c r="CF81" s="118">
        <f t="shared" si="368"/>
        <v>0</v>
      </c>
      <c r="CG81" s="119">
        <f t="shared" si="369"/>
        <v>0</v>
      </c>
      <c r="CH81" s="120">
        <f t="shared" si="370"/>
        <v>0</v>
      </c>
      <c r="CI81" s="120">
        <f t="shared" si="371"/>
        <v>0</v>
      </c>
      <c r="CJ81" s="121">
        <f t="shared" si="372"/>
        <v>0</v>
      </c>
      <c r="CK81" s="118">
        <f t="shared" si="373"/>
        <v>0</v>
      </c>
      <c r="CL81" s="119">
        <f t="shared" si="374"/>
        <v>0</v>
      </c>
      <c r="CM81" s="120">
        <f t="shared" si="375"/>
        <v>12.5</v>
      </c>
      <c r="CN81" s="120">
        <f t="shared" si="376"/>
        <v>18.75</v>
      </c>
      <c r="CO81" s="121">
        <f t="shared" si="377"/>
        <v>18.75</v>
      </c>
      <c r="CP81" s="118">
        <f t="shared" si="378"/>
        <v>50</v>
      </c>
      <c r="CQ81" s="119">
        <f t="shared" si="379"/>
        <v>18.75</v>
      </c>
      <c r="CR81" s="120">
        <f t="shared" si="380"/>
        <v>6.25</v>
      </c>
      <c r="CS81" s="120">
        <f t="shared" si="381"/>
        <v>0</v>
      </c>
      <c r="CT81" s="121">
        <f t="shared" si="382"/>
        <v>0</v>
      </c>
      <c r="CU81" s="118">
        <f t="shared" si="383"/>
        <v>25</v>
      </c>
      <c r="CV81" s="119">
        <f t="shared" si="384"/>
        <v>0</v>
      </c>
      <c r="CW81" s="120">
        <f t="shared" si="385"/>
        <v>0</v>
      </c>
      <c r="CX81" s="120">
        <f t="shared" si="386"/>
        <v>0</v>
      </c>
      <c r="CY81" s="121">
        <f t="shared" si="387"/>
        <v>0</v>
      </c>
      <c r="CZ81" s="118">
        <f t="shared" si="388"/>
        <v>0</v>
      </c>
    </row>
    <row r="82" spans="1:104" ht="12.75" customHeight="1">
      <c r="A82" s="7"/>
      <c r="B82" s="7"/>
      <c r="C82" s="1508" t="s">
        <v>956</v>
      </c>
      <c r="D82" s="190"/>
      <c r="E82" s="191">
        <f>'PSE&amp;G'!$BL$173</f>
        <v>1400</v>
      </c>
      <c r="F82" s="444"/>
      <c r="G82" s="444"/>
      <c r="H82" s="219">
        <v>2020</v>
      </c>
      <c r="I82" s="220">
        <v>0.05</v>
      </c>
      <c r="J82" s="219">
        <v>5</v>
      </c>
      <c r="K82" s="112"/>
      <c r="L82" s="113">
        <f t="shared" si="297"/>
        <v>0</v>
      </c>
      <c r="M82" s="114">
        <f t="shared" si="298"/>
        <v>0</v>
      </c>
      <c r="N82" s="115">
        <f t="shared" si="299"/>
        <v>0</v>
      </c>
      <c r="O82" s="115">
        <f t="shared" si="300"/>
        <v>0</v>
      </c>
      <c r="P82" s="116">
        <f t="shared" si="301"/>
        <v>0</v>
      </c>
      <c r="Q82" s="113">
        <f t="shared" si="302"/>
        <v>0</v>
      </c>
      <c r="R82" s="114">
        <f t="shared" si="303"/>
        <v>0</v>
      </c>
      <c r="S82" s="115">
        <f t="shared" si="304"/>
        <v>0</v>
      </c>
      <c r="T82" s="115">
        <f t="shared" si="305"/>
        <v>0</v>
      </c>
      <c r="U82" s="116">
        <f t="shared" si="306"/>
        <v>0</v>
      </c>
      <c r="V82" s="113">
        <f t="shared" si="307"/>
        <v>0</v>
      </c>
      <c r="W82" s="114">
        <f t="shared" si="308"/>
        <v>0</v>
      </c>
      <c r="X82" s="115">
        <f t="shared" si="309"/>
        <v>0</v>
      </c>
      <c r="Y82" s="115">
        <f t="shared" si="310"/>
        <v>0</v>
      </c>
      <c r="Z82" s="116">
        <f t="shared" si="311"/>
        <v>0</v>
      </c>
      <c r="AA82" s="113">
        <f t="shared" si="312"/>
        <v>0</v>
      </c>
      <c r="AB82" s="114">
        <f t="shared" si="313"/>
        <v>0</v>
      </c>
      <c r="AC82" s="115">
        <f t="shared" si="314"/>
        <v>0</v>
      </c>
      <c r="AD82" s="115">
        <f t="shared" si="315"/>
        <v>0</v>
      </c>
      <c r="AE82" s="116">
        <f t="shared" si="316"/>
        <v>0</v>
      </c>
      <c r="AF82" s="113">
        <f t="shared" si="317"/>
        <v>0</v>
      </c>
      <c r="AG82" s="114">
        <f t="shared" si="318"/>
        <v>0</v>
      </c>
      <c r="AH82" s="115">
        <f t="shared" si="319"/>
        <v>0</v>
      </c>
      <c r="AI82" s="115">
        <f t="shared" si="320"/>
        <v>0</v>
      </c>
      <c r="AJ82" s="116">
        <f t="shared" si="321"/>
        <v>0</v>
      </c>
      <c r="AK82" s="113">
        <f t="shared" si="322"/>
        <v>0</v>
      </c>
      <c r="AL82" s="114">
        <f t="shared" si="323"/>
        <v>0</v>
      </c>
      <c r="AM82" s="115">
        <f t="shared" si="324"/>
        <v>0</v>
      </c>
      <c r="AN82" s="115">
        <f t="shared" si="325"/>
        <v>0</v>
      </c>
      <c r="AO82" s="116">
        <f t="shared" si="326"/>
        <v>0</v>
      </c>
      <c r="AP82" s="113">
        <f t="shared" si="327"/>
        <v>0</v>
      </c>
      <c r="AQ82" s="114">
        <f t="shared" si="328"/>
        <v>0</v>
      </c>
      <c r="AR82" s="115">
        <f t="shared" si="329"/>
        <v>0</v>
      </c>
      <c r="AS82" s="115">
        <f t="shared" si="330"/>
        <v>0</v>
      </c>
      <c r="AT82" s="116">
        <f t="shared" si="331"/>
        <v>0</v>
      </c>
      <c r="AU82" s="113">
        <f t="shared" si="332"/>
        <v>0</v>
      </c>
      <c r="AV82" s="114">
        <f t="shared" si="333"/>
        <v>0</v>
      </c>
      <c r="AW82" s="115">
        <f t="shared" si="334"/>
        <v>1400</v>
      </c>
      <c r="AX82" s="115">
        <f t="shared" si="335"/>
        <v>0</v>
      </c>
      <c r="AY82" s="116">
        <f t="shared" si="336"/>
        <v>0</v>
      </c>
      <c r="AZ82" s="113">
        <f t="shared" si="337"/>
        <v>1400</v>
      </c>
      <c r="BA82" s="114">
        <f t="shared" si="338"/>
        <v>0</v>
      </c>
      <c r="BB82" s="115">
        <f t="shared" si="339"/>
        <v>0</v>
      </c>
      <c r="BC82" s="115">
        <f t="shared" si="340"/>
        <v>0</v>
      </c>
      <c r="BD82" s="116">
        <f t="shared" si="341"/>
        <v>0</v>
      </c>
      <c r="BE82" s="113">
        <f t="shared" si="342"/>
        <v>0</v>
      </c>
      <c r="BF82" s="222"/>
      <c r="BG82" s="118">
        <f t="shared" si="343"/>
        <v>0</v>
      </c>
      <c r="BH82" s="119">
        <f t="shared" si="344"/>
        <v>0</v>
      </c>
      <c r="BI82" s="120">
        <f t="shared" si="345"/>
        <v>0</v>
      </c>
      <c r="BJ82" s="120">
        <f t="shared" si="346"/>
        <v>0</v>
      </c>
      <c r="BK82" s="121">
        <f t="shared" si="347"/>
        <v>0</v>
      </c>
      <c r="BL82" s="118">
        <f t="shared" si="348"/>
        <v>0</v>
      </c>
      <c r="BM82" s="119">
        <f t="shared" si="349"/>
        <v>0</v>
      </c>
      <c r="BN82" s="120">
        <f t="shared" si="350"/>
        <v>0</v>
      </c>
      <c r="BO82" s="120">
        <f t="shared" si="351"/>
        <v>0</v>
      </c>
      <c r="BP82" s="121">
        <f t="shared" si="352"/>
        <v>0</v>
      </c>
      <c r="BQ82" s="118">
        <f t="shared" si="353"/>
        <v>0</v>
      </c>
      <c r="BR82" s="119">
        <f t="shared" si="354"/>
        <v>0</v>
      </c>
      <c r="BS82" s="120">
        <f t="shared" si="355"/>
        <v>0</v>
      </c>
      <c r="BT82" s="120">
        <f t="shared" si="356"/>
        <v>0</v>
      </c>
      <c r="BU82" s="121">
        <f t="shared" si="357"/>
        <v>0</v>
      </c>
      <c r="BV82" s="118">
        <f t="shared" si="358"/>
        <v>0</v>
      </c>
      <c r="BW82" s="119">
        <f t="shared" si="359"/>
        <v>0</v>
      </c>
      <c r="BX82" s="120">
        <f t="shared" si="360"/>
        <v>0</v>
      </c>
      <c r="BY82" s="120">
        <f t="shared" si="361"/>
        <v>0</v>
      </c>
      <c r="BZ82" s="121">
        <f t="shared" si="362"/>
        <v>0</v>
      </c>
      <c r="CA82" s="118">
        <f t="shared" si="363"/>
        <v>0</v>
      </c>
      <c r="CB82" s="119">
        <f t="shared" si="364"/>
        <v>0</v>
      </c>
      <c r="CC82" s="120">
        <f t="shared" si="365"/>
        <v>0</v>
      </c>
      <c r="CD82" s="120">
        <f t="shared" si="366"/>
        <v>0</v>
      </c>
      <c r="CE82" s="121">
        <f t="shared" si="367"/>
        <v>0</v>
      </c>
      <c r="CF82" s="118">
        <f t="shared" si="368"/>
        <v>0</v>
      </c>
      <c r="CG82" s="119">
        <f t="shared" si="369"/>
        <v>0</v>
      </c>
      <c r="CH82" s="120">
        <f t="shared" si="370"/>
        <v>0</v>
      </c>
      <c r="CI82" s="120">
        <f t="shared" si="371"/>
        <v>0</v>
      </c>
      <c r="CJ82" s="121">
        <f t="shared" si="372"/>
        <v>0</v>
      </c>
      <c r="CK82" s="118">
        <f t="shared" si="373"/>
        <v>0</v>
      </c>
      <c r="CL82" s="119">
        <f t="shared" si="374"/>
        <v>0</v>
      </c>
      <c r="CM82" s="120">
        <f t="shared" si="375"/>
        <v>0</v>
      </c>
      <c r="CN82" s="120">
        <f t="shared" si="376"/>
        <v>0</v>
      </c>
      <c r="CO82" s="121">
        <f t="shared" si="377"/>
        <v>0</v>
      </c>
      <c r="CP82" s="118">
        <f t="shared" si="378"/>
        <v>0</v>
      </c>
      <c r="CQ82" s="119">
        <f t="shared" si="379"/>
        <v>0</v>
      </c>
      <c r="CR82" s="120">
        <f t="shared" si="380"/>
        <v>11.666666666666666</v>
      </c>
      <c r="CS82" s="120">
        <f t="shared" si="381"/>
        <v>17.5</v>
      </c>
      <c r="CT82" s="121">
        <f t="shared" si="382"/>
        <v>17.5</v>
      </c>
      <c r="CU82" s="118">
        <f t="shared" si="383"/>
        <v>46.666666666666664</v>
      </c>
      <c r="CV82" s="119">
        <f t="shared" si="384"/>
        <v>17.5</v>
      </c>
      <c r="CW82" s="120">
        <f t="shared" si="385"/>
        <v>5.833333333333333</v>
      </c>
      <c r="CX82" s="120">
        <f t="shared" si="386"/>
        <v>0</v>
      </c>
      <c r="CY82" s="121">
        <f t="shared" si="387"/>
        <v>0</v>
      </c>
      <c r="CZ82" s="118">
        <f t="shared" si="388"/>
        <v>23.333333333333336</v>
      </c>
    </row>
    <row r="83" spans="1:104" ht="12.75" customHeight="1">
      <c r="A83" s="7"/>
      <c r="B83" s="7"/>
      <c r="C83" s="1508" t="s">
        <v>1052</v>
      </c>
      <c r="D83" s="190"/>
      <c r="E83" s="191">
        <f>'PSE&amp;G'!$BQ$173</f>
        <v>1100</v>
      </c>
      <c r="F83" s="444"/>
      <c r="G83" s="444"/>
      <c r="H83" s="219">
        <v>2021</v>
      </c>
      <c r="I83" s="220">
        <v>0.05</v>
      </c>
      <c r="J83" s="219">
        <v>5</v>
      </c>
      <c r="K83" s="112"/>
      <c r="L83" s="113">
        <f t="shared" si="297"/>
        <v>0</v>
      </c>
      <c r="M83" s="114">
        <f t="shared" si="298"/>
        <v>0</v>
      </c>
      <c r="N83" s="115">
        <f t="shared" si="299"/>
        <v>0</v>
      </c>
      <c r="O83" s="115">
        <f t="shared" si="300"/>
        <v>0</v>
      </c>
      <c r="P83" s="116">
        <f t="shared" si="301"/>
        <v>0</v>
      </c>
      <c r="Q83" s="113">
        <f t="shared" si="302"/>
        <v>0</v>
      </c>
      <c r="R83" s="114">
        <f t="shared" si="303"/>
        <v>0</v>
      </c>
      <c r="S83" s="115">
        <f t="shared" si="304"/>
        <v>0</v>
      </c>
      <c r="T83" s="115">
        <f t="shared" si="305"/>
        <v>0</v>
      </c>
      <c r="U83" s="116">
        <f t="shared" si="306"/>
        <v>0</v>
      </c>
      <c r="V83" s="113">
        <f t="shared" si="307"/>
        <v>0</v>
      </c>
      <c r="W83" s="114">
        <f t="shared" si="308"/>
        <v>0</v>
      </c>
      <c r="X83" s="115">
        <f t="shared" si="309"/>
        <v>0</v>
      </c>
      <c r="Y83" s="115">
        <f t="shared" si="310"/>
        <v>0</v>
      </c>
      <c r="Z83" s="116">
        <f t="shared" si="311"/>
        <v>0</v>
      </c>
      <c r="AA83" s="113">
        <f t="shared" si="312"/>
        <v>0</v>
      </c>
      <c r="AB83" s="114">
        <f t="shared" si="313"/>
        <v>0</v>
      </c>
      <c r="AC83" s="115">
        <f t="shared" si="314"/>
        <v>0</v>
      </c>
      <c r="AD83" s="115">
        <f t="shared" si="315"/>
        <v>0</v>
      </c>
      <c r="AE83" s="116">
        <f t="shared" si="316"/>
        <v>0</v>
      </c>
      <c r="AF83" s="113">
        <f t="shared" si="317"/>
        <v>0</v>
      </c>
      <c r="AG83" s="114">
        <f t="shared" si="318"/>
        <v>0</v>
      </c>
      <c r="AH83" s="115">
        <f t="shared" si="319"/>
        <v>0</v>
      </c>
      <c r="AI83" s="115">
        <f t="shared" si="320"/>
        <v>0</v>
      </c>
      <c r="AJ83" s="116">
        <f t="shared" si="321"/>
        <v>0</v>
      </c>
      <c r="AK83" s="113">
        <f t="shared" si="322"/>
        <v>0</v>
      </c>
      <c r="AL83" s="114">
        <f t="shared" si="323"/>
        <v>0</v>
      </c>
      <c r="AM83" s="115">
        <f t="shared" si="324"/>
        <v>0</v>
      </c>
      <c r="AN83" s="115">
        <f t="shared" si="325"/>
        <v>0</v>
      </c>
      <c r="AO83" s="116">
        <f t="shared" si="326"/>
        <v>0</v>
      </c>
      <c r="AP83" s="113">
        <f t="shared" si="327"/>
        <v>0</v>
      </c>
      <c r="AQ83" s="114">
        <f t="shared" si="328"/>
        <v>0</v>
      </c>
      <c r="AR83" s="115">
        <f t="shared" si="329"/>
        <v>0</v>
      </c>
      <c r="AS83" s="115">
        <f t="shared" si="330"/>
        <v>0</v>
      </c>
      <c r="AT83" s="116">
        <f t="shared" si="331"/>
        <v>0</v>
      </c>
      <c r="AU83" s="113">
        <f t="shared" si="332"/>
        <v>0</v>
      </c>
      <c r="AV83" s="114">
        <f t="shared" si="333"/>
        <v>0</v>
      </c>
      <c r="AW83" s="115">
        <f t="shared" si="334"/>
        <v>0</v>
      </c>
      <c r="AX83" s="115">
        <f t="shared" si="335"/>
        <v>0</v>
      </c>
      <c r="AY83" s="116">
        <f t="shared" si="336"/>
        <v>0</v>
      </c>
      <c r="AZ83" s="113">
        <f t="shared" si="337"/>
        <v>0</v>
      </c>
      <c r="BA83" s="114">
        <f t="shared" si="338"/>
        <v>0</v>
      </c>
      <c r="BB83" s="115">
        <f t="shared" si="339"/>
        <v>1100</v>
      </c>
      <c r="BC83" s="115">
        <f t="shared" si="340"/>
        <v>0</v>
      </c>
      <c r="BD83" s="116">
        <f t="shared" si="341"/>
        <v>0</v>
      </c>
      <c r="BE83" s="113">
        <f t="shared" si="342"/>
        <v>1100</v>
      </c>
      <c r="BF83" s="222"/>
      <c r="BG83" s="118">
        <f t="shared" si="343"/>
        <v>0</v>
      </c>
      <c r="BH83" s="119">
        <f t="shared" si="344"/>
        <v>0</v>
      </c>
      <c r="BI83" s="120">
        <f t="shared" si="345"/>
        <v>0</v>
      </c>
      <c r="BJ83" s="120">
        <f t="shared" si="346"/>
        <v>0</v>
      </c>
      <c r="BK83" s="121">
        <f t="shared" si="347"/>
        <v>0</v>
      </c>
      <c r="BL83" s="118">
        <f t="shared" si="348"/>
        <v>0</v>
      </c>
      <c r="BM83" s="119">
        <f t="shared" si="349"/>
        <v>0</v>
      </c>
      <c r="BN83" s="120">
        <f t="shared" si="350"/>
        <v>0</v>
      </c>
      <c r="BO83" s="120">
        <f t="shared" si="351"/>
        <v>0</v>
      </c>
      <c r="BP83" s="121">
        <f t="shared" si="352"/>
        <v>0</v>
      </c>
      <c r="BQ83" s="118">
        <f t="shared" si="353"/>
        <v>0</v>
      </c>
      <c r="BR83" s="119">
        <f t="shared" si="354"/>
        <v>0</v>
      </c>
      <c r="BS83" s="120">
        <f t="shared" si="355"/>
        <v>0</v>
      </c>
      <c r="BT83" s="120">
        <f t="shared" si="356"/>
        <v>0</v>
      </c>
      <c r="BU83" s="121">
        <f t="shared" si="357"/>
        <v>0</v>
      </c>
      <c r="BV83" s="118">
        <f t="shared" si="358"/>
        <v>0</v>
      </c>
      <c r="BW83" s="119">
        <f t="shared" si="359"/>
        <v>0</v>
      </c>
      <c r="BX83" s="120">
        <f t="shared" si="360"/>
        <v>0</v>
      </c>
      <c r="BY83" s="120">
        <f t="shared" si="361"/>
        <v>0</v>
      </c>
      <c r="BZ83" s="121">
        <f t="shared" si="362"/>
        <v>0</v>
      </c>
      <c r="CA83" s="118">
        <f t="shared" si="363"/>
        <v>0</v>
      </c>
      <c r="CB83" s="119">
        <f t="shared" si="364"/>
        <v>0</v>
      </c>
      <c r="CC83" s="120">
        <f t="shared" si="365"/>
        <v>0</v>
      </c>
      <c r="CD83" s="120">
        <f t="shared" si="366"/>
        <v>0</v>
      </c>
      <c r="CE83" s="121">
        <f t="shared" si="367"/>
        <v>0</v>
      </c>
      <c r="CF83" s="118">
        <f t="shared" si="368"/>
        <v>0</v>
      </c>
      <c r="CG83" s="119">
        <f t="shared" si="369"/>
        <v>0</v>
      </c>
      <c r="CH83" s="120">
        <f t="shared" si="370"/>
        <v>0</v>
      </c>
      <c r="CI83" s="120">
        <f t="shared" si="371"/>
        <v>0</v>
      </c>
      <c r="CJ83" s="121">
        <f t="shared" si="372"/>
        <v>0</v>
      </c>
      <c r="CK83" s="118">
        <f t="shared" si="373"/>
        <v>0</v>
      </c>
      <c r="CL83" s="119">
        <f t="shared" si="374"/>
        <v>0</v>
      </c>
      <c r="CM83" s="120">
        <f t="shared" si="375"/>
        <v>0</v>
      </c>
      <c r="CN83" s="120">
        <f t="shared" si="376"/>
        <v>0</v>
      </c>
      <c r="CO83" s="121">
        <f t="shared" si="377"/>
        <v>0</v>
      </c>
      <c r="CP83" s="118">
        <f t="shared" si="378"/>
        <v>0</v>
      </c>
      <c r="CQ83" s="119">
        <f t="shared" si="379"/>
        <v>0</v>
      </c>
      <c r="CR83" s="120">
        <f t="shared" si="380"/>
        <v>0</v>
      </c>
      <c r="CS83" s="120">
        <f t="shared" si="381"/>
        <v>0</v>
      </c>
      <c r="CT83" s="121">
        <f t="shared" si="382"/>
        <v>0</v>
      </c>
      <c r="CU83" s="118">
        <f t="shared" si="383"/>
        <v>0</v>
      </c>
      <c r="CV83" s="119">
        <f t="shared" si="384"/>
        <v>0</v>
      </c>
      <c r="CW83" s="120">
        <f t="shared" si="385"/>
        <v>9.1666666666666661</v>
      </c>
      <c r="CX83" s="120">
        <f t="shared" si="386"/>
        <v>13.75</v>
      </c>
      <c r="CY83" s="121">
        <f t="shared" si="387"/>
        <v>13.75</v>
      </c>
      <c r="CZ83" s="118">
        <f t="shared" si="388"/>
        <v>36.666666666666664</v>
      </c>
    </row>
    <row r="84" spans="1:104" ht="12.75" customHeight="1">
      <c r="A84" s="7"/>
      <c r="B84" s="7"/>
      <c r="C84" s="223"/>
      <c r="D84" s="224"/>
      <c r="E84" s="127"/>
      <c r="F84" s="128"/>
      <c r="G84" s="128"/>
      <c r="H84" s="225"/>
      <c r="I84" s="225"/>
      <c r="J84" s="227"/>
      <c r="K84" s="132"/>
      <c r="L84" s="133"/>
      <c r="M84" s="134"/>
      <c r="N84" s="135"/>
      <c r="O84" s="135"/>
      <c r="P84" s="136"/>
      <c r="Q84" s="133"/>
      <c r="R84" s="134"/>
      <c r="S84" s="135"/>
      <c r="T84" s="135"/>
      <c r="U84" s="136"/>
      <c r="V84" s="133"/>
      <c r="W84" s="134"/>
      <c r="X84" s="135"/>
      <c r="Y84" s="135"/>
      <c r="Z84" s="136"/>
      <c r="AA84" s="133"/>
      <c r="AB84" s="134"/>
      <c r="AC84" s="135"/>
      <c r="AD84" s="135"/>
      <c r="AE84" s="136"/>
      <c r="AF84" s="133"/>
      <c r="AG84" s="134"/>
      <c r="AH84" s="135"/>
      <c r="AI84" s="135"/>
      <c r="AJ84" s="136"/>
      <c r="AK84" s="133"/>
      <c r="AL84" s="134"/>
      <c r="AM84" s="135"/>
      <c r="AN84" s="135"/>
      <c r="AO84" s="136"/>
      <c r="AP84" s="133"/>
      <c r="AQ84" s="134"/>
      <c r="AR84" s="135"/>
      <c r="AS84" s="135"/>
      <c r="AT84" s="136"/>
      <c r="AU84" s="133"/>
      <c r="AV84" s="134"/>
      <c r="AW84" s="135"/>
      <c r="AX84" s="135"/>
      <c r="AY84" s="136"/>
      <c r="AZ84" s="133"/>
      <c r="BA84" s="134"/>
      <c r="BB84" s="135"/>
      <c r="BC84" s="135"/>
      <c r="BD84" s="136"/>
      <c r="BE84" s="133"/>
      <c r="BF84" s="248"/>
      <c r="BG84" s="284"/>
      <c r="BH84" s="285"/>
      <c r="BI84" s="286"/>
      <c r="BJ84" s="286"/>
      <c r="BK84" s="287"/>
      <c r="BL84" s="284"/>
      <c r="BM84" s="285"/>
      <c r="BN84" s="286"/>
      <c r="BO84" s="286"/>
      <c r="BP84" s="287"/>
      <c r="BQ84" s="284"/>
      <c r="BR84" s="285"/>
      <c r="BS84" s="286"/>
      <c r="BT84" s="286"/>
      <c r="BU84" s="287"/>
      <c r="BV84" s="284"/>
      <c r="BW84" s="285"/>
      <c r="BX84" s="286"/>
      <c r="BY84" s="286"/>
      <c r="BZ84" s="287"/>
      <c r="CA84" s="284"/>
      <c r="CB84" s="285"/>
      <c r="CC84" s="286"/>
      <c r="CD84" s="286"/>
      <c r="CE84" s="287"/>
      <c r="CF84" s="284"/>
      <c r="CG84" s="285"/>
      <c r="CH84" s="286"/>
      <c r="CI84" s="286"/>
      <c r="CJ84" s="287"/>
      <c r="CK84" s="284"/>
      <c r="CL84" s="285"/>
      <c r="CM84" s="286"/>
      <c r="CN84" s="286"/>
      <c r="CO84" s="287"/>
      <c r="CP84" s="284"/>
      <c r="CQ84" s="285"/>
      <c r="CR84" s="286"/>
      <c r="CS84" s="286"/>
      <c r="CT84" s="287"/>
      <c r="CU84" s="284"/>
      <c r="CV84" s="285"/>
      <c r="CW84" s="286"/>
      <c r="CX84" s="286"/>
      <c r="CY84" s="287"/>
      <c r="CZ84" s="284"/>
    </row>
    <row r="85" spans="1:104" ht="12.75" customHeight="1">
      <c r="A85" s="203"/>
      <c r="B85" s="203"/>
      <c r="C85" s="204" t="s">
        <v>449</v>
      </c>
      <c r="D85" s="252"/>
      <c r="E85" s="205">
        <f>SUM(E78:E84)</f>
        <v>6375</v>
      </c>
      <c r="F85" s="143"/>
      <c r="G85" s="143"/>
      <c r="H85" s="144"/>
      <c r="I85" s="144"/>
      <c r="J85" s="146"/>
      <c r="K85" s="234"/>
      <c r="L85" s="147">
        <f t="shared" ref="L85:BE85" si="389">SUM(L78:L84)</f>
        <v>0</v>
      </c>
      <c r="M85" s="148">
        <f t="shared" si="389"/>
        <v>0</v>
      </c>
      <c r="N85" s="149">
        <f t="shared" si="389"/>
        <v>0</v>
      </c>
      <c r="O85" s="149">
        <f t="shared" si="389"/>
        <v>0</v>
      </c>
      <c r="P85" s="150">
        <f t="shared" si="389"/>
        <v>0</v>
      </c>
      <c r="Q85" s="147">
        <f t="shared" si="389"/>
        <v>0</v>
      </c>
      <c r="R85" s="148">
        <f t="shared" si="389"/>
        <v>0</v>
      </c>
      <c r="S85" s="149">
        <f t="shared" si="389"/>
        <v>0</v>
      </c>
      <c r="T85" s="149">
        <f t="shared" si="389"/>
        <v>0</v>
      </c>
      <c r="U85" s="150">
        <f t="shared" si="389"/>
        <v>0</v>
      </c>
      <c r="V85" s="147">
        <f t="shared" si="389"/>
        <v>0</v>
      </c>
      <c r="W85" s="148">
        <f t="shared" si="389"/>
        <v>0</v>
      </c>
      <c r="X85" s="149">
        <f t="shared" si="389"/>
        <v>0</v>
      </c>
      <c r="Y85" s="149">
        <f t="shared" si="389"/>
        <v>0</v>
      </c>
      <c r="Z85" s="150">
        <f t="shared" si="389"/>
        <v>0</v>
      </c>
      <c r="AA85" s="147">
        <f t="shared" si="389"/>
        <v>0</v>
      </c>
      <c r="AB85" s="148">
        <f t="shared" si="389"/>
        <v>0</v>
      </c>
      <c r="AC85" s="149">
        <f t="shared" si="389"/>
        <v>0</v>
      </c>
      <c r="AD85" s="149">
        <f t="shared" si="389"/>
        <v>0</v>
      </c>
      <c r="AE85" s="150">
        <f t="shared" si="389"/>
        <v>0</v>
      </c>
      <c r="AF85" s="147">
        <f t="shared" si="389"/>
        <v>0</v>
      </c>
      <c r="AG85" s="148">
        <f t="shared" si="389"/>
        <v>0</v>
      </c>
      <c r="AH85" s="149">
        <f t="shared" si="389"/>
        <v>425</v>
      </c>
      <c r="AI85" s="149">
        <f t="shared" si="389"/>
        <v>0</v>
      </c>
      <c r="AJ85" s="150">
        <f t="shared" si="389"/>
        <v>350</v>
      </c>
      <c r="AK85" s="147">
        <f t="shared" si="389"/>
        <v>775</v>
      </c>
      <c r="AL85" s="148">
        <f t="shared" si="389"/>
        <v>0</v>
      </c>
      <c r="AM85" s="149">
        <f t="shared" si="389"/>
        <v>1600</v>
      </c>
      <c r="AN85" s="149">
        <f t="shared" si="389"/>
        <v>0</v>
      </c>
      <c r="AO85" s="150">
        <f t="shared" si="389"/>
        <v>0</v>
      </c>
      <c r="AP85" s="147">
        <f t="shared" si="389"/>
        <v>1600</v>
      </c>
      <c r="AQ85" s="148">
        <f t="shared" si="389"/>
        <v>0</v>
      </c>
      <c r="AR85" s="149">
        <f t="shared" si="389"/>
        <v>1500</v>
      </c>
      <c r="AS85" s="149">
        <f t="shared" si="389"/>
        <v>0</v>
      </c>
      <c r="AT85" s="150">
        <f t="shared" si="389"/>
        <v>0</v>
      </c>
      <c r="AU85" s="147">
        <f t="shared" si="389"/>
        <v>1500</v>
      </c>
      <c r="AV85" s="148">
        <f t="shared" si="389"/>
        <v>0</v>
      </c>
      <c r="AW85" s="149">
        <f t="shared" si="389"/>
        <v>1400</v>
      </c>
      <c r="AX85" s="149">
        <f t="shared" si="389"/>
        <v>0</v>
      </c>
      <c r="AY85" s="150">
        <f t="shared" si="389"/>
        <v>0</v>
      </c>
      <c r="AZ85" s="147">
        <f t="shared" si="389"/>
        <v>1400</v>
      </c>
      <c r="BA85" s="148">
        <f t="shared" si="389"/>
        <v>0</v>
      </c>
      <c r="BB85" s="149">
        <f t="shared" si="389"/>
        <v>1100</v>
      </c>
      <c r="BC85" s="149">
        <f t="shared" si="389"/>
        <v>0</v>
      </c>
      <c r="BD85" s="150">
        <f t="shared" si="389"/>
        <v>0</v>
      </c>
      <c r="BE85" s="147">
        <f t="shared" si="389"/>
        <v>1100</v>
      </c>
      <c r="BF85" s="235"/>
      <c r="BG85" s="152">
        <f t="shared" ref="BG85:CZ85" si="390">SUM(BG78:BG84)</f>
        <v>0</v>
      </c>
      <c r="BH85" s="153">
        <f t="shared" si="390"/>
        <v>0</v>
      </c>
      <c r="BI85" s="154">
        <f t="shared" si="390"/>
        <v>0</v>
      </c>
      <c r="BJ85" s="154">
        <f t="shared" si="390"/>
        <v>0</v>
      </c>
      <c r="BK85" s="155">
        <f t="shared" si="390"/>
        <v>0</v>
      </c>
      <c r="BL85" s="152">
        <f t="shared" si="390"/>
        <v>0</v>
      </c>
      <c r="BM85" s="153">
        <f t="shared" si="390"/>
        <v>0</v>
      </c>
      <c r="BN85" s="154">
        <f t="shared" si="390"/>
        <v>0</v>
      </c>
      <c r="BO85" s="154">
        <f t="shared" si="390"/>
        <v>0</v>
      </c>
      <c r="BP85" s="155">
        <f t="shared" si="390"/>
        <v>0</v>
      </c>
      <c r="BQ85" s="152">
        <f t="shared" si="390"/>
        <v>0</v>
      </c>
      <c r="BR85" s="153">
        <f t="shared" si="390"/>
        <v>0</v>
      </c>
      <c r="BS85" s="154">
        <f t="shared" si="390"/>
        <v>0</v>
      </c>
      <c r="BT85" s="154">
        <f t="shared" si="390"/>
        <v>0</v>
      </c>
      <c r="BU85" s="155">
        <f t="shared" si="390"/>
        <v>0</v>
      </c>
      <c r="BV85" s="152">
        <f t="shared" si="390"/>
        <v>0</v>
      </c>
      <c r="BW85" s="153">
        <f t="shared" si="390"/>
        <v>0</v>
      </c>
      <c r="BX85" s="154">
        <f t="shared" si="390"/>
        <v>0</v>
      </c>
      <c r="BY85" s="154">
        <f t="shared" si="390"/>
        <v>0</v>
      </c>
      <c r="BZ85" s="155">
        <f t="shared" si="390"/>
        <v>0</v>
      </c>
      <c r="CA85" s="152">
        <f t="shared" si="390"/>
        <v>0</v>
      </c>
      <c r="CB85" s="153">
        <f t="shared" si="390"/>
        <v>0</v>
      </c>
      <c r="CC85" s="154">
        <f t="shared" si="390"/>
        <v>2.125</v>
      </c>
      <c r="CD85" s="154">
        <f t="shared" si="390"/>
        <v>3.1875</v>
      </c>
      <c r="CE85" s="155">
        <f t="shared" si="390"/>
        <v>5.2874999999999996</v>
      </c>
      <c r="CF85" s="152">
        <f t="shared" si="390"/>
        <v>10.6</v>
      </c>
      <c r="CG85" s="153">
        <f t="shared" si="390"/>
        <v>6.3375000000000004</v>
      </c>
      <c r="CH85" s="154">
        <f t="shared" si="390"/>
        <v>17.545833333333334</v>
      </c>
      <c r="CI85" s="154">
        <f t="shared" si="390"/>
        <v>23.15</v>
      </c>
      <c r="CJ85" s="155">
        <f t="shared" si="390"/>
        <v>21.05</v>
      </c>
      <c r="CK85" s="152">
        <f t="shared" si="390"/>
        <v>68.083333333333343</v>
      </c>
      <c r="CL85" s="153">
        <f t="shared" si="390"/>
        <v>20</v>
      </c>
      <c r="CM85" s="154">
        <f t="shared" si="390"/>
        <v>19.166666666666668</v>
      </c>
      <c r="CN85" s="154">
        <f t="shared" si="390"/>
        <v>18.75</v>
      </c>
      <c r="CO85" s="155">
        <f t="shared" si="390"/>
        <v>18.75</v>
      </c>
      <c r="CP85" s="152">
        <f t="shared" si="390"/>
        <v>76.666666666666657</v>
      </c>
      <c r="CQ85" s="153">
        <f t="shared" si="390"/>
        <v>18.75</v>
      </c>
      <c r="CR85" s="154">
        <f t="shared" si="390"/>
        <v>17.916666666666664</v>
      </c>
      <c r="CS85" s="154">
        <f t="shared" si="390"/>
        <v>17.5</v>
      </c>
      <c r="CT85" s="155">
        <f t="shared" si="390"/>
        <v>17.5</v>
      </c>
      <c r="CU85" s="152">
        <f t="shared" si="390"/>
        <v>71.666666666666657</v>
      </c>
      <c r="CV85" s="153">
        <f t="shared" si="390"/>
        <v>17.5</v>
      </c>
      <c r="CW85" s="154">
        <f t="shared" si="390"/>
        <v>15</v>
      </c>
      <c r="CX85" s="154">
        <f t="shared" si="390"/>
        <v>13.75</v>
      </c>
      <c r="CY85" s="155">
        <f t="shared" si="390"/>
        <v>13.75</v>
      </c>
      <c r="CZ85" s="152">
        <f t="shared" si="390"/>
        <v>60</v>
      </c>
    </row>
    <row r="86" spans="1:104" ht="12.75" customHeight="1">
      <c r="A86" s="7"/>
      <c r="B86" s="7"/>
      <c r="C86" s="253"/>
      <c r="D86" s="253"/>
      <c r="E86" s="107"/>
      <c r="F86" s="108"/>
      <c r="G86" s="108"/>
      <c r="H86" s="109"/>
      <c r="I86" s="110"/>
      <c r="J86" s="111"/>
      <c r="K86" s="112"/>
      <c r="L86" s="113"/>
      <c r="M86" s="114"/>
      <c r="N86" s="115"/>
      <c r="O86" s="115"/>
      <c r="P86" s="116"/>
      <c r="Q86" s="113"/>
      <c r="R86" s="114"/>
      <c r="S86" s="115"/>
      <c r="T86" s="115"/>
      <c r="U86" s="116"/>
      <c r="V86" s="113"/>
      <c r="W86" s="114"/>
      <c r="X86" s="115"/>
      <c r="Y86" s="115"/>
      <c r="Z86" s="116"/>
      <c r="AA86" s="113"/>
      <c r="AB86" s="114"/>
      <c r="AC86" s="115"/>
      <c r="AD86" s="115"/>
      <c r="AE86" s="116"/>
      <c r="AF86" s="113"/>
      <c r="AG86" s="114"/>
      <c r="AH86" s="115"/>
      <c r="AI86" s="115"/>
      <c r="AJ86" s="116"/>
      <c r="AK86" s="113"/>
      <c r="AL86" s="114"/>
      <c r="AM86" s="115"/>
      <c r="AN86" s="115"/>
      <c r="AO86" s="116"/>
      <c r="AP86" s="113"/>
      <c r="AQ86" s="114"/>
      <c r="AR86" s="115"/>
      <c r="AS86" s="115"/>
      <c r="AT86" s="116"/>
      <c r="AU86" s="113"/>
      <c r="AV86" s="114"/>
      <c r="AW86" s="115"/>
      <c r="AX86" s="115"/>
      <c r="AY86" s="116"/>
      <c r="AZ86" s="113"/>
      <c r="BA86" s="114"/>
      <c r="BB86" s="115"/>
      <c r="BC86" s="115"/>
      <c r="BD86" s="116"/>
      <c r="BE86" s="113"/>
      <c r="BF86" s="222"/>
      <c r="BG86" s="118"/>
      <c r="BH86" s="119"/>
      <c r="BI86" s="120"/>
      <c r="BJ86" s="120"/>
      <c r="BK86" s="121"/>
      <c r="BL86" s="118"/>
      <c r="BM86" s="119"/>
      <c r="BN86" s="120"/>
      <c r="BO86" s="120"/>
      <c r="BP86" s="121"/>
      <c r="BQ86" s="118"/>
      <c r="BR86" s="119"/>
      <c r="BS86" s="120"/>
      <c r="BT86" s="120"/>
      <c r="BU86" s="121"/>
      <c r="BV86" s="118"/>
      <c r="BW86" s="119"/>
      <c r="BX86" s="120"/>
      <c r="BY86" s="120"/>
      <c r="BZ86" s="121"/>
      <c r="CA86" s="118"/>
      <c r="CB86" s="119"/>
      <c r="CC86" s="120"/>
      <c r="CD86" s="120"/>
      <c r="CE86" s="121"/>
      <c r="CF86" s="118"/>
      <c r="CG86" s="119"/>
      <c r="CH86" s="120"/>
      <c r="CI86" s="120"/>
      <c r="CJ86" s="121"/>
      <c r="CK86" s="118"/>
      <c r="CL86" s="119"/>
      <c r="CM86" s="120"/>
      <c r="CN86" s="120"/>
      <c r="CO86" s="121"/>
      <c r="CP86" s="118"/>
      <c r="CQ86" s="119"/>
      <c r="CR86" s="120"/>
      <c r="CS86" s="120"/>
      <c r="CT86" s="121"/>
      <c r="CU86" s="118"/>
      <c r="CV86" s="119"/>
      <c r="CW86" s="120"/>
      <c r="CX86" s="120"/>
      <c r="CY86" s="121"/>
      <c r="CZ86" s="118"/>
    </row>
    <row r="87" spans="1:104" ht="12.75" customHeight="1">
      <c r="A87" s="7"/>
      <c r="B87" s="7"/>
      <c r="C87" s="123" t="s">
        <v>583</v>
      </c>
      <c r="D87" s="123"/>
      <c r="E87" s="142"/>
      <c r="F87" s="156"/>
      <c r="G87" s="156"/>
      <c r="H87" s="144"/>
      <c r="I87" s="145"/>
      <c r="J87" s="146"/>
      <c r="K87" s="234"/>
      <c r="L87" s="147">
        <f t="shared" ref="L87:BE87" si="391">+L75+L85</f>
        <v>0</v>
      </c>
      <c r="M87" s="148">
        <f t="shared" si="391"/>
        <v>0</v>
      </c>
      <c r="N87" s="149">
        <f t="shared" si="391"/>
        <v>0</v>
      </c>
      <c r="O87" s="149">
        <f t="shared" si="391"/>
        <v>0</v>
      </c>
      <c r="P87" s="150">
        <f t="shared" si="391"/>
        <v>0</v>
      </c>
      <c r="Q87" s="147">
        <f t="shared" si="391"/>
        <v>0</v>
      </c>
      <c r="R87" s="148">
        <f t="shared" si="391"/>
        <v>0</v>
      </c>
      <c r="S87" s="149">
        <f t="shared" si="391"/>
        <v>0</v>
      </c>
      <c r="T87" s="149">
        <f t="shared" si="391"/>
        <v>0</v>
      </c>
      <c r="U87" s="150">
        <f t="shared" si="391"/>
        <v>0</v>
      </c>
      <c r="V87" s="147">
        <f t="shared" si="391"/>
        <v>0</v>
      </c>
      <c r="W87" s="148">
        <f t="shared" si="391"/>
        <v>0</v>
      </c>
      <c r="X87" s="149">
        <f t="shared" si="391"/>
        <v>0</v>
      </c>
      <c r="Y87" s="149">
        <f t="shared" si="391"/>
        <v>0</v>
      </c>
      <c r="Z87" s="150">
        <f t="shared" si="391"/>
        <v>0</v>
      </c>
      <c r="AA87" s="147">
        <f t="shared" si="391"/>
        <v>0</v>
      </c>
      <c r="AB87" s="148">
        <f t="shared" si="391"/>
        <v>0</v>
      </c>
      <c r="AC87" s="149">
        <f t="shared" si="391"/>
        <v>0</v>
      </c>
      <c r="AD87" s="149">
        <f t="shared" si="391"/>
        <v>0</v>
      </c>
      <c r="AE87" s="150">
        <f t="shared" si="391"/>
        <v>0</v>
      </c>
      <c r="AF87" s="147">
        <f t="shared" si="391"/>
        <v>0</v>
      </c>
      <c r="AG87" s="148">
        <f t="shared" si="391"/>
        <v>0</v>
      </c>
      <c r="AH87" s="149">
        <f t="shared" si="391"/>
        <v>425</v>
      </c>
      <c r="AI87" s="149">
        <f t="shared" si="391"/>
        <v>0</v>
      </c>
      <c r="AJ87" s="150">
        <f t="shared" si="391"/>
        <v>350</v>
      </c>
      <c r="AK87" s="147">
        <f t="shared" si="391"/>
        <v>775</v>
      </c>
      <c r="AL87" s="148">
        <f t="shared" si="391"/>
        <v>0</v>
      </c>
      <c r="AM87" s="149">
        <f t="shared" si="391"/>
        <v>850</v>
      </c>
      <c r="AN87" s="149">
        <f t="shared" si="391"/>
        <v>0</v>
      </c>
      <c r="AO87" s="150">
        <f t="shared" si="391"/>
        <v>0</v>
      </c>
      <c r="AP87" s="147">
        <f t="shared" si="391"/>
        <v>850</v>
      </c>
      <c r="AQ87" s="148">
        <f t="shared" si="391"/>
        <v>0</v>
      </c>
      <c r="AR87" s="149">
        <f t="shared" si="391"/>
        <v>1250</v>
      </c>
      <c r="AS87" s="149">
        <f t="shared" si="391"/>
        <v>-250</v>
      </c>
      <c r="AT87" s="150">
        <f t="shared" si="391"/>
        <v>0</v>
      </c>
      <c r="AU87" s="147">
        <f t="shared" si="391"/>
        <v>1000</v>
      </c>
      <c r="AV87" s="148">
        <f t="shared" si="391"/>
        <v>0</v>
      </c>
      <c r="AW87" s="149">
        <f t="shared" si="391"/>
        <v>1150</v>
      </c>
      <c r="AX87" s="149">
        <f t="shared" si="391"/>
        <v>0</v>
      </c>
      <c r="AY87" s="150">
        <f t="shared" si="391"/>
        <v>-9</v>
      </c>
      <c r="AZ87" s="147">
        <f t="shared" si="391"/>
        <v>1141</v>
      </c>
      <c r="BA87" s="148">
        <f t="shared" si="391"/>
        <v>-300</v>
      </c>
      <c r="BB87" s="149">
        <f t="shared" si="391"/>
        <v>966</v>
      </c>
      <c r="BC87" s="149">
        <f t="shared" si="391"/>
        <v>0</v>
      </c>
      <c r="BD87" s="150">
        <f t="shared" si="391"/>
        <v>0</v>
      </c>
      <c r="BE87" s="147">
        <f t="shared" si="391"/>
        <v>666</v>
      </c>
      <c r="BF87" s="235"/>
      <c r="BG87" s="152">
        <f t="shared" ref="BG87:CZ87" si="392">+BG75+BG85</f>
        <v>0</v>
      </c>
      <c r="BH87" s="153">
        <f t="shared" si="392"/>
        <v>0</v>
      </c>
      <c r="BI87" s="154">
        <f t="shared" si="392"/>
        <v>0</v>
      </c>
      <c r="BJ87" s="154">
        <f t="shared" si="392"/>
        <v>0</v>
      </c>
      <c r="BK87" s="155">
        <f t="shared" si="392"/>
        <v>0</v>
      </c>
      <c r="BL87" s="152">
        <f t="shared" si="392"/>
        <v>0</v>
      </c>
      <c r="BM87" s="153">
        <f t="shared" si="392"/>
        <v>0</v>
      </c>
      <c r="BN87" s="154">
        <f t="shared" si="392"/>
        <v>0</v>
      </c>
      <c r="BO87" s="154">
        <f t="shared" si="392"/>
        <v>0</v>
      </c>
      <c r="BP87" s="155">
        <f t="shared" si="392"/>
        <v>0</v>
      </c>
      <c r="BQ87" s="152">
        <f t="shared" si="392"/>
        <v>0</v>
      </c>
      <c r="BR87" s="153">
        <f t="shared" si="392"/>
        <v>0</v>
      </c>
      <c r="BS87" s="154">
        <f t="shared" si="392"/>
        <v>0</v>
      </c>
      <c r="BT87" s="154">
        <f t="shared" si="392"/>
        <v>0</v>
      </c>
      <c r="BU87" s="155">
        <f t="shared" si="392"/>
        <v>0</v>
      </c>
      <c r="BV87" s="152">
        <f t="shared" si="392"/>
        <v>0</v>
      </c>
      <c r="BW87" s="153">
        <f t="shared" si="392"/>
        <v>0</v>
      </c>
      <c r="BX87" s="154">
        <f t="shared" si="392"/>
        <v>0</v>
      </c>
      <c r="BY87" s="154">
        <f t="shared" si="392"/>
        <v>0</v>
      </c>
      <c r="BZ87" s="155">
        <f t="shared" si="392"/>
        <v>0</v>
      </c>
      <c r="CA87" s="152">
        <f t="shared" si="392"/>
        <v>0</v>
      </c>
      <c r="CB87" s="153">
        <f t="shared" si="392"/>
        <v>0</v>
      </c>
      <c r="CC87" s="154">
        <f t="shared" si="392"/>
        <v>2.125</v>
      </c>
      <c r="CD87" s="154">
        <f t="shared" si="392"/>
        <v>3.1875</v>
      </c>
      <c r="CE87" s="155">
        <f t="shared" si="392"/>
        <v>5.2874999999999996</v>
      </c>
      <c r="CF87" s="152">
        <f t="shared" si="392"/>
        <v>10.6</v>
      </c>
      <c r="CG87" s="153">
        <f t="shared" si="392"/>
        <v>6.3375000000000004</v>
      </c>
      <c r="CH87" s="154">
        <f t="shared" si="392"/>
        <v>12.670833333333334</v>
      </c>
      <c r="CI87" s="154">
        <f t="shared" si="392"/>
        <v>15.837499999999999</v>
      </c>
      <c r="CJ87" s="155">
        <f t="shared" si="392"/>
        <v>13.737500000000001</v>
      </c>
      <c r="CK87" s="152">
        <f t="shared" si="392"/>
        <v>48.583333333333343</v>
      </c>
      <c r="CL87" s="153">
        <f t="shared" si="392"/>
        <v>12.6875</v>
      </c>
      <c r="CM87" s="154">
        <f t="shared" si="392"/>
        <v>16.354166666666668</v>
      </c>
      <c r="CN87" s="154">
        <f t="shared" si="392"/>
        <v>16.791666666666668</v>
      </c>
      <c r="CO87" s="155">
        <f t="shared" si="392"/>
        <v>16.375</v>
      </c>
      <c r="CP87" s="152">
        <f t="shared" si="392"/>
        <v>62.208333333333321</v>
      </c>
      <c r="CQ87" s="153">
        <f t="shared" si="392"/>
        <v>16.375</v>
      </c>
      <c r="CR87" s="154">
        <f t="shared" si="392"/>
        <v>14.458333333333332</v>
      </c>
      <c r="CS87" s="154">
        <f t="shared" si="392"/>
        <v>14.895833333333334</v>
      </c>
      <c r="CT87" s="155">
        <f t="shared" si="392"/>
        <v>15.206900000000001</v>
      </c>
      <c r="CU87" s="152">
        <f t="shared" si="392"/>
        <v>60.936066666666662</v>
      </c>
      <c r="CV87" s="153">
        <f t="shared" si="392"/>
        <v>14.6791</v>
      </c>
      <c r="CW87" s="154">
        <f t="shared" si="392"/>
        <v>11.654516666666666</v>
      </c>
      <c r="CX87" s="154">
        <f t="shared" si="392"/>
        <v>9.06785</v>
      </c>
      <c r="CY87" s="155">
        <f t="shared" si="392"/>
        <v>9.173449999999999</v>
      </c>
      <c r="CZ87" s="152">
        <f t="shared" si="392"/>
        <v>44.574916666666667</v>
      </c>
    </row>
    <row r="88" spans="1:104" ht="12.75" customHeight="1">
      <c r="A88" s="7"/>
      <c r="B88" s="7"/>
      <c r="C88" s="123"/>
      <c r="D88" s="123"/>
      <c r="E88" s="142"/>
      <c r="F88" s="156"/>
      <c r="G88" s="156"/>
      <c r="H88" s="144"/>
      <c r="I88" s="145"/>
      <c r="J88" s="146"/>
      <c r="K88" s="234"/>
      <c r="L88" s="147"/>
      <c r="M88" s="148"/>
      <c r="N88" s="149"/>
      <c r="O88" s="149"/>
      <c r="P88" s="150"/>
      <c r="Q88" s="147"/>
      <c r="R88" s="148"/>
      <c r="S88" s="149"/>
      <c r="T88" s="149"/>
      <c r="U88" s="150"/>
      <c r="V88" s="147"/>
      <c r="W88" s="148"/>
      <c r="X88" s="149"/>
      <c r="Y88" s="149"/>
      <c r="Z88" s="150"/>
      <c r="AA88" s="147"/>
      <c r="AB88" s="148"/>
      <c r="AC88" s="149"/>
      <c r="AD88" s="149"/>
      <c r="AE88" s="150"/>
      <c r="AF88" s="147"/>
      <c r="AG88" s="148"/>
      <c r="AH88" s="149"/>
      <c r="AI88" s="149"/>
      <c r="AJ88" s="150"/>
      <c r="AK88" s="147"/>
      <c r="AL88" s="148"/>
      <c r="AM88" s="149"/>
      <c r="AN88" s="149"/>
      <c r="AO88" s="150"/>
      <c r="AP88" s="147"/>
      <c r="AQ88" s="148"/>
      <c r="AR88" s="149"/>
      <c r="AS88" s="149"/>
      <c r="AT88" s="150"/>
      <c r="AU88" s="147"/>
      <c r="AV88" s="148"/>
      <c r="AW88" s="149"/>
      <c r="AX88" s="149"/>
      <c r="AY88" s="150"/>
      <c r="AZ88" s="147"/>
      <c r="BA88" s="148"/>
      <c r="BB88" s="149"/>
      <c r="BC88" s="149"/>
      <c r="BD88" s="150"/>
      <c r="BE88" s="147"/>
      <c r="BF88" s="235"/>
      <c r="BG88" s="152"/>
      <c r="BH88" s="153"/>
      <c r="BI88" s="154"/>
      <c r="BJ88" s="154"/>
      <c r="BK88" s="155"/>
      <c r="BL88" s="152"/>
      <c r="BM88" s="153"/>
      <c r="BN88" s="154"/>
      <c r="BO88" s="154"/>
      <c r="BP88" s="155"/>
      <c r="BQ88" s="152"/>
      <c r="BR88" s="153"/>
      <c r="BS88" s="154"/>
      <c r="BT88" s="154"/>
      <c r="BU88" s="155"/>
      <c r="BV88" s="152"/>
      <c r="BW88" s="153"/>
      <c r="BX88" s="154"/>
      <c r="BY88" s="154"/>
      <c r="BZ88" s="155"/>
      <c r="CA88" s="152"/>
      <c r="CB88" s="153"/>
      <c r="CC88" s="154"/>
      <c r="CD88" s="154"/>
      <c r="CE88" s="155"/>
      <c r="CF88" s="152"/>
      <c r="CG88" s="153"/>
      <c r="CH88" s="154"/>
      <c r="CI88" s="154"/>
      <c r="CJ88" s="155"/>
      <c r="CK88" s="152"/>
      <c r="CL88" s="153"/>
      <c r="CM88" s="154"/>
      <c r="CN88" s="154"/>
      <c r="CO88" s="155"/>
      <c r="CP88" s="152"/>
      <c r="CQ88" s="153"/>
      <c r="CR88" s="154"/>
      <c r="CS88" s="154"/>
      <c r="CT88" s="155"/>
      <c r="CU88" s="152"/>
      <c r="CV88" s="153"/>
      <c r="CW88" s="154"/>
      <c r="CX88" s="154"/>
      <c r="CY88" s="155"/>
      <c r="CZ88" s="152"/>
    </row>
    <row r="89" spans="1:104" ht="12.75" customHeight="1" thickBot="1">
      <c r="A89" s="7"/>
      <c r="B89" s="93"/>
      <c r="C89" s="157"/>
      <c r="D89" s="157"/>
      <c r="E89" s="236"/>
      <c r="F89" s="237"/>
      <c r="G89" s="237"/>
      <c r="H89" s="158"/>
      <c r="I89" s="159"/>
      <c r="J89" s="160"/>
      <c r="K89" s="254"/>
      <c r="L89" s="255"/>
      <c r="M89" s="239"/>
      <c r="N89" s="240"/>
      <c r="O89" s="240"/>
      <c r="P89" s="241"/>
      <c r="Q89" s="255"/>
      <c r="R89" s="239"/>
      <c r="S89" s="240"/>
      <c r="T89" s="240"/>
      <c r="U89" s="241"/>
      <c r="V89" s="255"/>
      <c r="W89" s="239"/>
      <c r="X89" s="240"/>
      <c r="Y89" s="240"/>
      <c r="Z89" s="241"/>
      <c r="AA89" s="255"/>
      <c r="AB89" s="239"/>
      <c r="AC89" s="240"/>
      <c r="AD89" s="240"/>
      <c r="AE89" s="241"/>
      <c r="AF89" s="255"/>
      <c r="AG89" s="239"/>
      <c r="AH89" s="240"/>
      <c r="AI89" s="240"/>
      <c r="AJ89" s="241"/>
      <c r="AK89" s="255"/>
      <c r="AL89" s="239"/>
      <c r="AM89" s="240"/>
      <c r="AN89" s="240"/>
      <c r="AO89" s="241"/>
      <c r="AP89" s="255"/>
      <c r="AQ89" s="239"/>
      <c r="AR89" s="240"/>
      <c r="AS89" s="240"/>
      <c r="AT89" s="241"/>
      <c r="AU89" s="255"/>
      <c r="AV89" s="239"/>
      <c r="AW89" s="240"/>
      <c r="AX89" s="240"/>
      <c r="AY89" s="241"/>
      <c r="AZ89" s="255"/>
      <c r="BA89" s="239"/>
      <c r="BB89" s="240"/>
      <c r="BC89" s="240"/>
      <c r="BD89" s="241"/>
      <c r="BE89" s="255"/>
      <c r="BF89" s="256"/>
      <c r="BG89" s="257"/>
      <c r="BH89" s="243"/>
      <c r="BI89" s="244"/>
      <c r="BJ89" s="244"/>
      <c r="BK89" s="245"/>
      <c r="BL89" s="257"/>
      <c r="BM89" s="243"/>
      <c r="BN89" s="244"/>
      <c r="BO89" s="244"/>
      <c r="BP89" s="245"/>
      <c r="BQ89" s="257"/>
      <c r="BR89" s="243"/>
      <c r="BS89" s="244"/>
      <c r="BT89" s="244"/>
      <c r="BU89" s="245"/>
      <c r="BV89" s="257"/>
      <c r="BW89" s="243"/>
      <c r="BX89" s="244"/>
      <c r="BY89" s="244"/>
      <c r="BZ89" s="245"/>
      <c r="CA89" s="257"/>
      <c r="CB89" s="243"/>
      <c r="CC89" s="244"/>
      <c r="CD89" s="244"/>
      <c r="CE89" s="245"/>
      <c r="CF89" s="257"/>
      <c r="CG89" s="243"/>
      <c r="CH89" s="244"/>
      <c r="CI89" s="244"/>
      <c r="CJ89" s="245"/>
      <c r="CK89" s="257"/>
      <c r="CL89" s="243"/>
      <c r="CM89" s="244"/>
      <c r="CN89" s="244"/>
      <c r="CO89" s="245"/>
      <c r="CP89" s="257"/>
      <c r="CQ89" s="243"/>
      <c r="CR89" s="244"/>
      <c r="CS89" s="244"/>
      <c r="CT89" s="245"/>
      <c r="CU89" s="257"/>
      <c r="CV89" s="243"/>
      <c r="CW89" s="244"/>
      <c r="CX89" s="244"/>
      <c r="CY89" s="245"/>
      <c r="CZ89" s="257"/>
    </row>
    <row r="90" spans="1:104" ht="12.75" customHeight="1">
      <c r="A90" s="7"/>
      <c r="B90" s="105" t="s">
        <v>478</v>
      </c>
      <c r="C90" s="106"/>
      <c r="D90" s="19"/>
      <c r="E90" s="107"/>
      <c r="F90" s="108"/>
      <c r="G90" s="108"/>
      <c r="H90" s="165"/>
      <c r="I90" s="165"/>
      <c r="J90" s="246"/>
      <c r="K90" s="112"/>
      <c r="L90" s="113"/>
      <c r="M90" s="114"/>
      <c r="N90" s="115"/>
      <c r="O90" s="115"/>
      <c r="P90" s="116"/>
      <c r="Q90" s="113"/>
      <c r="R90" s="114"/>
      <c r="S90" s="115"/>
      <c r="T90" s="115"/>
      <c r="U90" s="116"/>
      <c r="V90" s="113"/>
      <c r="W90" s="114"/>
      <c r="X90" s="115"/>
      <c r="Y90" s="115"/>
      <c r="Z90" s="116"/>
      <c r="AA90" s="113"/>
      <c r="AB90" s="114"/>
      <c r="AC90" s="115"/>
      <c r="AD90" s="115"/>
      <c r="AE90" s="116"/>
      <c r="AF90" s="113"/>
      <c r="AG90" s="114"/>
      <c r="AH90" s="115"/>
      <c r="AI90" s="115"/>
      <c r="AJ90" s="116"/>
      <c r="AK90" s="113"/>
      <c r="AL90" s="114"/>
      <c r="AM90" s="115"/>
      <c r="AN90" s="115"/>
      <c r="AO90" s="116"/>
      <c r="AP90" s="113"/>
      <c r="AQ90" s="114"/>
      <c r="AR90" s="115"/>
      <c r="AS90" s="115"/>
      <c r="AT90" s="116"/>
      <c r="AU90" s="113"/>
      <c r="AV90" s="114"/>
      <c r="AW90" s="115"/>
      <c r="AX90" s="115"/>
      <c r="AY90" s="116"/>
      <c r="AZ90" s="113"/>
      <c r="BA90" s="114"/>
      <c r="BB90" s="115"/>
      <c r="BC90" s="115"/>
      <c r="BD90" s="116"/>
      <c r="BE90" s="113"/>
      <c r="BF90" s="222"/>
      <c r="BG90" s="118"/>
      <c r="BH90" s="119"/>
      <c r="BI90" s="120"/>
      <c r="BJ90" s="120"/>
      <c r="BK90" s="121"/>
      <c r="BL90" s="118"/>
      <c r="BM90" s="119"/>
      <c r="BN90" s="120"/>
      <c r="BO90" s="120"/>
      <c r="BP90" s="121"/>
      <c r="BQ90" s="118"/>
      <c r="BR90" s="119"/>
      <c r="BS90" s="120"/>
      <c r="BT90" s="120"/>
      <c r="BU90" s="121"/>
      <c r="BV90" s="118"/>
      <c r="BW90" s="119"/>
      <c r="BX90" s="120"/>
      <c r="BY90" s="120"/>
      <c r="BZ90" s="121"/>
      <c r="CA90" s="118"/>
      <c r="CB90" s="119"/>
      <c r="CC90" s="120"/>
      <c r="CD90" s="120"/>
      <c r="CE90" s="121"/>
      <c r="CF90" s="118"/>
      <c r="CG90" s="119"/>
      <c r="CH90" s="120"/>
      <c r="CI90" s="120"/>
      <c r="CJ90" s="121"/>
      <c r="CK90" s="118"/>
      <c r="CL90" s="119"/>
      <c r="CM90" s="120"/>
      <c r="CN90" s="120"/>
      <c r="CO90" s="121"/>
      <c r="CP90" s="118"/>
      <c r="CQ90" s="119"/>
      <c r="CR90" s="120"/>
      <c r="CS90" s="120"/>
      <c r="CT90" s="121"/>
      <c r="CU90" s="118"/>
      <c r="CV90" s="119"/>
      <c r="CW90" s="120"/>
      <c r="CX90" s="120"/>
      <c r="CY90" s="121"/>
      <c r="CZ90" s="118"/>
    </row>
    <row r="91" spans="1:104" ht="12.75" customHeight="1">
      <c r="A91" s="7"/>
      <c r="B91" s="259"/>
      <c r="C91" s="69"/>
      <c r="D91" s="2"/>
      <c r="E91" s="107"/>
      <c r="F91" s="108"/>
      <c r="G91" s="108"/>
      <c r="H91" s="165"/>
      <c r="I91" s="165"/>
      <c r="J91" s="246"/>
      <c r="K91" s="112"/>
      <c r="L91" s="113"/>
      <c r="M91" s="114"/>
      <c r="N91" s="115"/>
      <c r="O91" s="115"/>
      <c r="P91" s="116"/>
      <c r="Q91" s="113"/>
      <c r="R91" s="114"/>
      <c r="S91" s="115"/>
      <c r="T91" s="115"/>
      <c r="U91" s="116"/>
      <c r="V91" s="113"/>
      <c r="W91" s="114"/>
      <c r="X91" s="115"/>
      <c r="Y91" s="115"/>
      <c r="Z91" s="116"/>
      <c r="AA91" s="113"/>
      <c r="AB91" s="114"/>
      <c r="AC91" s="115"/>
      <c r="AD91" s="115"/>
      <c r="AE91" s="116"/>
      <c r="AF91" s="113"/>
      <c r="AG91" s="114"/>
      <c r="AH91" s="115"/>
      <c r="AI91" s="115"/>
      <c r="AJ91" s="116"/>
      <c r="AK91" s="113"/>
      <c r="AL91" s="114"/>
      <c r="AM91" s="115"/>
      <c r="AN91" s="115"/>
      <c r="AO91" s="116"/>
      <c r="AP91" s="113"/>
      <c r="AQ91" s="114"/>
      <c r="AR91" s="115"/>
      <c r="AS91" s="115"/>
      <c r="AT91" s="116"/>
      <c r="AU91" s="113"/>
      <c r="AV91" s="114"/>
      <c r="AW91" s="115"/>
      <c r="AX91" s="115"/>
      <c r="AY91" s="116"/>
      <c r="AZ91" s="113"/>
      <c r="BA91" s="114"/>
      <c r="BB91" s="115"/>
      <c r="BC91" s="115"/>
      <c r="BD91" s="116"/>
      <c r="BE91" s="113"/>
      <c r="BF91" s="222"/>
      <c r="BG91" s="118"/>
      <c r="BH91" s="119"/>
      <c r="BI91" s="120"/>
      <c r="BJ91" s="120"/>
      <c r="BK91" s="121"/>
      <c r="BL91" s="118"/>
      <c r="BM91" s="119"/>
      <c r="BN91" s="120"/>
      <c r="BO91" s="120"/>
      <c r="BP91" s="121"/>
      <c r="BQ91" s="118"/>
      <c r="BR91" s="119"/>
      <c r="BS91" s="120"/>
      <c r="BT91" s="120"/>
      <c r="BU91" s="121"/>
      <c r="BV91" s="118"/>
      <c r="BW91" s="119"/>
      <c r="BX91" s="120"/>
      <c r="BY91" s="120"/>
      <c r="BZ91" s="121"/>
      <c r="CA91" s="118"/>
      <c r="CB91" s="119"/>
      <c r="CC91" s="120"/>
      <c r="CD91" s="120"/>
      <c r="CE91" s="121"/>
      <c r="CF91" s="118"/>
      <c r="CG91" s="119"/>
      <c r="CH91" s="120"/>
      <c r="CI91" s="120"/>
      <c r="CJ91" s="121"/>
      <c r="CK91" s="118"/>
      <c r="CL91" s="119"/>
      <c r="CM91" s="120"/>
      <c r="CN91" s="120"/>
      <c r="CO91" s="121"/>
      <c r="CP91" s="118"/>
      <c r="CQ91" s="119"/>
      <c r="CR91" s="120"/>
      <c r="CS91" s="120"/>
      <c r="CT91" s="121"/>
      <c r="CU91" s="118"/>
      <c r="CV91" s="119"/>
      <c r="CW91" s="120"/>
      <c r="CX91" s="120"/>
      <c r="CY91" s="121"/>
      <c r="CZ91" s="118"/>
    </row>
    <row r="92" spans="1:104" ht="12.75" customHeight="1">
      <c r="A92" s="7"/>
      <c r="B92" s="7"/>
      <c r="C92" s="181" t="s">
        <v>582</v>
      </c>
      <c r="D92" s="181"/>
      <c r="E92" s="267"/>
      <c r="F92" s="165"/>
      <c r="G92" s="165"/>
      <c r="H92" s="214"/>
      <c r="I92" s="110"/>
      <c r="J92" s="111"/>
      <c r="K92" s="247"/>
      <c r="L92" s="113"/>
      <c r="M92" s="114"/>
      <c r="N92" s="115"/>
      <c r="O92" s="115"/>
      <c r="P92" s="116"/>
      <c r="Q92" s="113"/>
      <c r="R92" s="114"/>
      <c r="S92" s="115"/>
      <c r="T92" s="115"/>
      <c r="U92" s="116"/>
      <c r="V92" s="113"/>
      <c r="W92" s="114"/>
      <c r="X92" s="115"/>
      <c r="Y92" s="115"/>
      <c r="Z92" s="116"/>
      <c r="AA92" s="113"/>
      <c r="AB92" s="114"/>
      <c r="AC92" s="115"/>
      <c r="AD92" s="115"/>
      <c r="AE92" s="116"/>
      <c r="AF92" s="113"/>
      <c r="AG92" s="114"/>
      <c r="AH92" s="115"/>
      <c r="AI92" s="115"/>
      <c r="AJ92" s="116"/>
      <c r="AK92" s="113"/>
      <c r="AL92" s="114"/>
      <c r="AM92" s="115"/>
      <c r="AN92" s="115"/>
      <c r="AO92" s="116"/>
      <c r="AP92" s="113"/>
      <c r="AQ92" s="114"/>
      <c r="AR92" s="115"/>
      <c r="AS92" s="115"/>
      <c r="AT92" s="116"/>
      <c r="AU92" s="113"/>
      <c r="AV92" s="114"/>
      <c r="AW92" s="115"/>
      <c r="AX92" s="115"/>
      <c r="AY92" s="116"/>
      <c r="AZ92" s="113"/>
      <c r="BA92" s="114"/>
      <c r="BB92" s="115"/>
      <c r="BC92" s="115"/>
      <c r="BD92" s="116"/>
      <c r="BE92" s="113"/>
      <c r="BF92" s="222"/>
      <c r="BG92" s="118"/>
      <c r="BH92" s="119"/>
      <c r="BI92" s="120"/>
      <c r="BJ92" s="120"/>
      <c r="BK92" s="121"/>
      <c r="BL92" s="118"/>
      <c r="BM92" s="119"/>
      <c r="BN92" s="120"/>
      <c r="BO92" s="120"/>
      <c r="BP92" s="121"/>
      <c r="BQ92" s="118"/>
      <c r="BR92" s="119"/>
      <c r="BS92" s="120"/>
      <c r="BT92" s="120"/>
      <c r="BU92" s="121"/>
      <c r="BV92" s="118"/>
      <c r="BW92" s="119"/>
      <c r="BX92" s="120"/>
      <c r="BY92" s="120"/>
      <c r="BZ92" s="121"/>
      <c r="CA92" s="118"/>
      <c r="CB92" s="119"/>
      <c r="CC92" s="120"/>
      <c r="CD92" s="120"/>
      <c r="CE92" s="121"/>
      <c r="CF92" s="118"/>
      <c r="CG92" s="119"/>
      <c r="CH92" s="120"/>
      <c r="CI92" s="120"/>
      <c r="CJ92" s="121"/>
      <c r="CK92" s="118"/>
      <c r="CL92" s="119"/>
      <c r="CM92" s="120"/>
      <c r="CN92" s="120"/>
      <c r="CO92" s="121"/>
      <c r="CP92" s="118"/>
      <c r="CQ92" s="119"/>
      <c r="CR92" s="120"/>
      <c r="CS92" s="120"/>
      <c r="CT92" s="121"/>
      <c r="CU92" s="118"/>
      <c r="CV92" s="119"/>
      <c r="CW92" s="120"/>
      <c r="CX92" s="120"/>
      <c r="CY92" s="121"/>
      <c r="CZ92" s="118"/>
    </row>
    <row r="93" spans="1:104" ht="12.75" customHeight="1">
      <c r="A93" s="7"/>
      <c r="B93" s="7"/>
      <c r="C93" s="268" t="s">
        <v>467</v>
      </c>
      <c r="D93" s="190"/>
      <c r="E93" s="582"/>
      <c r="F93" s="583"/>
      <c r="G93" s="583"/>
      <c r="H93" s="584"/>
      <c r="I93" s="585"/>
      <c r="J93" s="586"/>
      <c r="K93" s="112"/>
      <c r="L93" s="113"/>
      <c r="M93" s="114"/>
      <c r="N93" s="115"/>
      <c r="O93" s="115"/>
      <c r="P93" s="116"/>
      <c r="Q93" s="113"/>
      <c r="R93" s="114"/>
      <c r="S93" s="115"/>
      <c r="T93" s="115"/>
      <c r="U93" s="116"/>
      <c r="V93" s="113"/>
      <c r="W93" s="114"/>
      <c r="X93" s="115"/>
      <c r="Y93" s="115"/>
      <c r="Z93" s="116"/>
      <c r="AA93" s="113"/>
      <c r="AB93" s="114"/>
      <c r="AC93" s="115"/>
      <c r="AD93" s="115"/>
      <c r="AE93" s="116"/>
      <c r="AF93" s="113"/>
      <c r="AG93" s="114"/>
      <c r="AH93" s="115"/>
      <c r="AI93" s="115"/>
      <c r="AJ93" s="116"/>
      <c r="AK93" s="113"/>
      <c r="AL93" s="114"/>
      <c r="AM93" s="115"/>
      <c r="AN93" s="115"/>
      <c r="AO93" s="116"/>
      <c r="AP93" s="113"/>
      <c r="AQ93" s="114"/>
      <c r="AR93" s="115"/>
      <c r="AS93" s="115"/>
      <c r="AT93" s="116"/>
      <c r="AU93" s="113"/>
      <c r="AV93" s="114"/>
      <c r="AW93" s="115"/>
      <c r="AX93" s="115"/>
      <c r="AY93" s="116"/>
      <c r="AZ93" s="113"/>
      <c r="BA93" s="114"/>
      <c r="BB93" s="115"/>
      <c r="BC93" s="115"/>
      <c r="BD93" s="116"/>
      <c r="BE93" s="113"/>
      <c r="BF93" s="194"/>
      <c r="BG93" s="118"/>
      <c r="BH93" s="119"/>
      <c r="BI93" s="120"/>
      <c r="BJ93" s="120"/>
      <c r="BK93" s="121"/>
      <c r="BL93" s="118"/>
      <c r="BM93" s="119"/>
      <c r="BN93" s="120"/>
      <c r="BO93" s="120"/>
      <c r="BP93" s="121"/>
      <c r="BQ93" s="118"/>
      <c r="BR93" s="119"/>
      <c r="BS93" s="120"/>
      <c r="BT93" s="120"/>
      <c r="BU93" s="121"/>
      <c r="BV93" s="118"/>
      <c r="BW93" s="119"/>
      <c r="BX93" s="120"/>
      <c r="BY93" s="120"/>
      <c r="BZ93" s="121"/>
      <c r="CA93" s="118"/>
      <c r="CB93" s="119"/>
      <c r="CC93" s="120"/>
      <c r="CD93" s="120"/>
      <c r="CE93" s="121"/>
      <c r="CF93" s="118"/>
      <c r="CG93" s="119"/>
      <c r="CH93" s="120"/>
      <c r="CI93" s="120"/>
      <c r="CJ93" s="121"/>
      <c r="CK93" s="118"/>
      <c r="CL93" s="119"/>
      <c r="CM93" s="120"/>
      <c r="CN93" s="120"/>
      <c r="CO93" s="121"/>
      <c r="CP93" s="118"/>
      <c r="CQ93" s="119"/>
      <c r="CR93" s="120"/>
      <c r="CS93" s="120"/>
      <c r="CT93" s="121"/>
      <c r="CU93" s="118"/>
      <c r="CV93" s="119"/>
      <c r="CW93" s="120"/>
      <c r="CX93" s="120"/>
      <c r="CY93" s="121"/>
      <c r="CZ93" s="118"/>
    </row>
    <row r="94" spans="1:104" ht="12.75" customHeight="1">
      <c r="A94" s="7"/>
      <c r="B94" s="7"/>
      <c r="C94" s="7" t="s">
        <v>871</v>
      </c>
      <c r="D94" s="204"/>
      <c r="E94" s="191">
        <f t="shared" ref="E94:E100" si="393">IF(F94=0,G94,F94)</f>
        <v>250</v>
      </c>
      <c r="F94" s="1347">
        <v>250</v>
      </c>
      <c r="G94" s="1347">
        <v>250</v>
      </c>
      <c r="H94" s="1217">
        <v>2018</v>
      </c>
      <c r="I94" s="443">
        <v>2.4500000000000001E-2</v>
      </c>
      <c r="J94" s="442">
        <v>11</v>
      </c>
      <c r="K94" s="112"/>
      <c r="L94" s="113">
        <f t="shared" ref="L94:L100" si="394">IF(L$5=$H94,-$E94,0)</f>
        <v>0</v>
      </c>
      <c r="M94" s="114">
        <f t="shared" ref="M94:M100" si="395">IF(Q94=0,0,IF(Q94&lt;0,IF($J94=3,Q94,IF($J94=2,Q94,IF($J94=1,Q94,0)))))</f>
        <v>0</v>
      </c>
      <c r="N94" s="115">
        <f t="shared" ref="N94:N100" si="396">IF(Q94=0,0,IF(Q94&lt;0,IF($J94=6,Q94,IF($J94=5,Q94,IF($J94=4,Q94,0)))))</f>
        <v>0</v>
      </c>
      <c r="O94" s="115">
        <f t="shared" ref="O94:O100" si="397">IF(Q94=0,0,IF(Q94&lt;0,IF($J94=9,Q94,IF($J94=8,Q94,IF($J94=7,Q94,0)))))</f>
        <v>0</v>
      </c>
      <c r="P94" s="116">
        <f t="shared" ref="P94:P100" si="398">IF(Q94=0,0,IF(Q94&lt;0,IF($J94=12,Q94,IF($J94=11,Q94,IF($J94=10,Q94,0)))))</f>
        <v>0</v>
      </c>
      <c r="Q94" s="113">
        <f t="shared" ref="Q94:Q100" si="399">IF(Q$5=$H94,-$E94,0)</f>
        <v>0</v>
      </c>
      <c r="R94" s="114">
        <f t="shared" ref="R94:R100" si="400">IF(V94=0,0,IF(V94&lt;0,IF($J94=3,V94,IF($J94=2,V94,IF($J94=1,V94,0)))))</f>
        <v>0</v>
      </c>
      <c r="S94" s="115">
        <f t="shared" ref="S94:S100" si="401">IF(V94=0,0,IF(V94&lt;0,IF($J94=6,V94,IF($J94=5,V94,IF($J94=4,V94,0)))))</f>
        <v>0</v>
      </c>
      <c r="T94" s="115">
        <f t="shared" ref="T94:T100" si="402">IF(V94=0,0,IF(V94&lt;0,IF($J94=9,V94,IF($J94=8,V94,IF($J94=7,V94,0)))))</f>
        <v>0</v>
      </c>
      <c r="U94" s="116">
        <f t="shared" ref="U94:U100" si="403">IF(V94=0,0,IF(V94&lt;0,IF($J94=12,V94,IF($J94=11,V94,IF($J94=10,V94,0)))))</f>
        <v>0</v>
      </c>
      <c r="V94" s="113">
        <f t="shared" ref="V94:V100" si="404">IF(V$5=$H94,-$E94,0)</f>
        <v>0</v>
      </c>
      <c r="W94" s="114">
        <f t="shared" ref="W94:W100" si="405">IF(AA94=0,0,IF(AA94&lt;0,IF($J94=3,AA94,IF($J94=2,AA94,IF($J94=1,AA94,0)))))</f>
        <v>0</v>
      </c>
      <c r="X94" s="115">
        <f t="shared" ref="X94:X100" si="406">IF(AA94=0,0,IF(AA94&lt;0,IF($J94=6,AA94,IF($J94=5,AA94,IF($J94=4,AA94,0)))))</f>
        <v>0</v>
      </c>
      <c r="Y94" s="115">
        <f t="shared" ref="Y94:Y100" si="407">IF(AA94=0,0,IF(AA94&lt;0,IF($J94=9,AA94,IF($J94=8,AA94,IF($J94=7,AA94,0)))))</f>
        <v>0</v>
      </c>
      <c r="Z94" s="116">
        <f t="shared" ref="Z94:Z100" si="408">IF(AA94=0,0,IF(AA94&lt;0,IF($J94=12,AA94,IF($J94=11,AA94,IF($J94=10,AA94,0)))))</f>
        <v>0</v>
      </c>
      <c r="AA94" s="113">
        <f t="shared" ref="AA94:AA100" si="409">IF(AA$5=$H94,-$E94,0)</f>
        <v>0</v>
      </c>
      <c r="AB94" s="114">
        <f t="shared" ref="AB94:AB100" si="410">IF(AF94=0,0,IF(AF94&lt;0,IF($J94=3,AF94,IF($J94=2,AF94,IF($J94=1,AF94,0)))))</f>
        <v>0</v>
      </c>
      <c r="AC94" s="115">
        <f t="shared" ref="AC94:AC100" si="411">IF(AF94=0,0,IF(AF94&lt;0,IF($J94=6,AF94,IF($J94=5,AF94,IF($J94=4,AF94,0)))))</f>
        <v>0</v>
      </c>
      <c r="AD94" s="115">
        <f t="shared" ref="AD94:AD100" si="412">IF(AF94=0,0,IF(AF94&lt;0,IF($J94=9,AF94,IF($J94=8,AF94,IF($J94=7,AF94,0)))))</f>
        <v>0</v>
      </c>
      <c r="AE94" s="116">
        <f t="shared" ref="AE94:AE100" si="413">IF(AF94=0,0,IF(AF94&lt;0,IF($J94=12,AF94,IF($J94=11,AF94,IF($J94=10,AF94,0)))))</f>
        <v>0</v>
      </c>
      <c r="AF94" s="113">
        <f t="shared" ref="AF94:AF100" si="414">IF(AF$5=$H94,-$E94,0)</f>
        <v>0</v>
      </c>
      <c r="AG94" s="114">
        <f t="shared" ref="AG94:AG99" si="415">IF(AK94=0,0,IF(AK94&lt;0,IF($J94=3,AK94,IF($J94=2,AK94,IF($J94=1,AK94,0)))))</f>
        <v>0</v>
      </c>
      <c r="AH94" s="115">
        <f t="shared" ref="AH94:AH99" si="416">IF(AK94=0,0,IF(AK94&lt;0,IF($J94=6,AK94,IF($J94=5,AK94,IF($J94=4,AK94,0)))))</f>
        <v>0</v>
      </c>
      <c r="AI94" s="115">
        <f t="shared" ref="AI94:AI99" si="417">IF(AK94=0,0,IF(AK94&lt;0,IF($J94=9,AK94,IF($J94=8,AK94,IF($J94=7,AK94,0)))))</f>
        <v>0</v>
      </c>
      <c r="AJ94" s="116">
        <f t="shared" ref="AJ94:AJ99" si="418">IF(AK94=0,0,IF(AK94&lt;0,IF($J94=12,AK94,IF($J94=11,AK94,IF($J94=10,AK94,0)))))</f>
        <v>0</v>
      </c>
      <c r="AK94" s="113">
        <f t="shared" ref="AK94:AK100" si="419">IF(AK$5=$H94,-$E94,0)</f>
        <v>0</v>
      </c>
      <c r="AL94" s="114">
        <f t="shared" ref="AL94:AL99" si="420">IF(AP94=0,0,IF(AP94&lt;0,IF($J94=3,AP94,IF($J94=2,AP94,IF($J94=1,AP94,0)))))</f>
        <v>0</v>
      </c>
      <c r="AM94" s="115">
        <f t="shared" ref="AM94:AM99" si="421">IF(AP94=0,0,IF(AP94&lt;0,IF($J94=6,AP94,IF($J94=5,AP94,IF($J94=4,AP94,0)))))</f>
        <v>0</v>
      </c>
      <c r="AN94" s="115">
        <f t="shared" ref="AN94:AN99" si="422">IF(AP94=0,0,IF(AP94&lt;0,IF($J94=9,AP94,IF($J94=8,AP94,IF($J94=7,AP94,0)))))</f>
        <v>0</v>
      </c>
      <c r="AO94" s="116">
        <f t="shared" ref="AO94:AO99" si="423">IF(AP94=0,0,IF(AP94&lt;0,IF($J94=12,AP94,IF($J94=11,AP94,IF($J94=10,AP94,0)))))</f>
        <v>-250</v>
      </c>
      <c r="AP94" s="113">
        <f t="shared" ref="AP94:AP100" si="424">IF(AP$5=$H94,-$E94,0)</f>
        <v>-250</v>
      </c>
      <c r="AQ94" s="114">
        <f t="shared" ref="AQ94:AQ99" si="425">IF(AU94=0,0,IF(AU94&lt;0,IF($J94=3,AU94,IF($J94=2,AU94,IF($J94=1,AU94,0)))))</f>
        <v>0</v>
      </c>
      <c r="AR94" s="115">
        <f t="shared" ref="AR94:AR99" si="426">IF(AU94=0,0,IF(AU94&lt;0,IF($J94=6,AU94,IF($J94=5,AU94,IF($J94=4,AU94,0)))))</f>
        <v>0</v>
      </c>
      <c r="AS94" s="115">
        <f t="shared" ref="AS94:AS99" si="427">IF(AU94=0,0,IF(AU94&lt;0,IF($J94=9,AU94,IF($J94=8,AU94,IF($J94=7,AU94,0)))))</f>
        <v>0</v>
      </c>
      <c r="AT94" s="116">
        <f t="shared" ref="AT94:AT99" si="428">IF(AU94=0,0,IF(AU94&lt;0,IF($J94=12,AU94,IF($J94=11,AU94,IF($J94=10,AU94,0)))))</f>
        <v>0</v>
      </c>
      <c r="AU94" s="113">
        <f t="shared" ref="AU94:AU100" si="429">IF(AU$5=$H94,-$E94,0)</f>
        <v>0</v>
      </c>
      <c r="AV94" s="114">
        <f t="shared" ref="AV94:AV100" si="430">IF(AZ94=0,0,IF(AZ94&lt;0,IF($J94=3,AZ94,IF($J94=2,AZ94,IF($J94=1,AZ94,0)))))</f>
        <v>0</v>
      </c>
      <c r="AW94" s="115">
        <f t="shared" ref="AW94:AW100" si="431">IF(AZ94=0,0,IF(AZ94&lt;0,IF($J94=6,AZ94,IF($J94=5,AZ94,IF($J94=4,AZ94,0)))))</f>
        <v>0</v>
      </c>
      <c r="AX94" s="115">
        <f t="shared" ref="AX94:AX100" si="432">IF(AZ94=0,0,IF(AZ94&lt;0,IF($J94=9,AZ94,IF($J94=8,AZ94,IF($J94=7,AZ94,0)))))</f>
        <v>0</v>
      </c>
      <c r="AY94" s="116">
        <f t="shared" ref="AY94:AY100" si="433">IF(AZ94=0,0,IF(AZ94&lt;0,IF($J94=12,AZ94,IF($J94=11,AZ94,IF($J94=10,AZ94,0)))))</f>
        <v>0</v>
      </c>
      <c r="AZ94" s="113">
        <f t="shared" ref="AZ94:AZ100" si="434">IF(AZ$5=$H94,-$E94,0)</f>
        <v>0</v>
      </c>
      <c r="BA94" s="114">
        <f t="shared" ref="BA94:BA99" si="435">IF(BE94=0,0,IF(BE94&lt;0,IF($J94=3,BE94,IF($J94=2,BE94,IF($J94=1,BE94,0)))))</f>
        <v>0</v>
      </c>
      <c r="BB94" s="115">
        <f t="shared" ref="BB94:BB99" si="436">IF(BE94=0,0,IF(BE94&lt;0,IF($J94=6,BE94,IF($J94=5,BE94,IF($J94=4,BE94,0)))))</f>
        <v>0</v>
      </c>
      <c r="BC94" s="115">
        <f t="shared" ref="BC94:BC99" si="437">IF(BE94=0,0,IF(BE94&lt;0,IF($J94=9,BE94,IF($J94=8,BE94,IF($J94=7,BE94,0)))))</f>
        <v>0</v>
      </c>
      <c r="BD94" s="116">
        <f t="shared" ref="BD94:BD99" si="438">IF(BE94=0,0,IF(BE94&lt;0,IF($J94=12,BE94,IF($J94=11,BE94,IF($J94=10,BE94,0)))))</f>
        <v>0</v>
      </c>
      <c r="BE94" s="113">
        <f t="shared" ref="BE94:BE100" si="439">IF(BE$5=$H94,-$E94,0)</f>
        <v>0</v>
      </c>
      <c r="BF94" s="194"/>
      <c r="BG94" s="118">
        <f t="shared" ref="BG94:BG100" si="440">IF(AND(BF94&lt;&gt;0,BF$5=$H94),-$I94*$E94-BF94,IF(BG$5=$H94,-$I94*$E94*(12-$J94+1)/12,0))</f>
        <v>0</v>
      </c>
      <c r="BH94" s="119">
        <f t="shared" ref="BH94:BH100" si="441">IF($H94&lt;&gt;BL$5,0,IF(BL94&lt;0,IF($J94=1,-$E94*$I94/12*3,IF($J94=2,-$E94*$I94/12*2,IF($J94=3,-$E94*$I94/12*1,0)))))+IF(BG$5&lt;&gt;$H94,0,IF(BG94&lt;0,IF($J94=1,-$E94*$I94/12*0,IF($J94=2,-$E94*$I94/12*1,IF($J94=3,-$E94*$I94/12*2,IF($J94&gt;=4,-$E94*$I94/12*3,0))))))</f>
        <v>0</v>
      </c>
      <c r="BI94" s="120">
        <f t="shared" ref="BI94:BI100" si="442">IF($H94&lt;&gt;BL$5,0,IF(BL94&lt;0,IF(OR($J94=1,$J94=2,$J94=3,$J94=4),-$E94*$I94/12*3,IF($J94=5,-$E94*$I94/12*2,IF($J94=6,-$E94*$I94/12*1,0)))))+IF(BG$5&lt;&gt;$H94,0,IF(BG94&lt;0,IF($J94=4,-$E94*$I94/12*0,IF($J94=5,-$E94*$I94/12*1,IF($J94=6,-$E94*$I94/12*2,IF($J94&gt;=7,-$E94*$I94/12*3,0))))))</f>
        <v>0</v>
      </c>
      <c r="BJ94" s="120">
        <f t="shared" ref="BJ94:BJ100" si="443">IF($H94&lt;&gt;BL$5,0,IF(BL94&lt;0,IF(OR($J94=1,$J94=2,$J94=3,$J94=4,$J94=5,$J94=6,$J94=7),-$E94*$I94/12*3,IF($J94=8,-$E94*$I94/12*2,IF($J94=9,-$E94*$I94/12*1,0)))))+IF(BG$5&lt;&gt;$H94,0,IF(BG94&lt;0,IF($J94=7,-$E94*$I94/12*0,IF($J94=8,-$E94*$I94/12*1,IF($J94=9,-$E94*$I94/12*2,IF($J94&gt;=10,-$E94*$I94/12*3,0))))))</f>
        <v>0</v>
      </c>
      <c r="BK94" s="121">
        <f t="shared" ref="BK94:BK100" si="444">IF($H94&lt;&gt;BL$5,0,IF(BL94&lt;0,IF(OR($J94=1,$J94=2,$J94=3,$J94=4,$J94=5,$J94=6,$J94=7,$J94=8,$J94=9,$J94=10),-$E94*$I94/12*3,IF($J94=11,-$E94*$I94/12*2,IF($J94=12,-$E94*$I94/12*1,0)))))+IF(BG$5&lt;&gt;$H94,0,IF(BG94&lt;0,IF($J94=10,-$E94*$I94/12*0,IF($J94=11,-$E94*$I94/12*1,IF($J94=12,-$E94*$I94/12*2,0)))))</f>
        <v>0</v>
      </c>
      <c r="BL94" s="118">
        <f t="shared" ref="BL94:BL100" si="445">IF(AND(BG94&lt;&gt;0,BG$5=$H94),-$I94*$E94-BG94,IF(BL$5=$H94,-$I94*$E94*(12-$J94+1)/12,0))</f>
        <v>0</v>
      </c>
      <c r="BM94" s="119">
        <f t="shared" ref="BM94:BM100" si="446">IF($H94&lt;&gt;BQ$5,0,IF(BQ94&lt;0,IF($J94=1,-$E94*$I94/12*3,IF($J94=2,-$E94*$I94/12*2,IF($J94=3,-$E94*$I94/12*1,0)))))+IF(BL$5&lt;&gt;$H94,0,IF(BL94&lt;0,IF($J94=1,-$E94*$I94/12*0,IF($J94=2,-$E94*$I94/12*1,IF($J94=3,-$E94*$I94/12*2,IF($J94&gt;=4,-$E94*$I94/12*3,0))))))</f>
        <v>0</v>
      </c>
      <c r="BN94" s="120">
        <f t="shared" ref="BN94:BN100" si="447">IF($H94&lt;&gt;BQ$5,0,IF(BQ94&lt;0,IF(OR($J94=1,$J94=2,$J94=3,$J94=4),-$E94*$I94/12*3,IF($J94=5,-$E94*$I94/12*2,IF($J94=6,-$E94*$I94/12*1,0)))))+IF(BL$5&lt;&gt;$H94,0,IF(BL94&lt;0,IF($J94=4,-$E94*$I94/12*0,IF($J94=5,-$E94*$I94/12*1,IF($J94=6,-$E94*$I94/12*2,IF($J94&gt;=7,-$E94*$I94/12*3,0))))))</f>
        <v>0</v>
      </c>
      <c r="BO94" s="120">
        <f t="shared" ref="BO94:BO100" si="448">IF($H94&lt;&gt;BQ$5,0,IF(BQ94&lt;0,IF(OR($J94=1,$J94=2,$J94=3,$J94=4,$J94=5,$J94=6,$J94=7),-$E94*$I94/12*3,IF($J94=8,-$E94*$I94/12*2,IF($J94=9,-$E94*$I94/12*1,0)))))+IF(BL$5&lt;&gt;$H94,0,IF(BL94&lt;0,IF($J94=7,-$E94*$I94/12*0,IF($J94=8,-$E94*$I94/12*1,IF($J94=9,-$E94*$I94/12*2,IF($J94&gt;=10,-$E94*$I94/12*3,0))))))</f>
        <v>0</v>
      </c>
      <c r="BP94" s="121">
        <f t="shared" ref="BP94:BP100" si="449">IF($H94&lt;&gt;BQ$5,0,IF(BQ94&lt;0,IF(OR($J94=1,$J94=2,$J94=3,$J94=4,$J94=5,$J94=6,$J94=7,$J94=8,$J94=9,$J94=10),-$E94*$I94/12*3,IF($J94=11,-$E94*$I94/12*2,IF($J94=12,-$E94*$I94/12*1,0)))))+IF(BL$5&lt;&gt;$H94,0,IF(BL94&lt;0,IF($J94=10,-$E94*$I94/12*0,IF($J94=11,-$E94*$I94/12*1,IF($J94=12,-$E94*$I94/12*2,0)))))</f>
        <v>0</v>
      </c>
      <c r="BQ94" s="118">
        <f t="shared" ref="BQ94:BQ100" si="450">IF(AND(BL94&lt;&gt;0,BL$5=$H94),-$I94*$E94-BL94,IF(BQ$5=$H94,-$I94*$E94*(12-$J94+1)/12,0))</f>
        <v>0</v>
      </c>
      <c r="BR94" s="119">
        <f t="shared" ref="BR94:BR100" si="451">IF($H94&lt;&gt;BV$5,0,IF(BV94&lt;0,IF($J94=1,-$E94*$I94/12*3,IF($J94=2,-$E94*$I94/12*2,IF($J94=3,-$E94*$I94/12*1,0)))))+IF(BQ$5&lt;&gt;$H94,0,IF(BQ94&lt;0,IF($J94=1,-$E94*$I94/12*0,IF($J94=2,-$E94*$I94/12*1,IF($J94=3,-$E94*$I94/12*2,IF($J94&gt;=4,-$E94*$I94/12*3,0))))))</f>
        <v>0</v>
      </c>
      <c r="BS94" s="120">
        <f t="shared" ref="BS94:BS100" si="452">IF($H94&lt;&gt;BV$5,0,IF(BV94&lt;0,IF(OR($J94=1,$J94=2,$J94=3,$J94=4),-$E94*$I94/12*3,IF($J94=5,-$E94*$I94/12*2,IF($J94=6,-$E94*$I94/12*1,0)))))+IF(BQ$5&lt;&gt;$H94,0,IF(BQ94&lt;0,IF($J94=4,-$E94*$I94/12*0,IF($J94=5,-$E94*$I94/12*1,IF($J94=6,-$E94*$I94/12*2,IF($J94&gt;=7,-$E94*$I94/12*3,0))))))</f>
        <v>0</v>
      </c>
      <c r="BT94" s="120">
        <f t="shared" ref="BT94:BT100" si="453">IF($H94&lt;&gt;BV$5,0,IF(BV94&lt;0,IF(OR($J94=1,$J94=2,$J94=3,$J94=4,$J94=5,$J94=6,$J94=7),-$E94*$I94/12*3,IF($J94=8,-$E94*$I94/12*2,IF($J94=9,-$E94*$I94/12*1,0)))))+IF(BQ$5&lt;&gt;$H94,0,IF(BQ94&lt;0,IF($J94=7,-$E94*$I94/12*0,IF($J94=8,-$E94*$I94/12*1,IF($J94=9,-$E94*$I94/12*2,IF($J94&gt;=10,-$E94*$I94/12*3,0))))))</f>
        <v>0</v>
      </c>
      <c r="BU94" s="121">
        <f t="shared" ref="BU94:BU100" si="454">IF($H94&lt;&gt;BV$5,0,IF(BV94&lt;0,IF(OR($J94=1,$J94=2,$J94=3,$J94=4,$J94=5,$J94=6,$J94=7,$J94=8,$J94=9,$J94=10),-$E94*$I94/12*3,IF($J94=11,-$E94*$I94/12*2,IF($J94=12,-$E94*$I94/12*1,0)))))+IF(BQ$5&lt;&gt;$H94,0,IF(BQ94&lt;0,IF($J94=10,-$E94*$I94/12*0,IF($J94=11,-$E94*$I94/12*1,IF($J94=12,-$E94*$I94/12*2,0)))))</f>
        <v>0</v>
      </c>
      <c r="BV94" s="118">
        <f t="shared" ref="BV94:BV100" si="455">IF(AND(BQ94&lt;&gt;0,BQ$5=$H94),-$I94*$E94-BQ94,IF(BV$5=$H94,-$I94*$E94*(12-$J94+1)/12,0))</f>
        <v>0</v>
      </c>
      <c r="BW94" s="119">
        <f t="shared" ref="BW94:BW100" si="456">IF($H94&lt;&gt;CA$5,0,IF(CA94&lt;0,IF($J94=1,-$E94*$I94/12*3,IF($J94=2,-$E94*$I94/12*2,IF($J94=3,-$E94*$I94/12*1,0)))))+IF(BV$5&lt;&gt;$H94,0,IF(BV94&lt;0,IF($J94=1,-$E94*$I94/12*0,IF($J94=2,-$E94*$I94/12*1,IF($J94=3,-$E94*$I94/12*2,IF($J94&gt;=4,-$E94*$I94/12*3,0))))))</f>
        <v>0</v>
      </c>
      <c r="BX94" s="120">
        <f t="shared" ref="BX94:BX100" si="457">IF($H94&lt;&gt;CA$5,0,IF(CA94&lt;0,IF(OR($J94=1,$J94=2,$J94=3,$J94=4),-$E94*$I94/12*3,IF($J94=5,-$E94*$I94/12*2,IF($J94=6,-$E94*$I94/12*1,0)))))+IF(BV$5&lt;&gt;$H94,0,IF(BV94&lt;0,IF($J94=4,-$E94*$I94/12*0,IF($J94=5,-$E94*$I94/12*1,IF($J94=6,-$E94*$I94/12*2,IF($J94&gt;=7,-$E94*$I94/12*3,0))))))</f>
        <v>0</v>
      </c>
      <c r="BY94" s="120">
        <f t="shared" ref="BY94:BY100" si="458">IF($H94&lt;&gt;CA$5,0,IF(CA94&lt;0,IF(OR($J94=1,$J94=2,$J94=3,$J94=4,$J94=5,$J94=6,$J94=7),-$E94*$I94/12*3,IF($J94=8,-$E94*$I94/12*2,IF($J94=9,-$E94*$I94/12*1,0)))))+IF(BV$5&lt;&gt;$H94,0,IF(BV94&lt;0,IF($J94=7,-$E94*$I94/12*0,IF($J94=8,-$E94*$I94/12*1,IF($J94=9,-$E94*$I94/12*2,IF($J94&gt;=10,-$E94*$I94/12*3,0))))))</f>
        <v>0</v>
      </c>
      <c r="BZ94" s="121">
        <f t="shared" ref="BZ94:BZ100" si="459">IF($H94&lt;&gt;CA$5,0,IF(CA94&lt;0,IF(OR($J94=1,$J94=2,$J94=3,$J94=4,$J94=5,$J94=6,$J94=7,$J94=8,$J94=9,$J94=10),-$E94*$I94/12*3,IF($J94=11,-$E94*$I94/12*2,IF($J94=12,-$E94*$I94/12*1,0)))))+IF(BV$5&lt;&gt;$H94,0,IF(BV94&lt;0,IF($J94=10,-$E94*$I94/12*0,IF($J94=11,-$E94*$I94/12*1,IF($J94=12,-$E94*$I94/12*2,0)))))</f>
        <v>0</v>
      </c>
      <c r="CA94" s="118">
        <f t="shared" ref="CA94:CA100" si="460">IF(AND(BV94&lt;&gt;0,BV$5=$H94),-$I94*$E94-BV94,IF(CA$5=$H94,-$I94*$E94*(12-$J94+1)/12,0))</f>
        <v>0</v>
      </c>
      <c r="CB94" s="119">
        <f t="shared" ref="CB94:CB99" si="461">IF($H94&lt;&gt;CF$5,0,IF(CF94&lt;0,IF($J94=1,-$E94*$I94/12*3,IF($J94=2,-$E94*$I94/12*2,IF($J94=3,-$E94*$I94/12*1,0)))))+IF(CA$5&lt;&gt;$H94,0,IF(CA94&lt;0,IF($J94=1,-$E94*$I94/12*0,IF($J94=2,-$E94*$I94/12*1,IF($J94=3,-$E94*$I94/12*2,IF($J94&gt;=4,-$E94*$I94/12*3,0))))))</f>
        <v>0</v>
      </c>
      <c r="CC94" s="120">
        <f t="shared" ref="CC94:CC99" si="462">IF($H94&lt;&gt;CF$5,0,IF(CF94&lt;0,IF(OR($J94=1,$J94=2,$J94=3,$J94=4),-$E94*$I94/12*3,IF($J94=5,-$E94*$I94/12*2,IF($J94=6,-$E94*$I94/12*1,0)))))+IF(CA$5&lt;&gt;$H94,0,IF(CA94&lt;0,IF($J94=4,-$E94*$I94/12*0,IF($J94=5,-$E94*$I94/12*1,IF($J94=6,-$E94*$I94/12*2,IF($J94&gt;=7,-$E94*$I94/12*3,0))))))</f>
        <v>0</v>
      </c>
      <c r="CD94" s="120">
        <f t="shared" ref="CD94:CD99" si="463">IF($H94&lt;&gt;CF$5,0,IF(CF94&lt;0,IF(OR($J94=1,$J94=2,$J94=3,$J94=4,$J94=5,$J94=6,$J94=7),-$E94*$I94/12*3,IF($J94=8,-$E94*$I94/12*2,IF($J94=9,-$E94*$I94/12*1,0)))))+IF(CA$5&lt;&gt;$H94,0,IF(CA94&lt;0,IF($J94=7,-$E94*$I94/12*0,IF($J94=8,-$E94*$I94/12*1,IF($J94=9,-$E94*$I94/12*2,IF($J94&gt;=10,-$E94*$I94/12*3,0))))))</f>
        <v>0</v>
      </c>
      <c r="CE94" s="121">
        <f t="shared" ref="CE94:CE99" si="464">IF($H94&lt;&gt;CF$5,0,IF(CF94&lt;0,IF(OR($J94=1,$J94=2,$J94=3,$J94=4,$J94=5,$J94=6,$J94=7,$J94=8,$J94=9,$J94=10),-$E94*$I94/12*3,IF($J94=11,-$E94*$I94/12*2,IF($J94=12,-$E94*$I94/12*1,0)))))+IF(CA$5&lt;&gt;$H94,0,IF(CA94&lt;0,IF($J94=10,-$E94*$I94/12*0,IF($J94=11,-$E94*$I94/12*1,IF($J94=12,-$E94*$I94/12*2,0)))))</f>
        <v>0</v>
      </c>
      <c r="CF94" s="118">
        <f t="shared" ref="CF94:CF99" si="465">IF(AND(CA94&lt;&gt;0,CA$5=$H94),-$I94*$E94-CA94,IF(CF$5=$H94,-$I94*$E94*(12-$J94+1)/12,0))</f>
        <v>0</v>
      </c>
      <c r="CG94" s="119">
        <f t="shared" ref="CG94:CG99" si="466">IF($H94&lt;&gt;CK$5,0,IF(CK94&lt;0,IF($J94=1,-$E94*$I94/12*3,IF($J94=2,-$E94*$I94/12*2,IF($J94=3,-$E94*$I94/12*1,0)))))+IF(CF$5&lt;&gt;$H94,0,IF(CF94&lt;0,IF($J94=1,-$E94*$I94/12*0,IF($J94=2,-$E94*$I94/12*1,IF($J94=3,-$E94*$I94/12*2,IF($J94&gt;=4,-$E94*$I94/12*3,0))))))</f>
        <v>0</v>
      </c>
      <c r="CH94" s="120">
        <f t="shared" ref="CH94:CH99" si="467">IF($H94&lt;&gt;CK$5,0,IF(CK94&lt;0,IF(OR($J94=1,$J94=2,$J94=3,$J94=4),-$E94*$I94/12*3,IF($J94=5,-$E94*$I94/12*2,IF($J94=6,-$E94*$I94/12*1,0)))))+IF(CF$5&lt;&gt;$H94,0,IF(CF94&lt;0,IF($J94=4,-$E94*$I94/12*0,IF($J94=5,-$E94*$I94/12*1,IF($J94=6,-$E94*$I94/12*2,IF($J94&gt;=7,-$E94*$I94/12*3,0))))))</f>
        <v>0</v>
      </c>
      <c r="CI94" s="120">
        <f t="shared" ref="CI94:CI99" si="468">IF($H94&lt;&gt;CK$5,0,IF(CK94&lt;0,IF(OR($J94=1,$J94=2,$J94=3,$J94=4,$J94=5,$J94=6,$J94=7),-$E94*$I94/12*3,IF($J94=8,-$E94*$I94/12*2,IF($J94=9,-$E94*$I94/12*1,0)))))+IF(CF$5&lt;&gt;$H94,0,IF(CF94&lt;0,IF($J94=7,-$E94*$I94/12*0,IF($J94=8,-$E94*$I94/12*1,IF($J94=9,-$E94*$I94/12*2,IF($J94&gt;=10,-$E94*$I94/12*3,0))))))</f>
        <v>0</v>
      </c>
      <c r="CJ94" s="121">
        <f t="shared" ref="CJ94:CJ99" si="469">IF($H94&lt;&gt;CK$5,0,IF(CK94&lt;0,IF(OR($J94=1,$J94=2,$J94=3,$J94=4,$J94=5,$J94=6,$J94=7,$J94=8,$J94=9,$J94=10),-$E94*$I94/12*3,IF($J94=11,-$E94*$I94/12*2,IF($J94=12,-$E94*$I94/12*1,0)))))+IF(CF$5&lt;&gt;$H94,0,IF(CF94&lt;0,IF($J94=10,-$E94*$I94/12*0,IF($J94=11,-$E94*$I94/12*1,IF($J94=12,-$E94*$I94/12*2,0)))))</f>
        <v>-1.0208333333333333</v>
      </c>
      <c r="CK94" s="118">
        <f t="shared" ref="CK94:CK99" si="470">IF(AND(CF94&lt;&gt;0,CF$5=$H94),-$I94*$E94-CF94,IF(CK$5=$H94,-$I94*$E94*(12-$J94+1)/12,0))</f>
        <v>-1.0208333333333333</v>
      </c>
      <c r="CL94" s="119">
        <f t="shared" ref="CL94:CL99" si="471">IF($H94&lt;&gt;CP$5,0,IF(CP94&lt;0,IF($J94=1,-$E94*$I94/12*3,IF($J94=2,-$E94*$I94/12*2,IF($J94=3,-$E94*$I94/12*1,0)))))+IF(CK$5&lt;&gt;$H94,0,IF(CK94&lt;0,IF($J94=1,-$E94*$I94/12*0,IF($J94=2,-$E94*$I94/12*1,IF($J94=3,-$E94*$I94/12*2,IF($J94&gt;=4,-$E94*$I94/12*3,0))))))</f>
        <v>-1.53125</v>
      </c>
      <c r="CM94" s="120">
        <f t="shared" ref="CM94:CM99" si="472">IF($H94&lt;&gt;CP$5,0,IF(CP94&lt;0,IF(OR($J94=1,$J94=2,$J94=3,$J94=4),-$E94*$I94/12*3,IF($J94=5,-$E94*$I94/12*2,IF($J94=6,-$E94*$I94/12*1,0)))))+IF(CK$5&lt;&gt;$H94,0,IF(CK94&lt;0,IF($J94=4,-$E94*$I94/12*0,IF($J94=5,-$E94*$I94/12*1,IF($J94=6,-$E94*$I94/12*2,IF($J94&gt;=7,-$E94*$I94/12*3,0))))))</f>
        <v>-1.53125</v>
      </c>
      <c r="CN94" s="120">
        <f t="shared" ref="CN94:CN99" si="473">IF($H94&lt;&gt;CP$5,0,IF(CP94&lt;0,IF(OR($J94=1,$J94=2,$J94=3,$J94=4,$J94=5,$J94=6,$J94=7),-$E94*$I94/12*3,IF($J94=8,-$E94*$I94/12*2,IF($J94=9,-$E94*$I94/12*1,0)))))+IF(CK$5&lt;&gt;$H94,0,IF(CK94&lt;0,IF($J94=7,-$E94*$I94/12*0,IF($J94=8,-$E94*$I94/12*1,IF($J94=9,-$E94*$I94/12*2,IF($J94&gt;=10,-$E94*$I94/12*3,0))))))</f>
        <v>-1.53125</v>
      </c>
      <c r="CO94" s="121">
        <f t="shared" ref="CO94:CO99" si="474">IF($H94&lt;&gt;CP$5,0,IF(CP94&lt;0,IF(OR($J94=1,$J94=2,$J94=3,$J94=4,$J94=5,$J94=6,$J94=7,$J94=8,$J94=9,$J94=10),-$E94*$I94/12*3,IF($J94=11,-$E94*$I94/12*2,IF($J94=12,-$E94*$I94/12*1,0)))))+IF(CK$5&lt;&gt;$H94,0,IF(CK94&lt;0,IF($J94=10,-$E94*$I94/12*0,IF($J94=11,-$E94*$I94/12*1,IF($J94=12,-$E94*$I94/12*2,0)))))</f>
        <v>-0.51041666666666663</v>
      </c>
      <c r="CP94" s="118">
        <f t="shared" ref="CP94:CP99" si="475">IF(AND(CK94&lt;&gt;0,CK$5=$H94),-$I94*$E94-CK94,IF(CP$5=$H94,-$I94*$E94*(12-$J94+1)/12,0))</f>
        <v>-5.104166666666667</v>
      </c>
      <c r="CQ94" s="119">
        <f t="shared" ref="CQ94:CQ99" si="476">IF($H94&lt;&gt;CU$5,0,IF(CU94&lt;0,IF($J94=1,-$E94*$I94/12*3,IF($J94=2,-$E94*$I94/12*2,IF($J94=3,-$E94*$I94/12*1,0)))))+IF(CP$5&lt;&gt;$H94,0,IF(CP94&lt;0,IF($J94=1,-$E94*$I94/12*0,IF($J94=2,-$E94*$I94/12*1,IF($J94=3,-$E94*$I94/12*2,IF($J94&gt;=4,-$E94*$I94/12*3,0))))))</f>
        <v>0</v>
      </c>
      <c r="CR94" s="120">
        <f t="shared" ref="CR94:CR99" si="477">IF($H94&lt;&gt;CU$5,0,IF(CU94&lt;0,IF(OR($J94=1,$J94=2,$J94=3,$J94=4),-$E94*$I94/12*3,IF($J94=5,-$E94*$I94/12*2,IF($J94=6,-$E94*$I94/12*1,0)))))+IF(CP$5&lt;&gt;$H94,0,IF(CP94&lt;0,IF($J94=4,-$E94*$I94/12*0,IF($J94=5,-$E94*$I94/12*1,IF($J94=6,-$E94*$I94/12*2,IF($J94&gt;=7,-$E94*$I94/12*3,0))))))</f>
        <v>0</v>
      </c>
      <c r="CS94" s="120">
        <f t="shared" ref="CS94:CS99" si="478">IF($H94&lt;&gt;CU$5,0,IF(CU94&lt;0,IF(OR($J94=1,$J94=2,$J94=3,$J94=4,$J94=5,$J94=6,$J94=7),-$E94*$I94/12*3,IF($J94=8,-$E94*$I94/12*2,IF($J94=9,-$E94*$I94/12*1,0)))))+IF(CP$5&lt;&gt;$H94,0,IF(CP94&lt;0,IF($J94=7,-$E94*$I94/12*0,IF($J94=8,-$E94*$I94/12*1,IF($J94=9,-$E94*$I94/12*2,IF($J94&gt;=10,-$E94*$I94/12*3,0))))))</f>
        <v>0</v>
      </c>
      <c r="CT94" s="121">
        <f t="shared" ref="CT94:CT99" si="479">IF($H94&lt;&gt;CU$5,0,IF(CU94&lt;0,IF(OR($J94=1,$J94=2,$J94=3,$J94=4,$J94=5,$J94=6,$J94=7,$J94=8,$J94=9,$J94=10),-$E94*$I94/12*3,IF($J94=11,-$E94*$I94/12*2,IF($J94=12,-$E94*$I94/12*1,0)))))+IF(CP$5&lt;&gt;$H94,0,IF(CP94&lt;0,IF($J94=10,-$E94*$I94/12*0,IF($J94=11,-$E94*$I94/12*1,IF($J94=12,-$E94*$I94/12*2,0)))))</f>
        <v>0</v>
      </c>
      <c r="CU94" s="118">
        <f t="shared" ref="CU94:CU99" si="480">IF(AND(CP94&lt;&gt;0,CP$5=$H94),-$I94*$E94-CP94,IF(CU$5=$H94,-$I94*$E94*(12-$J94+1)/12,0))</f>
        <v>0</v>
      </c>
      <c r="CV94" s="119">
        <f t="shared" ref="CV94:CV99" si="481">IF($H94&lt;&gt;CZ$5,0,IF(CZ94&lt;0,IF($J94=1,-$E94*$I94/12*3,IF($J94=2,-$E94*$I94/12*2,IF($J94=3,-$E94*$I94/12*1,0)))))+IF(CU$5&lt;&gt;$H94,0,IF(CU94&lt;0,IF($J94=1,-$E94*$I94/12*0,IF($J94=2,-$E94*$I94/12*1,IF($J94=3,-$E94*$I94/12*2,IF($J94&gt;=4,-$E94*$I94/12*3,0))))))</f>
        <v>0</v>
      </c>
      <c r="CW94" s="120">
        <f t="shared" ref="CW94:CW99" si="482">IF($H94&lt;&gt;CZ$5,0,IF(CZ94&lt;0,IF(OR($J94=1,$J94=2,$J94=3,$J94=4),-$E94*$I94/12*3,IF($J94=5,-$E94*$I94/12*2,IF($J94=6,-$E94*$I94/12*1,0)))))+IF(CU$5&lt;&gt;$H94,0,IF(CU94&lt;0,IF($J94=4,-$E94*$I94/12*0,IF($J94=5,-$E94*$I94/12*1,IF($J94=6,-$E94*$I94/12*2,IF($J94&gt;=7,-$E94*$I94/12*3,0))))))</f>
        <v>0</v>
      </c>
      <c r="CX94" s="120">
        <f t="shared" ref="CX94:CX99" si="483">IF($H94&lt;&gt;CZ$5,0,IF(CZ94&lt;0,IF(OR($J94=1,$J94=2,$J94=3,$J94=4,$J94=5,$J94=6,$J94=7),-$E94*$I94/12*3,IF($J94=8,-$E94*$I94/12*2,IF($J94=9,-$E94*$I94/12*1,0)))))+IF(CU$5&lt;&gt;$H94,0,IF(CU94&lt;0,IF($J94=7,-$E94*$I94/12*0,IF($J94=8,-$E94*$I94/12*1,IF($J94=9,-$E94*$I94/12*2,IF($J94&gt;=10,-$E94*$I94/12*3,0))))))</f>
        <v>0</v>
      </c>
      <c r="CY94" s="121">
        <f t="shared" ref="CY94:CY99" si="484">IF($H94&lt;&gt;CZ$5,0,IF(CZ94&lt;0,IF(OR($J94=1,$J94=2,$J94=3,$J94=4,$J94=5,$J94=6,$J94=7,$J94=8,$J94=9,$J94=10),-$E94*$I94/12*3,IF($J94=11,-$E94*$I94/12*2,IF($J94=12,-$E94*$I94/12*1,0)))))+IF(CU$5&lt;&gt;$H94,0,IF(CU94&lt;0,IF($J94=10,-$E94*$I94/12*0,IF($J94=11,-$E94*$I94/12*1,IF($J94=12,-$E94*$I94/12*2,0)))))</f>
        <v>0</v>
      </c>
      <c r="CZ94" s="118">
        <f t="shared" ref="CZ94:CZ99" si="485">IF(AND(CU94&lt;&gt;0,CU$5=$H94),-$I94*$E94-CU94,IF(CZ$5=$H94,-$I94*$E94*(12-$J94+1)/12,0))</f>
        <v>0</v>
      </c>
    </row>
    <row r="95" spans="1:104" ht="12.75" customHeight="1">
      <c r="A95" s="7"/>
      <c r="B95" s="7"/>
      <c r="C95" s="7" t="s">
        <v>504</v>
      </c>
      <c r="D95" s="204"/>
      <c r="E95" s="191">
        <f t="shared" si="393"/>
        <v>406</v>
      </c>
      <c r="F95" s="1347">
        <v>406</v>
      </c>
      <c r="G95" s="1347">
        <v>406</v>
      </c>
      <c r="H95" s="1217">
        <v>2020</v>
      </c>
      <c r="I95" s="443">
        <v>5.1249999999999997E-2</v>
      </c>
      <c r="J95" s="442">
        <v>4</v>
      </c>
      <c r="K95" s="112"/>
      <c r="L95" s="113">
        <f t="shared" si="394"/>
        <v>0</v>
      </c>
      <c r="M95" s="114">
        <f t="shared" si="395"/>
        <v>0</v>
      </c>
      <c r="N95" s="115">
        <f t="shared" si="396"/>
        <v>0</v>
      </c>
      <c r="O95" s="115">
        <f t="shared" si="397"/>
        <v>0</v>
      </c>
      <c r="P95" s="116">
        <f t="shared" si="398"/>
        <v>0</v>
      </c>
      <c r="Q95" s="113">
        <f t="shared" si="399"/>
        <v>0</v>
      </c>
      <c r="R95" s="114">
        <f t="shared" si="400"/>
        <v>0</v>
      </c>
      <c r="S95" s="115">
        <f t="shared" si="401"/>
        <v>0</v>
      </c>
      <c r="T95" s="115">
        <f t="shared" si="402"/>
        <v>0</v>
      </c>
      <c r="U95" s="116">
        <f t="shared" si="403"/>
        <v>0</v>
      </c>
      <c r="V95" s="113">
        <f t="shared" si="404"/>
        <v>0</v>
      </c>
      <c r="W95" s="114">
        <f t="shared" si="405"/>
        <v>0</v>
      </c>
      <c r="X95" s="115">
        <f t="shared" si="406"/>
        <v>0</v>
      </c>
      <c r="Y95" s="115">
        <f t="shared" si="407"/>
        <v>0</v>
      </c>
      <c r="Z95" s="116">
        <f t="shared" si="408"/>
        <v>0</v>
      </c>
      <c r="AA95" s="113">
        <f t="shared" si="409"/>
        <v>0</v>
      </c>
      <c r="AB95" s="114">
        <f t="shared" si="410"/>
        <v>0</v>
      </c>
      <c r="AC95" s="115">
        <f t="shared" si="411"/>
        <v>0</v>
      </c>
      <c r="AD95" s="115">
        <f t="shared" si="412"/>
        <v>0</v>
      </c>
      <c r="AE95" s="116">
        <f t="shared" si="413"/>
        <v>0</v>
      </c>
      <c r="AF95" s="113">
        <f t="shared" si="414"/>
        <v>0</v>
      </c>
      <c r="AG95" s="114">
        <f t="shared" si="415"/>
        <v>0</v>
      </c>
      <c r="AH95" s="115">
        <f t="shared" si="416"/>
        <v>0</v>
      </c>
      <c r="AI95" s="115">
        <f t="shared" si="417"/>
        <v>0</v>
      </c>
      <c r="AJ95" s="116">
        <f t="shared" si="418"/>
        <v>0</v>
      </c>
      <c r="AK95" s="113">
        <f t="shared" si="419"/>
        <v>0</v>
      </c>
      <c r="AL95" s="114">
        <f t="shared" si="420"/>
        <v>0</v>
      </c>
      <c r="AM95" s="115">
        <f t="shared" si="421"/>
        <v>0</v>
      </c>
      <c r="AN95" s="115">
        <f t="shared" si="422"/>
        <v>0</v>
      </c>
      <c r="AO95" s="116">
        <f t="shared" si="423"/>
        <v>0</v>
      </c>
      <c r="AP95" s="113">
        <f t="shared" si="424"/>
        <v>0</v>
      </c>
      <c r="AQ95" s="114">
        <f t="shared" si="425"/>
        <v>0</v>
      </c>
      <c r="AR95" s="115">
        <f t="shared" si="426"/>
        <v>0</v>
      </c>
      <c r="AS95" s="115">
        <f t="shared" si="427"/>
        <v>0</v>
      </c>
      <c r="AT95" s="116">
        <f t="shared" si="428"/>
        <v>0</v>
      </c>
      <c r="AU95" s="113">
        <f t="shared" si="429"/>
        <v>0</v>
      </c>
      <c r="AV95" s="114">
        <f t="shared" si="430"/>
        <v>0</v>
      </c>
      <c r="AW95" s="115">
        <f t="shared" si="431"/>
        <v>-406</v>
      </c>
      <c r="AX95" s="115">
        <f t="shared" si="432"/>
        <v>0</v>
      </c>
      <c r="AY95" s="116">
        <f t="shared" si="433"/>
        <v>0</v>
      </c>
      <c r="AZ95" s="113">
        <f t="shared" si="434"/>
        <v>-406</v>
      </c>
      <c r="BA95" s="114">
        <f t="shared" si="435"/>
        <v>0</v>
      </c>
      <c r="BB95" s="115">
        <f t="shared" si="436"/>
        <v>0</v>
      </c>
      <c r="BC95" s="115">
        <f t="shared" si="437"/>
        <v>0</v>
      </c>
      <c r="BD95" s="116">
        <f t="shared" si="438"/>
        <v>0</v>
      </c>
      <c r="BE95" s="113">
        <f t="shared" si="439"/>
        <v>0</v>
      </c>
      <c r="BF95" s="194"/>
      <c r="BG95" s="118">
        <f t="shared" si="440"/>
        <v>0</v>
      </c>
      <c r="BH95" s="119">
        <f t="shared" si="441"/>
        <v>0</v>
      </c>
      <c r="BI95" s="120">
        <f t="shared" si="442"/>
        <v>0</v>
      </c>
      <c r="BJ95" s="120">
        <f t="shared" si="443"/>
        <v>0</v>
      </c>
      <c r="BK95" s="121">
        <f t="shared" si="444"/>
        <v>0</v>
      </c>
      <c r="BL95" s="118">
        <f t="shared" si="445"/>
        <v>0</v>
      </c>
      <c r="BM95" s="119">
        <f t="shared" si="446"/>
        <v>0</v>
      </c>
      <c r="BN95" s="120">
        <f t="shared" si="447"/>
        <v>0</v>
      </c>
      <c r="BO95" s="120">
        <f t="shared" si="448"/>
        <v>0</v>
      </c>
      <c r="BP95" s="121">
        <f t="shared" si="449"/>
        <v>0</v>
      </c>
      <c r="BQ95" s="118">
        <f t="shared" si="450"/>
        <v>0</v>
      </c>
      <c r="BR95" s="119">
        <f t="shared" si="451"/>
        <v>0</v>
      </c>
      <c r="BS95" s="120">
        <f t="shared" si="452"/>
        <v>0</v>
      </c>
      <c r="BT95" s="120">
        <f t="shared" si="453"/>
        <v>0</v>
      </c>
      <c r="BU95" s="121">
        <f t="shared" si="454"/>
        <v>0</v>
      </c>
      <c r="BV95" s="118">
        <f t="shared" si="455"/>
        <v>0</v>
      </c>
      <c r="BW95" s="119">
        <f t="shared" si="456"/>
        <v>0</v>
      </c>
      <c r="BX95" s="120">
        <f t="shared" si="457"/>
        <v>0</v>
      </c>
      <c r="BY95" s="120">
        <f t="shared" si="458"/>
        <v>0</v>
      </c>
      <c r="BZ95" s="121">
        <f t="shared" si="459"/>
        <v>0</v>
      </c>
      <c r="CA95" s="118">
        <f t="shared" si="460"/>
        <v>0</v>
      </c>
      <c r="CB95" s="119">
        <f t="shared" si="461"/>
        <v>0</v>
      </c>
      <c r="CC95" s="120">
        <f t="shared" si="462"/>
        <v>0</v>
      </c>
      <c r="CD95" s="120">
        <f t="shared" si="463"/>
        <v>0</v>
      </c>
      <c r="CE95" s="121">
        <f t="shared" si="464"/>
        <v>0</v>
      </c>
      <c r="CF95" s="118">
        <f t="shared" si="465"/>
        <v>0</v>
      </c>
      <c r="CG95" s="119">
        <f t="shared" si="466"/>
        <v>0</v>
      </c>
      <c r="CH95" s="120">
        <f t="shared" si="467"/>
        <v>0</v>
      </c>
      <c r="CI95" s="120">
        <f t="shared" si="468"/>
        <v>0</v>
      </c>
      <c r="CJ95" s="121">
        <f t="shared" si="469"/>
        <v>0</v>
      </c>
      <c r="CK95" s="118">
        <f t="shared" si="470"/>
        <v>0</v>
      </c>
      <c r="CL95" s="119">
        <f t="shared" si="471"/>
        <v>0</v>
      </c>
      <c r="CM95" s="120">
        <f t="shared" si="472"/>
        <v>0</v>
      </c>
      <c r="CN95" s="120">
        <f t="shared" si="473"/>
        <v>0</v>
      </c>
      <c r="CO95" s="121">
        <f t="shared" si="474"/>
        <v>0</v>
      </c>
      <c r="CP95" s="118">
        <f t="shared" si="475"/>
        <v>0</v>
      </c>
      <c r="CQ95" s="119">
        <f t="shared" si="476"/>
        <v>0</v>
      </c>
      <c r="CR95" s="120">
        <f t="shared" si="477"/>
        <v>-5.2018749999999994</v>
      </c>
      <c r="CS95" s="120">
        <f t="shared" si="478"/>
        <v>-5.2018749999999994</v>
      </c>
      <c r="CT95" s="121">
        <f t="shared" si="479"/>
        <v>-5.2018749999999994</v>
      </c>
      <c r="CU95" s="118">
        <f t="shared" si="480"/>
        <v>-15.605624999999998</v>
      </c>
      <c r="CV95" s="119">
        <f t="shared" si="481"/>
        <v>-5.2018749999999994</v>
      </c>
      <c r="CW95" s="120">
        <f t="shared" si="482"/>
        <v>0</v>
      </c>
      <c r="CX95" s="120">
        <f t="shared" si="483"/>
        <v>0</v>
      </c>
      <c r="CY95" s="121">
        <f t="shared" si="484"/>
        <v>0</v>
      </c>
      <c r="CZ95" s="118">
        <f t="shared" si="485"/>
        <v>-5.2018749999999994</v>
      </c>
    </row>
    <row r="96" spans="1:104" ht="12.75" customHeight="1">
      <c r="A96" s="7"/>
      <c r="B96" s="7"/>
      <c r="C96" s="7" t="s">
        <v>503</v>
      </c>
      <c r="D96" s="204"/>
      <c r="E96" s="191">
        <f t="shared" si="393"/>
        <v>250</v>
      </c>
      <c r="F96" s="1347">
        <v>250</v>
      </c>
      <c r="G96" s="1347">
        <v>250</v>
      </c>
      <c r="H96" s="1217">
        <v>2021</v>
      </c>
      <c r="I96" s="443">
        <v>4.1500000000000002E-2</v>
      </c>
      <c r="J96" s="442">
        <v>9</v>
      </c>
      <c r="K96" s="112"/>
      <c r="L96" s="113">
        <f t="shared" si="394"/>
        <v>0</v>
      </c>
      <c r="M96" s="114">
        <f t="shared" si="395"/>
        <v>0</v>
      </c>
      <c r="N96" s="115">
        <f t="shared" si="396"/>
        <v>0</v>
      </c>
      <c r="O96" s="115">
        <f t="shared" si="397"/>
        <v>0</v>
      </c>
      <c r="P96" s="116">
        <f t="shared" si="398"/>
        <v>0</v>
      </c>
      <c r="Q96" s="113">
        <f t="shared" si="399"/>
        <v>0</v>
      </c>
      <c r="R96" s="114">
        <f t="shared" si="400"/>
        <v>0</v>
      </c>
      <c r="S96" s="115">
        <f t="shared" si="401"/>
        <v>0</v>
      </c>
      <c r="T96" s="115">
        <f t="shared" si="402"/>
        <v>0</v>
      </c>
      <c r="U96" s="116">
        <f t="shared" si="403"/>
        <v>0</v>
      </c>
      <c r="V96" s="113">
        <f t="shared" si="404"/>
        <v>0</v>
      </c>
      <c r="W96" s="114">
        <f t="shared" si="405"/>
        <v>0</v>
      </c>
      <c r="X96" s="115">
        <f t="shared" si="406"/>
        <v>0</v>
      </c>
      <c r="Y96" s="115">
        <f t="shared" si="407"/>
        <v>0</v>
      </c>
      <c r="Z96" s="116">
        <f t="shared" si="408"/>
        <v>0</v>
      </c>
      <c r="AA96" s="113">
        <f t="shared" si="409"/>
        <v>0</v>
      </c>
      <c r="AB96" s="114">
        <f t="shared" si="410"/>
        <v>0</v>
      </c>
      <c r="AC96" s="115">
        <f t="shared" si="411"/>
        <v>0</v>
      </c>
      <c r="AD96" s="115">
        <f t="shared" si="412"/>
        <v>0</v>
      </c>
      <c r="AE96" s="116">
        <f t="shared" si="413"/>
        <v>0</v>
      </c>
      <c r="AF96" s="113">
        <f t="shared" si="414"/>
        <v>0</v>
      </c>
      <c r="AG96" s="114">
        <f>IF(AK96=0,0,IF(AK96&lt;0,IF($J96=3,AK96,IF($J96=2,AK96,IF($J96=1,AK96,0)))))</f>
        <v>0</v>
      </c>
      <c r="AH96" s="115">
        <f>IF(AK96=0,0,IF(AK96&lt;0,IF($J96=6,AK96,IF($J96=5,AK96,IF($J96=4,AK96,0)))))</f>
        <v>0</v>
      </c>
      <c r="AI96" s="115">
        <f>IF(AK96=0,0,IF(AK96&lt;0,IF($J96=9,AK96,IF($J96=8,AK96,IF($J96=7,AK96,0)))))</f>
        <v>0</v>
      </c>
      <c r="AJ96" s="116">
        <f>IF(AK96=0,0,IF(AK96&lt;0,IF($J96=12,AK96,IF($J96=11,AK96,IF($J96=10,AK96,0)))))</f>
        <v>0</v>
      </c>
      <c r="AK96" s="113">
        <f t="shared" si="419"/>
        <v>0</v>
      </c>
      <c r="AL96" s="114">
        <f>IF(AP96=0,0,IF(AP96&lt;0,IF($J96=3,AP96,IF($J96=2,AP96,IF($J96=1,AP96,0)))))</f>
        <v>0</v>
      </c>
      <c r="AM96" s="115">
        <f>IF(AP96=0,0,IF(AP96&lt;0,IF($J96=6,AP96,IF($J96=5,AP96,IF($J96=4,AP96,0)))))</f>
        <v>0</v>
      </c>
      <c r="AN96" s="115">
        <f>IF(AP96=0,0,IF(AP96&lt;0,IF($J96=9,AP96,IF($J96=8,AP96,IF($J96=7,AP96,0)))))</f>
        <v>0</v>
      </c>
      <c r="AO96" s="116">
        <f>IF(AP96=0,0,IF(AP96&lt;0,IF($J96=12,AP96,IF($J96=11,AP96,IF($J96=10,AP96,0)))))</f>
        <v>0</v>
      </c>
      <c r="AP96" s="113">
        <f t="shared" si="424"/>
        <v>0</v>
      </c>
      <c r="AQ96" s="114">
        <f>IF(AU96=0,0,IF(AU96&lt;0,IF($J96=3,AU96,IF($J96=2,AU96,IF($J96=1,AU96,0)))))</f>
        <v>0</v>
      </c>
      <c r="AR96" s="115">
        <f>IF(AU96=0,0,IF(AU96&lt;0,IF($J96=6,AU96,IF($J96=5,AU96,IF($J96=4,AU96,0)))))</f>
        <v>0</v>
      </c>
      <c r="AS96" s="115">
        <f>IF(AU96=0,0,IF(AU96&lt;0,IF($J96=9,AU96,IF($J96=8,AU96,IF($J96=7,AU96,0)))))</f>
        <v>0</v>
      </c>
      <c r="AT96" s="116">
        <f>IF(AU96=0,0,IF(AU96&lt;0,IF($J96=12,AU96,IF($J96=11,AU96,IF($J96=10,AU96,0)))))</f>
        <v>0</v>
      </c>
      <c r="AU96" s="113">
        <f t="shared" si="429"/>
        <v>0</v>
      </c>
      <c r="AV96" s="114">
        <f t="shared" si="430"/>
        <v>0</v>
      </c>
      <c r="AW96" s="115">
        <f t="shared" si="431"/>
        <v>0</v>
      </c>
      <c r="AX96" s="115">
        <f t="shared" si="432"/>
        <v>0</v>
      </c>
      <c r="AY96" s="116">
        <f t="shared" si="433"/>
        <v>0</v>
      </c>
      <c r="AZ96" s="113">
        <f t="shared" si="434"/>
        <v>0</v>
      </c>
      <c r="BA96" s="114">
        <f>IF(BE96=0,0,IF(BE96&lt;0,IF($J96=3,BE96,IF($J96=2,BE96,IF($J96=1,BE96,0)))))</f>
        <v>0</v>
      </c>
      <c r="BB96" s="115">
        <f>IF(BE96=0,0,IF(BE96&lt;0,IF($J96=6,BE96,IF($J96=5,BE96,IF($J96=4,BE96,0)))))</f>
        <v>0</v>
      </c>
      <c r="BC96" s="115">
        <f>IF(BE96=0,0,IF(BE96&lt;0,IF($J96=9,BE96,IF($J96=8,BE96,IF($J96=7,BE96,0)))))</f>
        <v>-250</v>
      </c>
      <c r="BD96" s="116">
        <f>IF(BE96=0,0,IF(BE96&lt;0,IF($J96=12,BE96,IF($J96=11,BE96,IF($J96=10,BE96,0)))))</f>
        <v>0</v>
      </c>
      <c r="BE96" s="113">
        <f t="shared" si="439"/>
        <v>-250</v>
      </c>
      <c r="BF96" s="194"/>
      <c r="BG96" s="118">
        <f t="shared" si="440"/>
        <v>0</v>
      </c>
      <c r="BH96" s="119">
        <f t="shared" si="441"/>
        <v>0</v>
      </c>
      <c r="BI96" s="120">
        <f t="shared" si="442"/>
        <v>0</v>
      </c>
      <c r="BJ96" s="120">
        <f t="shared" si="443"/>
        <v>0</v>
      </c>
      <c r="BK96" s="121">
        <f t="shared" si="444"/>
        <v>0</v>
      </c>
      <c r="BL96" s="118">
        <f t="shared" si="445"/>
        <v>0</v>
      </c>
      <c r="BM96" s="119">
        <f t="shared" si="446"/>
        <v>0</v>
      </c>
      <c r="BN96" s="120">
        <f t="shared" si="447"/>
        <v>0</v>
      </c>
      <c r="BO96" s="120">
        <f t="shared" si="448"/>
        <v>0</v>
      </c>
      <c r="BP96" s="121">
        <f t="shared" si="449"/>
        <v>0</v>
      </c>
      <c r="BQ96" s="118">
        <f t="shared" si="450"/>
        <v>0</v>
      </c>
      <c r="BR96" s="119">
        <f t="shared" si="451"/>
        <v>0</v>
      </c>
      <c r="BS96" s="120">
        <f t="shared" si="452"/>
        <v>0</v>
      </c>
      <c r="BT96" s="120">
        <f t="shared" si="453"/>
        <v>0</v>
      </c>
      <c r="BU96" s="121">
        <f t="shared" si="454"/>
        <v>0</v>
      </c>
      <c r="BV96" s="118">
        <f t="shared" si="455"/>
        <v>0</v>
      </c>
      <c r="BW96" s="119">
        <f t="shared" si="456"/>
        <v>0</v>
      </c>
      <c r="BX96" s="120">
        <f t="shared" si="457"/>
        <v>0</v>
      </c>
      <c r="BY96" s="120">
        <f t="shared" si="458"/>
        <v>0</v>
      </c>
      <c r="BZ96" s="121">
        <f t="shared" si="459"/>
        <v>0</v>
      </c>
      <c r="CA96" s="118">
        <f t="shared" si="460"/>
        <v>0</v>
      </c>
      <c r="CB96" s="119">
        <f>IF($H96&lt;&gt;CF$5,0,IF(CF96&lt;0,IF($J96=1,-$E96*$I96/12*3,IF($J96=2,-$E96*$I96/12*2,IF($J96=3,-$E96*$I96/12*1,0)))))+IF(CA$5&lt;&gt;$H96,0,IF(CA96&lt;0,IF($J96=1,-$E96*$I96/12*0,IF($J96=2,-$E96*$I96/12*1,IF($J96=3,-$E96*$I96/12*2,IF($J96&gt;=4,-$E96*$I96/12*3,0))))))</f>
        <v>0</v>
      </c>
      <c r="CC96" s="120">
        <f>IF($H96&lt;&gt;CF$5,0,IF(CF96&lt;0,IF(OR($J96=1,$J96=2,$J96=3,$J96=4),-$E96*$I96/12*3,IF($J96=5,-$E96*$I96/12*2,IF($J96=6,-$E96*$I96/12*1,0)))))+IF(CA$5&lt;&gt;$H96,0,IF(CA96&lt;0,IF($J96=4,-$E96*$I96/12*0,IF($J96=5,-$E96*$I96/12*1,IF($J96=6,-$E96*$I96/12*2,IF($J96&gt;=7,-$E96*$I96/12*3,0))))))</f>
        <v>0</v>
      </c>
      <c r="CD96" s="120">
        <f>IF($H96&lt;&gt;CF$5,0,IF(CF96&lt;0,IF(OR($J96=1,$J96=2,$J96=3,$J96=4,$J96=5,$J96=6,$J96=7),-$E96*$I96/12*3,IF($J96=8,-$E96*$I96/12*2,IF($J96=9,-$E96*$I96/12*1,0)))))+IF(CA$5&lt;&gt;$H96,0,IF(CA96&lt;0,IF($J96=7,-$E96*$I96/12*0,IF($J96=8,-$E96*$I96/12*1,IF($J96=9,-$E96*$I96/12*2,IF($J96&gt;=10,-$E96*$I96/12*3,0))))))</f>
        <v>0</v>
      </c>
      <c r="CE96" s="121">
        <f>IF($H96&lt;&gt;CF$5,0,IF(CF96&lt;0,IF(OR($J96=1,$J96=2,$J96=3,$J96=4,$J96=5,$J96=6,$J96=7,$J96=8,$J96=9,$J96=10),-$E96*$I96/12*3,IF($J96=11,-$E96*$I96/12*2,IF($J96=12,-$E96*$I96/12*1,0)))))+IF(CA$5&lt;&gt;$H96,0,IF(CA96&lt;0,IF($J96=10,-$E96*$I96/12*0,IF($J96=11,-$E96*$I96/12*1,IF($J96=12,-$E96*$I96/12*2,0)))))</f>
        <v>0</v>
      </c>
      <c r="CF96" s="118">
        <f>IF(AND(CA96&lt;&gt;0,CA$5=$H96),-$I96*$E96-CA96,IF(CF$5=$H96,-$I96*$E96*(12-$J96+1)/12,0))</f>
        <v>0</v>
      </c>
      <c r="CG96" s="119">
        <f>IF($H96&lt;&gt;CK$5,0,IF(CK96&lt;0,IF($J96=1,-$E96*$I96/12*3,IF($J96=2,-$E96*$I96/12*2,IF($J96=3,-$E96*$I96/12*1,0)))))+IF(CF$5&lt;&gt;$H96,0,IF(CF96&lt;0,IF($J96=1,-$E96*$I96/12*0,IF($J96=2,-$E96*$I96/12*1,IF($J96=3,-$E96*$I96/12*2,IF($J96&gt;=4,-$E96*$I96/12*3,0))))))</f>
        <v>0</v>
      </c>
      <c r="CH96" s="120">
        <f>IF($H96&lt;&gt;CK$5,0,IF(CK96&lt;0,IF(OR($J96=1,$J96=2,$J96=3,$J96=4),-$E96*$I96/12*3,IF($J96=5,-$E96*$I96/12*2,IF($J96=6,-$E96*$I96/12*1,0)))))+IF(CF$5&lt;&gt;$H96,0,IF(CF96&lt;0,IF($J96=4,-$E96*$I96/12*0,IF($J96=5,-$E96*$I96/12*1,IF($J96=6,-$E96*$I96/12*2,IF($J96&gt;=7,-$E96*$I96/12*3,0))))))</f>
        <v>0</v>
      </c>
      <c r="CI96" s="120">
        <f>IF($H96&lt;&gt;CK$5,0,IF(CK96&lt;0,IF(OR($J96=1,$J96=2,$J96=3,$J96=4,$J96=5,$J96=6,$J96=7),-$E96*$I96/12*3,IF($J96=8,-$E96*$I96/12*2,IF($J96=9,-$E96*$I96/12*1,0)))))+IF(CF$5&lt;&gt;$H96,0,IF(CF96&lt;0,IF($J96=7,-$E96*$I96/12*0,IF($J96=8,-$E96*$I96/12*1,IF($J96=9,-$E96*$I96/12*2,IF($J96&gt;=10,-$E96*$I96/12*3,0))))))</f>
        <v>0</v>
      </c>
      <c r="CJ96" s="121">
        <f>IF($H96&lt;&gt;CK$5,0,IF(CK96&lt;0,IF(OR($J96=1,$J96=2,$J96=3,$J96=4,$J96=5,$J96=6,$J96=7,$J96=8,$J96=9,$J96=10),-$E96*$I96/12*3,IF($J96=11,-$E96*$I96/12*2,IF($J96=12,-$E96*$I96/12*1,0)))))+IF(CF$5&lt;&gt;$H96,0,IF(CF96&lt;0,IF($J96=10,-$E96*$I96/12*0,IF($J96=11,-$E96*$I96/12*1,IF($J96=12,-$E96*$I96/12*2,0)))))</f>
        <v>0</v>
      </c>
      <c r="CK96" s="118">
        <f>IF(AND(CF96&lt;&gt;0,CF$5=$H96),-$I96*$E96-CF96,IF(CK$5=$H96,-$I96*$E96*(12-$J96+1)/12,0))</f>
        <v>0</v>
      </c>
      <c r="CL96" s="119">
        <f>IF($H96&lt;&gt;CP$5,0,IF(CP96&lt;0,IF($J96=1,-$E96*$I96/12*3,IF($J96=2,-$E96*$I96/12*2,IF($J96=3,-$E96*$I96/12*1,0)))))+IF(CK$5&lt;&gt;$H96,0,IF(CK96&lt;0,IF($J96=1,-$E96*$I96/12*0,IF($J96=2,-$E96*$I96/12*1,IF($J96=3,-$E96*$I96/12*2,IF($J96&gt;=4,-$E96*$I96/12*3,0))))))</f>
        <v>0</v>
      </c>
      <c r="CM96" s="120">
        <f>IF($H96&lt;&gt;CP$5,0,IF(CP96&lt;0,IF(OR($J96=1,$J96=2,$J96=3,$J96=4),-$E96*$I96/12*3,IF($J96=5,-$E96*$I96/12*2,IF($J96=6,-$E96*$I96/12*1,0)))))+IF(CK$5&lt;&gt;$H96,0,IF(CK96&lt;0,IF($J96=4,-$E96*$I96/12*0,IF($J96=5,-$E96*$I96/12*1,IF($J96=6,-$E96*$I96/12*2,IF($J96&gt;=7,-$E96*$I96/12*3,0))))))</f>
        <v>0</v>
      </c>
      <c r="CN96" s="120">
        <f>IF($H96&lt;&gt;CP$5,0,IF(CP96&lt;0,IF(OR($J96=1,$J96=2,$J96=3,$J96=4,$J96=5,$J96=6,$J96=7),-$E96*$I96/12*3,IF($J96=8,-$E96*$I96/12*2,IF($J96=9,-$E96*$I96/12*1,0)))))+IF(CK$5&lt;&gt;$H96,0,IF(CK96&lt;0,IF($J96=7,-$E96*$I96/12*0,IF($J96=8,-$E96*$I96/12*1,IF($J96=9,-$E96*$I96/12*2,IF($J96&gt;=10,-$E96*$I96/12*3,0))))))</f>
        <v>0</v>
      </c>
      <c r="CO96" s="121">
        <f>IF($H96&lt;&gt;CP$5,0,IF(CP96&lt;0,IF(OR($J96=1,$J96=2,$J96=3,$J96=4,$J96=5,$J96=6,$J96=7,$J96=8,$J96=9,$J96=10),-$E96*$I96/12*3,IF($J96=11,-$E96*$I96/12*2,IF($J96=12,-$E96*$I96/12*1,0)))))+IF(CK$5&lt;&gt;$H96,0,IF(CK96&lt;0,IF($J96=10,-$E96*$I96/12*0,IF($J96=11,-$E96*$I96/12*1,IF($J96=12,-$E96*$I96/12*2,0)))))</f>
        <v>0</v>
      </c>
      <c r="CP96" s="118">
        <f>IF(AND(CK96&lt;&gt;0,CK$5=$H96),-$I96*$E96-CK96,IF(CP$5=$H96,-$I96*$E96*(12-$J96+1)/12,0))</f>
        <v>0</v>
      </c>
      <c r="CQ96" s="119">
        <f>IF($H96&lt;&gt;CU$5,0,IF(CU96&lt;0,IF($J96=1,-$E96*$I96/12*3,IF($J96=2,-$E96*$I96/12*2,IF($J96=3,-$E96*$I96/12*1,0)))))+IF(CP$5&lt;&gt;$H96,0,IF(CP96&lt;0,IF($J96=1,-$E96*$I96/12*0,IF($J96=2,-$E96*$I96/12*1,IF($J96=3,-$E96*$I96/12*2,IF($J96&gt;=4,-$E96*$I96/12*3,0))))))</f>
        <v>0</v>
      </c>
      <c r="CR96" s="120">
        <f>IF($H96&lt;&gt;CU$5,0,IF(CU96&lt;0,IF(OR($J96=1,$J96=2,$J96=3,$J96=4),-$E96*$I96/12*3,IF($J96=5,-$E96*$I96/12*2,IF($J96=6,-$E96*$I96/12*1,0)))))+IF(CP$5&lt;&gt;$H96,0,IF(CP96&lt;0,IF($J96=4,-$E96*$I96/12*0,IF($J96=5,-$E96*$I96/12*1,IF($J96=6,-$E96*$I96/12*2,IF($J96&gt;=7,-$E96*$I96/12*3,0))))))</f>
        <v>0</v>
      </c>
      <c r="CS96" s="120">
        <f>IF($H96&lt;&gt;CU$5,0,IF(CU96&lt;0,IF(OR($J96=1,$J96=2,$J96=3,$J96=4,$J96=5,$J96=6,$J96=7),-$E96*$I96/12*3,IF($J96=8,-$E96*$I96/12*2,IF($J96=9,-$E96*$I96/12*1,0)))))+IF(CP$5&lt;&gt;$H96,0,IF(CP96&lt;0,IF($J96=7,-$E96*$I96/12*0,IF($J96=8,-$E96*$I96/12*1,IF($J96=9,-$E96*$I96/12*2,IF($J96&gt;=10,-$E96*$I96/12*3,0))))))</f>
        <v>0</v>
      </c>
      <c r="CT96" s="121">
        <f>IF($H96&lt;&gt;CU$5,0,IF(CU96&lt;0,IF(OR($J96=1,$J96=2,$J96=3,$J96=4,$J96=5,$J96=6,$J96=7,$J96=8,$J96=9,$J96=10),-$E96*$I96/12*3,IF($J96=11,-$E96*$I96/12*2,IF($J96=12,-$E96*$I96/12*1,0)))))+IF(CP$5&lt;&gt;$H96,0,IF(CP96&lt;0,IF($J96=10,-$E96*$I96/12*0,IF($J96=11,-$E96*$I96/12*1,IF($J96=12,-$E96*$I96/12*2,0)))))</f>
        <v>0</v>
      </c>
      <c r="CU96" s="118">
        <f>IF(AND(CP96&lt;&gt;0,CP$5=$H96),-$I96*$E96-CP96,IF(CU$5=$H96,-$I96*$E96*(12-$J96+1)/12,0))</f>
        <v>0</v>
      </c>
      <c r="CV96" s="119">
        <f>IF($H96&lt;&gt;CZ$5,0,IF(CZ96&lt;0,IF($J96=1,-$E96*$I96/12*3,IF($J96=2,-$E96*$I96/12*2,IF($J96=3,-$E96*$I96/12*1,0)))))+IF(CU$5&lt;&gt;$H96,0,IF(CU96&lt;0,IF($J96=1,-$E96*$I96/12*0,IF($J96=2,-$E96*$I96/12*1,IF($J96=3,-$E96*$I96/12*2,IF($J96&gt;=4,-$E96*$I96/12*3,0))))))</f>
        <v>0</v>
      </c>
      <c r="CW96" s="120">
        <f>IF($H96&lt;&gt;CZ$5,0,IF(CZ96&lt;0,IF(OR($J96=1,$J96=2,$J96=3,$J96=4),-$E96*$I96/12*3,IF($J96=5,-$E96*$I96/12*2,IF($J96=6,-$E96*$I96/12*1,0)))))+IF(CU$5&lt;&gt;$H96,0,IF(CU96&lt;0,IF($J96=4,-$E96*$I96/12*0,IF($J96=5,-$E96*$I96/12*1,IF($J96=6,-$E96*$I96/12*2,IF($J96&gt;=7,-$E96*$I96/12*3,0))))))</f>
        <v>0</v>
      </c>
      <c r="CX96" s="120">
        <f>IF($H96&lt;&gt;CZ$5,0,IF(CZ96&lt;0,IF(OR($J96=1,$J96=2,$J96=3,$J96=4,$J96=5,$J96=6,$J96=7),-$E96*$I96/12*3,IF($J96=8,-$E96*$I96/12*2,IF($J96=9,-$E96*$I96/12*1,0)))))+IF(CU$5&lt;&gt;$H96,0,IF(CU96&lt;0,IF($J96=7,-$E96*$I96/12*0,IF($J96=8,-$E96*$I96/12*1,IF($J96=9,-$E96*$I96/12*2,IF($J96&gt;=10,-$E96*$I96/12*3,0))))))</f>
        <v>-0.86458333333333337</v>
      </c>
      <c r="CY96" s="121">
        <f>IF($H96&lt;&gt;CZ$5,0,IF(CZ96&lt;0,IF(OR($J96=1,$J96=2,$J96=3,$J96=4,$J96=5,$J96=6,$J96=7,$J96=8,$J96=9,$J96=10),-$E96*$I96/12*3,IF($J96=11,-$E96*$I96/12*2,IF($J96=12,-$E96*$I96/12*1,0)))))+IF(CU$5&lt;&gt;$H96,0,IF(CU96&lt;0,IF($J96=10,-$E96*$I96/12*0,IF($J96=11,-$E96*$I96/12*1,IF($J96=12,-$E96*$I96/12*2,0)))))</f>
        <v>-2.59375</v>
      </c>
      <c r="CZ96" s="118">
        <f>IF(AND(CU96&lt;&gt;0,CU$5=$H96),-$I96*$E96-CU96,IF(CZ$5=$H96,-$I96*$E96*(12-$J96+1)/12,0))</f>
        <v>-3.4583333333333335</v>
      </c>
    </row>
    <row r="97" spans="1:104" ht="12.75" customHeight="1">
      <c r="A97" s="7"/>
      <c r="B97" s="7"/>
      <c r="C97" s="71" t="s">
        <v>1032</v>
      </c>
      <c r="D97" s="190"/>
      <c r="E97" s="191">
        <f t="shared" si="393"/>
        <v>700</v>
      </c>
      <c r="F97" s="1347">
        <v>700</v>
      </c>
      <c r="G97" s="1347">
        <v>700</v>
      </c>
      <c r="H97" s="1346">
        <v>2021</v>
      </c>
      <c r="I97" s="1363">
        <v>0.03</v>
      </c>
      <c r="J97" s="1346">
        <v>6</v>
      </c>
      <c r="K97" s="112"/>
      <c r="L97" s="113">
        <f t="shared" si="394"/>
        <v>0</v>
      </c>
      <c r="M97" s="114">
        <f t="shared" si="395"/>
        <v>0</v>
      </c>
      <c r="N97" s="115">
        <f t="shared" si="396"/>
        <v>0</v>
      </c>
      <c r="O97" s="115">
        <f t="shared" si="397"/>
        <v>0</v>
      </c>
      <c r="P97" s="116">
        <f t="shared" si="398"/>
        <v>0</v>
      </c>
      <c r="Q97" s="113">
        <f t="shared" si="399"/>
        <v>0</v>
      </c>
      <c r="R97" s="114">
        <f t="shared" si="400"/>
        <v>0</v>
      </c>
      <c r="S97" s="115">
        <f t="shared" si="401"/>
        <v>0</v>
      </c>
      <c r="T97" s="115">
        <f t="shared" si="402"/>
        <v>0</v>
      </c>
      <c r="U97" s="116">
        <f t="shared" si="403"/>
        <v>0</v>
      </c>
      <c r="V97" s="113">
        <f t="shared" si="404"/>
        <v>0</v>
      </c>
      <c r="W97" s="114">
        <f t="shared" si="405"/>
        <v>0</v>
      </c>
      <c r="X97" s="115">
        <f t="shared" si="406"/>
        <v>0</v>
      </c>
      <c r="Y97" s="115">
        <f t="shared" si="407"/>
        <v>0</v>
      </c>
      <c r="Z97" s="116">
        <f t="shared" si="408"/>
        <v>0</v>
      </c>
      <c r="AA97" s="113">
        <f t="shared" si="409"/>
        <v>0</v>
      </c>
      <c r="AB97" s="114">
        <f t="shared" si="410"/>
        <v>0</v>
      </c>
      <c r="AC97" s="115">
        <f t="shared" si="411"/>
        <v>0</v>
      </c>
      <c r="AD97" s="115">
        <f t="shared" si="412"/>
        <v>0</v>
      </c>
      <c r="AE97" s="116">
        <f t="shared" si="413"/>
        <v>0</v>
      </c>
      <c r="AF97" s="113">
        <f t="shared" si="414"/>
        <v>0</v>
      </c>
      <c r="AG97" s="114">
        <f>IF(AK97=0,0,IF(AK97&lt;0,IF($J97=3,AK97,IF($J97=2,AK97,IF($J97=1,AK97,0)))))</f>
        <v>0</v>
      </c>
      <c r="AH97" s="115">
        <f>IF(AK97=0,0,IF(AK97&lt;0,IF($J97=6,AK97,IF($J97=5,AK97,IF($J97=4,AK97,0)))))</f>
        <v>0</v>
      </c>
      <c r="AI97" s="115">
        <f>IF(AK97=0,0,IF(AK97&lt;0,IF($J97=9,AK97,IF($J97=8,AK97,IF($J97=7,AK97,0)))))</f>
        <v>0</v>
      </c>
      <c r="AJ97" s="116">
        <f>IF(AK97=0,0,IF(AK97&lt;0,IF($J97=12,AK97,IF($J97=11,AK97,IF($J97=10,AK97,0)))))</f>
        <v>0</v>
      </c>
      <c r="AK97" s="113">
        <f t="shared" si="419"/>
        <v>0</v>
      </c>
      <c r="AL97" s="114">
        <f>IF(AP97=0,0,IF(AP97&lt;0,IF($J97=3,AP97,IF($J97=2,AP97,IF($J97=1,AP97,0)))))</f>
        <v>0</v>
      </c>
      <c r="AM97" s="115">
        <f>IF(AP97=0,0,IF(AP97&lt;0,IF($J97=6,AP97,IF($J97=5,AP97,IF($J97=4,AP97,0)))))</f>
        <v>0</v>
      </c>
      <c r="AN97" s="115">
        <f>IF(AP97=0,0,IF(AP97&lt;0,IF($J97=9,AP97,IF($J97=8,AP97,IF($J97=7,AP97,0)))))</f>
        <v>0</v>
      </c>
      <c r="AO97" s="116">
        <f>IF(AP97=0,0,IF(AP97&lt;0,IF($J97=12,AP97,IF($J97=11,AP97,IF($J97=10,AP97,0)))))</f>
        <v>0</v>
      </c>
      <c r="AP97" s="113">
        <f t="shared" si="424"/>
        <v>0</v>
      </c>
      <c r="AQ97" s="114">
        <f>IF(AU97=0,0,IF(AU97&lt;0,IF($J97=3,AU97,IF($J97=2,AU97,IF($J97=1,AU97,0)))))</f>
        <v>0</v>
      </c>
      <c r="AR97" s="115">
        <f>IF(AU97=0,0,IF(AU97&lt;0,IF($J97=6,AU97,IF($J97=5,AU97,IF($J97=4,AU97,0)))))</f>
        <v>0</v>
      </c>
      <c r="AS97" s="115">
        <f>IF(AU97=0,0,IF(AU97&lt;0,IF($J97=9,AU97,IF($J97=8,AU97,IF($J97=7,AU97,0)))))</f>
        <v>0</v>
      </c>
      <c r="AT97" s="116">
        <f>IF(AU97=0,0,IF(AU97&lt;0,IF($J97=12,AU97,IF($J97=11,AU97,IF($J97=10,AU97,0)))))</f>
        <v>0</v>
      </c>
      <c r="AU97" s="113">
        <f t="shared" si="429"/>
        <v>0</v>
      </c>
      <c r="AV97" s="114">
        <f t="shared" si="430"/>
        <v>0</v>
      </c>
      <c r="AW97" s="115">
        <f t="shared" si="431"/>
        <v>0</v>
      </c>
      <c r="AX97" s="115">
        <f t="shared" si="432"/>
        <v>0</v>
      </c>
      <c r="AY97" s="116">
        <f t="shared" si="433"/>
        <v>0</v>
      </c>
      <c r="AZ97" s="113">
        <f t="shared" si="434"/>
        <v>0</v>
      </c>
      <c r="BA97" s="114">
        <f>IF(BE97=0,0,IF(BE97&lt;0,IF($J97=3,BE97,IF($J97=2,BE97,IF($J97=1,BE97,0)))))</f>
        <v>0</v>
      </c>
      <c r="BB97" s="115">
        <f>IF(BE97=0,0,IF(BE97&lt;0,IF($J97=6,BE97,IF($J97=5,BE97,IF($J97=4,BE97,0)))))</f>
        <v>-700</v>
      </c>
      <c r="BC97" s="115">
        <f>IF(BE97=0,0,IF(BE97&lt;0,IF($J97=9,BE97,IF($J97=8,BE97,IF($J97=7,BE97,0)))))</f>
        <v>0</v>
      </c>
      <c r="BD97" s="116">
        <f>IF(BE97=0,0,IF(BE97&lt;0,IF($J97=12,BE97,IF($J97=11,BE97,IF($J97=10,BE97,0)))))</f>
        <v>0</v>
      </c>
      <c r="BE97" s="113">
        <f t="shared" si="439"/>
        <v>-700</v>
      </c>
      <c r="BF97" s="194"/>
      <c r="BG97" s="118">
        <f t="shared" si="440"/>
        <v>0</v>
      </c>
      <c r="BH97" s="119">
        <f t="shared" si="441"/>
        <v>0</v>
      </c>
      <c r="BI97" s="120">
        <f t="shared" si="442"/>
        <v>0</v>
      </c>
      <c r="BJ97" s="120">
        <f t="shared" si="443"/>
        <v>0</v>
      </c>
      <c r="BK97" s="121">
        <f t="shared" si="444"/>
        <v>0</v>
      </c>
      <c r="BL97" s="118">
        <f t="shared" si="445"/>
        <v>0</v>
      </c>
      <c r="BM97" s="119">
        <f t="shared" si="446"/>
        <v>0</v>
      </c>
      <c r="BN97" s="120">
        <f t="shared" si="447"/>
        <v>0</v>
      </c>
      <c r="BO97" s="120">
        <f t="shared" si="448"/>
        <v>0</v>
      </c>
      <c r="BP97" s="121">
        <f t="shared" si="449"/>
        <v>0</v>
      </c>
      <c r="BQ97" s="118">
        <f t="shared" si="450"/>
        <v>0</v>
      </c>
      <c r="BR97" s="119">
        <f t="shared" si="451"/>
        <v>0</v>
      </c>
      <c r="BS97" s="120">
        <f t="shared" si="452"/>
        <v>0</v>
      </c>
      <c r="BT97" s="120">
        <f t="shared" si="453"/>
        <v>0</v>
      </c>
      <c r="BU97" s="121">
        <f t="shared" si="454"/>
        <v>0</v>
      </c>
      <c r="BV97" s="118">
        <f t="shared" si="455"/>
        <v>0</v>
      </c>
      <c r="BW97" s="119">
        <f t="shared" si="456"/>
        <v>0</v>
      </c>
      <c r="BX97" s="120">
        <f t="shared" si="457"/>
        <v>0</v>
      </c>
      <c r="BY97" s="120">
        <f t="shared" si="458"/>
        <v>0</v>
      </c>
      <c r="BZ97" s="121">
        <f t="shared" si="459"/>
        <v>0</v>
      </c>
      <c r="CA97" s="118">
        <f t="shared" si="460"/>
        <v>0</v>
      </c>
      <c r="CB97" s="119">
        <f>IF($H97&lt;&gt;CF$5,0,IF(CF97&lt;0,IF($J97=1,-$E97*$I97/12*3,IF($J97=2,-$E97*$I97/12*2,IF($J97=3,-$E97*$I97/12*1,0)))))+IF(CA$5&lt;&gt;$H97,0,IF(CA97&lt;0,IF($J97=1,-$E97*$I97/12*0,IF($J97=2,-$E97*$I97/12*1,IF($J97=3,-$E97*$I97/12*2,IF($J97&gt;=4,-$E97*$I97/12*3,0))))))</f>
        <v>0</v>
      </c>
      <c r="CC97" s="120">
        <f>IF($H97&lt;&gt;CF$5,0,IF(CF97&lt;0,IF(OR($J97=1,$J97=2,$J97=3,$J97=4),-$E97*$I97/12*3,IF($J97=5,-$E97*$I97/12*2,IF($J97=6,-$E97*$I97/12*1,0)))))+IF(CA$5&lt;&gt;$H97,0,IF(CA97&lt;0,IF($J97=4,-$E97*$I97/12*0,IF($J97=5,-$E97*$I97/12*1,IF($J97=6,-$E97*$I97/12*2,IF($J97&gt;=7,-$E97*$I97/12*3,0))))))</f>
        <v>0</v>
      </c>
      <c r="CD97" s="120">
        <f>IF($H97&lt;&gt;CF$5,0,IF(CF97&lt;0,IF(OR($J97=1,$J97=2,$J97=3,$J97=4,$J97=5,$J97=6,$J97=7),-$E97*$I97/12*3,IF($J97=8,-$E97*$I97/12*2,IF($J97=9,-$E97*$I97/12*1,0)))))+IF(CA$5&lt;&gt;$H97,0,IF(CA97&lt;0,IF($J97=7,-$E97*$I97/12*0,IF($J97=8,-$E97*$I97/12*1,IF($J97=9,-$E97*$I97/12*2,IF($J97&gt;=10,-$E97*$I97/12*3,0))))))</f>
        <v>0</v>
      </c>
      <c r="CE97" s="121">
        <f>IF($H97&lt;&gt;CF$5,0,IF(CF97&lt;0,IF(OR($J97=1,$J97=2,$J97=3,$J97=4,$J97=5,$J97=6,$J97=7,$J97=8,$J97=9,$J97=10),-$E97*$I97/12*3,IF($J97=11,-$E97*$I97/12*2,IF($J97=12,-$E97*$I97/12*1,0)))))+IF(CA$5&lt;&gt;$H97,0,IF(CA97&lt;0,IF($J97=10,-$E97*$I97/12*0,IF($J97=11,-$E97*$I97/12*1,IF($J97=12,-$E97*$I97/12*2,0)))))</f>
        <v>0</v>
      </c>
      <c r="CF97" s="118">
        <f>IF(AND(CA97&lt;&gt;0,CA$5=$H97),-$I97*$E97-CA97,IF(CF$5=$H97,-$I97*$E97*(12-$J97+1)/12,0))</f>
        <v>0</v>
      </c>
      <c r="CG97" s="119">
        <f>IF($H97&lt;&gt;CK$5,0,IF(CK97&lt;0,IF($J97=1,-$E97*$I97/12*3,IF($J97=2,-$E97*$I97/12*2,IF($J97=3,-$E97*$I97/12*1,0)))))+IF(CF$5&lt;&gt;$H97,0,IF(CF97&lt;0,IF($J97=1,-$E97*$I97/12*0,IF($J97=2,-$E97*$I97/12*1,IF($J97=3,-$E97*$I97/12*2,IF($J97&gt;=4,-$E97*$I97/12*3,0))))))</f>
        <v>0</v>
      </c>
      <c r="CH97" s="120">
        <f>IF($H97&lt;&gt;CK$5,0,IF(CK97&lt;0,IF(OR($J97=1,$J97=2,$J97=3,$J97=4),-$E97*$I97/12*3,IF($J97=5,-$E97*$I97/12*2,IF($J97=6,-$E97*$I97/12*1,0)))))+IF(CF$5&lt;&gt;$H97,0,IF(CF97&lt;0,IF($J97=4,-$E97*$I97/12*0,IF($J97=5,-$E97*$I97/12*1,IF($J97=6,-$E97*$I97/12*2,IF($J97&gt;=7,-$E97*$I97/12*3,0))))))</f>
        <v>0</v>
      </c>
      <c r="CI97" s="120">
        <f>IF($H97&lt;&gt;CK$5,0,IF(CK97&lt;0,IF(OR($J97=1,$J97=2,$J97=3,$J97=4,$J97=5,$J97=6,$J97=7),-$E97*$I97/12*3,IF($J97=8,-$E97*$I97/12*2,IF($J97=9,-$E97*$I97/12*1,0)))))+IF(CF$5&lt;&gt;$H97,0,IF(CF97&lt;0,IF($J97=7,-$E97*$I97/12*0,IF($J97=8,-$E97*$I97/12*1,IF($J97=9,-$E97*$I97/12*2,IF($J97&gt;=10,-$E97*$I97/12*3,0))))))</f>
        <v>0</v>
      </c>
      <c r="CJ97" s="121">
        <f>IF($H97&lt;&gt;CK$5,0,IF(CK97&lt;0,IF(OR($J97=1,$J97=2,$J97=3,$J97=4,$J97=5,$J97=6,$J97=7,$J97=8,$J97=9,$J97=10),-$E97*$I97/12*3,IF($J97=11,-$E97*$I97/12*2,IF($J97=12,-$E97*$I97/12*1,0)))))+IF(CF$5&lt;&gt;$H97,0,IF(CF97&lt;0,IF($J97=10,-$E97*$I97/12*0,IF($J97=11,-$E97*$I97/12*1,IF($J97=12,-$E97*$I97/12*2,0)))))</f>
        <v>0</v>
      </c>
      <c r="CK97" s="118">
        <f>IF(AND(CF97&lt;&gt;0,CF$5=$H97),-$I97*$E97-CF97,IF(CK$5=$H97,-$I97*$E97*(12-$J97+1)/12,0))</f>
        <v>0</v>
      </c>
      <c r="CL97" s="119">
        <f>IF($H97&lt;&gt;CP$5,0,IF(CP97&lt;0,IF($J97=1,-$E97*$I97/12*3,IF($J97=2,-$E97*$I97/12*2,IF($J97=3,-$E97*$I97/12*1,0)))))+IF(CK$5&lt;&gt;$H97,0,IF(CK97&lt;0,IF($J97=1,-$E97*$I97/12*0,IF($J97=2,-$E97*$I97/12*1,IF($J97=3,-$E97*$I97/12*2,IF($J97&gt;=4,-$E97*$I97/12*3,0))))))</f>
        <v>0</v>
      </c>
      <c r="CM97" s="120">
        <f>IF($H97&lt;&gt;CP$5,0,IF(CP97&lt;0,IF(OR($J97=1,$J97=2,$J97=3,$J97=4),-$E97*$I97/12*3,IF($J97=5,-$E97*$I97/12*2,IF($J97=6,-$E97*$I97/12*1,0)))))+IF(CK$5&lt;&gt;$H97,0,IF(CK97&lt;0,IF($J97=4,-$E97*$I97/12*0,IF($J97=5,-$E97*$I97/12*1,IF($J97=6,-$E97*$I97/12*2,IF($J97&gt;=7,-$E97*$I97/12*3,0))))))</f>
        <v>0</v>
      </c>
      <c r="CN97" s="120">
        <f>IF($H97&lt;&gt;CP$5,0,IF(CP97&lt;0,IF(OR($J97=1,$J97=2,$J97=3,$J97=4,$J97=5,$J97=6,$J97=7),-$E97*$I97/12*3,IF($J97=8,-$E97*$I97/12*2,IF($J97=9,-$E97*$I97/12*1,0)))))+IF(CK$5&lt;&gt;$H97,0,IF(CK97&lt;0,IF($J97=7,-$E97*$I97/12*0,IF($J97=8,-$E97*$I97/12*1,IF($J97=9,-$E97*$I97/12*2,IF($J97&gt;=10,-$E97*$I97/12*3,0))))))</f>
        <v>0</v>
      </c>
      <c r="CO97" s="121">
        <f>IF($H97&lt;&gt;CP$5,0,IF(CP97&lt;0,IF(OR($J97=1,$J97=2,$J97=3,$J97=4,$J97=5,$J97=6,$J97=7,$J97=8,$J97=9,$J97=10),-$E97*$I97/12*3,IF($J97=11,-$E97*$I97/12*2,IF($J97=12,-$E97*$I97/12*1,0)))))+IF(CK$5&lt;&gt;$H97,0,IF(CK97&lt;0,IF($J97=10,-$E97*$I97/12*0,IF($J97=11,-$E97*$I97/12*1,IF($J97=12,-$E97*$I97/12*2,0)))))</f>
        <v>0</v>
      </c>
      <c r="CP97" s="118">
        <f>IF(AND(CK97&lt;&gt;0,CK$5=$H97),-$I97*$E97-CK97,IF(CP$5=$H97,-$I97*$E97*(12-$J97+1)/12,0))</f>
        <v>0</v>
      </c>
      <c r="CQ97" s="119">
        <f>IF($H97&lt;&gt;CU$5,0,IF(CU97&lt;0,IF($J97=1,-$E97*$I97/12*3,IF($J97=2,-$E97*$I97/12*2,IF($J97=3,-$E97*$I97/12*1,0)))))+IF(CP$5&lt;&gt;$H97,0,IF(CP97&lt;0,IF($J97=1,-$E97*$I97/12*0,IF($J97=2,-$E97*$I97/12*1,IF($J97=3,-$E97*$I97/12*2,IF($J97&gt;=4,-$E97*$I97/12*3,0))))))</f>
        <v>0</v>
      </c>
      <c r="CR97" s="120">
        <f>IF($H97&lt;&gt;CU$5,0,IF(CU97&lt;0,IF(OR($J97=1,$J97=2,$J97=3,$J97=4),-$E97*$I97/12*3,IF($J97=5,-$E97*$I97/12*2,IF($J97=6,-$E97*$I97/12*1,0)))))+IF(CP$5&lt;&gt;$H97,0,IF(CP97&lt;0,IF($J97=4,-$E97*$I97/12*0,IF($J97=5,-$E97*$I97/12*1,IF($J97=6,-$E97*$I97/12*2,IF($J97&gt;=7,-$E97*$I97/12*3,0))))))</f>
        <v>0</v>
      </c>
      <c r="CS97" s="120">
        <f>IF($H97&lt;&gt;CU$5,0,IF(CU97&lt;0,IF(OR($J97=1,$J97=2,$J97=3,$J97=4,$J97=5,$J97=6,$J97=7),-$E97*$I97/12*3,IF($J97=8,-$E97*$I97/12*2,IF($J97=9,-$E97*$I97/12*1,0)))))+IF(CP$5&lt;&gt;$H97,0,IF(CP97&lt;0,IF($J97=7,-$E97*$I97/12*0,IF($J97=8,-$E97*$I97/12*1,IF($J97=9,-$E97*$I97/12*2,IF($J97&gt;=10,-$E97*$I97/12*3,0))))))</f>
        <v>0</v>
      </c>
      <c r="CT97" s="121">
        <f>IF($H97&lt;&gt;CU$5,0,IF(CU97&lt;0,IF(OR($J97=1,$J97=2,$J97=3,$J97=4,$J97=5,$J97=6,$J97=7,$J97=8,$J97=9,$J97=10),-$E97*$I97/12*3,IF($J97=11,-$E97*$I97/12*2,IF($J97=12,-$E97*$I97/12*1,0)))))+IF(CP$5&lt;&gt;$H97,0,IF(CP97&lt;0,IF($J97=10,-$E97*$I97/12*0,IF($J97=11,-$E97*$I97/12*1,IF($J97=12,-$E97*$I97/12*2,0)))))</f>
        <v>0</v>
      </c>
      <c r="CU97" s="118">
        <f>IF(AND(CP97&lt;&gt;0,CP$5=$H97),-$I97*$E97-CP97,IF(CU$5=$H97,-$I97*$E97*(12-$J97+1)/12,0))</f>
        <v>0</v>
      </c>
      <c r="CV97" s="119">
        <f>IF($H97&lt;&gt;CZ$5,0,IF(CZ97&lt;0,IF($J97=1,-$E97*$I97/12*3,IF($J97=2,-$E97*$I97/12*2,IF($J97=3,-$E97*$I97/12*1,0)))))+IF(CU$5&lt;&gt;$H97,0,IF(CU97&lt;0,IF($J97=1,-$E97*$I97/12*0,IF($J97=2,-$E97*$I97/12*1,IF($J97=3,-$E97*$I97/12*2,IF($J97&gt;=4,-$E97*$I97/12*3,0))))))</f>
        <v>0</v>
      </c>
      <c r="CW97" s="120">
        <f>IF($H97&lt;&gt;CZ$5,0,IF(CZ97&lt;0,IF(OR($J97=1,$J97=2,$J97=3,$J97=4),-$E97*$I97/12*3,IF($J97=5,-$E97*$I97/12*2,IF($J97=6,-$E97*$I97/12*1,0)))))+IF(CU$5&lt;&gt;$H97,0,IF(CU97&lt;0,IF($J97=4,-$E97*$I97/12*0,IF($J97=5,-$E97*$I97/12*1,IF($J97=6,-$E97*$I97/12*2,IF($J97&gt;=7,-$E97*$I97/12*3,0))))))</f>
        <v>-1.75</v>
      </c>
      <c r="CX97" s="120">
        <f>IF($H97&lt;&gt;CZ$5,0,IF(CZ97&lt;0,IF(OR($J97=1,$J97=2,$J97=3,$J97=4,$J97=5,$J97=6,$J97=7),-$E97*$I97/12*3,IF($J97=8,-$E97*$I97/12*2,IF($J97=9,-$E97*$I97/12*1,0)))))+IF(CU$5&lt;&gt;$H97,0,IF(CU97&lt;0,IF($J97=7,-$E97*$I97/12*0,IF($J97=8,-$E97*$I97/12*1,IF($J97=9,-$E97*$I97/12*2,IF($J97&gt;=10,-$E97*$I97/12*3,0))))))</f>
        <v>-5.25</v>
      </c>
      <c r="CY97" s="121">
        <f>IF($H97&lt;&gt;CZ$5,0,IF(CZ97&lt;0,IF(OR($J97=1,$J97=2,$J97=3,$J97=4,$J97=5,$J97=6,$J97=7,$J97=8,$J97=9,$J97=10),-$E97*$I97/12*3,IF($J97=11,-$E97*$I97/12*2,IF($J97=12,-$E97*$I97/12*1,0)))))+IF(CU$5&lt;&gt;$H97,0,IF(CU97&lt;0,IF($J97=10,-$E97*$I97/12*0,IF($J97=11,-$E97*$I97/12*1,IF($J97=12,-$E97*$I97/12*2,0)))))</f>
        <v>-5.25</v>
      </c>
      <c r="CZ97" s="118">
        <f>IF(AND(CU97&lt;&gt;0,CU$5=$H97),-$I97*$E97-CU97,IF(CZ$5=$H97,-$I97*$E97*(12-$J97+1)/12,0))</f>
        <v>-12.25</v>
      </c>
    </row>
    <row r="98" spans="1:104" ht="12.75" customHeight="1">
      <c r="A98" s="7"/>
      <c r="B98" s="7"/>
      <c r="C98" s="7" t="s">
        <v>872</v>
      </c>
      <c r="D98" s="204"/>
      <c r="E98" s="191">
        <f t="shared" si="393"/>
        <v>250</v>
      </c>
      <c r="F98" s="1347">
        <v>250</v>
      </c>
      <c r="G98" s="1347">
        <v>250</v>
      </c>
      <c r="H98" s="1217">
        <v>2023</v>
      </c>
      <c r="I98" s="443">
        <v>4.2999999999999997E-2</v>
      </c>
      <c r="J98" s="442">
        <v>11</v>
      </c>
      <c r="K98" s="112"/>
      <c r="L98" s="113">
        <f t="shared" si="394"/>
        <v>0</v>
      </c>
      <c r="M98" s="114">
        <f t="shared" si="395"/>
        <v>0</v>
      </c>
      <c r="N98" s="115">
        <f t="shared" si="396"/>
        <v>0</v>
      </c>
      <c r="O98" s="115">
        <f t="shared" si="397"/>
        <v>0</v>
      </c>
      <c r="P98" s="116">
        <f t="shared" si="398"/>
        <v>0</v>
      </c>
      <c r="Q98" s="113">
        <f t="shared" si="399"/>
        <v>0</v>
      </c>
      <c r="R98" s="114">
        <f t="shared" si="400"/>
        <v>0</v>
      </c>
      <c r="S98" s="115">
        <f t="shared" si="401"/>
        <v>0</v>
      </c>
      <c r="T98" s="115">
        <f t="shared" si="402"/>
        <v>0</v>
      </c>
      <c r="U98" s="116">
        <f t="shared" si="403"/>
        <v>0</v>
      </c>
      <c r="V98" s="113">
        <f t="shared" si="404"/>
        <v>0</v>
      </c>
      <c r="W98" s="114">
        <f t="shared" si="405"/>
        <v>0</v>
      </c>
      <c r="X98" s="115">
        <f t="shared" si="406"/>
        <v>0</v>
      </c>
      <c r="Y98" s="115">
        <f t="shared" si="407"/>
        <v>0</v>
      </c>
      <c r="Z98" s="116">
        <f t="shared" si="408"/>
        <v>0</v>
      </c>
      <c r="AA98" s="113">
        <f t="shared" si="409"/>
        <v>0</v>
      </c>
      <c r="AB98" s="114">
        <f t="shared" si="410"/>
        <v>0</v>
      </c>
      <c r="AC98" s="115">
        <f t="shared" si="411"/>
        <v>0</v>
      </c>
      <c r="AD98" s="115">
        <f t="shared" si="412"/>
        <v>0</v>
      </c>
      <c r="AE98" s="116">
        <f t="shared" si="413"/>
        <v>0</v>
      </c>
      <c r="AF98" s="113">
        <f t="shared" si="414"/>
        <v>0</v>
      </c>
      <c r="AG98" s="114">
        <f>IF(AK98=0,0,IF(AK98&lt;0,IF($J98=3,AK98,IF($J98=2,AK98,IF($J98=1,AK98,0)))))</f>
        <v>0</v>
      </c>
      <c r="AH98" s="115">
        <f>IF(AK98=0,0,IF(AK98&lt;0,IF($J98=6,AK98,IF($J98=5,AK98,IF($J98=4,AK98,0)))))</f>
        <v>0</v>
      </c>
      <c r="AI98" s="115">
        <f>IF(AK98=0,0,IF(AK98&lt;0,IF($J98=9,AK98,IF($J98=8,AK98,IF($J98=7,AK98,0)))))</f>
        <v>0</v>
      </c>
      <c r="AJ98" s="116">
        <f>IF(AK98=0,0,IF(AK98&lt;0,IF($J98=12,AK98,IF($J98=11,AK98,IF($J98=10,AK98,0)))))</f>
        <v>0</v>
      </c>
      <c r="AK98" s="113">
        <f t="shared" si="419"/>
        <v>0</v>
      </c>
      <c r="AL98" s="114">
        <f>IF(AP98=0,0,IF(AP98&lt;0,IF($J98=3,AP98,IF($J98=2,AP98,IF($J98=1,AP98,0)))))</f>
        <v>0</v>
      </c>
      <c r="AM98" s="115">
        <f>IF(AP98=0,0,IF(AP98&lt;0,IF($J98=6,AP98,IF($J98=5,AP98,IF($J98=4,AP98,0)))))</f>
        <v>0</v>
      </c>
      <c r="AN98" s="115">
        <f>IF(AP98=0,0,IF(AP98&lt;0,IF($J98=9,AP98,IF($J98=8,AP98,IF($J98=7,AP98,0)))))</f>
        <v>0</v>
      </c>
      <c r="AO98" s="116">
        <f>IF(AP98=0,0,IF(AP98&lt;0,IF($J98=12,AP98,IF($J98=11,AP98,IF($J98=10,AP98,0)))))</f>
        <v>0</v>
      </c>
      <c r="AP98" s="113">
        <f t="shared" si="424"/>
        <v>0</v>
      </c>
      <c r="AQ98" s="114">
        <f>IF(AU98=0,0,IF(AU98&lt;0,IF($J98=3,AU98,IF($J98=2,AU98,IF($J98=1,AU98,0)))))</f>
        <v>0</v>
      </c>
      <c r="AR98" s="115">
        <f>IF(AU98=0,0,IF(AU98&lt;0,IF($J98=6,AU98,IF($J98=5,AU98,IF($J98=4,AU98,0)))))</f>
        <v>0</v>
      </c>
      <c r="AS98" s="115">
        <f>IF(AU98=0,0,IF(AU98&lt;0,IF($J98=9,AU98,IF($J98=8,AU98,IF($J98=7,AU98,0)))))</f>
        <v>0</v>
      </c>
      <c r="AT98" s="116">
        <f>IF(AU98=0,0,IF(AU98&lt;0,IF($J98=12,AU98,IF($J98=11,AU98,IF($J98=10,AU98,0)))))</f>
        <v>0</v>
      </c>
      <c r="AU98" s="113">
        <f t="shared" si="429"/>
        <v>0</v>
      </c>
      <c r="AV98" s="114">
        <f t="shared" si="430"/>
        <v>0</v>
      </c>
      <c r="AW98" s="115">
        <f t="shared" si="431"/>
        <v>0</v>
      </c>
      <c r="AX98" s="115">
        <f t="shared" si="432"/>
        <v>0</v>
      </c>
      <c r="AY98" s="116">
        <f t="shared" si="433"/>
        <v>0</v>
      </c>
      <c r="AZ98" s="113">
        <f t="shared" si="434"/>
        <v>0</v>
      </c>
      <c r="BA98" s="114">
        <f>IF(BE98=0,0,IF(BE98&lt;0,IF($J98=3,BE98,IF($J98=2,BE98,IF($J98=1,BE98,0)))))</f>
        <v>0</v>
      </c>
      <c r="BB98" s="115">
        <f>IF(BE98=0,0,IF(BE98&lt;0,IF($J98=6,BE98,IF($J98=5,BE98,IF($J98=4,BE98,0)))))</f>
        <v>0</v>
      </c>
      <c r="BC98" s="115">
        <f>IF(BE98=0,0,IF(BE98&lt;0,IF($J98=9,BE98,IF($J98=8,BE98,IF($J98=7,BE98,0)))))</f>
        <v>0</v>
      </c>
      <c r="BD98" s="116">
        <f>IF(BE98=0,0,IF(BE98&lt;0,IF($J98=12,BE98,IF($J98=11,BE98,IF($J98=10,BE98,0)))))</f>
        <v>0</v>
      </c>
      <c r="BE98" s="113">
        <f t="shared" si="439"/>
        <v>0</v>
      </c>
      <c r="BF98" s="194"/>
      <c r="BG98" s="118">
        <f t="shared" si="440"/>
        <v>0</v>
      </c>
      <c r="BH98" s="119">
        <f t="shared" si="441"/>
        <v>0</v>
      </c>
      <c r="BI98" s="120">
        <f t="shared" si="442"/>
        <v>0</v>
      </c>
      <c r="BJ98" s="120">
        <f t="shared" si="443"/>
        <v>0</v>
      </c>
      <c r="BK98" s="121">
        <f t="shared" si="444"/>
        <v>0</v>
      </c>
      <c r="BL98" s="118">
        <f t="shared" si="445"/>
        <v>0</v>
      </c>
      <c r="BM98" s="119">
        <f t="shared" si="446"/>
        <v>0</v>
      </c>
      <c r="BN98" s="120">
        <f t="shared" si="447"/>
        <v>0</v>
      </c>
      <c r="BO98" s="120">
        <f t="shared" si="448"/>
        <v>0</v>
      </c>
      <c r="BP98" s="121">
        <f t="shared" si="449"/>
        <v>0</v>
      </c>
      <c r="BQ98" s="118">
        <f t="shared" si="450"/>
        <v>0</v>
      </c>
      <c r="BR98" s="119">
        <f t="shared" si="451"/>
        <v>0</v>
      </c>
      <c r="BS98" s="120">
        <f t="shared" si="452"/>
        <v>0</v>
      </c>
      <c r="BT98" s="120">
        <f t="shared" si="453"/>
        <v>0</v>
      </c>
      <c r="BU98" s="121">
        <f t="shared" si="454"/>
        <v>0</v>
      </c>
      <c r="BV98" s="118">
        <f t="shared" si="455"/>
        <v>0</v>
      </c>
      <c r="BW98" s="119">
        <f t="shared" si="456"/>
        <v>0</v>
      </c>
      <c r="BX98" s="120">
        <f t="shared" si="457"/>
        <v>0</v>
      </c>
      <c r="BY98" s="120">
        <f t="shared" si="458"/>
        <v>0</v>
      </c>
      <c r="BZ98" s="121">
        <f t="shared" si="459"/>
        <v>0</v>
      </c>
      <c r="CA98" s="118">
        <f t="shared" si="460"/>
        <v>0</v>
      </c>
      <c r="CB98" s="119">
        <f>IF($H98&lt;&gt;CF$5,0,IF(CF98&lt;0,IF($J98=1,-$E98*$I98/12*3,IF($J98=2,-$E98*$I98/12*2,IF($J98=3,-$E98*$I98/12*1,0)))))+IF(CA$5&lt;&gt;$H98,0,IF(CA98&lt;0,IF($J98=1,-$E98*$I98/12*0,IF($J98=2,-$E98*$I98/12*1,IF($J98=3,-$E98*$I98/12*2,IF($J98&gt;=4,-$E98*$I98/12*3,0))))))</f>
        <v>0</v>
      </c>
      <c r="CC98" s="120">
        <f>IF($H98&lt;&gt;CF$5,0,IF(CF98&lt;0,IF(OR($J98=1,$J98=2,$J98=3,$J98=4),-$E98*$I98/12*3,IF($J98=5,-$E98*$I98/12*2,IF($J98=6,-$E98*$I98/12*1,0)))))+IF(CA$5&lt;&gt;$H98,0,IF(CA98&lt;0,IF($J98=4,-$E98*$I98/12*0,IF($J98=5,-$E98*$I98/12*1,IF($J98=6,-$E98*$I98/12*2,IF($J98&gt;=7,-$E98*$I98/12*3,0))))))</f>
        <v>0</v>
      </c>
      <c r="CD98" s="120">
        <f>IF($H98&lt;&gt;CF$5,0,IF(CF98&lt;0,IF(OR($J98=1,$J98=2,$J98=3,$J98=4,$J98=5,$J98=6,$J98=7),-$E98*$I98/12*3,IF($J98=8,-$E98*$I98/12*2,IF($J98=9,-$E98*$I98/12*1,0)))))+IF(CA$5&lt;&gt;$H98,0,IF(CA98&lt;0,IF($J98=7,-$E98*$I98/12*0,IF($J98=8,-$E98*$I98/12*1,IF($J98=9,-$E98*$I98/12*2,IF($J98&gt;=10,-$E98*$I98/12*3,0))))))</f>
        <v>0</v>
      </c>
      <c r="CE98" s="121">
        <f>IF($H98&lt;&gt;CF$5,0,IF(CF98&lt;0,IF(OR($J98=1,$J98=2,$J98=3,$J98=4,$J98=5,$J98=6,$J98=7,$J98=8,$J98=9,$J98=10),-$E98*$I98/12*3,IF($J98=11,-$E98*$I98/12*2,IF($J98=12,-$E98*$I98/12*1,0)))))+IF(CA$5&lt;&gt;$H98,0,IF(CA98&lt;0,IF($J98=10,-$E98*$I98/12*0,IF($J98=11,-$E98*$I98/12*1,IF($J98=12,-$E98*$I98/12*2,0)))))</f>
        <v>0</v>
      </c>
      <c r="CF98" s="118">
        <f>IF(AND(CA98&lt;&gt;0,CA$5=$H98),-$I98*$E98-CA98,IF(CF$5=$H98,-$I98*$E98*(12-$J98+1)/12,0))</f>
        <v>0</v>
      </c>
      <c r="CG98" s="119">
        <f>IF($H98&lt;&gt;CK$5,0,IF(CK98&lt;0,IF($J98=1,-$E98*$I98/12*3,IF($J98=2,-$E98*$I98/12*2,IF($J98=3,-$E98*$I98/12*1,0)))))+IF(CF$5&lt;&gt;$H98,0,IF(CF98&lt;0,IF($J98=1,-$E98*$I98/12*0,IF($J98=2,-$E98*$I98/12*1,IF($J98=3,-$E98*$I98/12*2,IF($J98&gt;=4,-$E98*$I98/12*3,0))))))</f>
        <v>0</v>
      </c>
      <c r="CH98" s="120">
        <f>IF($H98&lt;&gt;CK$5,0,IF(CK98&lt;0,IF(OR($J98=1,$J98=2,$J98=3,$J98=4),-$E98*$I98/12*3,IF($J98=5,-$E98*$I98/12*2,IF($J98=6,-$E98*$I98/12*1,0)))))+IF(CF$5&lt;&gt;$H98,0,IF(CF98&lt;0,IF($J98=4,-$E98*$I98/12*0,IF($J98=5,-$E98*$I98/12*1,IF($J98=6,-$E98*$I98/12*2,IF($J98&gt;=7,-$E98*$I98/12*3,0))))))</f>
        <v>0</v>
      </c>
      <c r="CI98" s="120">
        <f>IF($H98&lt;&gt;CK$5,0,IF(CK98&lt;0,IF(OR($J98=1,$J98=2,$J98=3,$J98=4,$J98=5,$J98=6,$J98=7),-$E98*$I98/12*3,IF($J98=8,-$E98*$I98/12*2,IF($J98=9,-$E98*$I98/12*1,0)))))+IF(CF$5&lt;&gt;$H98,0,IF(CF98&lt;0,IF($J98=7,-$E98*$I98/12*0,IF($J98=8,-$E98*$I98/12*1,IF($J98=9,-$E98*$I98/12*2,IF($J98&gt;=10,-$E98*$I98/12*3,0))))))</f>
        <v>0</v>
      </c>
      <c r="CJ98" s="121">
        <f>IF($H98&lt;&gt;CK$5,0,IF(CK98&lt;0,IF(OR($J98=1,$J98=2,$J98=3,$J98=4,$J98=5,$J98=6,$J98=7,$J98=8,$J98=9,$J98=10),-$E98*$I98/12*3,IF($J98=11,-$E98*$I98/12*2,IF($J98=12,-$E98*$I98/12*1,0)))))+IF(CF$5&lt;&gt;$H98,0,IF(CF98&lt;0,IF($J98=10,-$E98*$I98/12*0,IF($J98=11,-$E98*$I98/12*1,IF($J98=12,-$E98*$I98/12*2,0)))))</f>
        <v>0</v>
      </c>
      <c r="CK98" s="118">
        <f>IF(AND(CF98&lt;&gt;0,CF$5=$H98),-$I98*$E98-CF98,IF(CK$5=$H98,-$I98*$E98*(12-$J98+1)/12,0))</f>
        <v>0</v>
      </c>
      <c r="CL98" s="119">
        <f>IF($H98&lt;&gt;CP$5,0,IF(CP98&lt;0,IF($J98=1,-$E98*$I98/12*3,IF($J98=2,-$E98*$I98/12*2,IF($J98=3,-$E98*$I98/12*1,0)))))+IF(CK$5&lt;&gt;$H98,0,IF(CK98&lt;0,IF($J98=1,-$E98*$I98/12*0,IF($J98=2,-$E98*$I98/12*1,IF($J98=3,-$E98*$I98/12*2,IF($J98&gt;=4,-$E98*$I98/12*3,0))))))</f>
        <v>0</v>
      </c>
      <c r="CM98" s="120">
        <f>IF($H98&lt;&gt;CP$5,0,IF(CP98&lt;0,IF(OR($J98=1,$J98=2,$J98=3,$J98=4),-$E98*$I98/12*3,IF($J98=5,-$E98*$I98/12*2,IF($J98=6,-$E98*$I98/12*1,0)))))+IF(CK$5&lt;&gt;$H98,0,IF(CK98&lt;0,IF($J98=4,-$E98*$I98/12*0,IF($J98=5,-$E98*$I98/12*1,IF($J98=6,-$E98*$I98/12*2,IF($J98&gt;=7,-$E98*$I98/12*3,0))))))</f>
        <v>0</v>
      </c>
      <c r="CN98" s="120">
        <f>IF($H98&lt;&gt;CP$5,0,IF(CP98&lt;0,IF(OR($J98=1,$J98=2,$J98=3,$J98=4,$J98=5,$J98=6,$J98=7),-$E98*$I98/12*3,IF($J98=8,-$E98*$I98/12*2,IF($J98=9,-$E98*$I98/12*1,0)))))+IF(CK$5&lt;&gt;$H98,0,IF(CK98&lt;0,IF($J98=7,-$E98*$I98/12*0,IF($J98=8,-$E98*$I98/12*1,IF($J98=9,-$E98*$I98/12*2,IF($J98&gt;=10,-$E98*$I98/12*3,0))))))</f>
        <v>0</v>
      </c>
      <c r="CO98" s="121">
        <f>IF($H98&lt;&gt;CP$5,0,IF(CP98&lt;0,IF(OR($J98=1,$J98=2,$J98=3,$J98=4,$J98=5,$J98=6,$J98=7,$J98=8,$J98=9,$J98=10),-$E98*$I98/12*3,IF($J98=11,-$E98*$I98/12*2,IF($J98=12,-$E98*$I98/12*1,0)))))+IF(CK$5&lt;&gt;$H98,0,IF(CK98&lt;0,IF($J98=10,-$E98*$I98/12*0,IF($J98=11,-$E98*$I98/12*1,IF($J98=12,-$E98*$I98/12*2,0)))))</f>
        <v>0</v>
      </c>
      <c r="CP98" s="118">
        <f>IF(AND(CK98&lt;&gt;0,CK$5=$H98),-$I98*$E98-CK98,IF(CP$5=$H98,-$I98*$E98*(12-$J98+1)/12,0))</f>
        <v>0</v>
      </c>
      <c r="CQ98" s="119">
        <f>IF($H98&lt;&gt;CU$5,0,IF(CU98&lt;0,IF($J98=1,-$E98*$I98/12*3,IF($J98=2,-$E98*$I98/12*2,IF($J98=3,-$E98*$I98/12*1,0)))))+IF(CP$5&lt;&gt;$H98,0,IF(CP98&lt;0,IF($J98=1,-$E98*$I98/12*0,IF($J98=2,-$E98*$I98/12*1,IF($J98=3,-$E98*$I98/12*2,IF($J98&gt;=4,-$E98*$I98/12*3,0))))))</f>
        <v>0</v>
      </c>
      <c r="CR98" s="120">
        <f>IF($H98&lt;&gt;CU$5,0,IF(CU98&lt;0,IF(OR($J98=1,$J98=2,$J98=3,$J98=4),-$E98*$I98/12*3,IF($J98=5,-$E98*$I98/12*2,IF($J98=6,-$E98*$I98/12*1,0)))))+IF(CP$5&lt;&gt;$H98,0,IF(CP98&lt;0,IF($J98=4,-$E98*$I98/12*0,IF($J98=5,-$E98*$I98/12*1,IF($J98=6,-$E98*$I98/12*2,IF($J98&gt;=7,-$E98*$I98/12*3,0))))))</f>
        <v>0</v>
      </c>
      <c r="CS98" s="120">
        <f>IF($H98&lt;&gt;CU$5,0,IF(CU98&lt;0,IF(OR($J98=1,$J98=2,$J98=3,$J98=4,$J98=5,$J98=6,$J98=7),-$E98*$I98/12*3,IF($J98=8,-$E98*$I98/12*2,IF($J98=9,-$E98*$I98/12*1,0)))))+IF(CP$5&lt;&gt;$H98,0,IF(CP98&lt;0,IF($J98=7,-$E98*$I98/12*0,IF($J98=8,-$E98*$I98/12*1,IF($J98=9,-$E98*$I98/12*2,IF($J98&gt;=10,-$E98*$I98/12*3,0))))))</f>
        <v>0</v>
      </c>
      <c r="CT98" s="121">
        <f>IF($H98&lt;&gt;CU$5,0,IF(CU98&lt;0,IF(OR($J98=1,$J98=2,$J98=3,$J98=4,$J98=5,$J98=6,$J98=7,$J98=8,$J98=9,$J98=10),-$E98*$I98/12*3,IF($J98=11,-$E98*$I98/12*2,IF($J98=12,-$E98*$I98/12*1,0)))))+IF(CP$5&lt;&gt;$H98,0,IF(CP98&lt;0,IF($J98=10,-$E98*$I98/12*0,IF($J98=11,-$E98*$I98/12*1,IF($J98=12,-$E98*$I98/12*2,0)))))</f>
        <v>0</v>
      </c>
      <c r="CU98" s="118">
        <f>IF(AND(CP98&lt;&gt;0,CP$5=$H98),-$I98*$E98-CP98,IF(CU$5=$H98,-$I98*$E98*(12-$J98+1)/12,0))</f>
        <v>0</v>
      </c>
      <c r="CV98" s="119">
        <f>IF($H98&lt;&gt;CZ$5,0,IF(CZ98&lt;0,IF($J98=1,-$E98*$I98/12*3,IF($J98=2,-$E98*$I98/12*2,IF($J98=3,-$E98*$I98/12*1,0)))))+IF(CU$5&lt;&gt;$H98,0,IF(CU98&lt;0,IF($J98=1,-$E98*$I98/12*0,IF($J98=2,-$E98*$I98/12*1,IF($J98=3,-$E98*$I98/12*2,IF($J98&gt;=4,-$E98*$I98/12*3,0))))))</f>
        <v>0</v>
      </c>
      <c r="CW98" s="120">
        <f>IF($H98&lt;&gt;CZ$5,0,IF(CZ98&lt;0,IF(OR($J98=1,$J98=2,$J98=3,$J98=4),-$E98*$I98/12*3,IF($J98=5,-$E98*$I98/12*2,IF($J98=6,-$E98*$I98/12*1,0)))))+IF(CU$5&lt;&gt;$H98,0,IF(CU98&lt;0,IF($J98=4,-$E98*$I98/12*0,IF($J98=5,-$E98*$I98/12*1,IF($J98=6,-$E98*$I98/12*2,IF($J98&gt;=7,-$E98*$I98/12*3,0))))))</f>
        <v>0</v>
      </c>
      <c r="CX98" s="120">
        <f>IF($H98&lt;&gt;CZ$5,0,IF(CZ98&lt;0,IF(OR($J98=1,$J98=2,$J98=3,$J98=4,$J98=5,$J98=6,$J98=7),-$E98*$I98/12*3,IF($J98=8,-$E98*$I98/12*2,IF($J98=9,-$E98*$I98/12*1,0)))))+IF(CU$5&lt;&gt;$H98,0,IF(CU98&lt;0,IF($J98=7,-$E98*$I98/12*0,IF($J98=8,-$E98*$I98/12*1,IF($J98=9,-$E98*$I98/12*2,IF($J98&gt;=10,-$E98*$I98/12*3,0))))))</f>
        <v>0</v>
      </c>
      <c r="CY98" s="121">
        <f>IF($H98&lt;&gt;CZ$5,0,IF(CZ98&lt;0,IF(OR($J98=1,$J98=2,$J98=3,$J98=4,$J98=5,$J98=6,$J98=7,$J98=8,$J98=9,$J98=10),-$E98*$I98/12*3,IF($J98=11,-$E98*$I98/12*2,IF($J98=12,-$E98*$I98/12*1,0)))))+IF(CU$5&lt;&gt;$H98,0,IF(CU98&lt;0,IF($J98=10,-$E98*$I98/12*0,IF($J98=11,-$E98*$I98/12*1,IF($J98=12,-$E98*$I98/12*2,0)))))</f>
        <v>0</v>
      </c>
      <c r="CZ98" s="118">
        <f>IF(AND(CU98&lt;&gt;0,CU$5=$H98),-$I98*$E98-CU98,IF(CZ$5=$H98,-$I98*$E98*(12-$J98+1)/12,0))</f>
        <v>0</v>
      </c>
    </row>
    <row r="99" spans="1:104" ht="12.75" customHeight="1">
      <c r="A99" s="7"/>
      <c r="B99" s="7"/>
      <c r="C99" s="7" t="s">
        <v>506</v>
      </c>
      <c r="D99" s="204"/>
      <c r="E99" s="191">
        <f t="shared" si="393"/>
        <v>500</v>
      </c>
      <c r="F99" s="1347">
        <v>500</v>
      </c>
      <c r="G99" s="1347">
        <v>500</v>
      </c>
      <c r="H99" s="1217">
        <v>2031</v>
      </c>
      <c r="I99" s="443">
        <v>8.6249999999999993E-2</v>
      </c>
      <c r="J99" s="442">
        <v>4</v>
      </c>
      <c r="K99" s="112"/>
      <c r="L99" s="113">
        <f t="shared" si="394"/>
        <v>0</v>
      </c>
      <c r="M99" s="114">
        <f t="shared" si="395"/>
        <v>0</v>
      </c>
      <c r="N99" s="115">
        <f t="shared" si="396"/>
        <v>0</v>
      </c>
      <c r="O99" s="115">
        <f t="shared" si="397"/>
        <v>0</v>
      </c>
      <c r="P99" s="116">
        <f t="shared" si="398"/>
        <v>0</v>
      </c>
      <c r="Q99" s="113">
        <f t="shared" si="399"/>
        <v>0</v>
      </c>
      <c r="R99" s="114">
        <f t="shared" si="400"/>
        <v>0</v>
      </c>
      <c r="S99" s="115">
        <f t="shared" si="401"/>
        <v>0</v>
      </c>
      <c r="T99" s="115">
        <f t="shared" si="402"/>
        <v>0</v>
      </c>
      <c r="U99" s="116">
        <f t="shared" si="403"/>
        <v>0</v>
      </c>
      <c r="V99" s="113">
        <f t="shared" si="404"/>
        <v>0</v>
      </c>
      <c r="W99" s="114">
        <f t="shared" si="405"/>
        <v>0</v>
      </c>
      <c r="X99" s="115">
        <f t="shared" si="406"/>
        <v>0</v>
      </c>
      <c r="Y99" s="115">
        <f t="shared" si="407"/>
        <v>0</v>
      </c>
      <c r="Z99" s="116">
        <f t="shared" si="408"/>
        <v>0</v>
      </c>
      <c r="AA99" s="113">
        <f t="shared" si="409"/>
        <v>0</v>
      </c>
      <c r="AB99" s="114">
        <f t="shared" si="410"/>
        <v>0</v>
      </c>
      <c r="AC99" s="115">
        <f t="shared" si="411"/>
        <v>0</v>
      </c>
      <c r="AD99" s="115">
        <f t="shared" si="412"/>
        <v>0</v>
      </c>
      <c r="AE99" s="116">
        <f t="shared" si="413"/>
        <v>0</v>
      </c>
      <c r="AF99" s="113">
        <f t="shared" si="414"/>
        <v>0</v>
      </c>
      <c r="AG99" s="114">
        <f t="shared" si="415"/>
        <v>0</v>
      </c>
      <c r="AH99" s="115">
        <f t="shared" si="416"/>
        <v>0</v>
      </c>
      <c r="AI99" s="115">
        <f t="shared" si="417"/>
        <v>0</v>
      </c>
      <c r="AJ99" s="116">
        <f t="shared" si="418"/>
        <v>0</v>
      </c>
      <c r="AK99" s="113">
        <f t="shared" si="419"/>
        <v>0</v>
      </c>
      <c r="AL99" s="114">
        <f t="shared" si="420"/>
        <v>0</v>
      </c>
      <c r="AM99" s="115">
        <f t="shared" si="421"/>
        <v>0</v>
      </c>
      <c r="AN99" s="115">
        <f t="shared" si="422"/>
        <v>0</v>
      </c>
      <c r="AO99" s="116">
        <f t="shared" si="423"/>
        <v>0</v>
      </c>
      <c r="AP99" s="113">
        <f t="shared" si="424"/>
        <v>0</v>
      </c>
      <c r="AQ99" s="114">
        <f t="shared" si="425"/>
        <v>0</v>
      </c>
      <c r="AR99" s="115">
        <f t="shared" si="426"/>
        <v>0</v>
      </c>
      <c r="AS99" s="115">
        <f t="shared" si="427"/>
        <v>0</v>
      </c>
      <c r="AT99" s="116">
        <f t="shared" si="428"/>
        <v>0</v>
      </c>
      <c r="AU99" s="113">
        <f t="shared" si="429"/>
        <v>0</v>
      </c>
      <c r="AV99" s="114">
        <f t="shared" si="430"/>
        <v>0</v>
      </c>
      <c r="AW99" s="115">
        <f t="shared" si="431"/>
        <v>0</v>
      </c>
      <c r="AX99" s="115">
        <f t="shared" si="432"/>
        <v>0</v>
      </c>
      <c r="AY99" s="116">
        <f t="shared" si="433"/>
        <v>0</v>
      </c>
      <c r="AZ99" s="113">
        <f t="shared" si="434"/>
        <v>0</v>
      </c>
      <c r="BA99" s="114">
        <f t="shared" si="435"/>
        <v>0</v>
      </c>
      <c r="BB99" s="115">
        <f t="shared" si="436"/>
        <v>0</v>
      </c>
      <c r="BC99" s="115">
        <f t="shared" si="437"/>
        <v>0</v>
      </c>
      <c r="BD99" s="116">
        <f t="shared" si="438"/>
        <v>0</v>
      </c>
      <c r="BE99" s="113">
        <f t="shared" si="439"/>
        <v>0</v>
      </c>
      <c r="BF99" s="194"/>
      <c r="BG99" s="118">
        <f t="shared" si="440"/>
        <v>0</v>
      </c>
      <c r="BH99" s="119">
        <f t="shared" si="441"/>
        <v>0</v>
      </c>
      <c r="BI99" s="120">
        <f t="shared" si="442"/>
        <v>0</v>
      </c>
      <c r="BJ99" s="120">
        <f t="shared" si="443"/>
        <v>0</v>
      </c>
      <c r="BK99" s="121">
        <f t="shared" si="444"/>
        <v>0</v>
      </c>
      <c r="BL99" s="118">
        <f t="shared" si="445"/>
        <v>0</v>
      </c>
      <c r="BM99" s="119">
        <f t="shared" si="446"/>
        <v>0</v>
      </c>
      <c r="BN99" s="120">
        <f t="shared" si="447"/>
        <v>0</v>
      </c>
      <c r="BO99" s="120">
        <f t="shared" si="448"/>
        <v>0</v>
      </c>
      <c r="BP99" s="121">
        <f t="shared" si="449"/>
        <v>0</v>
      </c>
      <c r="BQ99" s="118">
        <f t="shared" si="450"/>
        <v>0</v>
      </c>
      <c r="BR99" s="119">
        <f t="shared" si="451"/>
        <v>0</v>
      </c>
      <c r="BS99" s="120">
        <f t="shared" si="452"/>
        <v>0</v>
      </c>
      <c r="BT99" s="120">
        <f t="shared" si="453"/>
        <v>0</v>
      </c>
      <c r="BU99" s="121">
        <f t="shared" si="454"/>
        <v>0</v>
      </c>
      <c r="BV99" s="118">
        <f t="shared" si="455"/>
        <v>0</v>
      </c>
      <c r="BW99" s="119">
        <f t="shared" si="456"/>
        <v>0</v>
      </c>
      <c r="BX99" s="120">
        <f t="shared" si="457"/>
        <v>0</v>
      </c>
      <c r="BY99" s="120">
        <f t="shared" si="458"/>
        <v>0</v>
      </c>
      <c r="BZ99" s="121">
        <f t="shared" si="459"/>
        <v>0</v>
      </c>
      <c r="CA99" s="118">
        <f t="shared" si="460"/>
        <v>0</v>
      </c>
      <c r="CB99" s="119">
        <f t="shared" si="461"/>
        <v>0</v>
      </c>
      <c r="CC99" s="120">
        <f t="shared" si="462"/>
        <v>0</v>
      </c>
      <c r="CD99" s="120">
        <f t="shared" si="463"/>
        <v>0</v>
      </c>
      <c r="CE99" s="121">
        <f t="shared" si="464"/>
        <v>0</v>
      </c>
      <c r="CF99" s="118">
        <f t="shared" si="465"/>
        <v>0</v>
      </c>
      <c r="CG99" s="119">
        <f t="shared" si="466"/>
        <v>0</v>
      </c>
      <c r="CH99" s="120">
        <f t="shared" si="467"/>
        <v>0</v>
      </c>
      <c r="CI99" s="120">
        <f t="shared" si="468"/>
        <v>0</v>
      </c>
      <c r="CJ99" s="121">
        <f t="shared" si="469"/>
        <v>0</v>
      </c>
      <c r="CK99" s="118">
        <f t="shared" si="470"/>
        <v>0</v>
      </c>
      <c r="CL99" s="119">
        <f t="shared" si="471"/>
        <v>0</v>
      </c>
      <c r="CM99" s="120">
        <f t="shared" si="472"/>
        <v>0</v>
      </c>
      <c r="CN99" s="120">
        <f t="shared" si="473"/>
        <v>0</v>
      </c>
      <c r="CO99" s="121">
        <f t="shared" si="474"/>
        <v>0</v>
      </c>
      <c r="CP99" s="118">
        <f t="shared" si="475"/>
        <v>0</v>
      </c>
      <c r="CQ99" s="119">
        <f t="shared" si="476"/>
        <v>0</v>
      </c>
      <c r="CR99" s="120">
        <f t="shared" si="477"/>
        <v>0</v>
      </c>
      <c r="CS99" s="120">
        <f t="shared" si="478"/>
        <v>0</v>
      </c>
      <c r="CT99" s="121">
        <f t="shared" si="479"/>
        <v>0</v>
      </c>
      <c r="CU99" s="118">
        <f t="shared" si="480"/>
        <v>0</v>
      </c>
      <c r="CV99" s="119">
        <f t="shared" si="481"/>
        <v>0</v>
      </c>
      <c r="CW99" s="120">
        <f t="shared" si="482"/>
        <v>0</v>
      </c>
      <c r="CX99" s="120">
        <f t="shared" si="483"/>
        <v>0</v>
      </c>
      <c r="CY99" s="121">
        <f t="shared" si="484"/>
        <v>0</v>
      </c>
      <c r="CZ99" s="118">
        <f t="shared" si="485"/>
        <v>0</v>
      </c>
    </row>
    <row r="100" spans="1:104" ht="12.75" customHeight="1">
      <c r="A100" s="7"/>
      <c r="B100" s="7"/>
      <c r="C100" s="7" t="s">
        <v>505</v>
      </c>
      <c r="D100" s="204"/>
      <c r="E100" s="191">
        <f t="shared" si="393"/>
        <v>44</v>
      </c>
      <c r="F100" s="1347">
        <v>44</v>
      </c>
      <c r="G100" s="1347">
        <v>44</v>
      </c>
      <c r="H100" s="1217">
        <v>2019</v>
      </c>
      <c r="I100" s="525">
        <v>0.03</v>
      </c>
      <c r="J100" s="442">
        <v>1</v>
      </c>
      <c r="K100" s="112"/>
      <c r="L100" s="113">
        <f t="shared" si="394"/>
        <v>0</v>
      </c>
      <c r="M100" s="114">
        <f t="shared" si="395"/>
        <v>0</v>
      </c>
      <c r="N100" s="115">
        <f t="shared" si="396"/>
        <v>0</v>
      </c>
      <c r="O100" s="115">
        <f t="shared" si="397"/>
        <v>0</v>
      </c>
      <c r="P100" s="116">
        <f t="shared" si="398"/>
        <v>0</v>
      </c>
      <c r="Q100" s="113">
        <f t="shared" si="399"/>
        <v>0</v>
      </c>
      <c r="R100" s="114">
        <f t="shared" si="400"/>
        <v>0</v>
      </c>
      <c r="S100" s="115">
        <f t="shared" si="401"/>
        <v>0</v>
      </c>
      <c r="T100" s="115">
        <f t="shared" si="402"/>
        <v>0</v>
      </c>
      <c r="U100" s="116">
        <f t="shared" si="403"/>
        <v>0</v>
      </c>
      <c r="V100" s="113">
        <f t="shared" si="404"/>
        <v>0</v>
      </c>
      <c r="W100" s="114">
        <f t="shared" si="405"/>
        <v>0</v>
      </c>
      <c r="X100" s="115">
        <f t="shared" si="406"/>
        <v>0</v>
      </c>
      <c r="Y100" s="115">
        <f t="shared" si="407"/>
        <v>0</v>
      </c>
      <c r="Z100" s="116">
        <f t="shared" si="408"/>
        <v>0</v>
      </c>
      <c r="AA100" s="113">
        <f t="shared" si="409"/>
        <v>0</v>
      </c>
      <c r="AB100" s="114">
        <f t="shared" si="410"/>
        <v>0</v>
      </c>
      <c r="AC100" s="115">
        <f t="shared" si="411"/>
        <v>0</v>
      </c>
      <c r="AD100" s="115">
        <f t="shared" si="412"/>
        <v>0</v>
      </c>
      <c r="AE100" s="116">
        <f t="shared" si="413"/>
        <v>0</v>
      </c>
      <c r="AF100" s="113">
        <f t="shared" si="414"/>
        <v>0</v>
      </c>
      <c r="AG100" s="114">
        <f>IF(AK100=0,0,IF(AK100&lt;0,IF($J100=3,AK100,IF($J100=2,AK100,IF($J100=1,AK100,0)))))</f>
        <v>0</v>
      </c>
      <c r="AH100" s="115">
        <f>IF(AK100=0,0,IF(AK100&lt;0,IF($J100=6,AK100,IF($J100=5,AK100,IF($J100=4,AK100,0)))))</f>
        <v>0</v>
      </c>
      <c r="AI100" s="115">
        <f>IF(AK100=0,0,IF(AK100&lt;0,IF($J100=9,AK100,IF($J100=8,AK100,IF($J100=7,AK100,0)))))</f>
        <v>0</v>
      </c>
      <c r="AJ100" s="116">
        <f>IF(AK100=0,0,IF(AK100&lt;0,IF($J100=12,AK100,IF($J100=11,AK100,IF($J100=10,AK100,0)))))</f>
        <v>0</v>
      </c>
      <c r="AK100" s="113">
        <f t="shared" si="419"/>
        <v>0</v>
      </c>
      <c r="AL100" s="114">
        <f>IF(AP100=0,0,IF(AP100&lt;0,IF($J100=3,AP100,IF($J100=2,AP100,IF($J100=1,AP100,0)))))</f>
        <v>0</v>
      </c>
      <c r="AM100" s="115">
        <f>IF(AP100=0,0,IF(AP100&lt;0,IF($J100=6,AP100,IF($J100=5,AP100,IF($J100=4,AP100,0)))))</f>
        <v>0</v>
      </c>
      <c r="AN100" s="115">
        <f>IF(AP100=0,0,IF(AP100&lt;0,IF($J100=9,AP100,IF($J100=8,AP100,IF($J100=7,AP100,0)))))</f>
        <v>0</v>
      </c>
      <c r="AO100" s="116">
        <f>IF(AP100=0,0,IF(AP100&lt;0,IF($J100=12,AP100,IF($J100=11,AP100,IF($J100=10,AP100,0)))))</f>
        <v>0</v>
      </c>
      <c r="AP100" s="113">
        <f t="shared" si="424"/>
        <v>0</v>
      </c>
      <c r="AQ100" s="114">
        <f>IF(AU100=0,0,IF(AU100&lt;0,IF($J100=3,AU100,IF($J100=2,AU100,IF($J100=1,AU100,0)))))</f>
        <v>-44</v>
      </c>
      <c r="AR100" s="115">
        <f>IF(AU100=0,0,IF(AU100&lt;0,IF($J100=6,AU100,IF($J100=5,AU100,IF($J100=4,AU100,0)))))</f>
        <v>0</v>
      </c>
      <c r="AS100" s="115">
        <f>IF(AU100=0,0,IF(AU100&lt;0,IF($J100=9,AU100,IF($J100=8,AU100,IF($J100=7,AU100,0)))))</f>
        <v>0</v>
      </c>
      <c r="AT100" s="116">
        <f>IF(AU100=0,0,IF(AU100&lt;0,IF($J100=12,AU100,IF($J100=11,AU100,IF($J100=10,AU100,0)))))</f>
        <v>0</v>
      </c>
      <c r="AU100" s="113">
        <f t="shared" si="429"/>
        <v>-44</v>
      </c>
      <c r="AV100" s="114">
        <f t="shared" si="430"/>
        <v>0</v>
      </c>
      <c r="AW100" s="115">
        <f t="shared" si="431"/>
        <v>0</v>
      </c>
      <c r="AX100" s="115">
        <f t="shared" si="432"/>
        <v>0</v>
      </c>
      <c r="AY100" s="116">
        <f t="shared" si="433"/>
        <v>0</v>
      </c>
      <c r="AZ100" s="113">
        <f t="shared" si="434"/>
        <v>0</v>
      </c>
      <c r="BA100" s="114">
        <f>IF(BE100=0,0,IF(BE100&lt;0,IF($J100=3,BE100,IF($J100=2,BE100,IF($J100=1,BE100,0)))))</f>
        <v>0</v>
      </c>
      <c r="BB100" s="115">
        <f>IF(BE100=0,0,IF(BE100&lt;0,IF($J100=6,BE100,IF($J100=5,BE100,IF($J100=4,BE100,0)))))</f>
        <v>0</v>
      </c>
      <c r="BC100" s="115">
        <f>IF(BE100=0,0,IF(BE100&lt;0,IF($J100=9,BE100,IF($J100=8,BE100,IF($J100=7,BE100,0)))))</f>
        <v>0</v>
      </c>
      <c r="BD100" s="116">
        <f>IF(BE100=0,0,IF(BE100&lt;0,IF($J100=12,BE100,IF($J100=11,BE100,IF($J100=10,BE100,0)))))</f>
        <v>0</v>
      </c>
      <c r="BE100" s="113">
        <f t="shared" si="439"/>
        <v>0</v>
      </c>
      <c r="BF100" s="194"/>
      <c r="BG100" s="118">
        <f t="shared" si="440"/>
        <v>0</v>
      </c>
      <c r="BH100" s="119">
        <f t="shared" si="441"/>
        <v>0</v>
      </c>
      <c r="BI100" s="120">
        <f t="shared" si="442"/>
        <v>0</v>
      </c>
      <c r="BJ100" s="120">
        <f t="shared" si="443"/>
        <v>0</v>
      </c>
      <c r="BK100" s="121">
        <f t="shared" si="444"/>
        <v>0</v>
      </c>
      <c r="BL100" s="118">
        <f t="shared" si="445"/>
        <v>0</v>
      </c>
      <c r="BM100" s="119">
        <f t="shared" si="446"/>
        <v>0</v>
      </c>
      <c r="BN100" s="120">
        <f t="shared" si="447"/>
        <v>0</v>
      </c>
      <c r="BO100" s="120">
        <f t="shared" si="448"/>
        <v>0</v>
      </c>
      <c r="BP100" s="121">
        <f t="shared" si="449"/>
        <v>0</v>
      </c>
      <c r="BQ100" s="118">
        <f t="shared" si="450"/>
        <v>0</v>
      </c>
      <c r="BR100" s="119">
        <f t="shared" si="451"/>
        <v>0</v>
      </c>
      <c r="BS100" s="120">
        <f t="shared" si="452"/>
        <v>0</v>
      </c>
      <c r="BT100" s="120">
        <f t="shared" si="453"/>
        <v>0</v>
      </c>
      <c r="BU100" s="121">
        <f t="shared" si="454"/>
        <v>0</v>
      </c>
      <c r="BV100" s="118">
        <f t="shared" si="455"/>
        <v>0</v>
      </c>
      <c r="BW100" s="119">
        <f t="shared" si="456"/>
        <v>0</v>
      </c>
      <c r="BX100" s="120">
        <f t="shared" si="457"/>
        <v>0</v>
      </c>
      <c r="BY100" s="120">
        <f t="shared" si="458"/>
        <v>0</v>
      </c>
      <c r="BZ100" s="121">
        <f t="shared" si="459"/>
        <v>0</v>
      </c>
      <c r="CA100" s="118">
        <f t="shared" si="460"/>
        <v>0</v>
      </c>
      <c r="CB100" s="119">
        <f>IF($H100&lt;&gt;CF$5,0,IF(CF100&lt;0,IF($J100=1,-$E100*$I100/12*3,IF($J100=2,-$E100*$I100/12*2,IF($J100=3,-$E100*$I100/12*1,0)))))+IF(CA$5&lt;&gt;$H100,0,IF(CA100&lt;0,IF($J100=1,-$E100*$I100/12*0,IF($J100=2,-$E100*$I100/12*1,IF($J100=3,-$E100*$I100/12*2,IF($J100&gt;=4,-$E100*$I100/12*3,0))))))</f>
        <v>0</v>
      </c>
      <c r="CC100" s="120">
        <f>IF($H100&lt;&gt;CF$5,0,IF(CF100&lt;0,IF(OR($J100=1,$J100=2,$J100=3,$J100=4),-$E100*$I100/12*3,IF($J100=5,-$E100*$I100/12*2,IF($J100=6,-$E100*$I100/12*1,0)))))+IF(CA$5&lt;&gt;$H100,0,IF(CA100&lt;0,IF($J100=4,-$E100*$I100/12*0,IF($J100=5,-$E100*$I100/12*1,IF($J100=6,-$E100*$I100/12*2,IF($J100&gt;=7,-$E100*$I100/12*3,0))))))</f>
        <v>0</v>
      </c>
      <c r="CD100" s="120">
        <f>IF($H100&lt;&gt;CF$5,0,IF(CF100&lt;0,IF(OR($J100=1,$J100=2,$J100=3,$J100=4,$J100=5,$J100=6,$J100=7),-$E100*$I100/12*3,IF($J100=8,-$E100*$I100/12*2,IF($J100=9,-$E100*$I100/12*1,0)))))+IF(CA$5&lt;&gt;$H100,0,IF(CA100&lt;0,IF($J100=7,-$E100*$I100/12*0,IF($J100=8,-$E100*$I100/12*1,IF($J100=9,-$E100*$I100/12*2,IF($J100&gt;=10,-$E100*$I100/12*3,0))))))</f>
        <v>0</v>
      </c>
      <c r="CE100" s="121">
        <f>IF($H100&lt;&gt;CF$5,0,IF(CF100&lt;0,IF(OR($J100=1,$J100=2,$J100=3,$J100=4,$J100=5,$J100=6,$J100=7,$J100=8,$J100=9,$J100=10),-$E100*$I100/12*3,IF($J100=11,-$E100*$I100/12*2,IF($J100=12,-$E100*$I100/12*1,0)))))+IF(CA$5&lt;&gt;$H100,0,IF(CA100&lt;0,IF($J100=10,-$E100*$I100/12*0,IF($J100=11,-$E100*$I100/12*1,IF($J100=12,-$E100*$I100/12*2,0)))))</f>
        <v>0</v>
      </c>
      <c r="CF100" s="118">
        <f>IF(AND(CA100&lt;&gt;0,CA$5=$H100),-$I100*$E100-CA100,IF(CF$5=$H100,-$I100*$E100*(12-$J100+1)/12,0))</f>
        <v>0</v>
      </c>
      <c r="CG100" s="119">
        <f>IF($H100&lt;&gt;CK$5,0,IF(CK100&lt;0,IF($J100=1,-$E100*$I100/12*3,IF($J100=2,-$E100*$I100/12*2,IF($J100=3,-$E100*$I100/12*1,0)))))+IF(CF$5&lt;&gt;$H100,0,IF(CF100&lt;0,IF($J100=1,-$E100*$I100/12*0,IF($J100=2,-$E100*$I100/12*1,IF($J100=3,-$E100*$I100/12*2,IF($J100&gt;=4,-$E100*$I100/12*3,0))))))</f>
        <v>0</v>
      </c>
      <c r="CH100" s="120">
        <f>IF($H100&lt;&gt;CK$5,0,IF(CK100&lt;0,IF(OR($J100=1,$J100=2,$J100=3,$J100=4),-$E100*$I100/12*3,IF($J100=5,-$E100*$I100/12*2,IF($J100=6,-$E100*$I100/12*1,0)))))+IF(CF$5&lt;&gt;$H100,0,IF(CF100&lt;0,IF($J100=4,-$E100*$I100/12*0,IF($J100=5,-$E100*$I100/12*1,IF($J100=6,-$E100*$I100/12*2,IF($J100&gt;=7,-$E100*$I100/12*3,0))))))</f>
        <v>0</v>
      </c>
      <c r="CI100" s="120">
        <f>IF($H100&lt;&gt;CK$5,0,IF(CK100&lt;0,IF(OR($J100=1,$J100=2,$J100=3,$J100=4,$J100=5,$J100=6,$J100=7),-$E100*$I100/12*3,IF($J100=8,-$E100*$I100/12*2,IF($J100=9,-$E100*$I100/12*1,0)))))+IF(CF$5&lt;&gt;$H100,0,IF(CF100&lt;0,IF($J100=7,-$E100*$I100/12*0,IF($J100=8,-$E100*$I100/12*1,IF($J100=9,-$E100*$I100/12*2,IF($J100&gt;=10,-$E100*$I100/12*3,0))))))</f>
        <v>0</v>
      </c>
      <c r="CJ100" s="121">
        <f>IF($H100&lt;&gt;CK$5,0,IF(CK100&lt;0,IF(OR($J100=1,$J100=2,$J100=3,$J100=4,$J100=5,$J100=6,$J100=7,$J100=8,$J100=9,$J100=10),-$E100*$I100/12*3,IF($J100=11,-$E100*$I100/12*2,IF($J100=12,-$E100*$I100/12*1,0)))))+IF(CF$5&lt;&gt;$H100,0,IF(CF100&lt;0,IF($J100=10,-$E100*$I100/12*0,IF($J100=11,-$E100*$I100/12*1,IF($J100=12,-$E100*$I100/12*2,0)))))</f>
        <v>0</v>
      </c>
      <c r="CK100" s="118">
        <f>IF(AND(CF100&lt;&gt;0,CF$5=$H100),-$I100*$E100-CF100,IF(CK$5=$H100,-$I100*$E100*(12-$J100+1)/12,0))</f>
        <v>0</v>
      </c>
      <c r="CL100" s="119">
        <f>IF($H100&lt;&gt;CP$5,0,IF(CP100&lt;0,IF($J100=1,-$E100*$I100/12*3,IF($J100=2,-$E100*$I100/12*2,IF($J100=3,-$E100*$I100/12*1,0)))))+IF(CK$5&lt;&gt;$H100,0,IF(CK100&lt;0,IF($J100=1,-$E100*$I100/12*0,IF($J100=2,-$E100*$I100/12*1,IF($J100=3,-$E100*$I100/12*2,IF($J100&gt;=4,-$E100*$I100/12*3,0))))))</f>
        <v>-0.32999999999999996</v>
      </c>
      <c r="CM100" s="120">
        <f>IF($H100&lt;&gt;CP$5,0,IF(CP100&lt;0,IF(OR($J100=1,$J100=2,$J100=3,$J100=4),-$E100*$I100/12*3,IF($J100=5,-$E100*$I100/12*2,IF($J100=6,-$E100*$I100/12*1,0)))))+IF(CK$5&lt;&gt;$H100,0,IF(CK100&lt;0,IF($J100=4,-$E100*$I100/12*0,IF($J100=5,-$E100*$I100/12*1,IF($J100=6,-$E100*$I100/12*2,IF($J100&gt;=7,-$E100*$I100/12*3,0))))))</f>
        <v>-0.32999999999999996</v>
      </c>
      <c r="CN100" s="120">
        <f>IF($H100&lt;&gt;CP$5,0,IF(CP100&lt;0,IF(OR($J100=1,$J100=2,$J100=3,$J100=4,$J100=5,$J100=6,$J100=7),-$E100*$I100/12*3,IF($J100=8,-$E100*$I100/12*2,IF($J100=9,-$E100*$I100/12*1,0)))))+IF(CK$5&lt;&gt;$H100,0,IF(CK100&lt;0,IF($J100=7,-$E100*$I100/12*0,IF($J100=8,-$E100*$I100/12*1,IF($J100=9,-$E100*$I100/12*2,IF($J100&gt;=10,-$E100*$I100/12*3,0))))))</f>
        <v>-0.32999999999999996</v>
      </c>
      <c r="CO100" s="121">
        <f>IF($H100&lt;&gt;CP$5,0,IF(CP100&lt;0,IF(OR($J100=1,$J100=2,$J100=3,$J100=4,$J100=5,$J100=6,$J100=7,$J100=8,$J100=9,$J100=10),-$E100*$I100/12*3,IF($J100=11,-$E100*$I100/12*2,IF($J100=12,-$E100*$I100/12*1,0)))))+IF(CK$5&lt;&gt;$H100,0,IF(CK100&lt;0,IF($J100=10,-$E100*$I100/12*0,IF($J100=11,-$E100*$I100/12*1,IF($J100=12,-$E100*$I100/12*2,0)))))</f>
        <v>-0.32999999999999996</v>
      </c>
      <c r="CP100" s="118">
        <f>IF(AND(CK100&lt;&gt;0,CK$5=$H100),-$I100*$E100-CK100,IF(CP$5=$H100,-$I100*$E100*(12-$J100+1)/12,0))</f>
        <v>-1.3199999999999998</v>
      </c>
      <c r="CQ100" s="119">
        <f>IF($H100&lt;&gt;CU$5,0,IF(CU100&lt;0,IF($J100=1,-$E100*$I100/12*3,IF($J100=2,-$E100*$I100/12*2,IF($J100=3,-$E100*$I100/12*1,0)))))+IF(CP$5&lt;&gt;$H100,0,IF(CP100&lt;0,IF($J100=1,-$E100*$I100/12*0,IF($J100=2,-$E100*$I100/12*1,IF($J100=3,-$E100*$I100/12*2,IF($J100&gt;=4,-$E100*$I100/12*3,0))))))</f>
        <v>0</v>
      </c>
      <c r="CR100" s="120">
        <f>IF($H100&lt;&gt;CU$5,0,IF(CU100&lt;0,IF(OR($J100=1,$J100=2,$J100=3,$J100=4),-$E100*$I100/12*3,IF($J100=5,-$E100*$I100/12*2,IF($J100=6,-$E100*$I100/12*1,0)))))+IF(CP$5&lt;&gt;$H100,0,IF(CP100&lt;0,IF($J100=4,-$E100*$I100/12*0,IF($J100=5,-$E100*$I100/12*1,IF($J100=6,-$E100*$I100/12*2,IF($J100&gt;=7,-$E100*$I100/12*3,0))))))</f>
        <v>0</v>
      </c>
      <c r="CS100" s="120">
        <f>IF($H100&lt;&gt;CU$5,0,IF(CU100&lt;0,IF(OR($J100=1,$J100=2,$J100=3,$J100=4,$J100=5,$J100=6,$J100=7),-$E100*$I100/12*3,IF($J100=8,-$E100*$I100/12*2,IF($J100=9,-$E100*$I100/12*1,0)))))+IF(CP$5&lt;&gt;$H100,0,IF(CP100&lt;0,IF($J100=7,-$E100*$I100/12*0,IF($J100=8,-$E100*$I100/12*1,IF($J100=9,-$E100*$I100/12*2,IF($J100&gt;=10,-$E100*$I100/12*3,0))))))</f>
        <v>0</v>
      </c>
      <c r="CT100" s="121">
        <f>IF($H100&lt;&gt;CU$5,0,IF(CU100&lt;0,IF(OR($J100=1,$J100=2,$J100=3,$J100=4,$J100=5,$J100=6,$J100=7,$J100=8,$J100=9,$J100=10),-$E100*$I100/12*3,IF($J100=11,-$E100*$I100/12*2,IF($J100=12,-$E100*$I100/12*1,0)))))+IF(CP$5&lt;&gt;$H100,0,IF(CP100&lt;0,IF($J100=10,-$E100*$I100/12*0,IF($J100=11,-$E100*$I100/12*1,IF($J100=12,-$E100*$I100/12*2,0)))))</f>
        <v>0</v>
      </c>
      <c r="CU100" s="118">
        <f>IF(AND(CP100&lt;&gt;0,CP$5=$H100),-$I100*$E100-CP100,IF(CU$5=$H100,-$I100*$E100*(12-$J100+1)/12,0))</f>
        <v>0</v>
      </c>
      <c r="CV100" s="119">
        <f>IF($H100&lt;&gt;CZ$5,0,IF(CZ100&lt;0,IF($J100=1,-$E100*$I100/12*3,IF($J100=2,-$E100*$I100/12*2,IF($J100=3,-$E100*$I100/12*1,0)))))+IF(CU$5&lt;&gt;$H100,0,IF(CU100&lt;0,IF($J100=1,-$E100*$I100/12*0,IF($J100=2,-$E100*$I100/12*1,IF($J100=3,-$E100*$I100/12*2,IF($J100&gt;=4,-$E100*$I100/12*3,0))))))</f>
        <v>0</v>
      </c>
      <c r="CW100" s="120">
        <f>IF($H100&lt;&gt;CZ$5,0,IF(CZ100&lt;0,IF(OR($J100=1,$J100=2,$J100=3,$J100=4),-$E100*$I100/12*3,IF($J100=5,-$E100*$I100/12*2,IF($J100=6,-$E100*$I100/12*1,0)))))+IF(CU$5&lt;&gt;$H100,0,IF(CU100&lt;0,IF($J100=4,-$E100*$I100/12*0,IF($J100=5,-$E100*$I100/12*1,IF($J100=6,-$E100*$I100/12*2,IF($J100&gt;=7,-$E100*$I100/12*3,0))))))</f>
        <v>0</v>
      </c>
      <c r="CX100" s="120">
        <f>IF($H100&lt;&gt;CZ$5,0,IF(CZ100&lt;0,IF(OR($J100=1,$J100=2,$J100=3,$J100=4,$J100=5,$J100=6,$J100=7),-$E100*$I100/12*3,IF($J100=8,-$E100*$I100/12*2,IF($J100=9,-$E100*$I100/12*1,0)))))+IF(CU$5&lt;&gt;$H100,0,IF(CU100&lt;0,IF($J100=7,-$E100*$I100/12*0,IF($J100=8,-$E100*$I100/12*1,IF($J100=9,-$E100*$I100/12*2,IF($J100&gt;=10,-$E100*$I100/12*3,0))))))</f>
        <v>0</v>
      </c>
      <c r="CY100" s="121">
        <f>IF($H100&lt;&gt;CZ$5,0,IF(CZ100&lt;0,IF(OR($J100=1,$J100=2,$J100=3,$J100=4,$J100=5,$J100=6,$J100=7,$J100=8,$J100=9,$J100=10),-$E100*$I100/12*3,IF($J100=11,-$E100*$I100/12*2,IF($J100=12,-$E100*$I100/12*1,0)))))+IF(CU$5&lt;&gt;$H100,0,IF(CU100&lt;0,IF($J100=10,-$E100*$I100/12*0,IF($J100=11,-$E100*$I100/12*1,IF($J100=12,-$E100*$I100/12*2,0)))))</f>
        <v>0</v>
      </c>
      <c r="CZ100" s="118">
        <f>IF(AND(CU100&lt;&gt;0,CU$5=$H100),-$I100*$E100-CU100,IF(CZ$5=$H100,-$I100*$E100*(12-$J100+1)/12,0))</f>
        <v>0</v>
      </c>
    </row>
    <row r="101" spans="1:104" ht="12.75" customHeight="1">
      <c r="A101" s="7"/>
      <c r="B101" s="7"/>
      <c r="D101" s="204"/>
      <c r="E101" s="191"/>
      <c r="F101" s="192"/>
      <c r="G101" s="192"/>
      <c r="H101" s="442"/>
      <c r="I101" s="588"/>
      <c r="J101" s="442"/>
      <c r="K101" s="112"/>
      <c r="L101" s="133"/>
      <c r="M101" s="134"/>
      <c r="N101" s="135"/>
      <c r="O101" s="135"/>
      <c r="P101" s="136"/>
      <c r="Q101" s="133"/>
      <c r="R101" s="134"/>
      <c r="S101" s="135"/>
      <c r="T101" s="135"/>
      <c r="U101" s="136"/>
      <c r="V101" s="133"/>
      <c r="W101" s="134"/>
      <c r="X101" s="135"/>
      <c r="Y101" s="135"/>
      <c r="Z101" s="136"/>
      <c r="AA101" s="133"/>
      <c r="AB101" s="134"/>
      <c r="AC101" s="135"/>
      <c r="AD101" s="135"/>
      <c r="AE101" s="136"/>
      <c r="AF101" s="133"/>
      <c r="AG101" s="134"/>
      <c r="AH101" s="135"/>
      <c r="AI101" s="135"/>
      <c r="AJ101" s="136"/>
      <c r="AK101" s="133"/>
      <c r="AL101" s="134"/>
      <c r="AM101" s="135"/>
      <c r="AN101" s="135"/>
      <c r="AO101" s="136"/>
      <c r="AP101" s="133"/>
      <c r="AQ101" s="134"/>
      <c r="AR101" s="135"/>
      <c r="AS101" s="135"/>
      <c r="AT101" s="136"/>
      <c r="AU101" s="133"/>
      <c r="AV101" s="134"/>
      <c r="AW101" s="135"/>
      <c r="AX101" s="135"/>
      <c r="AY101" s="136"/>
      <c r="AZ101" s="133"/>
      <c r="BA101" s="134"/>
      <c r="BB101" s="135"/>
      <c r="BC101" s="135"/>
      <c r="BD101" s="136"/>
      <c r="BE101" s="133"/>
      <c r="BF101" s="202"/>
      <c r="BG101" s="138"/>
      <c r="BH101" s="139"/>
      <c r="BI101" s="140"/>
      <c r="BJ101" s="140"/>
      <c r="BK101" s="141"/>
      <c r="BL101" s="138"/>
      <c r="BM101" s="139"/>
      <c r="BN101" s="140"/>
      <c r="BO101" s="140"/>
      <c r="BP101" s="141"/>
      <c r="BQ101" s="138"/>
      <c r="BR101" s="139"/>
      <c r="BS101" s="140"/>
      <c r="BT101" s="140"/>
      <c r="BU101" s="141"/>
      <c r="BV101" s="138"/>
      <c r="BW101" s="139"/>
      <c r="BX101" s="140"/>
      <c r="BY101" s="140"/>
      <c r="BZ101" s="141"/>
      <c r="CA101" s="138"/>
      <c r="CB101" s="139"/>
      <c r="CC101" s="140"/>
      <c r="CD101" s="140"/>
      <c r="CE101" s="141"/>
      <c r="CF101" s="138"/>
      <c r="CG101" s="139"/>
      <c r="CH101" s="140"/>
      <c r="CI101" s="140"/>
      <c r="CJ101" s="141"/>
      <c r="CK101" s="138"/>
      <c r="CL101" s="139"/>
      <c r="CM101" s="140"/>
      <c r="CN101" s="140"/>
      <c r="CO101" s="141"/>
      <c r="CP101" s="138"/>
      <c r="CQ101" s="139"/>
      <c r="CR101" s="140"/>
      <c r="CS101" s="140"/>
      <c r="CT101" s="141"/>
      <c r="CU101" s="138"/>
      <c r="CV101" s="139"/>
      <c r="CW101" s="140"/>
      <c r="CX101" s="140"/>
      <c r="CY101" s="141"/>
      <c r="CZ101" s="138"/>
    </row>
    <row r="102" spans="1:104" ht="12.75" customHeight="1">
      <c r="A102" s="203"/>
      <c r="B102" s="203"/>
      <c r="C102" s="573" t="s">
        <v>449</v>
      </c>
      <c r="D102" s="573"/>
      <c r="E102" s="580">
        <f>SUM(E94:E101)</f>
        <v>2400</v>
      </c>
      <c r="F102" s="581">
        <f>SUM(F94:F101)</f>
        <v>2400</v>
      </c>
      <c r="G102" s="581">
        <f>SUM(G94:G101)</f>
        <v>2400</v>
      </c>
      <c r="H102" s="576"/>
      <c r="I102" s="577"/>
      <c r="J102" s="551"/>
      <c r="K102" s="579"/>
      <c r="L102" s="147">
        <f t="shared" ref="L102:AU102" si="486">SUM(L94:L101)</f>
        <v>0</v>
      </c>
      <c r="M102" s="148">
        <f t="shared" si="486"/>
        <v>0</v>
      </c>
      <c r="N102" s="149">
        <f t="shared" si="486"/>
        <v>0</v>
      </c>
      <c r="O102" s="149">
        <f t="shared" si="486"/>
        <v>0</v>
      </c>
      <c r="P102" s="150">
        <f t="shared" si="486"/>
        <v>0</v>
      </c>
      <c r="Q102" s="147">
        <f t="shared" si="486"/>
        <v>0</v>
      </c>
      <c r="R102" s="148">
        <f t="shared" si="486"/>
        <v>0</v>
      </c>
      <c r="S102" s="149">
        <f t="shared" si="486"/>
        <v>0</v>
      </c>
      <c r="T102" s="149">
        <f t="shared" si="486"/>
        <v>0</v>
      </c>
      <c r="U102" s="150">
        <f t="shared" si="486"/>
        <v>0</v>
      </c>
      <c r="V102" s="147">
        <f t="shared" si="486"/>
        <v>0</v>
      </c>
      <c r="W102" s="148">
        <f t="shared" si="486"/>
        <v>0</v>
      </c>
      <c r="X102" s="149">
        <f t="shared" si="486"/>
        <v>0</v>
      </c>
      <c r="Y102" s="149">
        <f t="shared" si="486"/>
        <v>0</v>
      </c>
      <c r="Z102" s="150">
        <f t="shared" si="486"/>
        <v>0</v>
      </c>
      <c r="AA102" s="147">
        <f t="shared" si="486"/>
        <v>0</v>
      </c>
      <c r="AB102" s="148">
        <f t="shared" si="486"/>
        <v>0</v>
      </c>
      <c r="AC102" s="149">
        <f t="shared" si="486"/>
        <v>0</v>
      </c>
      <c r="AD102" s="149">
        <f t="shared" si="486"/>
        <v>0</v>
      </c>
      <c r="AE102" s="150">
        <f t="shared" si="486"/>
        <v>0</v>
      </c>
      <c r="AF102" s="147">
        <f t="shared" si="486"/>
        <v>0</v>
      </c>
      <c r="AG102" s="148">
        <f t="shared" si="486"/>
        <v>0</v>
      </c>
      <c r="AH102" s="149">
        <f t="shared" si="486"/>
        <v>0</v>
      </c>
      <c r="AI102" s="149">
        <f t="shared" si="486"/>
        <v>0</v>
      </c>
      <c r="AJ102" s="150">
        <f t="shared" si="486"/>
        <v>0</v>
      </c>
      <c r="AK102" s="147">
        <f t="shared" si="486"/>
        <v>0</v>
      </c>
      <c r="AL102" s="148">
        <f t="shared" si="486"/>
        <v>0</v>
      </c>
      <c r="AM102" s="149">
        <f t="shared" si="486"/>
        <v>0</v>
      </c>
      <c r="AN102" s="149">
        <f t="shared" si="486"/>
        <v>0</v>
      </c>
      <c r="AO102" s="150">
        <f t="shared" si="486"/>
        <v>-250</v>
      </c>
      <c r="AP102" s="147">
        <f t="shared" si="486"/>
        <v>-250</v>
      </c>
      <c r="AQ102" s="148">
        <f t="shared" si="486"/>
        <v>-44</v>
      </c>
      <c r="AR102" s="149">
        <f t="shared" si="486"/>
        <v>0</v>
      </c>
      <c r="AS102" s="149">
        <f t="shared" si="486"/>
        <v>0</v>
      </c>
      <c r="AT102" s="150">
        <f t="shared" si="486"/>
        <v>0</v>
      </c>
      <c r="AU102" s="147">
        <f t="shared" si="486"/>
        <v>-44</v>
      </c>
      <c r="AV102" s="148">
        <f t="shared" ref="AV102:BE102" si="487">SUM(AV94:AV101)</f>
        <v>0</v>
      </c>
      <c r="AW102" s="149">
        <f t="shared" si="487"/>
        <v>-406</v>
      </c>
      <c r="AX102" s="149">
        <f t="shared" si="487"/>
        <v>0</v>
      </c>
      <c r="AY102" s="150">
        <f t="shared" si="487"/>
        <v>0</v>
      </c>
      <c r="AZ102" s="147">
        <f t="shared" si="487"/>
        <v>-406</v>
      </c>
      <c r="BA102" s="148">
        <f t="shared" si="487"/>
        <v>0</v>
      </c>
      <c r="BB102" s="149">
        <f t="shared" si="487"/>
        <v>-700</v>
      </c>
      <c r="BC102" s="149">
        <f t="shared" si="487"/>
        <v>-250</v>
      </c>
      <c r="BD102" s="150">
        <f t="shared" si="487"/>
        <v>0</v>
      </c>
      <c r="BE102" s="147">
        <f t="shared" si="487"/>
        <v>-950</v>
      </c>
      <c r="BF102" s="249"/>
      <c r="BG102" s="152">
        <f t="shared" ref="BG102:CL102" si="488">SUM(BG94:BG101)</f>
        <v>0</v>
      </c>
      <c r="BH102" s="153">
        <f t="shared" si="488"/>
        <v>0</v>
      </c>
      <c r="BI102" s="154">
        <f t="shared" si="488"/>
        <v>0</v>
      </c>
      <c r="BJ102" s="154">
        <f t="shared" si="488"/>
        <v>0</v>
      </c>
      <c r="BK102" s="155">
        <f t="shared" si="488"/>
        <v>0</v>
      </c>
      <c r="BL102" s="152">
        <f t="shared" si="488"/>
        <v>0</v>
      </c>
      <c r="BM102" s="153">
        <f t="shared" si="488"/>
        <v>0</v>
      </c>
      <c r="BN102" s="154">
        <f t="shared" si="488"/>
        <v>0</v>
      </c>
      <c r="BO102" s="154">
        <f t="shared" si="488"/>
        <v>0</v>
      </c>
      <c r="BP102" s="155">
        <f t="shared" si="488"/>
        <v>0</v>
      </c>
      <c r="BQ102" s="152">
        <f t="shared" si="488"/>
        <v>0</v>
      </c>
      <c r="BR102" s="153">
        <f t="shared" si="488"/>
        <v>0</v>
      </c>
      <c r="BS102" s="154">
        <f t="shared" si="488"/>
        <v>0</v>
      </c>
      <c r="BT102" s="154">
        <f t="shared" si="488"/>
        <v>0</v>
      </c>
      <c r="BU102" s="155">
        <f t="shared" si="488"/>
        <v>0</v>
      </c>
      <c r="BV102" s="152">
        <f t="shared" si="488"/>
        <v>0</v>
      </c>
      <c r="BW102" s="153">
        <f t="shared" si="488"/>
        <v>0</v>
      </c>
      <c r="BX102" s="154">
        <f t="shared" si="488"/>
        <v>0</v>
      </c>
      <c r="BY102" s="154">
        <f t="shared" si="488"/>
        <v>0</v>
      </c>
      <c r="BZ102" s="155">
        <f t="shared" si="488"/>
        <v>0</v>
      </c>
      <c r="CA102" s="152">
        <f t="shared" si="488"/>
        <v>0</v>
      </c>
      <c r="CB102" s="153">
        <f t="shared" si="488"/>
        <v>0</v>
      </c>
      <c r="CC102" s="154">
        <f t="shared" si="488"/>
        <v>0</v>
      </c>
      <c r="CD102" s="154">
        <f t="shared" si="488"/>
        <v>0</v>
      </c>
      <c r="CE102" s="155">
        <f t="shared" si="488"/>
        <v>0</v>
      </c>
      <c r="CF102" s="152">
        <f t="shared" si="488"/>
        <v>0</v>
      </c>
      <c r="CG102" s="153">
        <f t="shared" si="488"/>
        <v>0</v>
      </c>
      <c r="CH102" s="154">
        <f t="shared" si="488"/>
        <v>0</v>
      </c>
      <c r="CI102" s="154">
        <f t="shared" si="488"/>
        <v>0</v>
      </c>
      <c r="CJ102" s="155">
        <f t="shared" si="488"/>
        <v>-1.0208333333333333</v>
      </c>
      <c r="CK102" s="152">
        <f t="shared" si="488"/>
        <v>-1.0208333333333333</v>
      </c>
      <c r="CL102" s="153">
        <f t="shared" si="488"/>
        <v>-1.8612500000000001</v>
      </c>
      <c r="CM102" s="154">
        <f t="shared" ref="CM102:CZ102" si="489">SUM(CM94:CM101)</f>
        <v>-1.8612500000000001</v>
      </c>
      <c r="CN102" s="154">
        <f t="shared" si="489"/>
        <v>-1.8612500000000001</v>
      </c>
      <c r="CO102" s="155">
        <f t="shared" si="489"/>
        <v>-0.84041666666666659</v>
      </c>
      <c r="CP102" s="152">
        <f t="shared" si="489"/>
        <v>-6.4241666666666664</v>
      </c>
      <c r="CQ102" s="153">
        <f t="shared" si="489"/>
        <v>0</v>
      </c>
      <c r="CR102" s="154">
        <f t="shared" si="489"/>
        <v>-5.2018749999999994</v>
      </c>
      <c r="CS102" s="154">
        <f t="shared" si="489"/>
        <v>-5.2018749999999994</v>
      </c>
      <c r="CT102" s="155">
        <f t="shared" si="489"/>
        <v>-5.2018749999999994</v>
      </c>
      <c r="CU102" s="152">
        <f t="shared" si="489"/>
        <v>-15.605624999999998</v>
      </c>
      <c r="CV102" s="153">
        <f t="shared" si="489"/>
        <v>-5.2018749999999994</v>
      </c>
      <c r="CW102" s="154">
        <f t="shared" si="489"/>
        <v>-1.75</v>
      </c>
      <c r="CX102" s="154">
        <f t="shared" si="489"/>
        <v>-6.114583333333333</v>
      </c>
      <c r="CY102" s="155">
        <f t="shared" si="489"/>
        <v>-7.84375</v>
      </c>
      <c r="CZ102" s="152">
        <f t="shared" si="489"/>
        <v>-20.910208333333333</v>
      </c>
    </row>
    <row r="103" spans="1:104" ht="12.75" customHeight="1">
      <c r="A103" s="7"/>
      <c r="B103" s="7"/>
      <c r="C103" s="204"/>
      <c r="D103" s="204"/>
      <c r="E103" s="191"/>
      <c r="F103" s="213"/>
      <c r="G103" s="213"/>
      <c r="H103" s="214"/>
      <c r="I103" s="250"/>
      <c r="J103" s="215" t="s">
        <v>77</v>
      </c>
      <c r="K103" s="112"/>
      <c r="L103" s="113"/>
      <c r="M103" s="114"/>
      <c r="N103" s="115"/>
      <c r="O103" s="115"/>
      <c r="P103" s="116"/>
      <c r="Q103" s="113"/>
      <c r="R103" s="114"/>
      <c r="S103" s="115"/>
      <c r="T103" s="115"/>
      <c r="U103" s="116"/>
      <c r="V103" s="113"/>
      <c r="W103" s="114"/>
      <c r="X103" s="115"/>
      <c r="Y103" s="115"/>
      <c r="Z103" s="116"/>
      <c r="AA103" s="113"/>
      <c r="AB103" s="114"/>
      <c r="AC103" s="115"/>
      <c r="AD103" s="115"/>
      <c r="AE103" s="116"/>
      <c r="AF103" s="113"/>
      <c r="AG103" s="114"/>
      <c r="AH103" s="115"/>
      <c r="AI103" s="115"/>
      <c r="AJ103" s="116"/>
      <c r="AK103" s="113"/>
      <c r="AL103" s="114"/>
      <c r="AM103" s="115"/>
      <c r="AN103" s="115"/>
      <c r="AO103" s="116"/>
      <c r="AP103" s="113"/>
      <c r="AQ103" s="114"/>
      <c r="AR103" s="115"/>
      <c r="AS103" s="115"/>
      <c r="AT103" s="116"/>
      <c r="AU103" s="113"/>
      <c r="AV103" s="114"/>
      <c r="AW103" s="115"/>
      <c r="AX103" s="115"/>
      <c r="AY103" s="116"/>
      <c r="AZ103" s="113"/>
      <c r="BA103" s="114"/>
      <c r="BB103" s="115"/>
      <c r="BC103" s="115"/>
      <c r="BD103" s="116"/>
      <c r="BE103" s="113"/>
      <c r="BF103" s="194"/>
      <c r="BG103" s="118"/>
      <c r="BH103" s="119"/>
      <c r="BI103" s="120"/>
      <c r="BJ103" s="120"/>
      <c r="BK103" s="121"/>
      <c r="BL103" s="118"/>
      <c r="BM103" s="119"/>
      <c r="BN103" s="120"/>
      <c r="BO103" s="120"/>
      <c r="BP103" s="121"/>
      <c r="BQ103" s="118"/>
      <c r="BR103" s="119"/>
      <c r="BS103" s="120"/>
      <c r="BT103" s="120"/>
      <c r="BU103" s="121"/>
      <c r="BV103" s="118"/>
      <c r="BW103" s="119"/>
      <c r="BX103" s="120"/>
      <c r="BY103" s="120"/>
      <c r="BZ103" s="121"/>
      <c r="CA103" s="118"/>
      <c r="CB103" s="119"/>
      <c r="CC103" s="120"/>
      <c r="CD103" s="120"/>
      <c r="CE103" s="121"/>
      <c r="CF103" s="118"/>
      <c r="CG103" s="119"/>
      <c r="CH103" s="120"/>
      <c r="CI103" s="120"/>
      <c r="CJ103" s="121"/>
      <c r="CK103" s="118"/>
      <c r="CL103" s="119"/>
      <c r="CM103" s="120"/>
      <c r="CN103" s="120"/>
      <c r="CO103" s="121"/>
      <c r="CP103" s="118"/>
      <c r="CQ103" s="119"/>
      <c r="CR103" s="120"/>
      <c r="CS103" s="120"/>
      <c r="CT103" s="121"/>
      <c r="CU103" s="118"/>
      <c r="CV103" s="119"/>
      <c r="CW103" s="120"/>
      <c r="CX103" s="120"/>
      <c r="CY103" s="121"/>
      <c r="CZ103" s="118"/>
    </row>
    <row r="104" spans="1:104" ht="12.75" customHeight="1">
      <c r="A104" s="7"/>
      <c r="B104" s="7"/>
      <c r="C104" s="251" t="s">
        <v>580</v>
      </c>
      <c r="D104" s="216"/>
      <c r="E104" s="107"/>
      <c r="F104" s="108"/>
      <c r="G104" s="108"/>
      <c r="H104" s="109"/>
      <c r="I104" s="110"/>
      <c r="J104" s="111"/>
      <c r="K104" s="112"/>
      <c r="L104" s="113"/>
      <c r="M104" s="114"/>
      <c r="N104" s="115"/>
      <c r="O104" s="115"/>
      <c r="P104" s="116"/>
      <c r="Q104" s="113"/>
      <c r="R104" s="114"/>
      <c r="S104" s="115"/>
      <c r="T104" s="115"/>
      <c r="U104" s="116"/>
      <c r="V104" s="113"/>
      <c r="W104" s="114"/>
      <c r="X104" s="115"/>
      <c r="Y104" s="115"/>
      <c r="Z104" s="116"/>
      <c r="AA104" s="113"/>
      <c r="AB104" s="114"/>
      <c r="AC104" s="115"/>
      <c r="AD104" s="115"/>
      <c r="AE104" s="116"/>
      <c r="AF104" s="113"/>
      <c r="AG104" s="114"/>
      <c r="AH104" s="115"/>
      <c r="AI104" s="115"/>
      <c r="AJ104" s="116"/>
      <c r="AK104" s="113"/>
      <c r="AL104" s="114"/>
      <c r="AM104" s="115"/>
      <c r="AN104" s="115"/>
      <c r="AO104" s="116"/>
      <c r="AP104" s="113"/>
      <c r="AQ104" s="114"/>
      <c r="AR104" s="115"/>
      <c r="AS104" s="115"/>
      <c r="AT104" s="116"/>
      <c r="AU104" s="113"/>
      <c r="AV104" s="114"/>
      <c r="AW104" s="115"/>
      <c r="AX104" s="115"/>
      <c r="AY104" s="116"/>
      <c r="AZ104" s="113"/>
      <c r="BA104" s="114"/>
      <c r="BB104" s="115"/>
      <c r="BC104" s="115"/>
      <c r="BD104" s="116"/>
      <c r="BE104" s="113"/>
      <c r="BF104" s="222"/>
      <c r="BG104" s="118"/>
      <c r="BH104" s="119"/>
      <c r="BI104" s="120"/>
      <c r="BJ104" s="120"/>
      <c r="BK104" s="121"/>
      <c r="BL104" s="118"/>
      <c r="BM104" s="119"/>
      <c r="BN104" s="120"/>
      <c r="BO104" s="120"/>
      <c r="BP104" s="121"/>
      <c r="BQ104" s="118"/>
      <c r="BR104" s="119"/>
      <c r="BS104" s="120"/>
      <c r="BT104" s="120"/>
      <c r="BU104" s="121"/>
      <c r="BV104" s="118"/>
      <c r="BW104" s="119"/>
      <c r="BX104" s="120"/>
      <c r="BY104" s="120"/>
      <c r="BZ104" s="121"/>
      <c r="CA104" s="118"/>
      <c r="CB104" s="119"/>
      <c r="CC104" s="120"/>
      <c r="CD104" s="120"/>
      <c r="CE104" s="121"/>
      <c r="CF104" s="118"/>
      <c r="CG104" s="119"/>
      <c r="CH104" s="120"/>
      <c r="CI104" s="120"/>
      <c r="CJ104" s="121"/>
      <c r="CK104" s="118"/>
      <c r="CL104" s="119"/>
      <c r="CM104" s="120"/>
      <c r="CN104" s="120"/>
      <c r="CO104" s="121"/>
      <c r="CP104" s="118"/>
      <c r="CQ104" s="119"/>
      <c r="CR104" s="120"/>
      <c r="CS104" s="120"/>
      <c r="CT104" s="121"/>
      <c r="CU104" s="118"/>
      <c r="CV104" s="119"/>
      <c r="CW104" s="120"/>
      <c r="CX104" s="120"/>
      <c r="CY104" s="121"/>
      <c r="CZ104" s="118"/>
    </row>
    <row r="105" spans="1:104" ht="12.75" customHeight="1">
      <c r="A105" s="7"/>
      <c r="B105" s="7"/>
      <c r="C105" s="189" t="s">
        <v>884</v>
      </c>
      <c r="D105" s="190"/>
      <c r="E105" s="191">
        <f>+Power!BB490</f>
        <v>250</v>
      </c>
      <c r="F105" s="444"/>
      <c r="G105" s="444"/>
      <c r="H105" s="219">
        <v>2018</v>
      </c>
      <c r="I105" s="220">
        <v>0.05</v>
      </c>
      <c r="J105" s="219">
        <v>7</v>
      </c>
      <c r="K105" s="112"/>
      <c r="L105" s="113">
        <f>IF(L$5=$H105,$E105,0)</f>
        <v>0</v>
      </c>
      <c r="M105" s="114">
        <f>IF(Q105=0,0,IF(Q105&gt;0,IF($J105=3,Q105,IF($J105=2,Q105,IF($J105=1,Q105,0)))))</f>
        <v>0</v>
      </c>
      <c r="N105" s="115">
        <f>IF(Q105=0,0,IF(Q105&gt;0,IF($J105=6,Q105,IF($J105=5,Q105,IF($J105=4,Q105,0)))))</f>
        <v>0</v>
      </c>
      <c r="O105" s="115">
        <f>IF(Q105=0,0,IF(Q105&gt;0,IF($J105=9,Q105,IF($J105=8,Q105,IF($J105=7,Q105,0)))))</f>
        <v>0</v>
      </c>
      <c r="P105" s="116">
        <f>IF(Q105=0,0,IF(Q105&gt;0,IF($J105=12,Q105,IF($J105=11,Q105,IF($J105=10,Q105,0)))))</f>
        <v>0</v>
      </c>
      <c r="Q105" s="113">
        <f>IF(Q$5=$H105,$E105,0)</f>
        <v>0</v>
      </c>
      <c r="R105" s="114">
        <f>IF(V105=0,0,IF(V105&gt;0,IF($J105=3,V105,IF($J105=2,V105,IF($J105=1,V105,0)))))</f>
        <v>0</v>
      </c>
      <c r="S105" s="115">
        <f>IF(V105=0,0,IF(V105&gt;0,IF($J105=6,V105,IF($J105=5,V105,IF($J105=4,V105,0)))))</f>
        <v>0</v>
      </c>
      <c r="T105" s="115">
        <f>IF(V105=0,0,IF(V105&gt;0,IF($J105=9,V105,IF($J105=8,V105,IF($J105=7,V105,0)))))</f>
        <v>0</v>
      </c>
      <c r="U105" s="116">
        <f>IF(V105=0,0,IF(V105&gt;0,IF($J105=12,V105,IF($J105=11,V105,IF($J105=10,V105,0)))))</f>
        <v>0</v>
      </c>
      <c r="V105" s="113">
        <f>IF(V$5=$H105,$E105,0)</f>
        <v>0</v>
      </c>
      <c r="W105" s="114">
        <f>IF(AA105=0,0,IF(AA105&gt;0,IF($J105=3,AA105,IF($J105=2,AA105,IF($J105=1,AA105,0)))))</f>
        <v>0</v>
      </c>
      <c r="X105" s="115">
        <f>IF(AA105=0,0,IF(AA105&gt;0,IF($J105=6,AA105,IF($J105=5,AA105,IF($J105=4,AA105,0)))))</f>
        <v>0</v>
      </c>
      <c r="Y105" s="115">
        <f>IF(AA105=0,0,IF(AA105&gt;0,IF($J105=9,AA105,IF($J105=8,AA105,IF($J105=7,AA105,0)))))</f>
        <v>0</v>
      </c>
      <c r="Z105" s="116">
        <f>IF(AA105=0,0,IF(AA105&gt;0,IF($J105=12,AA105,IF($J105=11,AA105,IF($J105=10,AA105,0)))))</f>
        <v>0</v>
      </c>
      <c r="AA105" s="113">
        <f>IF(AA$5=$H105,$E105,0)</f>
        <v>0</v>
      </c>
      <c r="AB105" s="114">
        <f>IF(AF105=0,0,IF(AF105&gt;0,IF($J105=3,AF105,IF($J105=2,AF105,IF($J105=1,AF105,0)))))</f>
        <v>0</v>
      </c>
      <c r="AC105" s="115">
        <f>IF(AF105=0,0,IF(AF105&gt;0,IF($J105=6,AF105,IF($J105=5,AF105,IF($J105=4,AF105,0)))))</f>
        <v>0</v>
      </c>
      <c r="AD105" s="115">
        <f>IF(AF105=0,0,IF(AF105&gt;0,IF($J105=9,AF105,IF($J105=8,AF105,IF($J105=7,AF105,0)))))</f>
        <v>0</v>
      </c>
      <c r="AE105" s="116">
        <f>IF(AF105=0,0,IF(AF105&gt;0,IF($J105=12,AF105,IF($J105=11,AF105,IF($J105=10,AF105,0)))))</f>
        <v>0</v>
      </c>
      <c r="AF105" s="113">
        <f>IF(AF$5=$H105,$E105,0)</f>
        <v>0</v>
      </c>
      <c r="AG105" s="114">
        <f>IF(AK105=0,0,IF(AK105&gt;0,IF($J105=3,AK105,IF($J105=2,AK105,IF($J105=1,AK105,0)))))</f>
        <v>0</v>
      </c>
      <c r="AH105" s="115">
        <f>IF(AK105=0,0,IF(AK105&gt;0,IF($J105=6,AK105,IF($J105=5,AK105,IF($J105=4,AK105,0)))))</f>
        <v>0</v>
      </c>
      <c r="AI105" s="115">
        <f>IF(AK105=0,0,IF(AK105&gt;0,IF($J105=9,AK105,IF($J105=8,AK105,IF($J105=7,AK105,0)))))</f>
        <v>0</v>
      </c>
      <c r="AJ105" s="116">
        <f>IF(AK105=0,0,IF(AK105&gt;0,IF($J105=12,AK105,IF($J105=11,AK105,IF($J105=10,AK105,0)))))</f>
        <v>0</v>
      </c>
      <c r="AK105" s="113">
        <f>IF(AK$5=$H105,$E105,0)</f>
        <v>0</v>
      </c>
      <c r="AL105" s="114">
        <f>IF(AP105=0,0,IF(AP105&gt;0,IF($J105=3,AP105,IF($J105=2,AP105,IF($J105=1,AP105,0)))))</f>
        <v>0</v>
      </c>
      <c r="AM105" s="115">
        <f>IF(AP105=0,0,IF(AP105&gt;0,IF($J105=6,AP105,IF($J105=5,AP105,IF($J105=4,AP105,0)))))</f>
        <v>0</v>
      </c>
      <c r="AN105" s="115">
        <f>IF(AP105=0,0,IF(AP105&gt;0,IF($J105=9,AP105,IF($J105=8,AP105,IF($J105=7,AP105,0)))))</f>
        <v>250</v>
      </c>
      <c r="AO105" s="116">
        <f>IF(AP105=0,0,IF(AP105&gt;0,IF($J105=12,AP105,IF($J105=11,AP105,IF($J105=10,AP105,0)))))</f>
        <v>0</v>
      </c>
      <c r="AP105" s="113">
        <f>IF(AP$5=$H105,$E105,0)</f>
        <v>250</v>
      </c>
      <c r="AQ105" s="114">
        <f>IF(AU105=0,0,IF(AU105&gt;0,IF($J105=3,AU105,IF($J105=2,AU105,IF($J105=1,AU105,0)))))</f>
        <v>0</v>
      </c>
      <c r="AR105" s="115">
        <f>IF(AU105=0,0,IF(AU105&gt;0,IF($J105=6,AU105,IF($J105=5,AU105,IF($J105=4,AU105,0)))))</f>
        <v>0</v>
      </c>
      <c r="AS105" s="115">
        <f>IF(AU105=0,0,IF(AU105&gt;0,IF($J105=9,AU105,IF($J105=8,AU105,IF($J105=7,AU105,0)))))</f>
        <v>0</v>
      </c>
      <c r="AT105" s="116">
        <f>IF(AU105=0,0,IF(AU105&gt;0,IF($J105=12,AU105,IF($J105=11,AU105,IF($J105=10,AU105,0)))))</f>
        <v>0</v>
      </c>
      <c r="AU105" s="113">
        <f>IF(AU$5=$H105,$E105,0)</f>
        <v>0</v>
      </c>
      <c r="AV105" s="114">
        <f>IF(AZ105=0,0,IF(AZ105&gt;0,IF($J105=3,AZ105,IF($J105=2,AZ105,IF($J105=1,AZ105,0)))))</f>
        <v>0</v>
      </c>
      <c r="AW105" s="115">
        <f>IF(AZ105=0,0,IF(AZ105&gt;0,IF($J105=6,AZ105,IF($J105=5,AZ105,IF($J105=4,AZ105,0)))))</f>
        <v>0</v>
      </c>
      <c r="AX105" s="115">
        <f>IF(AZ105=0,0,IF(AZ105&gt;0,IF($J105=9,AZ105,IF($J105=8,AZ105,IF($J105=7,AZ105,0)))))</f>
        <v>0</v>
      </c>
      <c r="AY105" s="116">
        <f>IF(AZ105=0,0,IF(AZ105&gt;0,IF($J105=12,AZ105,IF($J105=11,AZ105,IF($J105=10,AZ105,0)))))</f>
        <v>0</v>
      </c>
      <c r="AZ105" s="113">
        <f>IF(AZ$5=$H105,$E105,0)</f>
        <v>0</v>
      </c>
      <c r="BA105" s="114">
        <f>IF(BE105=0,0,IF(BE105&gt;0,IF($J105=3,BE105,IF($J105=2,BE105,IF($J105=1,BE105,0)))))</f>
        <v>0</v>
      </c>
      <c r="BB105" s="115">
        <f>IF(BE105=0,0,IF(BE105&gt;0,IF($J105=6,BE105,IF($J105=5,BE105,IF($J105=4,BE105,0)))))</f>
        <v>0</v>
      </c>
      <c r="BC105" s="115">
        <f>IF(BE105=0,0,IF(BE105&gt;0,IF($J105=9,BE105,IF($J105=8,BE105,IF($J105=7,BE105,0)))))</f>
        <v>0</v>
      </c>
      <c r="BD105" s="116">
        <f>IF(BE105=0,0,IF(BE105&gt;0,IF($J105=12,BE105,IF($J105=11,BE105,IF($J105=10,BE105,0)))))</f>
        <v>0</v>
      </c>
      <c r="BE105" s="113">
        <f>IF(BE$5=$H105,$E105,0)</f>
        <v>0</v>
      </c>
      <c r="BF105" s="222"/>
      <c r="BG105" s="118">
        <f>IF(AND(BF105&lt;&gt;0,BF$5=$H105),$I105*$E105-BF105,IF(BG$5=$H105,$I105*$E105*(12-$J105+1)/12,0))</f>
        <v>0</v>
      </c>
      <c r="BH105" s="119">
        <f>IF($H105&lt;&gt;BL$5,0,IF(BL105&gt;0,IF($J105=1,$E105*$I105/12*3,IF($J105=2,$E105*$I105/12*2,IF($J105=3,$E105*$I105/12*1,0)))))+IF(BG$5&lt;&gt;$H105,0,IF(BG105&gt;0,IF($J105=1,$E105*$I105/12*0,IF($J105=2,$E105*$I105/12*1,IF($J105=3,$E105*$I105/12*2,IF($J105&gt;=4,$E105*$I105/12*3,0))))))</f>
        <v>0</v>
      </c>
      <c r="BI105" s="120">
        <f>IF($H105&lt;&gt;BL$5,0,IF(BL105&gt;0,IF(OR($J105=1,$J105=2,$J105=3,$J105=4),$E105*$I105/12*3,IF($J105=5,$E105*$I105/12*2,IF($J105=6,$E105*$I105/12*1,0)))))+IF(BG$5&lt;&gt;$H105,0,IF(BG105&gt;0,IF($J105=4,$E105*$I105/12*0,IF($J105=5,$E105*$I105/12*1,IF($J105=6,$E105*$I105/12*2,IF($J105&gt;=7,$E105*$I105/12*3,0))))))</f>
        <v>0</v>
      </c>
      <c r="BJ105" s="120">
        <f>IF($H105&lt;&gt;BL$5,0,IF(BL105&gt;0,IF(OR($J105=1,$J105=2,$J105=3,$J105=4,$J105=5,$J105=6,$J105=7),$E105*$I105/12*3,IF($J105=8,$E105*$I105/12*2,IF($J105=9,$E105*$I105/12*1,0)))))+IF(BG$5&lt;&gt;$H105,0,IF(BG105&gt;0,IF($J105=7,$E105*$I105/12*0,IF($J105=8,$E105*$I105/12*1,IF($J105=9,$E105*$I105/12*2,IF($J105&gt;=10,$E105*$I105/12*3,0))))))</f>
        <v>0</v>
      </c>
      <c r="BK105" s="121">
        <f>IF($H105&lt;&gt;BL$5,0,IF(BL105&gt;0,IF(OR($J105=1,$J105=2,$J105=3,$J105=4,$J105=5,$J105=6,$J105=7,$J105=8,$J105=9,$J105=10),$E105*$I105/12*3,IF($J105=11,$E105*$I105/12*2,IF($J105=12,$E105*$I105/12*1,0)))))+IF(BG$5&lt;&gt;$H105,0,IF(BG105&gt;0,IF($J105=10,$E105*$I105/12*0,IF($J105=11,$E105*$I105/12*1,IF($J105=12,$E105*$I105/12*2,0)))))</f>
        <v>0</v>
      </c>
      <c r="BL105" s="118">
        <f>IF(AND(BG105&lt;&gt;0,BG$5=$H105),$I105*$E105-BG105,IF(BL$5=$H105,$I105*$E105*(12-$J105+1)/12,0))</f>
        <v>0</v>
      </c>
      <c r="BM105" s="119">
        <f>IF($H105&lt;&gt;BQ$5,0,IF(BQ105&gt;0,IF($J105=1,$E105*$I105/12*3,IF($J105=2,$E105*$I105/12*2,IF($J105=3,$E105*$I105/12*1,0)))))+IF(BL$5&lt;&gt;$H105,0,IF(BL105&gt;0,IF($J105=1,$E105*$I105/12*0,IF($J105=2,$E105*$I105/12*1,IF($J105=3,$E105*$I105/12*2,IF($J105&gt;=4,$E105*$I105/12*3,0))))))</f>
        <v>0</v>
      </c>
      <c r="BN105" s="120">
        <f>IF($H105&lt;&gt;BQ$5,0,IF(BQ105&gt;0,IF(OR($J105=1,$J105=2,$J105=3,$J105=4),$E105*$I105/12*3,IF($J105=5,$E105*$I105/12*2,IF($J105=6,$E105*$I105/12*1,0)))))+IF(BL$5&lt;&gt;$H105,0,IF(BL105&gt;0,IF($J105=4,$E105*$I105/12*0,IF($J105=5,$E105*$I105/12*1,IF($J105=6,$E105*$I105/12*2,IF($J105&gt;=7,$E105*$I105/12*3,0))))))</f>
        <v>0</v>
      </c>
      <c r="BO105" s="120">
        <f>IF($H105&lt;&gt;BQ$5,0,IF(BQ105&gt;0,IF(OR($J105=1,$J105=2,$J105=3,$J105=4,$J105=5,$J105=6,$J105=7),$E105*$I105/12*3,IF($J105=8,$E105*$I105/12*2,IF($J105=9,$E105*$I105/12*1,0)))))+IF(BL$5&lt;&gt;$H105,0,IF(BL105&gt;0,IF($J105=7,$E105*$I105/12*0,IF($J105=8,$E105*$I105/12*1,IF($J105=9,$E105*$I105/12*2,IF($J105&gt;=10,$E105*$I105/12*3,0))))))</f>
        <v>0</v>
      </c>
      <c r="BP105" s="121">
        <f>IF($H105&lt;&gt;BQ$5,0,IF(BQ105&gt;0,IF(OR($J105=1,$J105=2,$J105=3,$J105=4,$J105=5,$J105=6,$J105=7,$J105=8,$J105=9,$J105=10),$E105*$I105/12*3,IF($J105=11,$E105*$I105/12*2,IF($J105=12,$E105*$I105/12*1,0)))))+IF(BL$5&lt;&gt;$H105,0,IF(BL105&gt;0,IF($J105=10,$E105*$I105/12*0,IF($J105=11,$E105*$I105/12*1,IF($J105=12,$E105*$I105/12*2,0)))))</f>
        <v>0</v>
      </c>
      <c r="BQ105" s="118">
        <f>IF(AND(BL105&lt;&gt;0,BL$5=$H105),$I105*$E105-BL105,IF(BQ$5=$H105,$I105*$E105*(12-$J105+1)/12,0))</f>
        <v>0</v>
      </c>
      <c r="BR105" s="119">
        <f>IF($H105&lt;&gt;BV$5,0,IF(BV105&gt;0,IF($J105=1,$E105*$I105/12*3,IF($J105=2,$E105*$I105/12*2,IF($J105=3,$E105*$I105/12*1,0)))))+IF(BQ$5&lt;&gt;$H105,0,IF(BQ105&gt;0,IF($J105=1,$E105*$I105/12*0,IF($J105=2,$E105*$I105/12*1,IF($J105=3,$E105*$I105/12*2,IF($J105&gt;=4,$E105*$I105/12*3,0))))))</f>
        <v>0</v>
      </c>
      <c r="BS105" s="120">
        <f>IF($H105&lt;&gt;BV$5,0,IF(BV105&gt;0,IF(OR($J105=1,$J105=2,$J105=3,$J105=4),$E105*$I105/12*3,IF($J105=5,$E105*$I105/12*2,IF($J105=6,$E105*$I105/12*1,0)))))+IF(BQ$5&lt;&gt;$H105,0,IF(BQ105&gt;0,IF($J105=4,$E105*$I105/12*0,IF($J105=5,$E105*$I105/12*1,IF($J105=6,$E105*$I105/12*2,IF($J105&gt;=7,$E105*$I105/12*3,0))))))</f>
        <v>0</v>
      </c>
      <c r="BT105" s="120">
        <f>IF($H105&lt;&gt;BV$5,0,IF(BV105&gt;0,IF(OR($J105=1,$J105=2,$J105=3,$J105=4,$J105=5,$J105=6,$J105=7),$E105*$I105/12*3,IF($J105=8,$E105*$I105/12*2,IF($J105=9,$E105*$I105/12*1,0)))))+IF(BQ$5&lt;&gt;$H105,0,IF(BQ105&gt;0,IF($J105=7,$E105*$I105/12*0,IF($J105=8,$E105*$I105/12*1,IF($J105=9,$E105*$I105/12*2,IF($J105&gt;=10,$E105*$I105/12*3,0))))))</f>
        <v>0</v>
      </c>
      <c r="BU105" s="121">
        <f>IF($H105&lt;&gt;BV$5,0,IF(BV105&gt;0,IF(OR($J105=1,$J105=2,$J105=3,$J105=4,$J105=5,$J105=6,$J105=7,$J105=8,$J105=9,$J105=10),$E105*$I105/12*3,IF($J105=11,$E105*$I105/12*2,IF($J105=12,$E105*$I105/12*1,0)))))+IF(BQ$5&lt;&gt;$H105,0,IF(BQ105&gt;0,IF($J105=10,$E105*$I105/12*0,IF($J105=11,$E105*$I105/12*1,IF($J105=12,$E105*$I105/12*2,0)))))</f>
        <v>0</v>
      </c>
      <c r="BV105" s="118">
        <f>IF(AND(BQ105&lt;&gt;0,BQ$5=$H105),$I105*$E105-BQ105,IF(BV$5=$H105,$I105*$E105*(12-$J105+1)/12,0))</f>
        <v>0</v>
      </c>
      <c r="BW105" s="119">
        <f>IF($H105&lt;&gt;CA$5,0,IF(CA105&gt;0,IF($J105=1,$E105*$I105/12*3,IF($J105=2,$E105*$I105/12*2,IF($J105=3,$E105*$I105/12*1,0)))))+IF(BV$5&lt;&gt;$H105,0,IF(BV105&gt;0,IF($J105=1,$E105*$I105/12*0,IF($J105=2,$E105*$I105/12*1,IF($J105=3,$E105*$I105/12*2,IF($J105&gt;=4,$E105*$I105/12*3,0))))))</f>
        <v>0</v>
      </c>
      <c r="BX105" s="120">
        <f>IF($H105&lt;&gt;CA$5,0,IF(CA105&gt;0,IF(OR($J105=1,$J105=2,$J105=3,$J105=4),$E105*$I105/12*3,IF($J105=5,$E105*$I105/12*2,IF($J105=6,$E105*$I105/12*1,0)))))+IF(BV$5&lt;&gt;$H105,0,IF(BV105&gt;0,IF($J105=4,$E105*$I105/12*0,IF($J105=5,$E105*$I105/12*1,IF($J105=6,$E105*$I105/12*2,IF($J105&gt;=7,$E105*$I105/12*3,0))))))</f>
        <v>0</v>
      </c>
      <c r="BY105" s="120">
        <f>IF($H105&lt;&gt;CA$5,0,IF(CA105&gt;0,IF(OR($J105=1,$J105=2,$J105=3,$J105=4,$J105=5,$J105=6,$J105=7),$E105*$I105/12*3,IF($J105=8,$E105*$I105/12*2,IF($J105=9,$E105*$I105/12*1,0)))))+IF(BV$5&lt;&gt;$H105,0,IF(BV105&gt;0,IF($J105=7,$E105*$I105/12*0,IF($J105=8,$E105*$I105/12*1,IF($J105=9,$E105*$I105/12*2,IF($J105&gt;=10,$E105*$I105/12*3,0))))))</f>
        <v>0</v>
      </c>
      <c r="BZ105" s="121">
        <f>IF($H105&lt;&gt;CA$5,0,IF(CA105&gt;0,IF(OR($J105=1,$J105=2,$J105=3,$J105=4,$J105=5,$J105=6,$J105=7,$J105=8,$J105=9,$J105=10),$E105*$I105/12*3,IF($J105=11,$E105*$I105/12*2,IF($J105=12,$E105*$I105/12*1,0)))))+IF(BV$5&lt;&gt;$H105,0,IF(BV105&gt;0,IF($J105=10,$E105*$I105/12*0,IF($J105=11,$E105*$I105/12*1,IF($J105=12,$E105*$I105/12*2,0)))))</f>
        <v>0</v>
      </c>
      <c r="CA105" s="118">
        <f>IF(AND(BV105&lt;&gt;0,BV$5=$H105),$I105*$E105-BV105,IF(CA$5=$H105,$I105*$E105*(12-$J105+1)/12,0))</f>
        <v>0</v>
      </c>
      <c r="CB105" s="119">
        <f>IF($H105&lt;&gt;CF$5,0,IF(CF105&gt;0,IF($J105=1,$E105*$I105/12*3,IF($J105=2,$E105*$I105/12*2,IF($J105=3,$E105*$I105/12*1,0)))))+IF(CA$5&lt;&gt;$H105,0,IF(CA105&gt;0,IF($J105=1,$E105*$I105/12*0,IF($J105=2,$E105*$I105/12*1,IF($J105=3,$E105*$I105/12*2,IF($J105&gt;=4,$E105*$I105/12*3,0))))))</f>
        <v>0</v>
      </c>
      <c r="CC105" s="120">
        <f>IF($H105&lt;&gt;CF$5,0,IF(CF105&gt;0,IF(OR($J105=1,$J105=2,$J105=3,$J105=4),$E105*$I105/12*3,IF($J105=5,$E105*$I105/12*2,IF($J105=6,$E105*$I105/12*1,0)))))+IF(CA$5&lt;&gt;$H105,0,IF(CA105&gt;0,IF($J105=4,$E105*$I105/12*0,IF($J105=5,$E105*$I105/12*1,IF($J105=6,$E105*$I105/12*2,IF($J105&gt;=7,$E105*$I105/12*3,0))))))</f>
        <v>0</v>
      </c>
      <c r="CD105" s="120">
        <f>IF($H105&lt;&gt;CF$5,0,IF(CF105&gt;0,IF(OR($J105=1,$J105=2,$J105=3,$J105=4,$J105=5,$J105=6,$J105=7),$E105*$I105/12*3,IF($J105=8,$E105*$I105/12*2,IF($J105=9,$E105*$I105/12*1,0)))))+IF(CA$5&lt;&gt;$H105,0,IF(CA105&gt;0,IF($J105=7,$E105*$I105/12*0,IF($J105=8,$E105*$I105/12*1,IF($J105=9,$E105*$I105/12*2,IF($J105&gt;=10,$E105*$I105/12*3,0))))))</f>
        <v>0</v>
      </c>
      <c r="CE105" s="121">
        <f>IF($H105&lt;&gt;CF$5,0,IF(CF105&gt;0,IF(OR($J105=1,$J105=2,$J105=3,$J105=4,$J105=5,$J105=6,$J105=7,$J105=8,$J105=9,$J105=10),$E105*$I105/12*3,IF($J105=11,$E105*$I105/12*2,IF($J105=12,$E105*$I105/12*1,0)))))+IF(CA$5&lt;&gt;$H105,0,IF(CA105&gt;0,IF($J105=10,$E105*$I105/12*0,IF($J105=11,$E105*$I105/12*1,IF($J105=12,$E105*$I105/12*2,0)))))</f>
        <v>0</v>
      </c>
      <c r="CF105" s="118">
        <f>IF(AND(CA105&lt;&gt;0,CA$5=$H105),$I105*$E105-CA105,IF(CF$5=$H105,$I105*$E105*(12-$J105+1)/12,0))</f>
        <v>0</v>
      </c>
      <c r="CG105" s="119">
        <f>IF($H105&lt;&gt;CK$5,0,IF(CK105&gt;0,IF($J105=1,$E105*$I105/12*3,IF($J105=2,$E105*$I105/12*2,IF($J105=3,$E105*$I105/12*1,0)))))+IF(CF$5&lt;&gt;$H105,0,IF(CF105&gt;0,IF($J105=1,$E105*$I105/12*0,IF($J105=2,$E105*$I105/12*1,IF($J105=3,$E105*$I105/12*2,IF($J105&gt;=4,$E105*$I105/12*3,0))))))</f>
        <v>0</v>
      </c>
      <c r="CH105" s="120">
        <f>IF($H105&lt;&gt;CK$5,0,IF(CK105&gt;0,IF(OR($J105=1,$J105=2,$J105=3,$J105=4),$E105*$I105/12*3,IF($J105=5,$E105*$I105/12*2,IF($J105=6,$E105*$I105/12*1,0)))))+IF(CF$5&lt;&gt;$H105,0,IF(CF105&gt;0,IF($J105=4,$E105*$I105/12*0,IF($J105=5,$E105*$I105/12*1,IF($J105=6,$E105*$I105/12*2,IF($J105&gt;=7,$E105*$I105/12*3,0))))))</f>
        <v>0</v>
      </c>
      <c r="CI105" s="120">
        <f>IF($H105&lt;&gt;CK$5,0,IF(CK105&gt;0,IF(OR($J105=1,$J105=2,$J105=3,$J105=4,$J105=5,$J105=6,$J105=7),$E105*$I105/12*3,IF($J105=8,$E105*$I105/12*2,IF($J105=9,$E105*$I105/12*1,0)))))+IF(CF$5&lt;&gt;$H105,0,IF(CF105&gt;0,IF($J105=7,$E105*$I105/12*0,IF($J105=8,$E105*$I105/12*1,IF($J105=9,$E105*$I105/12*2,IF($J105&gt;=10,$E105*$I105/12*3,0))))))</f>
        <v>3.125</v>
      </c>
      <c r="CJ105" s="121">
        <f>IF($H105&lt;&gt;CK$5,0,IF(CK105&gt;0,IF(OR($J105=1,$J105=2,$J105=3,$J105=4,$J105=5,$J105=6,$J105=7,$J105=8,$J105=9,$J105=10),$E105*$I105/12*3,IF($J105=11,$E105*$I105/12*2,IF($J105=12,$E105*$I105/12*1,0)))))+IF(CF$5&lt;&gt;$H105,0,IF(CF105&gt;0,IF($J105=10,$E105*$I105/12*0,IF($J105=11,$E105*$I105/12*1,IF($J105=12,$E105*$I105/12*2,0)))))</f>
        <v>3.125</v>
      </c>
      <c r="CK105" s="118">
        <f>IF(AND(CF105&lt;&gt;0,CF$5=$H105),$I105*$E105-CF105,IF(CK$5=$H105,$I105*$E105*(12-$J105+1)/12,0))</f>
        <v>6.25</v>
      </c>
      <c r="CL105" s="119">
        <f>IF($H105&lt;&gt;CP$5,0,IF(CP105&gt;0,IF($J105=1,$E105*$I105/12*3,IF($J105=2,$E105*$I105/12*2,IF($J105=3,$E105*$I105/12*1,0)))))+IF(CK$5&lt;&gt;$H105,0,IF(CK105&gt;0,IF($J105=1,$E105*$I105/12*0,IF($J105=2,$E105*$I105/12*1,IF($J105=3,$E105*$I105/12*2,IF($J105&gt;=4,$E105*$I105/12*3,0))))))</f>
        <v>3.125</v>
      </c>
      <c r="CM105" s="120">
        <f>IF($H105&lt;&gt;CP$5,0,IF(CP105&gt;0,IF(OR($J105=1,$J105=2,$J105=3,$J105=4),$E105*$I105/12*3,IF($J105=5,$E105*$I105/12*2,IF($J105=6,$E105*$I105/12*1,0)))))+IF(CK$5&lt;&gt;$H105,0,IF(CK105&gt;0,IF($J105=4,$E105*$I105/12*0,IF($J105=5,$E105*$I105/12*1,IF($J105=6,$E105*$I105/12*2,IF($J105&gt;=7,$E105*$I105/12*3,0))))))</f>
        <v>3.125</v>
      </c>
      <c r="CN105" s="120">
        <f>IF($H105&lt;&gt;CP$5,0,IF(CP105&gt;0,IF(OR($J105=1,$J105=2,$J105=3,$J105=4,$J105=5,$J105=6,$J105=7),$E105*$I105/12*3,IF($J105=8,$E105*$I105/12*2,IF($J105=9,$E105*$I105/12*1,0)))))+IF(CK$5&lt;&gt;$H105,0,IF(CK105&gt;0,IF($J105=7,$E105*$I105/12*0,IF($J105=8,$E105*$I105/12*1,IF($J105=9,$E105*$I105/12*2,IF($J105&gt;=10,$E105*$I105/12*3,0))))))</f>
        <v>0</v>
      </c>
      <c r="CO105" s="121">
        <f>IF($H105&lt;&gt;CP$5,0,IF(CP105&gt;0,IF(OR($J105=1,$J105=2,$J105=3,$J105=4,$J105=5,$J105=6,$J105=7,$J105=8,$J105=9,$J105=10),$E105*$I105/12*3,IF($J105=11,$E105*$I105/12*2,IF($J105=12,$E105*$I105/12*1,0)))))+IF(CK$5&lt;&gt;$H105,0,IF(CK105&gt;0,IF($J105=10,$E105*$I105/12*0,IF($J105=11,$E105*$I105/12*1,IF($J105=12,$E105*$I105/12*2,0)))))</f>
        <v>0</v>
      </c>
      <c r="CP105" s="118">
        <f>IF(AND(CK105&lt;&gt;0,CK$5=$H105),$I105*$E105-CK105,IF(CP$5=$H105,$I105*$E105*(12-$J105+1)/12,0))</f>
        <v>6.25</v>
      </c>
      <c r="CQ105" s="119">
        <f>IF($H105&lt;&gt;CU$5,0,IF(CU105&gt;0,IF($J105=1,$E105*$I105/12*3,IF($J105=2,$E105*$I105/12*2,IF($J105=3,$E105*$I105/12*1,0)))))+IF(CP$5&lt;&gt;$H105,0,IF(CP105&gt;0,IF($J105=1,$E105*$I105/12*0,IF($J105=2,$E105*$I105/12*1,IF($J105=3,$E105*$I105/12*2,IF($J105&gt;=4,$E105*$I105/12*3,0))))))</f>
        <v>0</v>
      </c>
      <c r="CR105" s="120">
        <f>IF($H105&lt;&gt;CU$5,0,IF(CU105&gt;0,IF(OR($J105=1,$J105=2,$J105=3,$J105=4),$E105*$I105/12*3,IF($J105=5,$E105*$I105/12*2,IF($J105=6,$E105*$I105/12*1,0)))))+IF(CP$5&lt;&gt;$H105,0,IF(CP105&gt;0,IF($J105=4,$E105*$I105/12*0,IF($J105=5,$E105*$I105/12*1,IF($J105=6,$E105*$I105/12*2,IF($J105&gt;=7,$E105*$I105/12*3,0))))))</f>
        <v>0</v>
      </c>
      <c r="CS105" s="120">
        <f>IF($H105&lt;&gt;CU$5,0,IF(CU105&gt;0,IF(OR($J105=1,$J105=2,$J105=3,$J105=4,$J105=5,$J105=6,$J105=7),$E105*$I105/12*3,IF($J105=8,$E105*$I105/12*2,IF($J105=9,$E105*$I105/12*1,0)))))+IF(CP$5&lt;&gt;$H105,0,IF(CP105&gt;0,IF($J105=7,$E105*$I105/12*0,IF($J105=8,$E105*$I105/12*1,IF($J105=9,$E105*$I105/12*2,IF($J105&gt;=10,$E105*$I105/12*3,0))))))</f>
        <v>0</v>
      </c>
      <c r="CT105" s="121">
        <f>IF($H105&lt;&gt;CU$5,0,IF(CU105&gt;0,IF(OR($J105=1,$J105=2,$J105=3,$J105=4,$J105=5,$J105=6,$J105=7,$J105=8,$J105=9,$J105=10),$E105*$I105/12*3,IF($J105=11,$E105*$I105/12*2,IF($J105=12,$E105*$I105/12*1,0)))))+IF(CP$5&lt;&gt;$H105,0,IF(CP105&gt;0,IF($J105=10,$E105*$I105/12*0,IF($J105=11,$E105*$I105/12*1,IF($J105=12,$E105*$I105/12*2,0)))))</f>
        <v>0</v>
      </c>
      <c r="CU105" s="118">
        <f>IF(AND(CP105&lt;&gt;0,CP$5=$H105),$I105*$E105-CP105,IF(CU$5=$H105,$I105*$E105*(12-$J105+1)/12,0))</f>
        <v>0</v>
      </c>
      <c r="CV105" s="119">
        <f>IF($H105&lt;&gt;CZ$5,0,IF(CZ105&gt;0,IF($J105=1,$E105*$I105/12*3,IF($J105=2,$E105*$I105/12*2,IF($J105=3,$E105*$I105/12*1,0)))))+IF(CU$5&lt;&gt;$H105,0,IF(CU105&gt;0,IF($J105=1,$E105*$I105/12*0,IF($J105=2,$E105*$I105/12*1,IF($J105=3,$E105*$I105/12*2,IF($J105&gt;=4,$E105*$I105/12*3,0))))))</f>
        <v>0</v>
      </c>
      <c r="CW105" s="120">
        <f>IF($H105&lt;&gt;CZ$5,0,IF(CZ105&gt;0,IF(OR($J105=1,$J105=2,$J105=3,$J105=4),$E105*$I105/12*3,IF($J105=5,$E105*$I105/12*2,IF($J105=6,$E105*$I105/12*1,0)))))+IF(CU$5&lt;&gt;$H105,0,IF(CU105&gt;0,IF($J105=4,$E105*$I105/12*0,IF($J105=5,$E105*$I105/12*1,IF($J105=6,$E105*$I105/12*2,IF($J105&gt;=7,$E105*$I105/12*3,0))))))</f>
        <v>0</v>
      </c>
      <c r="CX105" s="120">
        <f>IF($H105&lt;&gt;CZ$5,0,IF(CZ105&gt;0,IF(OR($J105=1,$J105=2,$J105=3,$J105=4,$J105=5,$J105=6,$J105=7),$E105*$I105/12*3,IF($J105=8,$E105*$I105/12*2,IF($J105=9,$E105*$I105/12*1,0)))))+IF(CU$5&lt;&gt;$H105,0,IF(CU105&gt;0,IF($J105=7,$E105*$I105/12*0,IF($J105=8,$E105*$I105/12*1,IF($J105=9,$E105*$I105/12*2,IF($J105&gt;=10,$E105*$I105/12*3,0))))))</f>
        <v>0</v>
      </c>
      <c r="CY105" s="121">
        <f>IF($H105&lt;&gt;CZ$5,0,IF(CZ105&gt;0,IF(OR($J105=1,$J105=2,$J105=3,$J105=4,$J105=5,$J105=6,$J105=7,$J105=8,$J105=9,$J105=10),$E105*$I105/12*3,IF($J105=11,$E105*$I105/12*2,IF($J105=12,$E105*$I105/12*1,0)))))+IF(CU$5&lt;&gt;$H105,0,IF(CU105&gt;0,IF($J105=10,$E105*$I105/12*0,IF($J105=11,$E105*$I105/12*1,IF($J105=12,$E105*$I105/12*2,0)))))</f>
        <v>0</v>
      </c>
      <c r="CZ105" s="118">
        <f>IF(AND(CU105&lt;&gt;0,CU$5=$H105),$I105*$E105-CU105,IF(CZ$5=$H105,$I105*$E105*(12-$J105+1)/12,0))</f>
        <v>0</v>
      </c>
    </row>
    <row r="106" spans="1:104" ht="12.75" customHeight="1">
      <c r="A106" s="7"/>
      <c r="B106" s="7"/>
      <c r="C106" s="1508" t="s">
        <v>955</v>
      </c>
      <c r="D106" s="190"/>
      <c r="E106" s="191">
        <f>Power!$BG$490</f>
        <v>100</v>
      </c>
      <c r="F106" s="444"/>
      <c r="G106" s="444"/>
      <c r="H106" s="219">
        <v>2019</v>
      </c>
      <c r="I106" s="220">
        <v>0.05</v>
      </c>
      <c r="J106" s="219">
        <v>7</v>
      </c>
      <c r="K106" s="112"/>
      <c r="L106" s="113">
        <f>IF(L$5=$H106,$E106,0)</f>
        <v>0</v>
      </c>
      <c r="M106" s="114">
        <f>IF(Q106=0,0,IF(Q106&gt;0,IF($J106=3,Q106,IF($J106=2,Q106,IF($J106=1,Q106,0)))))</f>
        <v>0</v>
      </c>
      <c r="N106" s="115">
        <f>IF(Q106=0,0,IF(Q106&gt;0,IF($J106=6,Q106,IF($J106=5,Q106,IF($J106=4,Q106,0)))))</f>
        <v>0</v>
      </c>
      <c r="O106" s="115">
        <f>IF(Q106=0,0,IF(Q106&gt;0,IF($J106=9,Q106,IF($J106=8,Q106,IF($J106=7,Q106,0)))))</f>
        <v>0</v>
      </c>
      <c r="P106" s="116">
        <f>IF(Q106=0,0,IF(Q106&gt;0,IF($J106=12,Q106,IF($J106=11,Q106,IF($J106=10,Q106,0)))))</f>
        <v>0</v>
      </c>
      <c r="Q106" s="113">
        <f>IF(Q$5=$H106,$E106,0)</f>
        <v>0</v>
      </c>
      <c r="R106" s="114">
        <f>IF(V106=0,0,IF(V106&gt;0,IF($J106=3,V106,IF($J106=2,V106,IF($J106=1,V106,0)))))</f>
        <v>0</v>
      </c>
      <c r="S106" s="115">
        <f>IF(V106=0,0,IF(V106&gt;0,IF($J106=6,V106,IF($J106=5,V106,IF($J106=4,V106,0)))))</f>
        <v>0</v>
      </c>
      <c r="T106" s="115">
        <f>IF(V106=0,0,IF(V106&gt;0,IF($J106=9,V106,IF($J106=8,V106,IF($J106=7,V106,0)))))</f>
        <v>0</v>
      </c>
      <c r="U106" s="116">
        <f>IF(V106=0,0,IF(V106&gt;0,IF($J106=12,V106,IF($J106=11,V106,IF($J106=10,V106,0)))))</f>
        <v>0</v>
      </c>
      <c r="V106" s="113">
        <f>IF(V$5=$H106,$E106,0)</f>
        <v>0</v>
      </c>
      <c r="W106" s="114">
        <f>IF(AA106=0,0,IF(AA106&gt;0,IF($J106=3,AA106,IF($J106=2,AA106,IF($J106=1,AA106,0)))))</f>
        <v>0</v>
      </c>
      <c r="X106" s="115">
        <f>IF(AA106=0,0,IF(AA106&gt;0,IF($J106=6,AA106,IF($J106=5,AA106,IF($J106=4,AA106,0)))))</f>
        <v>0</v>
      </c>
      <c r="Y106" s="115">
        <f>IF(AA106=0,0,IF(AA106&gt;0,IF($J106=9,AA106,IF($J106=8,AA106,IF($J106=7,AA106,0)))))</f>
        <v>0</v>
      </c>
      <c r="Z106" s="116">
        <f>IF(AA106=0,0,IF(AA106&gt;0,IF($J106=12,AA106,IF($J106=11,AA106,IF($J106=10,AA106,0)))))</f>
        <v>0</v>
      </c>
      <c r="AA106" s="113">
        <f>IF(AA$5=$H106,$E106,0)</f>
        <v>0</v>
      </c>
      <c r="AB106" s="114">
        <f>IF(AF106=0,0,IF(AF106&gt;0,IF($J106=3,AF106,IF($J106=2,AF106,IF($J106=1,AF106,0)))))</f>
        <v>0</v>
      </c>
      <c r="AC106" s="115">
        <f>IF(AF106=0,0,IF(AF106&gt;0,IF($J106=6,AF106,IF($J106=5,AF106,IF($J106=4,AF106,0)))))</f>
        <v>0</v>
      </c>
      <c r="AD106" s="115">
        <f>IF(AF106=0,0,IF(AF106&gt;0,IF($J106=9,AF106,IF($J106=8,AF106,IF($J106=7,AF106,0)))))</f>
        <v>0</v>
      </c>
      <c r="AE106" s="116">
        <f>IF(AF106=0,0,IF(AF106&gt;0,IF($J106=12,AF106,IF($J106=11,AF106,IF($J106=10,AF106,0)))))</f>
        <v>0</v>
      </c>
      <c r="AF106" s="113">
        <f>IF(AF$5=$H106,$E106,0)</f>
        <v>0</v>
      </c>
      <c r="AG106" s="114">
        <f>IF(AK106=0,0,IF(AK106&gt;0,IF($J106=3,AK106,IF($J106=2,AK106,IF($J106=1,AK106,0)))))</f>
        <v>0</v>
      </c>
      <c r="AH106" s="115">
        <f>IF(AK106=0,0,IF(AK106&gt;0,IF($J106=6,AK106,IF($J106=5,AK106,IF($J106=4,AK106,0)))))</f>
        <v>0</v>
      </c>
      <c r="AI106" s="115">
        <f>IF(AK106=0,0,IF(AK106&gt;0,IF($J106=9,AK106,IF($J106=8,AK106,IF($J106=7,AK106,0)))))</f>
        <v>0</v>
      </c>
      <c r="AJ106" s="116">
        <f>IF(AK106=0,0,IF(AK106&gt;0,IF($J106=12,AK106,IF($J106=11,AK106,IF($J106=10,AK106,0)))))</f>
        <v>0</v>
      </c>
      <c r="AK106" s="113">
        <f>IF(AK$5=$H106,$E106,0)</f>
        <v>0</v>
      </c>
      <c r="AL106" s="114">
        <f>IF(AP106=0,0,IF(AP106&gt;0,IF($J106=3,AP106,IF($J106=2,AP106,IF($J106=1,AP106,0)))))</f>
        <v>0</v>
      </c>
      <c r="AM106" s="115">
        <f>IF(AP106=0,0,IF(AP106&gt;0,IF($J106=6,AP106,IF($J106=5,AP106,IF($J106=4,AP106,0)))))</f>
        <v>0</v>
      </c>
      <c r="AN106" s="115">
        <f>IF(AP106=0,0,IF(AP106&gt;0,IF($J106=9,AP106,IF($J106=8,AP106,IF($J106=7,AP106,0)))))</f>
        <v>0</v>
      </c>
      <c r="AO106" s="116">
        <f>IF(AP106=0,0,IF(AP106&gt;0,IF($J106=12,AP106,IF($J106=11,AP106,IF($J106=10,AP106,0)))))</f>
        <v>0</v>
      </c>
      <c r="AP106" s="113">
        <f>IF(AP$5=$H106,$E106,0)</f>
        <v>0</v>
      </c>
      <c r="AQ106" s="114">
        <f>IF(AU106=0,0,IF(AU106&gt;0,IF($J106=3,AU106,IF($J106=2,AU106,IF($J106=1,AU106,0)))))</f>
        <v>0</v>
      </c>
      <c r="AR106" s="115">
        <f>IF(AU106=0,0,IF(AU106&gt;0,IF($J106=6,AU106,IF($J106=5,AU106,IF($J106=4,AU106,0)))))</f>
        <v>0</v>
      </c>
      <c r="AS106" s="115">
        <f>IF(AU106=0,0,IF(AU106&gt;0,IF($J106=9,AU106,IF($J106=8,AU106,IF($J106=7,AU106,0)))))</f>
        <v>100</v>
      </c>
      <c r="AT106" s="116">
        <f>IF(AU106=0,0,IF(AU106&gt;0,IF($J106=12,AU106,IF($J106=11,AU106,IF($J106=10,AU106,0)))))</f>
        <v>0</v>
      </c>
      <c r="AU106" s="113">
        <f>IF(AU$5=$H106,$E106,0)</f>
        <v>100</v>
      </c>
      <c r="AV106" s="114">
        <f>IF(AZ106=0,0,IF(AZ106&gt;0,IF($J106=3,AZ106,IF($J106=2,AZ106,IF($J106=1,AZ106,0)))))</f>
        <v>0</v>
      </c>
      <c r="AW106" s="115">
        <f>IF(AZ106=0,0,IF(AZ106&gt;0,IF($J106=6,AZ106,IF($J106=5,AZ106,IF($J106=4,AZ106,0)))))</f>
        <v>0</v>
      </c>
      <c r="AX106" s="115">
        <f>IF(AZ106=0,0,IF(AZ106&gt;0,IF($J106=9,AZ106,IF($J106=8,AZ106,IF($J106=7,AZ106,0)))))</f>
        <v>0</v>
      </c>
      <c r="AY106" s="116">
        <f>IF(AZ106=0,0,IF(AZ106&gt;0,IF($J106=12,AZ106,IF($J106=11,AZ106,IF($J106=10,AZ106,0)))))</f>
        <v>0</v>
      </c>
      <c r="AZ106" s="113">
        <f>IF(AZ$5=$H106,$E106,0)</f>
        <v>0</v>
      </c>
      <c r="BA106" s="114">
        <f>IF(BE106=0,0,IF(BE106&gt;0,IF($J106=3,BE106,IF($J106=2,BE106,IF($J106=1,BE106,0)))))</f>
        <v>0</v>
      </c>
      <c r="BB106" s="115">
        <f>IF(BE106=0,0,IF(BE106&gt;0,IF($J106=6,BE106,IF($J106=5,BE106,IF($J106=4,BE106,0)))))</f>
        <v>0</v>
      </c>
      <c r="BC106" s="115">
        <f>IF(BE106=0,0,IF(BE106&gt;0,IF($J106=9,BE106,IF($J106=8,BE106,IF($J106=7,BE106,0)))))</f>
        <v>0</v>
      </c>
      <c r="BD106" s="116">
        <f>IF(BE106=0,0,IF(BE106&gt;0,IF($J106=12,BE106,IF($J106=11,BE106,IF($J106=10,BE106,0)))))</f>
        <v>0</v>
      </c>
      <c r="BE106" s="113">
        <f>IF(BE$5=$H106,$E106,0)</f>
        <v>0</v>
      </c>
      <c r="BF106" s="222"/>
      <c r="BG106" s="118">
        <f>IF(AND(BF106&lt;&gt;0,BF$5=$H106),$I106*$E106-BF106,IF(BG$5=$H106,$I106*$E106*(12-$J106+1)/12,0))</f>
        <v>0</v>
      </c>
      <c r="BH106" s="119">
        <f>IF($H106&lt;&gt;BL$5,0,IF(BL106&gt;0,IF($J106=1,$E106*$I106/12*3,IF($J106=2,$E106*$I106/12*2,IF($J106=3,$E106*$I106/12*1,0)))))+IF(BG$5&lt;&gt;$H106,0,IF(BG106&gt;0,IF($J106=1,$E106*$I106/12*0,IF($J106=2,$E106*$I106/12*1,IF($J106=3,$E106*$I106/12*2,IF($J106&gt;=4,$E106*$I106/12*3,0))))))</f>
        <v>0</v>
      </c>
      <c r="BI106" s="120">
        <f>IF($H106&lt;&gt;BL$5,0,IF(BL106&gt;0,IF(OR($J106=1,$J106=2,$J106=3,$J106=4),$E106*$I106/12*3,IF($J106=5,$E106*$I106/12*2,IF($J106=6,$E106*$I106/12*1,0)))))+IF(BG$5&lt;&gt;$H106,0,IF(BG106&gt;0,IF($J106=4,$E106*$I106/12*0,IF($J106=5,$E106*$I106/12*1,IF($J106=6,$E106*$I106/12*2,IF($J106&gt;=7,$E106*$I106/12*3,0))))))</f>
        <v>0</v>
      </c>
      <c r="BJ106" s="120">
        <f>IF($H106&lt;&gt;BL$5,0,IF(BL106&gt;0,IF(OR($J106=1,$J106=2,$J106=3,$J106=4,$J106=5,$J106=6,$J106=7),$E106*$I106/12*3,IF($J106=8,$E106*$I106/12*2,IF($J106=9,$E106*$I106/12*1,0)))))+IF(BG$5&lt;&gt;$H106,0,IF(BG106&gt;0,IF($J106=7,$E106*$I106/12*0,IF($J106=8,$E106*$I106/12*1,IF($J106=9,$E106*$I106/12*2,IF($J106&gt;=10,$E106*$I106/12*3,0))))))</f>
        <v>0</v>
      </c>
      <c r="BK106" s="121">
        <f>IF($H106&lt;&gt;BL$5,0,IF(BL106&gt;0,IF(OR($J106=1,$J106=2,$J106=3,$J106=4,$J106=5,$J106=6,$J106=7,$J106=8,$J106=9,$J106=10),$E106*$I106/12*3,IF($J106=11,$E106*$I106/12*2,IF($J106=12,$E106*$I106/12*1,0)))))+IF(BG$5&lt;&gt;$H106,0,IF(BG106&gt;0,IF($J106=10,$E106*$I106/12*0,IF($J106=11,$E106*$I106/12*1,IF($J106=12,$E106*$I106/12*2,0)))))</f>
        <v>0</v>
      </c>
      <c r="BL106" s="118">
        <f>IF(AND(BG106&lt;&gt;0,BG$5=$H106),$I106*$E106-BG106,IF(BL$5=$H106,$I106*$E106*(12-$J106+1)/12,0))</f>
        <v>0</v>
      </c>
      <c r="BM106" s="119">
        <f>IF($H106&lt;&gt;BQ$5,0,IF(BQ106&gt;0,IF($J106=1,$E106*$I106/12*3,IF($J106=2,$E106*$I106/12*2,IF($J106=3,$E106*$I106/12*1,0)))))+IF(BL$5&lt;&gt;$H106,0,IF(BL106&gt;0,IF($J106=1,$E106*$I106/12*0,IF($J106=2,$E106*$I106/12*1,IF($J106=3,$E106*$I106/12*2,IF($J106&gt;=4,$E106*$I106/12*3,0))))))</f>
        <v>0</v>
      </c>
      <c r="BN106" s="120">
        <f>IF($H106&lt;&gt;BQ$5,0,IF(BQ106&gt;0,IF(OR($J106=1,$J106=2,$J106=3,$J106=4),$E106*$I106/12*3,IF($J106=5,$E106*$I106/12*2,IF($J106=6,$E106*$I106/12*1,0)))))+IF(BL$5&lt;&gt;$H106,0,IF(BL106&gt;0,IF($J106=4,$E106*$I106/12*0,IF($J106=5,$E106*$I106/12*1,IF($J106=6,$E106*$I106/12*2,IF($J106&gt;=7,$E106*$I106/12*3,0))))))</f>
        <v>0</v>
      </c>
      <c r="BO106" s="120">
        <f>IF($H106&lt;&gt;BQ$5,0,IF(BQ106&gt;0,IF(OR($J106=1,$J106=2,$J106=3,$J106=4,$J106=5,$J106=6,$J106=7),$E106*$I106/12*3,IF($J106=8,$E106*$I106/12*2,IF($J106=9,$E106*$I106/12*1,0)))))+IF(BL$5&lt;&gt;$H106,0,IF(BL106&gt;0,IF($J106=7,$E106*$I106/12*0,IF($J106=8,$E106*$I106/12*1,IF($J106=9,$E106*$I106/12*2,IF($J106&gt;=10,$E106*$I106/12*3,0))))))</f>
        <v>0</v>
      </c>
      <c r="BP106" s="121">
        <f>IF($H106&lt;&gt;BQ$5,0,IF(BQ106&gt;0,IF(OR($J106=1,$J106=2,$J106=3,$J106=4,$J106=5,$J106=6,$J106=7,$J106=8,$J106=9,$J106=10),$E106*$I106/12*3,IF($J106=11,$E106*$I106/12*2,IF($J106=12,$E106*$I106/12*1,0)))))+IF(BL$5&lt;&gt;$H106,0,IF(BL106&gt;0,IF($J106=10,$E106*$I106/12*0,IF($J106=11,$E106*$I106/12*1,IF($J106=12,$E106*$I106/12*2,0)))))</f>
        <v>0</v>
      </c>
      <c r="BQ106" s="118">
        <f>IF(AND(BL106&lt;&gt;0,BL$5=$H106),$I106*$E106-BL106,IF(BQ$5=$H106,$I106*$E106*(12-$J106+1)/12,0))</f>
        <v>0</v>
      </c>
      <c r="BR106" s="119">
        <f>IF($H106&lt;&gt;BV$5,0,IF(BV106&gt;0,IF($J106=1,$E106*$I106/12*3,IF($J106=2,$E106*$I106/12*2,IF($J106=3,$E106*$I106/12*1,0)))))+IF(BQ$5&lt;&gt;$H106,0,IF(BQ106&gt;0,IF($J106=1,$E106*$I106/12*0,IF($J106=2,$E106*$I106/12*1,IF($J106=3,$E106*$I106/12*2,IF($J106&gt;=4,$E106*$I106/12*3,0))))))</f>
        <v>0</v>
      </c>
      <c r="BS106" s="120">
        <f>IF($H106&lt;&gt;BV$5,0,IF(BV106&gt;0,IF(OR($J106=1,$J106=2,$J106=3,$J106=4),$E106*$I106/12*3,IF($J106=5,$E106*$I106/12*2,IF($J106=6,$E106*$I106/12*1,0)))))+IF(BQ$5&lt;&gt;$H106,0,IF(BQ106&gt;0,IF($J106=4,$E106*$I106/12*0,IF($J106=5,$E106*$I106/12*1,IF($J106=6,$E106*$I106/12*2,IF($J106&gt;=7,$E106*$I106/12*3,0))))))</f>
        <v>0</v>
      </c>
      <c r="BT106" s="120">
        <f>IF($H106&lt;&gt;BV$5,0,IF(BV106&gt;0,IF(OR($J106=1,$J106=2,$J106=3,$J106=4,$J106=5,$J106=6,$J106=7),$E106*$I106/12*3,IF($J106=8,$E106*$I106/12*2,IF($J106=9,$E106*$I106/12*1,0)))))+IF(BQ$5&lt;&gt;$H106,0,IF(BQ106&gt;0,IF($J106=7,$E106*$I106/12*0,IF($J106=8,$E106*$I106/12*1,IF($J106=9,$E106*$I106/12*2,IF($J106&gt;=10,$E106*$I106/12*3,0))))))</f>
        <v>0</v>
      </c>
      <c r="BU106" s="121">
        <f>IF($H106&lt;&gt;BV$5,0,IF(BV106&gt;0,IF(OR($J106=1,$J106=2,$J106=3,$J106=4,$J106=5,$J106=6,$J106=7,$J106=8,$J106=9,$J106=10),$E106*$I106/12*3,IF($J106=11,$E106*$I106/12*2,IF($J106=12,$E106*$I106/12*1,0)))))+IF(BQ$5&lt;&gt;$H106,0,IF(BQ106&gt;0,IF($J106=10,$E106*$I106/12*0,IF($J106=11,$E106*$I106/12*1,IF($J106=12,$E106*$I106/12*2,0)))))</f>
        <v>0</v>
      </c>
      <c r="BV106" s="118">
        <f>IF(AND(BQ106&lt;&gt;0,BQ$5=$H106),$I106*$E106-BQ106,IF(BV$5=$H106,$I106*$E106*(12-$J106+1)/12,0))</f>
        <v>0</v>
      </c>
      <c r="BW106" s="119">
        <f>IF($H106&lt;&gt;CA$5,0,IF(CA106&gt;0,IF($J106=1,$E106*$I106/12*3,IF($J106=2,$E106*$I106/12*2,IF($J106=3,$E106*$I106/12*1,0)))))+IF(BV$5&lt;&gt;$H106,0,IF(BV106&gt;0,IF($J106=1,$E106*$I106/12*0,IF($J106=2,$E106*$I106/12*1,IF($J106=3,$E106*$I106/12*2,IF($J106&gt;=4,$E106*$I106/12*3,0))))))</f>
        <v>0</v>
      </c>
      <c r="BX106" s="120">
        <f>IF($H106&lt;&gt;CA$5,0,IF(CA106&gt;0,IF(OR($J106=1,$J106=2,$J106=3,$J106=4),$E106*$I106/12*3,IF($J106=5,$E106*$I106/12*2,IF($J106=6,$E106*$I106/12*1,0)))))+IF(BV$5&lt;&gt;$H106,0,IF(BV106&gt;0,IF($J106=4,$E106*$I106/12*0,IF($J106=5,$E106*$I106/12*1,IF($J106=6,$E106*$I106/12*2,IF($J106&gt;=7,$E106*$I106/12*3,0))))))</f>
        <v>0</v>
      </c>
      <c r="BY106" s="120">
        <f>IF($H106&lt;&gt;CA$5,0,IF(CA106&gt;0,IF(OR($J106=1,$J106=2,$J106=3,$J106=4,$J106=5,$J106=6,$J106=7),$E106*$I106/12*3,IF($J106=8,$E106*$I106/12*2,IF($J106=9,$E106*$I106/12*1,0)))))+IF(BV$5&lt;&gt;$H106,0,IF(BV106&gt;0,IF($J106=7,$E106*$I106/12*0,IF($J106=8,$E106*$I106/12*1,IF($J106=9,$E106*$I106/12*2,IF($J106&gt;=10,$E106*$I106/12*3,0))))))</f>
        <v>0</v>
      </c>
      <c r="BZ106" s="121">
        <f>IF($H106&lt;&gt;CA$5,0,IF(CA106&gt;0,IF(OR($J106=1,$J106=2,$J106=3,$J106=4,$J106=5,$J106=6,$J106=7,$J106=8,$J106=9,$J106=10),$E106*$I106/12*3,IF($J106=11,$E106*$I106/12*2,IF($J106=12,$E106*$I106/12*1,0)))))+IF(BV$5&lt;&gt;$H106,0,IF(BV106&gt;0,IF($J106=10,$E106*$I106/12*0,IF($J106=11,$E106*$I106/12*1,IF($J106=12,$E106*$I106/12*2,0)))))</f>
        <v>0</v>
      </c>
      <c r="CA106" s="118">
        <f>IF(AND(BV106&lt;&gt;0,BV$5=$H106),$I106*$E106-BV106,IF(CA$5=$H106,$I106*$E106*(12-$J106+1)/12,0))</f>
        <v>0</v>
      </c>
      <c r="CB106" s="119">
        <f>IF($H106&lt;&gt;CF$5,0,IF(CF106&gt;0,IF($J106=1,$E106*$I106/12*3,IF($J106=2,$E106*$I106/12*2,IF($J106=3,$E106*$I106/12*1,0)))))+IF(CA$5&lt;&gt;$H106,0,IF(CA106&gt;0,IF($J106=1,$E106*$I106/12*0,IF($J106=2,$E106*$I106/12*1,IF($J106=3,$E106*$I106/12*2,IF($J106&gt;=4,$E106*$I106/12*3,0))))))</f>
        <v>0</v>
      </c>
      <c r="CC106" s="120">
        <f>IF($H106&lt;&gt;CF$5,0,IF(CF106&gt;0,IF(OR($J106=1,$J106=2,$J106=3,$J106=4),$E106*$I106/12*3,IF($J106=5,$E106*$I106/12*2,IF($J106=6,$E106*$I106/12*1,0)))))+IF(CA$5&lt;&gt;$H106,0,IF(CA106&gt;0,IF($J106=4,$E106*$I106/12*0,IF($J106=5,$E106*$I106/12*1,IF($J106=6,$E106*$I106/12*2,IF($J106&gt;=7,$E106*$I106/12*3,0))))))</f>
        <v>0</v>
      </c>
      <c r="CD106" s="120">
        <f>IF($H106&lt;&gt;CF$5,0,IF(CF106&gt;0,IF(OR($J106=1,$J106=2,$J106=3,$J106=4,$J106=5,$J106=6,$J106=7),$E106*$I106/12*3,IF($J106=8,$E106*$I106/12*2,IF($J106=9,$E106*$I106/12*1,0)))))+IF(CA$5&lt;&gt;$H106,0,IF(CA106&gt;0,IF($J106=7,$E106*$I106/12*0,IF($J106=8,$E106*$I106/12*1,IF($J106=9,$E106*$I106/12*2,IF($J106&gt;=10,$E106*$I106/12*3,0))))))</f>
        <v>0</v>
      </c>
      <c r="CE106" s="121">
        <f>IF($H106&lt;&gt;CF$5,0,IF(CF106&gt;0,IF(OR($J106=1,$J106=2,$J106=3,$J106=4,$J106=5,$J106=6,$J106=7,$J106=8,$J106=9,$J106=10),$E106*$I106/12*3,IF($J106=11,$E106*$I106/12*2,IF($J106=12,$E106*$I106/12*1,0)))))+IF(CA$5&lt;&gt;$H106,0,IF(CA106&gt;0,IF($J106=10,$E106*$I106/12*0,IF($J106=11,$E106*$I106/12*1,IF($J106=12,$E106*$I106/12*2,0)))))</f>
        <v>0</v>
      </c>
      <c r="CF106" s="118">
        <f>IF(AND(CA106&lt;&gt;0,CA$5=$H106),$I106*$E106-CA106,IF(CF$5=$H106,$I106*$E106*(12-$J106+1)/12,0))</f>
        <v>0</v>
      </c>
      <c r="CG106" s="119">
        <f>IF($H106&lt;&gt;CK$5,0,IF(CK106&gt;0,IF($J106=1,$E106*$I106/12*3,IF($J106=2,$E106*$I106/12*2,IF($J106=3,$E106*$I106/12*1,0)))))+IF(CF$5&lt;&gt;$H106,0,IF(CF106&gt;0,IF($J106=1,$E106*$I106/12*0,IF($J106=2,$E106*$I106/12*1,IF($J106=3,$E106*$I106/12*2,IF($J106&gt;=4,$E106*$I106/12*3,0))))))</f>
        <v>0</v>
      </c>
      <c r="CH106" s="120">
        <f>IF($H106&lt;&gt;CK$5,0,IF(CK106&gt;0,IF(OR($J106=1,$J106=2,$J106=3,$J106=4),$E106*$I106/12*3,IF($J106=5,$E106*$I106/12*2,IF($J106=6,$E106*$I106/12*1,0)))))+IF(CF$5&lt;&gt;$H106,0,IF(CF106&gt;0,IF($J106=4,$E106*$I106/12*0,IF($J106=5,$E106*$I106/12*1,IF($J106=6,$E106*$I106/12*2,IF($J106&gt;=7,$E106*$I106/12*3,0))))))</f>
        <v>0</v>
      </c>
      <c r="CI106" s="120">
        <f>IF($H106&lt;&gt;CK$5,0,IF(CK106&gt;0,IF(OR($J106=1,$J106=2,$J106=3,$J106=4,$J106=5,$J106=6,$J106=7),$E106*$I106/12*3,IF($J106=8,$E106*$I106/12*2,IF($J106=9,$E106*$I106/12*1,0)))))+IF(CF$5&lt;&gt;$H106,0,IF(CF106&gt;0,IF($J106=7,$E106*$I106/12*0,IF($J106=8,$E106*$I106/12*1,IF($J106=9,$E106*$I106/12*2,IF($J106&gt;=10,$E106*$I106/12*3,0))))))</f>
        <v>0</v>
      </c>
      <c r="CJ106" s="121">
        <f>IF($H106&lt;&gt;CK$5,0,IF(CK106&gt;0,IF(OR($J106=1,$J106=2,$J106=3,$J106=4,$J106=5,$J106=6,$J106=7,$J106=8,$J106=9,$J106=10),$E106*$I106/12*3,IF($J106=11,$E106*$I106/12*2,IF($J106=12,$E106*$I106/12*1,0)))))+IF(CF$5&lt;&gt;$H106,0,IF(CF106&gt;0,IF($J106=10,$E106*$I106/12*0,IF($J106=11,$E106*$I106/12*1,IF($J106=12,$E106*$I106/12*2,0)))))</f>
        <v>0</v>
      </c>
      <c r="CK106" s="118">
        <f>IF(AND(CF106&lt;&gt;0,CF$5=$H106),$I106*$E106-CF106,IF(CK$5=$H106,$I106*$E106*(12-$J106+1)/12,0))</f>
        <v>0</v>
      </c>
      <c r="CL106" s="119">
        <f>IF($H106&lt;&gt;CP$5,0,IF(CP106&gt;0,IF($J106=1,$E106*$I106/12*3,IF($J106=2,$E106*$I106/12*2,IF($J106=3,$E106*$I106/12*1,0)))))+IF(CK$5&lt;&gt;$H106,0,IF(CK106&gt;0,IF($J106=1,$E106*$I106/12*0,IF($J106=2,$E106*$I106/12*1,IF($J106=3,$E106*$I106/12*2,IF($J106&gt;=4,$E106*$I106/12*3,0))))))</f>
        <v>0</v>
      </c>
      <c r="CM106" s="120">
        <f>IF($H106&lt;&gt;CP$5,0,IF(CP106&gt;0,IF(OR($J106=1,$J106=2,$J106=3,$J106=4),$E106*$I106/12*3,IF($J106=5,$E106*$I106/12*2,IF($J106=6,$E106*$I106/12*1,0)))))+IF(CK$5&lt;&gt;$H106,0,IF(CK106&gt;0,IF($J106=4,$E106*$I106/12*0,IF($J106=5,$E106*$I106/12*1,IF($J106=6,$E106*$I106/12*2,IF($J106&gt;=7,$E106*$I106/12*3,0))))))</f>
        <v>0</v>
      </c>
      <c r="CN106" s="120">
        <f>IF($H106&lt;&gt;CP$5,0,IF(CP106&gt;0,IF(OR($J106=1,$J106=2,$J106=3,$J106=4,$J106=5,$J106=6,$J106=7),$E106*$I106/12*3,IF($J106=8,$E106*$I106/12*2,IF($J106=9,$E106*$I106/12*1,0)))))+IF(CK$5&lt;&gt;$H106,0,IF(CK106&gt;0,IF($J106=7,$E106*$I106/12*0,IF($J106=8,$E106*$I106/12*1,IF($J106=9,$E106*$I106/12*2,IF($J106&gt;=10,$E106*$I106/12*3,0))))))</f>
        <v>1.25</v>
      </c>
      <c r="CO106" s="121">
        <f>IF($H106&lt;&gt;CP$5,0,IF(CP106&gt;0,IF(OR($J106=1,$J106=2,$J106=3,$J106=4,$J106=5,$J106=6,$J106=7,$J106=8,$J106=9,$J106=10),$E106*$I106/12*3,IF($J106=11,$E106*$I106/12*2,IF($J106=12,$E106*$I106/12*1,0)))))+IF(CK$5&lt;&gt;$H106,0,IF(CK106&gt;0,IF($J106=10,$E106*$I106/12*0,IF($J106=11,$E106*$I106/12*1,IF($J106=12,$E106*$I106/12*2,0)))))</f>
        <v>1.25</v>
      </c>
      <c r="CP106" s="118">
        <f>IF(AND(CK106&lt;&gt;0,CK$5=$H106),$I106*$E106-CK106,IF(CP$5=$H106,$I106*$E106*(12-$J106+1)/12,0))</f>
        <v>2.5</v>
      </c>
      <c r="CQ106" s="119">
        <f>IF($H106&lt;&gt;CU$5,0,IF(CU106&gt;0,IF($J106=1,$E106*$I106/12*3,IF($J106=2,$E106*$I106/12*2,IF($J106=3,$E106*$I106/12*1,0)))))+IF(CP$5&lt;&gt;$H106,0,IF(CP106&gt;0,IF($J106=1,$E106*$I106/12*0,IF($J106=2,$E106*$I106/12*1,IF($J106=3,$E106*$I106/12*2,IF($J106&gt;=4,$E106*$I106/12*3,0))))))</f>
        <v>1.25</v>
      </c>
      <c r="CR106" s="120">
        <f>IF($H106&lt;&gt;CU$5,0,IF(CU106&gt;0,IF(OR($J106=1,$J106=2,$J106=3,$J106=4),$E106*$I106/12*3,IF($J106=5,$E106*$I106/12*2,IF($J106=6,$E106*$I106/12*1,0)))))+IF(CP$5&lt;&gt;$H106,0,IF(CP106&gt;0,IF($J106=4,$E106*$I106/12*0,IF($J106=5,$E106*$I106/12*1,IF($J106=6,$E106*$I106/12*2,IF($J106&gt;=7,$E106*$I106/12*3,0))))))</f>
        <v>1.25</v>
      </c>
      <c r="CS106" s="120">
        <f>IF($H106&lt;&gt;CU$5,0,IF(CU106&gt;0,IF(OR($J106=1,$J106=2,$J106=3,$J106=4,$J106=5,$J106=6,$J106=7),$E106*$I106/12*3,IF($J106=8,$E106*$I106/12*2,IF($J106=9,$E106*$I106/12*1,0)))))+IF(CP$5&lt;&gt;$H106,0,IF(CP106&gt;0,IF($J106=7,$E106*$I106/12*0,IF($J106=8,$E106*$I106/12*1,IF($J106=9,$E106*$I106/12*2,IF($J106&gt;=10,$E106*$I106/12*3,0))))))</f>
        <v>0</v>
      </c>
      <c r="CT106" s="121">
        <f>IF($H106&lt;&gt;CU$5,0,IF(CU106&gt;0,IF(OR($J106=1,$J106=2,$J106=3,$J106=4,$J106=5,$J106=6,$J106=7,$J106=8,$J106=9,$J106=10),$E106*$I106/12*3,IF($J106=11,$E106*$I106/12*2,IF($J106=12,$E106*$I106/12*1,0)))))+IF(CP$5&lt;&gt;$H106,0,IF(CP106&gt;0,IF($J106=10,$E106*$I106/12*0,IF($J106=11,$E106*$I106/12*1,IF($J106=12,$E106*$I106/12*2,0)))))</f>
        <v>0</v>
      </c>
      <c r="CU106" s="118">
        <f>IF(AND(CP106&lt;&gt;0,CP$5=$H106),$I106*$E106-CP106,IF(CU$5=$H106,$I106*$E106*(12-$J106+1)/12,0))</f>
        <v>2.5</v>
      </c>
      <c r="CV106" s="119">
        <f>IF($H106&lt;&gt;CZ$5,0,IF(CZ106&gt;0,IF($J106=1,$E106*$I106/12*3,IF($J106=2,$E106*$I106/12*2,IF($J106=3,$E106*$I106/12*1,0)))))+IF(CU$5&lt;&gt;$H106,0,IF(CU106&gt;0,IF($J106=1,$E106*$I106/12*0,IF($J106=2,$E106*$I106/12*1,IF($J106=3,$E106*$I106/12*2,IF($J106&gt;=4,$E106*$I106/12*3,0))))))</f>
        <v>0</v>
      </c>
      <c r="CW106" s="120">
        <f>IF($H106&lt;&gt;CZ$5,0,IF(CZ106&gt;0,IF(OR($J106=1,$J106=2,$J106=3,$J106=4),$E106*$I106/12*3,IF($J106=5,$E106*$I106/12*2,IF($J106=6,$E106*$I106/12*1,0)))))+IF(CU$5&lt;&gt;$H106,0,IF(CU106&gt;0,IF($J106=4,$E106*$I106/12*0,IF($J106=5,$E106*$I106/12*1,IF($J106=6,$E106*$I106/12*2,IF($J106&gt;=7,$E106*$I106/12*3,0))))))</f>
        <v>0</v>
      </c>
      <c r="CX106" s="120">
        <f>IF($H106&lt;&gt;CZ$5,0,IF(CZ106&gt;0,IF(OR($J106=1,$J106=2,$J106=3,$J106=4,$J106=5,$J106=6,$J106=7),$E106*$I106/12*3,IF($J106=8,$E106*$I106/12*2,IF($J106=9,$E106*$I106/12*1,0)))))+IF(CU$5&lt;&gt;$H106,0,IF(CU106&gt;0,IF($J106=7,$E106*$I106/12*0,IF($J106=8,$E106*$I106/12*1,IF($J106=9,$E106*$I106/12*2,IF($J106&gt;=10,$E106*$I106/12*3,0))))))</f>
        <v>0</v>
      </c>
      <c r="CY106" s="121">
        <f>IF($H106&lt;&gt;CZ$5,0,IF(CZ106&gt;0,IF(OR($J106=1,$J106=2,$J106=3,$J106=4,$J106=5,$J106=6,$J106=7,$J106=8,$J106=9,$J106=10),$E106*$I106/12*3,IF($J106=11,$E106*$I106/12*2,IF($J106=12,$E106*$I106/12*1,0)))))+IF(CU$5&lt;&gt;$H106,0,IF(CU106&gt;0,IF($J106=10,$E106*$I106/12*0,IF($J106=11,$E106*$I106/12*1,IF($J106=12,$E106*$I106/12*2,0)))))</f>
        <v>0</v>
      </c>
      <c r="CZ106" s="118">
        <f>IF(AND(CU106&lt;&gt;0,CU$5=$H106),$I106*$E106-CU106,IF(CZ$5=$H106,$I106*$E106*(12-$J106+1)/12,0))</f>
        <v>0</v>
      </c>
    </row>
    <row r="107" spans="1:104" ht="12.75" customHeight="1">
      <c r="A107" s="7"/>
      <c r="B107" s="7"/>
      <c r="C107" s="1508" t="s">
        <v>956</v>
      </c>
      <c r="D107" s="190"/>
      <c r="E107" s="191">
        <f>Power!$BL$490</f>
        <v>400</v>
      </c>
      <c r="F107" s="444"/>
      <c r="G107" s="444"/>
      <c r="H107" s="219">
        <v>2020</v>
      </c>
      <c r="I107" s="220">
        <v>0.05</v>
      </c>
      <c r="J107" s="219">
        <v>7</v>
      </c>
      <c r="K107" s="112"/>
      <c r="L107" s="113">
        <f>IF(L$5=$H107,$E107,0)</f>
        <v>0</v>
      </c>
      <c r="M107" s="114">
        <f>IF(Q107=0,0,IF(Q107&gt;0,IF($J107=3,Q107,IF($J107=2,Q107,IF($J107=1,Q107,0)))))</f>
        <v>0</v>
      </c>
      <c r="N107" s="115">
        <f>IF(Q107=0,0,IF(Q107&gt;0,IF($J107=6,Q107,IF($J107=5,Q107,IF($J107=4,Q107,0)))))</f>
        <v>0</v>
      </c>
      <c r="O107" s="115">
        <f>IF(Q107=0,0,IF(Q107&gt;0,IF($J107=9,Q107,IF($J107=8,Q107,IF($J107=7,Q107,0)))))</f>
        <v>0</v>
      </c>
      <c r="P107" s="116">
        <f>IF(Q107=0,0,IF(Q107&gt;0,IF($J107=12,Q107,IF($J107=11,Q107,IF($J107=10,Q107,0)))))</f>
        <v>0</v>
      </c>
      <c r="Q107" s="113">
        <f>IF(Q$5=$H107,$E107,0)</f>
        <v>0</v>
      </c>
      <c r="R107" s="114">
        <f>IF(V107=0,0,IF(V107&gt;0,IF($J107=3,V107,IF($J107=2,V107,IF($J107=1,V107,0)))))</f>
        <v>0</v>
      </c>
      <c r="S107" s="115">
        <f>IF(V107=0,0,IF(V107&gt;0,IF($J107=6,V107,IF($J107=5,V107,IF($J107=4,V107,0)))))</f>
        <v>0</v>
      </c>
      <c r="T107" s="115">
        <f>IF(V107=0,0,IF(V107&gt;0,IF($J107=9,V107,IF($J107=8,V107,IF($J107=7,V107,0)))))</f>
        <v>0</v>
      </c>
      <c r="U107" s="116">
        <f>IF(V107=0,0,IF(V107&gt;0,IF($J107=12,V107,IF($J107=11,V107,IF($J107=10,V107,0)))))</f>
        <v>0</v>
      </c>
      <c r="V107" s="113">
        <f>IF(V$5=$H107,$E107,0)</f>
        <v>0</v>
      </c>
      <c r="W107" s="114">
        <f>IF(AA107=0,0,IF(AA107&gt;0,IF($J107=3,AA107,IF($J107=2,AA107,IF($J107=1,AA107,0)))))</f>
        <v>0</v>
      </c>
      <c r="X107" s="115">
        <f>IF(AA107=0,0,IF(AA107&gt;0,IF($J107=6,AA107,IF($J107=5,AA107,IF($J107=4,AA107,0)))))</f>
        <v>0</v>
      </c>
      <c r="Y107" s="115">
        <f>IF(AA107=0,0,IF(AA107&gt;0,IF($J107=9,AA107,IF($J107=8,AA107,IF($J107=7,AA107,0)))))</f>
        <v>0</v>
      </c>
      <c r="Z107" s="116">
        <f>IF(AA107=0,0,IF(AA107&gt;0,IF($J107=12,AA107,IF($J107=11,AA107,IF($J107=10,AA107,0)))))</f>
        <v>0</v>
      </c>
      <c r="AA107" s="113">
        <f>IF(AA$5=$H107,$E107,0)</f>
        <v>0</v>
      </c>
      <c r="AB107" s="114">
        <f>IF(AF107=0,0,IF(AF107&gt;0,IF($J107=3,AF107,IF($J107=2,AF107,IF($J107=1,AF107,0)))))</f>
        <v>0</v>
      </c>
      <c r="AC107" s="115">
        <f>IF(AF107=0,0,IF(AF107&gt;0,IF($J107=6,AF107,IF($J107=5,AF107,IF($J107=4,AF107,0)))))</f>
        <v>0</v>
      </c>
      <c r="AD107" s="115">
        <f>IF(AF107=0,0,IF(AF107&gt;0,IF($J107=9,AF107,IF($J107=8,AF107,IF($J107=7,AF107,0)))))</f>
        <v>0</v>
      </c>
      <c r="AE107" s="116">
        <f>IF(AF107=0,0,IF(AF107&gt;0,IF($J107=12,AF107,IF($J107=11,AF107,IF($J107=10,AF107,0)))))</f>
        <v>0</v>
      </c>
      <c r="AF107" s="113">
        <f>IF(AF$5=$H107,$E107,0)</f>
        <v>0</v>
      </c>
      <c r="AG107" s="114">
        <f>IF(AK107=0,0,IF(AK107&gt;0,IF($J107=3,AK107,IF($J107=2,AK107,IF($J107=1,AK107,0)))))</f>
        <v>0</v>
      </c>
      <c r="AH107" s="115">
        <f>IF(AK107=0,0,IF(AK107&gt;0,IF($J107=6,AK107,IF($J107=5,AK107,IF($J107=4,AK107,0)))))</f>
        <v>0</v>
      </c>
      <c r="AI107" s="115">
        <f>IF(AK107=0,0,IF(AK107&gt;0,IF($J107=9,AK107,IF($J107=8,AK107,IF($J107=7,AK107,0)))))</f>
        <v>0</v>
      </c>
      <c r="AJ107" s="116">
        <f>IF(AK107=0,0,IF(AK107&gt;0,IF($J107=12,AK107,IF($J107=11,AK107,IF($J107=10,AK107,0)))))</f>
        <v>0</v>
      </c>
      <c r="AK107" s="113">
        <f>IF(AK$5=$H107,$E107,0)</f>
        <v>0</v>
      </c>
      <c r="AL107" s="114">
        <f>IF(AP107=0,0,IF(AP107&gt;0,IF($J107=3,AP107,IF($J107=2,AP107,IF($J107=1,AP107,0)))))</f>
        <v>0</v>
      </c>
      <c r="AM107" s="115">
        <f>IF(AP107=0,0,IF(AP107&gt;0,IF($J107=6,AP107,IF($J107=5,AP107,IF($J107=4,AP107,0)))))</f>
        <v>0</v>
      </c>
      <c r="AN107" s="115">
        <f>IF(AP107=0,0,IF(AP107&gt;0,IF($J107=9,AP107,IF($J107=8,AP107,IF($J107=7,AP107,0)))))</f>
        <v>0</v>
      </c>
      <c r="AO107" s="116">
        <f>IF(AP107=0,0,IF(AP107&gt;0,IF($J107=12,AP107,IF($J107=11,AP107,IF($J107=10,AP107,0)))))</f>
        <v>0</v>
      </c>
      <c r="AP107" s="113">
        <f>IF(AP$5=$H107,$E107,0)</f>
        <v>0</v>
      </c>
      <c r="AQ107" s="114">
        <f>IF(AU107=0,0,IF(AU107&gt;0,IF($J107=3,AU107,IF($J107=2,AU107,IF($J107=1,AU107,0)))))</f>
        <v>0</v>
      </c>
      <c r="AR107" s="115">
        <f>IF(AU107=0,0,IF(AU107&gt;0,IF($J107=6,AU107,IF($J107=5,AU107,IF($J107=4,AU107,0)))))</f>
        <v>0</v>
      </c>
      <c r="AS107" s="115">
        <f>IF(AU107=0,0,IF(AU107&gt;0,IF($J107=9,AU107,IF($J107=8,AU107,IF($J107=7,AU107,0)))))</f>
        <v>0</v>
      </c>
      <c r="AT107" s="116">
        <f>IF(AU107=0,0,IF(AU107&gt;0,IF($J107=12,AU107,IF($J107=11,AU107,IF($J107=10,AU107,0)))))</f>
        <v>0</v>
      </c>
      <c r="AU107" s="113">
        <f>IF(AU$5=$H107,$E107,0)</f>
        <v>0</v>
      </c>
      <c r="AV107" s="114">
        <f>IF(AZ107=0,0,IF(AZ107&gt;0,IF($J107=3,AZ107,IF($J107=2,AZ107,IF($J107=1,AZ107,0)))))</f>
        <v>0</v>
      </c>
      <c r="AW107" s="115">
        <f>IF(AZ107=0,0,IF(AZ107&gt;0,IF($J107=6,AZ107,IF($J107=5,AZ107,IF($J107=4,AZ107,0)))))</f>
        <v>0</v>
      </c>
      <c r="AX107" s="115">
        <f>IF(AZ107=0,0,IF(AZ107&gt;0,IF($J107=9,AZ107,IF($J107=8,AZ107,IF($J107=7,AZ107,0)))))</f>
        <v>400</v>
      </c>
      <c r="AY107" s="116">
        <f>IF(AZ107=0,0,IF(AZ107&gt;0,IF($J107=12,AZ107,IF($J107=11,AZ107,IF($J107=10,AZ107,0)))))</f>
        <v>0</v>
      </c>
      <c r="AZ107" s="113">
        <f>IF(AZ$5=$H107,$E107,0)</f>
        <v>400</v>
      </c>
      <c r="BA107" s="114">
        <f>IF(BE107=0,0,IF(BE107&gt;0,IF($J107=3,BE107,IF($J107=2,BE107,IF($J107=1,BE107,0)))))</f>
        <v>0</v>
      </c>
      <c r="BB107" s="115">
        <f>IF(BE107=0,0,IF(BE107&gt;0,IF($J107=6,BE107,IF($J107=5,BE107,IF($J107=4,BE107,0)))))</f>
        <v>0</v>
      </c>
      <c r="BC107" s="115">
        <f>IF(BE107=0,0,IF(BE107&gt;0,IF($J107=9,BE107,IF($J107=8,BE107,IF($J107=7,BE107,0)))))</f>
        <v>0</v>
      </c>
      <c r="BD107" s="116">
        <f>IF(BE107=0,0,IF(BE107&gt;0,IF($J107=12,BE107,IF($J107=11,BE107,IF($J107=10,BE107,0)))))</f>
        <v>0</v>
      </c>
      <c r="BE107" s="113">
        <f>IF(BE$5=$H107,$E107,0)</f>
        <v>0</v>
      </c>
      <c r="BF107" s="222"/>
      <c r="BG107" s="118">
        <f>IF(AND(BF107&lt;&gt;0,BF$5=$H107),$I107*$E107-BF107,IF(BG$5=$H107,$I107*$E107*(12-$J107+1)/12,0))</f>
        <v>0</v>
      </c>
      <c r="BH107" s="119">
        <f>IF($H107&lt;&gt;BL$5,0,IF(BL107&gt;0,IF($J107=1,$E107*$I107/12*3,IF($J107=2,$E107*$I107/12*2,IF($J107=3,$E107*$I107/12*1,0)))))+IF(BG$5&lt;&gt;$H107,0,IF(BG107&gt;0,IF($J107=1,$E107*$I107/12*0,IF($J107=2,$E107*$I107/12*1,IF($J107=3,$E107*$I107/12*2,IF($J107&gt;=4,$E107*$I107/12*3,0))))))</f>
        <v>0</v>
      </c>
      <c r="BI107" s="120">
        <f>IF($H107&lt;&gt;BL$5,0,IF(BL107&gt;0,IF(OR($J107=1,$J107=2,$J107=3,$J107=4),$E107*$I107/12*3,IF($J107=5,$E107*$I107/12*2,IF($J107=6,$E107*$I107/12*1,0)))))+IF(BG$5&lt;&gt;$H107,0,IF(BG107&gt;0,IF($J107=4,$E107*$I107/12*0,IF($J107=5,$E107*$I107/12*1,IF($J107=6,$E107*$I107/12*2,IF($J107&gt;=7,$E107*$I107/12*3,0))))))</f>
        <v>0</v>
      </c>
      <c r="BJ107" s="120">
        <f>IF($H107&lt;&gt;BL$5,0,IF(BL107&gt;0,IF(OR($J107=1,$J107=2,$J107=3,$J107=4,$J107=5,$J107=6,$J107=7),$E107*$I107/12*3,IF($J107=8,$E107*$I107/12*2,IF($J107=9,$E107*$I107/12*1,0)))))+IF(BG$5&lt;&gt;$H107,0,IF(BG107&gt;0,IF($J107=7,$E107*$I107/12*0,IF($J107=8,$E107*$I107/12*1,IF($J107=9,$E107*$I107/12*2,IF($J107&gt;=10,$E107*$I107/12*3,0))))))</f>
        <v>0</v>
      </c>
      <c r="BK107" s="121">
        <f>IF($H107&lt;&gt;BL$5,0,IF(BL107&gt;0,IF(OR($J107=1,$J107=2,$J107=3,$J107=4,$J107=5,$J107=6,$J107=7,$J107=8,$J107=9,$J107=10),$E107*$I107/12*3,IF($J107=11,$E107*$I107/12*2,IF($J107=12,$E107*$I107/12*1,0)))))+IF(BG$5&lt;&gt;$H107,0,IF(BG107&gt;0,IF($J107=10,$E107*$I107/12*0,IF($J107=11,$E107*$I107/12*1,IF($J107=12,$E107*$I107/12*2,0)))))</f>
        <v>0</v>
      </c>
      <c r="BL107" s="118">
        <f>IF(AND(BG107&lt;&gt;0,BG$5=$H107),$I107*$E107-BG107,IF(BL$5=$H107,$I107*$E107*(12-$J107+1)/12,0))</f>
        <v>0</v>
      </c>
      <c r="BM107" s="119">
        <f>IF($H107&lt;&gt;BQ$5,0,IF(BQ107&gt;0,IF($J107=1,$E107*$I107/12*3,IF($J107=2,$E107*$I107/12*2,IF($J107=3,$E107*$I107/12*1,0)))))+IF(BL$5&lt;&gt;$H107,0,IF(BL107&gt;0,IF($J107=1,$E107*$I107/12*0,IF($J107=2,$E107*$I107/12*1,IF($J107=3,$E107*$I107/12*2,IF($J107&gt;=4,$E107*$I107/12*3,0))))))</f>
        <v>0</v>
      </c>
      <c r="BN107" s="120">
        <f>IF($H107&lt;&gt;BQ$5,0,IF(BQ107&gt;0,IF(OR($J107=1,$J107=2,$J107=3,$J107=4),$E107*$I107/12*3,IF($J107=5,$E107*$I107/12*2,IF($J107=6,$E107*$I107/12*1,0)))))+IF(BL$5&lt;&gt;$H107,0,IF(BL107&gt;0,IF($J107=4,$E107*$I107/12*0,IF($J107=5,$E107*$I107/12*1,IF($J107=6,$E107*$I107/12*2,IF($J107&gt;=7,$E107*$I107/12*3,0))))))</f>
        <v>0</v>
      </c>
      <c r="BO107" s="120">
        <f>IF($H107&lt;&gt;BQ$5,0,IF(BQ107&gt;0,IF(OR($J107=1,$J107=2,$J107=3,$J107=4,$J107=5,$J107=6,$J107=7),$E107*$I107/12*3,IF($J107=8,$E107*$I107/12*2,IF($J107=9,$E107*$I107/12*1,0)))))+IF(BL$5&lt;&gt;$H107,0,IF(BL107&gt;0,IF($J107=7,$E107*$I107/12*0,IF($J107=8,$E107*$I107/12*1,IF($J107=9,$E107*$I107/12*2,IF($J107&gt;=10,$E107*$I107/12*3,0))))))</f>
        <v>0</v>
      </c>
      <c r="BP107" s="121">
        <f>IF($H107&lt;&gt;BQ$5,0,IF(BQ107&gt;0,IF(OR($J107=1,$J107=2,$J107=3,$J107=4,$J107=5,$J107=6,$J107=7,$J107=8,$J107=9,$J107=10),$E107*$I107/12*3,IF($J107=11,$E107*$I107/12*2,IF($J107=12,$E107*$I107/12*1,0)))))+IF(BL$5&lt;&gt;$H107,0,IF(BL107&gt;0,IF($J107=10,$E107*$I107/12*0,IF($J107=11,$E107*$I107/12*1,IF($J107=12,$E107*$I107/12*2,0)))))</f>
        <v>0</v>
      </c>
      <c r="BQ107" s="118">
        <f>IF(AND(BL107&lt;&gt;0,BL$5=$H107),$I107*$E107-BL107,IF(BQ$5=$H107,$I107*$E107*(12-$J107+1)/12,0))</f>
        <v>0</v>
      </c>
      <c r="BR107" s="119">
        <f>IF($H107&lt;&gt;BV$5,0,IF(BV107&gt;0,IF($J107=1,$E107*$I107/12*3,IF($J107=2,$E107*$I107/12*2,IF($J107=3,$E107*$I107/12*1,0)))))+IF(BQ$5&lt;&gt;$H107,0,IF(BQ107&gt;0,IF($J107=1,$E107*$I107/12*0,IF($J107=2,$E107*$I107/12*1,IF($J107=3,$E107*$I107/12*2,IF($J107&gt;=4,$E107*$I107/12*3,0))))))</f>
        <v>0</v>
      </c>
      <c r="BS107" s="120">
        <f>IF($H107&lt;&gt;BV$5,0,IF(BV107&gt;0,IF(OR($J107=1,$J107=2,$J107=3,$J107=4),$E107*$I107/12*3,IF($J107=5,$E107*$I107/12*2,IF($J107=6,$E107*$I107/12*1,0)))))+IF(BQ$5&lt;&gt;$H107,0,IF(BQ107&gt;0,IF($J107=4,$E107*$I107/12*0,IF($J107=5,$E107*$I107/12*1,IF($J107=6,$E107*$I107/12*2,IF($J107&gt;=7,$E107*$I107/12*3,0))))))</f>
        <v>0</v>
      </c>
      <c r="BT107" s="120">
        <f>IF($H107&lt;&gt;BV$5,0,IF(BV107&gt;0,IF(OR($J107=1,$J107=2,$J107=3,$J107=4,$J107=5,$J107=6,$J107=7),$E107*$I107/12*3,IF($J107=8,$E107*$I107/12*2,IF($J107=9,$E107*$I107/12*1,0)))))+IF(BQ$5&lt;&gt;$H107,0,IF(BQ107&gt;0,IF($J107=7,$E107*$I107/12*0,IF($J107=8,$E107*$I107/12*1,IF($J107=9,$E107*$I107/12*2,IF($J107&gt;=10,$E107*$I107/12*3,0))))))</f>
        <v>0</v>
      </c>
      <c r="BU107" s="121">
        <f>IF($H107&lt;&gt;BV$5,0,IF(BV107&gt;0,IF(OR($J107=1,$J107=2,$J107=3,$J107=4,$J107=5,$J107=6,$J107=7,$J107=8,$J107=9,$J107=10),$E107*$I107/12*3,IF($J107=11,$E107*$I107/12*2,IF($J107=12,$E107*$I107/12*1,0)))))+IF(BQ$5&lt;&gt;$H107,0,IF(BQ107&gt;0,IF($J107=10,$E107*$I107/12*0,IF($J107=11,$E107*$I107/12*1,IF($J107=12,$E107*$I107/12*2,0)))))</f>
        <v>0</v>
      </c>
      <c r="BV107" s="118">
        <f>IF(AND(BQ107&lt;&gt;0,BQ$5=$H107),$I107*$E107-BQ107,IF(BV$5=$H107,$I107*$E107*(12-$J107+1)/12,0))</f>
        <v>0</v>
      </c>
      <c r="BW107" s="119">
        <f>IF($H107&lt;&gt;CA$5,0,IF(CA107&gt;0,IF($J107=1,$E107*$I107/12*3,IF($J107=2,$E107*$I107/12*2,IF($J107=3,$E107*$I107/12*1,0)))))+IF(BV$5&lt;&gt;$H107,0,IF(BV107&gt;0,IF($J107=1,$E107*$I107/12*0,IF($J107=2,$E107*$I107/12*1,IF($J107=3,$E107*$I107/12*2,IF($J107&gt;=4,$E107*$I107/12*3,0))))))</f>
        <v>0</v>
      </c>
      <c r="BX107" s="120">
        <f>IF($H107&lt;&gt;CA$5,0,IF(CA107&gt;0,IF(OR($J107=1,$J107=2,$J107=3,$J107=4),$E107*$I107/12*3,IF($J107=5,$E107*$I107/12*2,IF($J107=6,$E107*$I107/12*1,0)))))+IF(BV$5&lt;&gt;$H107,0,IF(BV107&gt;0,IF($J107=4,$E107*$I107/12*0,IF($J107=5,$E107*$I107/12*1,IF($J107=6,$E107*$I107/12*2,IF($J107&gt;=7,$E107*$I107/12*3,0))))))</f>
        <v>0</v>
      </c>
      <c r="BY107" s="120">
        <f>IF($H107&lt;&gt;CA$5,0,IF(CA107&gt;0,IF(OR($J107=1,$J107=2,$J107=3,$J107=4,$J107=5,$J107=6,$J107=7),$E107*$I107/12*3,IF($J107=8,$E107*$I107/12*2,IF($J107=9,$E107*$I107/12*1,0)))))+IF(BV$5&lt;&gt;$H107,0,IF(BV107&gt;0,IF($J107=7,$E107*$I107/12*0,IF($J107=8,$E107*$I107/12*1,IF($J107=9,$E107*$I107/12*2,IF($J107&gt;=10,$E107*$I107/12*3,0))))))</f>
        <v>0</v>
      </c>
      <c r="BZ107" s="121">
        <f>IF($H107&lt;&gt;CA$5,0,IF(CA107&gt;0,IF(OR($J107=1,$J107=2,$J107=3,$J107=4,$J107=5,$J107=6,$J107=7,$J107=8,$J107=9,$J107=10),$E107*$I107/12*3,IF($J107=11,$E107*$I107/12*2,IF($J107=12,$E107*$I107/12*1,0)))))+IF(BV$5&lt;&gt;$H107,0,IF(BV107&gt;0,IF($J107=10,$E107*$I107/12*0,IF($J107=11,$E107*$I107/12*1,IF($J107=12,$E107*$I107/12*2,0)))))</f>
        <v>0</v>
      </c>
      <c r="CA107" s="118">
        <f>IF(AND(BV107&lt;&gt;0,BV$5=$H107),$I107*$E107-BV107,IF(CA$5=$H107,$I107*$E107*(12-$J107+1)/12,0))</f>
        <v>0</v>
      </c>
      <c r="CB107" s="119">
        <f>IF($H107&lt;&gt;CF$5,0,IF(CF107&gt;0,IF($J107=1,$E107*$I107/12*3,IF($J107=2,$E107*$I107/12*2,IF($J107=3,$E107*$I107/12*1,0)))))+IF(CA$5&lt;&gt;$H107,0,IF(CA107&gt;0,IF($J107=1,$E107*$I107/12*0,IF($J107=2,$E107*$I107/12*1,IF($J107=3,$E107*$I107/12*2,IF($J107&gt;=4,$E107*$I107/12*3,0))))))</f>
        <v>0</v>
      </c>
      <c r="CC107" s="120">
        <f>IF($H107&lt;&gt;CF$5,0,IF(CF107&gt;0,IF(OR($J107=1,$J107=2,$J107=3,$J107=4),$E107*$I107/12*3,IF($J107=5,$E107*$I107/12*2,IF($J107=6,$E107*$I107/12*1,0)))))+IF(CA$5&lt;&gt;$H107,0,IF(CA107&gt;0,IF($J107=4,$E107*$I107/12*0,IF($J107=5,$E107*$I107/12*1,IF($J107=6,$E107*$I107/12*2,IF($J107&gt;=7,$E107*$I107/12*3,0))))))</f>
        <v>0</v>
      </c>
      <c r="CD107" s="120">
        <f>IF($H107&lt;&gt;CF$5,0,IF(CF107&gt;0,IF(OR($J107=1,$J107=2,$J107=3,$J107=4,$J107=5,$J107=6,$J107=7),$E107*$I107/12*3,IF($J107=8,$E107*$I107/12*2,IF($J107=9,$E107*$I107/12*1,0)))))+IF(CA$5&lt;&gt;$H107,0,IF(CA107&gt;0,IF($J107=7,$E107*$I107/12*0,IF($J107=8,$E107*$I107/12*1,IF($J107=9,$E107*$I107/12*2,IF($J107&gt;=10,$E107*$I107/12*3,0))))))</f>
        <v>0</v>
      </c>
      <c r="CE107" s="121">
        <f>IF($H107&lt;&gt;CF$5,0,IF(CF107&gt;0,IF(OR($J107=1,$J107=2,$J107=3,$J107=4,$J107=5,$J107=6,$J107=7,$J107=8,$J107=9,$J107=10),$E107*$I107/12*3,IF($J107=11,$E107*$I107/12*2,IF($J107=12,$E107*$I107/12*1,0)))))+IF(CA$5&lt;&gt;$H107,0,IF(CA107&gt;0,IF($J107=10,$E107*$I107/12*0,IF($J107=11,$E107*$I107/12*1,IF($J107=12,$E107*$I107/12*2,0)))))</f>
        <v>0</v>
      </c>
      <c r="CF107" s="118">
        <f>IF(AND(CA107&lt;&gt;0,CA$5=$H107),$I107*$E107-CA107,IF(CF$5=$H107,$I107*$E107*(12-$J107+1)/12,0))</f>
        <v>0</v>
      </c>
      <c r="CG107" s="119">
        <f>IF($H107&lt;&gt;CK$5,0,IF(CK107&gt;0,IF($J107=1,$E107*$I107/12*3,IF($J107=2,$E107*$I107/12*2,IF($J107=3,$E107*$I107/12*1,0)))))+IF(CF$5&lt;&gt;$H107,0,IF(CF107&gt;0,IF($J107=1,$E107*$I107/12*0,IF($J107=2,$E107*$I107/12*1,IF($J107=3,$E107*$I107/12*2,IF($J107&gt;=4,$E107*$I107/12*3,0))))))</f>
        <v>0</v>
      </c>
      <c r="CH107" s="120">
        <f>IF($H107&lt;&gt;CK$5,0,IF(CK107&gt;0,IF(OR($J107=1,$J107=2,$J107=3,$J107=4),$E107*$I107/12*3,IF($J107=5,$E107*$I107/12*2,IF($J107=6,$E107*$I107/12*1,0)))))+IF(CF$5&lt;&gt;$H107,0,IF(CF107&gt;0,IF($J107=4,$E107*$I107/12*0,IF($J107=5,$E107*$I107/12*1,IF($J107=6,$E107*$I107/12*2,IF($J107&gt;=7,$E107*$I107/12*3,0))))))</f>
        <v>0</v>
      </c>
      <c r="CI107" s="120">
        <f>IF($H107&lt;&gt;CK$5,0,IF(CK107&gt;0,IF(OR($J107=1,$J107=2,$J107=3,$J107=4,$J107=5,$J107=6,$J107=7),$E107*$I107/12*3,IF($J107=8,$E107*$I107/12*2,IF($J107=9,$E107*$I107/12*1,0)))))+IF(CF$5&lt;&gt;$H107,0,IF(CF107&gt;0,IF($J107=7,$E107*$I107/12*0,IF($J107=8,$E107*$I107/12*1,IF($J107=9,$E107*$I107/12*2,IF($J107&gt;=10,$E107*$I107/12*3,0))))))</f>
        <v>0</v>
      </c>
      <c r="CJ107" s="121">
        <f>IF($H107&lt;&gt;CK$5,0,IF(CK107&gt;0,IF(OR($J107=1,$J107=2,$J107=3,$J107=4,$J107=5,$J107=6,$J107=7,$J107=8,$J107=9,$J107=10),$E107*$I107/12*3,IF($J107=11,$E107*$I107/12*2,IF($J107=12,$E107*$I107/12*1,0)))))+IF(CF$5&lt;&gt;$H107,0,IF(CF107&gt;0,IF($J107=10,$E107*$I107/12*0,IF($J107=11,$E107*$I107/12*1,IF($J107=12,$E107*$I107/12*2,0)))))</f>
        <v>0</v>
      </c>
      <c r="CK107" s="118">
        <f>IF(AND(CF107&lt;&gt;0,CF$5=$H107),$I107*$E107-CF107,IF(CK$5=$H107,$I107*$E107*(12-$J107+1)/12,0))</f>
        <v>0</v>
      </c>
      <c r="CL107" s="119">
        <f>IF($H107&lt;&gt;CP$5,0,IF(CP107&gt;0,IF($J107=1,$E107*$I107/12*3,IF($J107=2,$E107*$I107/12*2,IF($J107=3,$E107*$I107/12*1,0)))))+IF(CK$5&lt;&gt;$H107,0,IF(CK107&gt;0,IF($J107=1,$E107*$I107/12*0,IF($J107=2,$E107*$I107/12*1,IF($J107=3,$E107*$I107/12*2,IF($J107&gt;=4,$E107*$I107/12*3,0))))))</f>
        <v>0</v>
      </c>
      <c r="CM107" s="120">
        <f>IF($H107&lt;&gt;CP$5,0,IF(CP107&gt;0,IF(OR($J107=1,$J107=2,$J107=3,$J107=4),$E107*$I107/12*3,IF($J107=5,$E107*$I107/12*2,IF($J107=6,$E107*$I107/12*1,0)))))+IF(CK$5&lt;&gt;$H107,0,IF(CK107&gt;0,IF($J107=4,$E107*$I107/12*0,IF($J107=5,$E107*$I107/12*1,IF($J107=6,$E107*$I107/12*2,IF($J107&gt;=7,$E107*$I107/12*3,0))))))</f>
        <v>0</v>
      </c>
      <c r="CN107" s="120">
        <f>IF($H107&lt;&gt;CP$5,0,IF(CP107&gt;0,IF(OR($J107=1,$J107=2,$J107=3,$J107=4,$J107=5,$J107=6,$J107=7),$E107*$I107/12*3,IF($J107=8,$E107*$I107/12*2,IF($J107=9,$E107*$I107/12*1,0)))))+IF(CK$5&lt;&gt;$H107,0,IF(CK107&gt;0,IF($J107=7,$E107*$I107/12*0,IF($J107=8,$E107*$I107/12*1,IF($J107=9,$E107*$I107/12*2,IF($J107&gt;=10,$E107*$I107/12*3,0))))))</f>
        <v>0</v>
      </c>
      <c r="CO107" s="121">
        <f>IF($H107&lt;&gt;CP$5,0,IF(CP107&gt;0,IF(OR($J107=1,$J107=2,$J107=3,$J107=4,$J107=5,$J107=6,$J107=7,$J107=8,$J107=9,$J107=10),$E107*$I107/12*3,IF($J107=11,$E107*$I107/12*2,IF($J107=12,$E107*$I107/12*1,0)))))+IF(CK$5&lt;&gt;$H107,0,IF(CK107&gt;0,IF($J107=10,$E107*$I107/12*0,IF($J107=11,$E107*$I107/12*1,IF($J107=12,$E107*$I107/12*2,0)))))</f>
        <v>0</v>
      </c>
      <c r="CP107" s="118">
        <f>IF(AND(CK107&lt;&gt;0,CK$5=$H107),$I107*$E107-CK107,IF(CP$5=$H107,$I107*$E107*(12-$J107+1)/12,0))</f>
        <v>0</v>
      </c>
      <c r="CQ107" s="119">
        <f>IF($H107&lt;&gt;CU$5,0,IF(CU107&gt;0,IF($J107=1,$E107*$I107/12*3,IF($J107=2,$E107*$I107/12*2,IF($J107=3,$E107*$I107/12*1,0)))))+IF(CP$5&lt;&gt;$H107,0,IF(CP107&gt;0,IF($J107=1,$E107*$I107/12*0,IF($J107=2,$E107*$I107/12*1,IF($J107=3,$E107*$I107/12*2,IF($J107&gt;=4,$E107*$I107/12*3,0))))))</f>
        <v>0</v>
      </c>
      <c r="CR107" s="120">
        <f>IF($H107&lt;&gt;CU$5,0,IF(CU107&gt;0,IF(OR($J107=1,$J107=2,$J107=3,$J107=4),$E107*$I107/12*3,IF($J107=5,$E107*$I107/12*2,IF($J107=6,$E107*$I107/12*1,0)))))+IF(CP$5&lt;&gt;$H107,0,IF(CP107&gt;0,IF($J107=4,$E107*$I107/12*0,IF($J107=5,$E107*$I107/12*1,IF($J107=6,$E107*$I107/12*2,IF($J107&gt;=7,$E107*$I107/12*3,0))))))</f>
        <v>0</v>
      </c>
      <c r="CS107" s="120">
        <f>IF($H107&lt;&gt;CU$5,0,IF(CU107&gt;0,IF(OR($J107=1,$J107=2,$J107=3,$J107=4,$J107=5,$J107=6,$J107=7),$E107*$I107/12*3,IF($J107=8,$E107*$I107/12*2,IF($J107=9,$E107*$I107/12*1,0)))))+IF(CP$5&lt;&gt;$H107,0,IF(CP107&gt;0,IF($J107=7,$E107*$I107/12*0,IF($J107=8,$E107*$I107/12*1,IF($J107=9,$E107*$I107/12*2,IF($J107&gt;=10,$E107*$I107/12*3,0))))))</f>
        <v>5</v>
      </c>
      <c r="CT107" s="121">
        <f>IF($H107&lt;&gt;CU$5,0,IF(CU107&gt;0,IF(OR($J107=1,$J107=2,$J107=3,$J107=4,$J107=5,$J107=6,$J107=7,$J107=8,$J107=9,$J107=10),$E107*$I107/12*3,IF($J107=11,$E107*$I107/12*2,IF($J107=12,$E107*$I107/12*1,0)))))+IF(CP$5&lt;&gt;$H107,0,IF(CP107&gt;0,IF($J107=10,$E107*$I107/12*0,IF($J107=11,$E107*$I107/12*1,IF($J107=12,$E107*$I107/12*2,0)))))</f>
        <v>5</v>
      </c>
      <c r="CU107" s="118">
        <f>IF(AND(CP107&lt;&gt;0,CP$5=$H107),$I107*$E107-CP107,IF(CU$5=$H107,$I107*$E107*(12-$J107+1)/12,0))</f>
        <v>10</v>
      </c>
      <c r="CV107" s="119">
        <f>IF($H107&lt;&gt;CZ$5,0,IF(CZ107&gt;0,IF($J107=1,$E107*$I107/12*3,IF($J107=2,$E107*$I107/12*2,IF($J107=3,$E107*$I107/12*1,0)))))+IF(CU$5&lt;&gt;$H107,0,IF(CU107&gt;0,IF($J107=1,$E107*$I107/12*0,IF($J107=2,$E107*$I107/12*1,IF($J107=3,$E107*$I107/12*2,IF($J107&gt;=4,$E107*$I107/12*3,0))))))</f>
        <v>5</v>
      </c>
      <c r="CW107" s="120">
        <f>IF($H107&lt;&gt;CZ$5,0,IF(CZ107&gt;0,IF(OR($J107=1,$J107=2,$J107=3,$J107=4),$E107*$I107/12*3,IF($J107=5,$E107*$I107/12*2,IF($J107=6,$E107*$I107/12*1,0)))))+IF(CU$5&lt;&gt;$H107,0,IF(CU107&gt;0,IF($J107=4,$E107*$I107/12*0,IF($J107=5,$E107*$I107/12*1,IF($J107=6,$E107*$I107/12*2,IF($J107&gt;=7,$E107*$I107/12*3,0))))))</f>
        <v>5</v>
      </c>
      <c r="CX107" s="120">
        <f>IF($H107&lt;&gt;CZ$5,0,IF(CZ107&gt;0,IF(OR($J107=1,$J107=2,$J107=3,$J107=4,$J107=5,$J107=6,$J107=7),$E107*$I107/12*3,IF($J107=8,$E107*$I107/12*2,IF($J107=9,$E107*$I107/12*1,0)))))+IF(CU$5&lt;&gt;$H107,0,IF(CU107&gt;0,IF($J107=7,$E107*$I107/12*0,IF($J107=8,$E107*$I107/12*1,IF($J107=9,$E107*$I107/12*2,IF($J107&gt;=10,$E107*$I107/12*3,0))))))</f>
        <v>0</v>
      </c>
      <c r="CY107" s="121">
        <f>IF($H107&lt;&gt;CZ$5,0,IF(CZ107&gt;0,IF(OR($J107=1,$J107=2,$J107=3,$J107=4,$J107=5,$J107=6,$J107=7,$J107=8,$J107=9,$J107=10),$E107*$I107/12*3,IF($J107=11,$E107*$I107/12*2,IF($J107=12,$E107*$I107/12*1,0)))))+IF(CU$5&lt;&gt;$H107,0,IF(CU107&gt;0,IF($J107=10,$E107*$I107/12*0,IF($J107=11,$E107*$I107/12*1,IF($J107=12,$E107*$I107/12*2,0)))))</f>
        <v>0</v>
      </c>
      <c r="CZ107" s="118">
        <f>IF(AND(CU107&lt;&gt;0,CU$5=$H107),$I107*$E107-CU107,IF(CZ$5=$H107,$I107*$E107*(12-$J107+1)/12,0))</f>
        <v>10</v>
      </c>
    </row>
    <row r="108" spans="1:104" ht="12.75" customHeight="1">
      <c r="A108" s="7"/>
      <c r="B108" s="7"/>
      <c r="C108" s="1508" t="s">
        <v>1052</v>
      </c>
      <c r="D108" s="190"/>
      <c r="E108" s="191">
        <f>Power!$BQ$490</f>
        <v>750</v>
      </c>
      <c r="F108" s="444"/>
      <c r="G108" s="444"/>
      <c r="H108" s="219">
        <v>2021</v>
      </c>
      <c r="I108" s="220">
        <v>0.05</v>
      </c>
      <c r="J108" s="219">
        <v>7</v>
      </c>
      <c r="K108" s="112"/>
      <c r="L108" s="113">
        <f>IF(L$5=$H108,$E108,0)</f>
        <v>0</v>
      </c>
      <c r="M108" s="114">
        <f>IF(Q108=0,0,IF(Q108&gt;0,IF($J108=3,Q108,IF($J108=2,Q108,IF($J108=1,Q108,0)))))</f>
        <v>0</v>
      </c>
      <c r="N108" s="115">
        <f>IF(Q108=0,0,IF(Q108&gt;0,IF($J108=6,Q108,IF($J108=5,Q108,IF($J108=4,Q108,0)))))</f>
        <v>0</v>
      </c>
      <c r="O108" s="115">
        <f>IF(Q108=0,0,IF(Q108&gt;0,IF($J108=9,Q108,IF($J108=8,Q108,IF($J108=7,Q108,0)))))</f>
        <v>0</v>
      </c>
      <c r="P108" s="116">
        <f>IF(Q108=0,0,IF(Q108&gt;0,IF($J108=12,Q108,IF($J108=11,Q108,IF($J108=10,Q108,0)))))</f>
        <v>0</v>
      </c>
      <c r="Q108" s="113">
        <f>IF(Q$5=$H108,$E108,0)</f>
        <v>0</v>
      </c>
      <c r="R108" s="114">
        <f>IF(V108=0,0,IF(V108&gt;0,IF($J108=3,V108,IF($J108=2,V108,IF($J108=1,V108,0)))))</f>
        <v>0</v>
      </c>
      <c r="S108" s="115">
        <f>IF(V108=0,0,IF(V108&gt;0,IF($J108=6,V108,IF($J108=5,V108,IF($J108=4,V108,0)))))</f>
        <v>0</v>
      </c>
      <c r="T108" s="115">
        <f>IF(V108=0,0,IF(V108&gt;0,IF($J108=9,V108,IF($J108=8,V108,IF($J108=7,V108,0)))))</f>
        <v>0</v>
      </c>
      <c r="U108" s="116">
        <f>IF(V108=0,0,IF(V108&gt;0,IF($J108=12,V108,IF($J108=11,V108,IF($J108=10,V108,0)))))</f>
        <v>0</v>
      </c>
      <c r="V108" s="113">
        <f>IF(V$5=$H108,$E108,0)</f>
        <v>0</v>
      </c>
      <c r="W108" s="114">
        <f>IF(AA108=0,0,IF(AA108&gt;0,IF($J108=3,AA108,IF($J108=2,AA108,IF($J108=1,AA108,0)))))</f>
        <v>0</v>
      </c>
      <c r="X108" s="115">
        <f>IF(AA108=0,0,IF(AA108&gt;0,IF($J108=6,AA108,IF($J108=5,AA108,IF($J108=4,AA108,0)))))</f>
        <v>0</v>
      </c>
      <c r="Y108" s="115">
        <f>IF(AA108=0,0,IF(AA108&gt;0,IF($J108=9,AA108,IF($J108=8,AA108,IF($J108=7,AA108,0)))))</f>
        <v>0</v>
      </c>
      <c r="Z108" s="116">
        <f>IF(AA108=0,0,IF(AA108&gt;0,IF($J108=12,AA108,IF($J108=11,AA108,IF($J108=10,AA108,0)))))</f>
        <v>0</v>
      </c>
      <c r="AA108" s="113">
        <f>IF(AA$5=$H108,$E108,0)</f>
        <v>0</v>
      </c>
      <c r="AB108" s="114">
        <f>IF(AF108=0,0,IF(AF108&gt;0,IF($J108=3,AF108,IF($J108=2,AF108,IF($J108=1,AF108,0)))))</f>
        <v>0</v>
      </c>
      <c r="AC108" s="115">
        <f>IF(AF108=0,0,IF(AF108&gt;0,IF($J108=6,AF108,IF($J108=5,AF108,IF($J108=4,AF108,0)))))</f>
        <v>0</v>
      </c>
      <c r="AD108" s="115">
        <f>IF(AF108=0,0,IF(AF108&gt;0,IF($J108=9,AF108,IF($J108=8,AF108,IF($J108=7,AF108,0)))))</f>
        <v>0</v>
      </c>
      <c r="AE108" s="116">
        <f>IF(AF108=0,0,IF(AF108&gt;0,IF($J108=12,AF108,IF($J108=11,AF108,IF($J108=10,AF108,0)))))</f>
        <v>0</v>
      </c>
      <c r="AF108" s="113">
        <f>IF(AF$5=$H108,$E108,0)</f>
        <v>0</v>
      </c>
      <c r="AG108" s="114">
        <f>IF(AK108=0,0,IF(AK108&gt;0,IF($J108=3,AK108,IF($J108=2,AK108,IF($J108=1,AK108,0)))))</f>
        <v>0</v>
      </c>
      <c r="AH108" s="115">
        <f>IF(AK108=0,0,IF(AK108&gt;0,IF($J108=6,AK108,IF($J108=5,AK108,IF($J108=4,AK108,0)))))</f>
        <v>0</v>
      </c>
      <c r="AI108" s="115">
        <f>IF(AK108=0,0,IF(AK108&gt;0,IF($J108=9,AK108,IF($J108=8,AK108,IF($J108=7,AK108,0)))))</f>
        <v>0</v>
      </c>
      <c r="AJ108" s="116">
        <f>IF(AK108=0,0,IF(AK108&gt;0,IF($J108=12,AK108,IF($J108=11,AK108,IF($J108=10,AK108,0)))))</f>
        <v>0</v>
      </c>
      <c r="AK108" s="113">
        <f>IF(AK$5=$H108,$E108,0)</f>
        <v>0</v>
      </c>
      <c r="AL108" s="114">
        <f>IF(AP108=0,0,IF(AP108&gt;0,IF($J108=3,AP108,IF($J108=2,AP108,IF($J108=1,AP108,0)))))</f>
        <v>0</v>
      </c>
      <c r="AM108" s="115">
        <f>IF(AP108=0,0,IF(AP108&gt;0,IF($J108=6,AP108,IF($J108=5,AP108,IF($J108=4,AP108,0)))))</f>
        <v>0</v>
      </c>
      <c r="AN108" s="115">
        <f>IF(AP108=0,0,IF(AP108&gt;0,IF($J108=9,AP108,IF($J108=8,AP108,IF($J108=7,AP108,0)))))</f>
        <v>0</v>
      </c>
      <c r="AO108" s="116">
        <f>IF(AP108=0,0,IF(AP108&gt;0,IF($J108=12,AP108,IF($J108=11,AP108,IF($J108=10,AP108,0)))))</f>
        <v>0</v>
      </c>
      <c r="AP108" s="113">
        <f>IF(AP$5=$H108,$E108,0)</f>
        <v>0</v>
      </c>
      <c r="AQ108" s="114">
        <f>IF(AU108=0,0,IF(AU108&gt;0,IF($J108=3,AU108,IF($J108=2,AU108,IF($J108=1,AU108,0)))))</f>
        <v>0</v>
      </c>
      <c r="AR108" s="115">
        <f>IF(AU108=0,0,IF(AU108&gt;0,IF($J108=6,AU108,IF($J108=5,AU108,IF($J108=4,AU108,0)))))</f>
        <v>0</v>
      </c>
      <c r="AS108" s="115">
        <f>IF(AU108=0,0,IF(AU108&gt;0,IF($J108=9,AU108,IF($J108=8,AU108,IF($J108=7,AU108,0)))))</f>
        <v>0</v>
      </c>
      <c r="AT108" s="116">
        <f>IF(AU108=0,0,IF(AU108&gt;0,IF($J108=12,AU108,IF($J108=11,AU108,IF($J108=10,AU108,0)))))</f>
        <v>0</v>
      </c>
      <c r="AU108" s="113">
        <f>IF(AU$5=$H108,$E108,0)</f>
        <v>0</v>
      </c>
      <c r="AV108" s="114">
        <f>IF(AZ108=0,0,IF(AZ108&gt;0,IF($J108=3,AZ108,IF($J108=2,AZ108,IF($J108=1,AZ108,0)))))</f>
        <v>0</v>
      </c>
      <c r="AW108" s="115">
        <f>IF(AZ108=0,0,IF(AZ108&gt;0,IF($J108=6,AZ108,IF($J108=5,AZ108,IF($J108=4,AZ108,0)))))</f>
        <v>0</v>
      </c>
      <c r="AX108" s="115">
        <f>IF(AZ108=0,0,IF(AZ108&gt;0,IF($J108=9,AZ108,IF($J108=8,AZ108,IF($J108=7,AZ108,0)))))</f>
        <v>0</v>
      </c>
      <c r="AY108" s="116">
        <f>IF(AZ108=0,0,IF(AZ108&gt;0,IF($J108=12,AZ108,IF($J108=11,AZ108,IF($J108=10,AZ108,0)))))</f>
        <v>0</v>
      </c>
      <c r="AZ108" s="113">
        <f>IF(AZ$5=$H108,$E108,0)</f>
        <v>0</v>
      </c>
      <c r="BA108" s="114">
        <f>IF(BE108=0,0,IF(BE108&gt;0,IF($J108=3,BE108,IF($J108=2,BE108,IF($J108=1,BE108,0)))))</f>
        <v>0</v>
      </c>
      <c r="BB108" s="115">
        <f>IF(BE108=0,0,IF(BE108&gt;0,IF($J108=6,BE108,IF($J108=5,BE108,IF($J108=4,BE108,0)))))</f>
        <v>0</v>
      </c>
      <c r="BC108" s="115">
        <f>IF(BE108=0,0,IF(BE108&gt;0,IF($J108=9,BE108,IF($J108=8,BE108,IF($J108=7,BE108,0)))))</f>
        <v>750</v>
      </c>
      <c r="BD108" s="116">
        <f>IF(BE108=0,0,IF(BE108&gt;0,IF($J108=12,BE108,IF($J108=11,BE108,IF($J108=10,BE108,0)))))</f>
        <v>0</v>
      </c>
      <c r="BE108" s="113">
        <f>IF(BE$5=$H108,$E108,0)</f>
        <v>750</v>
      </c>
      <c r="BF108" s="222"/>
      <c r="BG108" s="118">
        <f>IF(AND(BF108&lt;&gt;0,BF$5=$H108),$I108*$E108-BF108,IF(BG$5=$H108,$I108*$E108*(12-$J108+1)/12,0))</f>
        <v>0</v>
      </c>
      <c r="BH108" s="119">
        <f>IF($H108&lt;&gt;BL$5,0,IF(BL108&gt;0,IF($J108=1,$E108*$I108/12*3,IF($J108=2,$E108*$I108/12*2,IF($J108=3,$E108*$I108/12*1,0)))))+IF(BG$5&lt;&gt;$H108,0,IF(BG108&gt;0,IF($J108=1,$E108*$I108/12*0,IF($J108=2,$E108*$I108/12*1,IF($J108=3,$E108*$I108/12*2,IF($J108&gt;=4,$E108*$I108/12*3,0))))))</f>
        <v>0</v>
      </c>
      <c r="BI108" s="120">
        <f>IF($H108&lt;&gt;BL$5,0,IF(BL108&gt;0,IF(OR($J108=1,$J108=2,$J108=3,$J108=4),$E108*$I108/12*3,IF($J108=5,$E108*$I108/12*2,IF($J108=6,$E108*$I108/12*1,0)))))+IF(BG$5&lt;&gt;$H108,0,IF(BG108&gt;0,IF($J108=4,$E108*$I108/12*0,IF($J108=5,$E108*$I108/12*1,IF($J108=6,$E108*$I108/12*2,IF($J108&gt;=7,$E108*$I108/12*3,0))))))</f>
        <v>0</v>
      </c>
      <c r="BJ108" s="120">
        <f>IF($H108&lt;&gt;BL$5,0,IF(BL108&gt;0,IF(OR($J108=1,$J108=2,$J108=3,$J108=4,$J108=5,$J108=6,$J108=7),$E108*$I108/12*3,IF($J108=8,$E108*$I108/12*2,IF($J108=9,$E108*$I108/12*1,0)))))+IF(BG$5&lt;&gt;$H108,0,IF(BG108&gt;0,IF($J108=7,$E108*$I108/12*0,IF($J108=8,$E108*$I108/12*1,IF($J108=9,$E108*$I108/12*2,IF($J108&gt;=10,$E108*$I108/12*3,0))))))</f>
        <v>0</v>
      </c>
      <c r="BK108" s="121">
        <f>IF($H108&lt;&gt;BL$5,0,IF(BL108&gt;0,IF(OR($J108=1,$J108=2,$J108=3,$J108=4,$J108=5,$J108=6,$J108=7,$J108=8,$J108=9,$J108=10),$E108*$I108/12*3,IF($J108=11,$E108*$I108/12*2,IF($J108=12,$E108*$I108/12*1,0)))))+IF(BG$5&lt;&gt;$H108,0,IF(BG108&gt;0,IF($J108=10,$E108*$I108/12*0,IF($J108=11,$E108*$I108/12*1,IF($J108=12,$E108*$I108/12*2,0)))))</f>
        <v>0</v>
      </c>
      <c r="BL108" s="118">
        <f>IF(AND(BG108&lt;&gt;0,BG$5=$H108),$I108*$E108-BG108,IF(BL$5=$H108,$I108*$E108*(12-$J108+1)/12,0))</f>
        <v>0</v>
      </c>
      <c r="BM108" s="119">
        <f>IF($H108&lt;&gt;BQ$5,0,IF(BQ108&gt;0,IF($J108=1,$E108*$I108/12*3,IF($J108=2,$E108*$I108/12*2,IF($J108=3,$E108*$I108/12*1,0)))))+IF(BL$5&lt;&gt;$H108,0,IF(BL108&gt;0,IF($J108=1,$E108*$I108/12*0,IF($J108=2,$E108*$I108/12*1,IF($J108=3,$E108*$I108/12*2,IF($J108&gt;=4,$E108*$I108/12*3,0))))))</f>
        <v>0</v>
      </c>
      <c r="BN108" s="120">
        <f>IF($H108&lt;&gt;BQ$5,0,IF(BQ108&gt;0,IF(OR($J108=1,$J108=2,$J108=3,$J108=4),$E108*$I108/12*3,IF($J108=5,$E108*$I108/12*2,IF($J108=6,$E108*$I108/12*1,0)))))+IF(BL$5&lt;&gt;$H108,0,IF(BL108&gt;0,IF($J108=4,$E108*$I108/12*0,IF($J108=5,$E108*$I108/12*1,IF($J108=6,$E108*$I108/12*2,IF($J108&gt;=7,$E108*$I108/12*3,0))))))</f>
        <v>0</v>
      </c>
      <c r="BO108" s="120">
        <f>IF($H108&lt;&gt;BQ$5,0,IF(BQ108&gt;0,IF(OR($J108=1,$J108=2,$J108=3,$J108=4,$J108=5,$J108=6,$J108=7),$E108*$I108/12*3,IF($J108=8,$E108*$I108/12*2,IF($J108=9,$E108*$I108/12*1,0)))))+IF(BL$5&lt;&gt;$H108,0,IF(BL108&gt;0,IF($J108=7,$E108*$I108/12*0,IF($J108=8,$E108*$I108/12*1,IF($J108=9,$E108*$I108/12*2,IF($J108&gt;=10,$E108*$I108/12*3,0))))))</f>
        <v>0</v>
      </c>
      <c r="BP108" s="121">
        <f>IF($H108&lt;&gt;BQ$5,0,IF(BQ108&gt;0,IF(OR($J108=1,$J108=2,$J108=3,$J108=4,$J108=5,$J108=6,$J108=7,$J108=8,$J108=9,$J108=10),$E108*$I108/12*3,IF($J108=11,$E108*$I108/12*2,IF($J108=12,$E108*$I108/12*1,0)))))+IF(BL$5&lt;&gt;$H108,0,IF(BL108&gt;0,IF($J108=10,$E108*$I108/12*0,IF($J108=11,$E108*$I108/12*1,IF($J108=12,$E108*$I108/12*2,0)))))</f>
        <v>0</v>
      </c>
      <c r="BQ108" s="118">
        <f>IF(AND(BL108&lt;&gt;0,BL$5=$H108),$I108*$E108-BL108,IF(BQ$5=$H108,$I108*$E108*(12-$J108+1)/12,0))</f>
        <v>0</v>
      </c>
      <c r="BR108" s="119">
        <f>IF($H108&lt;&gt;BV$5,0,IF(BV108&gt;0,IF($J108=1,$E108*$I108/12*3,IF($J108=2,$E108*$I108/12*2,IF($J108=3,$E108*$I108/12*1,0)))))+IF(BQ$5&lt;&gt;$H108,0,IF(BQ108&gt;0,IF($J108=1,$E108*$I108/12*0,IF($J108=2,$E108*$I108/12*1,IF($J108=3,$E108*$I108/12*2,IF($J108&gt;=4,$E108*$I108/12*3,0))))))</f>
        <v>0</v>
      </c>
      <c r="BS108" s="120">
        <f>IF($H108&lt;&gt;BV$5,0,IF(BV108&gt;0,IF(OR($J108=1,$J108=2,$J108=3,$J108=4),$E108*$I108/12*3,IF($J108=5,$E108*$I108/12*2,IF($J108=6,$E108*$I108/12*1,0)))))+IF(BQ$5&lt;&gt;$H108,0,IF(BQ108&gt;0,IF($J108=4,$E108*$I108/12*0,IF($J108=5,$E108*$I108/12*1,IF($J108=6,$E108*$I108/12*2,IF($J108&gt;=7,$E108*$I108/12*3,0))))))</f>
        <v>0</v>
      </c>
      <c r="BT108" s="120">
        <f>IF($H108&lt;&gt;BV$5,0,IF(BV108&gt;0,IF(OR($J108=1,$J108=2,$J108=3,$J108=4,$J108=5,$J108=6,$J108=7),$E108*$I108/12*3,IF($J108=8,$E108*$I108/12*2,IF($J108=9,$E108*$I108/12*1,0)))))+IF(BQ$5&lt;&gt;$H108,0,IF(BQ108&gt;0,IF($J108=7,$E108*$I108/12*0,IF($J108=8,$E108*$I108/12*1,IF($J108=9,$E108*$I108/12*2,IF($J108&gt;=10,$E108*$I108/12*3,0))))))</f>
        <v>0</v>
      </c>
      <c r="BU108" s="121">
        <f>IF($H108&lt;&gt;BV$5,0,IF(BV108&gt;0,IF(OR($J108=1,$J108=2,$J108=3,$J108=4,$J108=5,$J108=6,$J108=7,$J108=8,$J108=9,$J108=10),$E108*$I108/12*3,IF($J108=11,$E108*$I108/12*2,IF($J108=12,$E108*$I108/12*1,0)))))+IF(BQ$5&lt;&gt;$H108,0,IF(BQ108&gt;0,IF($J108=10,$E108*$I108/12*0,IF($J108=11,$E108*$I108/12*1,IF($J108=12,$E108*$I108/12*2,0)))))</f>
        <v>0</v>
      </c>
      <c r="BV108" s="118">
        <f>IF(AND(BQ108&lt;&gt;0,BQ$5=$H108),$I108*$E108-BQ108,IF(BV$5=$H108,$I108*$E108*(12-$J108+1)/12,0))</f>
        <v>0</v>
      </c>
      <c r="BW108" s="119">
        <f>IF($H108&lt;&gt;CA$5,0,IF(CA108&gt;0,IF($J108=1,$E108*$I108/12*3,IF($J108=2,$E108*$I108/12*2,IF($J108=3,$E108*$I108/12*1,0)))))+IF(BV$5&lt;&gt;$H108,0,IF(BV108&gt;0,IF($J108=1,$E108*$I108/12*0,IF($J108=2,$E108*$I108/12*1,IF($J108=3,$E108*$I108/12*2,IF($J108&gt;=4,$E108*$I108/12*3,0))))))</f>
        <v>0</v>
      </c>
      <c r="BX108" s="120">
        <f>IF($H108&lt;&gt;CA$5,0,IF(CA108&gt;0,IF(OR($J108=1,$J108=2,$J108=3,$J108=4),$E108*$I108/12*3,IF($J108=5,$E108*$I108/12*2,IF($J108=6,$E108*$I108/12*1,0)))))+IF(BV$5&lt;&gt;$H108,0,IF(BV108&gt;0,IF($J108=4,$E108*$I108/12*0,IF($J108=5,$E108*$I108/12*1,IF($J108=6,$E108*$I108/12*2,IF($J108&gt;=7,$E108*$I108/12*3,0))))))</f>
        <v>0</v>
      </c>
      <c r="BY108" s="120">
        <f>IF($H108&lt;&gt;CA$5,0,IF(CA108&gt;0,IF(OR($J108=1,$J108=2,$J108=3,$J108=4,$J108=5,$J108=6,$J108=7),$E108*$I108/12*3,IF($J108=8,$E108*$I108/12*2,IF($J108=9,$E108*$I108/12*1,0)))))+IF(BV$5&lt;&gt;$H108,0,IF(BV108&gt;0,IF($J108=7,$E108*$I108/12*0,IF($J108=8,$E108*$I108/12*1,IF($J108=9,$E108*$I108/12*2,IF($J108&gt;=10,$E108*$I108/12*3,0))))))</f>
        <v>0</v>
      </c>
      <c r="BZ108" s="121">
        <f>IF($H108&lt;&gt;CA$5,0,IF(CA108&gt;0,IF(OR($J108=1,$J108=2,$J108=3,$J108=4,$J108=5,$J108=6,$J108=7,$J108=8,$J108=9,$J108=10),$E108*$I108/12*3,IF($J108=11,$E108*$I108/12*2,IF($J108=12,$E108*$I108/12*1,0)))))+IF(BV$5&lt;&gt;$H108,0,IF(BV108&gt;0,IF($J108=10,$E108*$I108/12*0,IF($J108=11,$E108*$I108/12*1,IF($J108=12,$E108*$I108/12*2,0)))))</f>
        <v>0</v>
      </c>
      <c r="CA108" s="118">
        <f>IF(AND(BV108&lt;&gt;0,BV$5=$H108),$I108*$E108-BV108,IF(CA$5=$H108,$I108*$E108*(12-$J108+1)/12,0))</f>
        <v>0</v>
      </c>
      <c r="CB108" s="119">
        <f>IF($H108&lt;&gt;CF$5,0,IF(CF108&gt;0,IF($J108=1,$E108*$I108/12*3,IF($J108=2,$E108*$I108/12*2,IF($J108=3,$E108*$I108/12*1,0)))))+IF(CA$5&lt;&gt;$H108,0,IF(CA108&gt;0,IF($J108=1,$E108*$I108/12*0,IF($J108=2,$E108*$I108/12*1,IF($J108=3,$E108*$I108/12*2,IF($J108&gt;=4,$E108*$I108/12*3,0))))))</f>
        <v>0</v>
      </c>
      <c r="CC108" s="120">
        <f>IF($H108&lt;&gt;CF$5,0,IF(CF108&gt;0,IF(OR($J108=1,$J108=2,$J108=3,$J108=4),$E108*$I108/12*3,IF($J108=5,$E108*$I108/12*2,IF($J108=6,$E108*$I108/12*1,0)))))+IF(CA$5&lt;&gt;$H108,0,IF(CA108&gt;0,IF($J108=4,$E108*$I108/12*0,IF($J108=5,$E108*$I108/12*1,IF($J108=6,$E108*$I108/12*2,IF($J108&gt;=7,$E108*$I108/12*3,0))))))</f>
        <v>0</v>
      </c>
      <c r="CD108" s="120">
        <f>IF($H108&lt;&gt;CF$5,0,IF(CF108&gt;0,IF(OR($J108=1,$J108=2,$J108=3,$J108=4,$J108=5,$J108=6,$J108=7),$E108*$I108/12*3,IF($J108=8,$E108*$I108/12*2,IF($J108=9,$E108*$I108/12*1,0)))))+IF(CA$5&lt;&gt;$H108,0,IF(CA108&gt;0,IF($J108=7,$E108*$I108/12*0,IF($J108=8,$E108*$I108/12*1,IF($J108=9,$E108*$I108/12*2,IF($J108&gt;=10,$E108*$I108/12*3,0))))))</f>
        <v>0</v>
      </c>
      <c r="CE108" s="121">
        <f>IF($H108&lt;&gt;CF$5,0,IF(CF108&gt;0,IF(OR($J108=1,$J108=2,$J108=3,$J108=4,$J108=5,$J108=6,$J108=7,$J108=8,$J108=9,$J108=10),$E108*$I108/12*3,IF($J108=11,$E108*$I108/12*2,IF($J108=12,$E108*$I108/12*1,0)))))+IF(CA$5&lt;&gt;$H108,0,IF(CA108&gt;0,IF($J108=10,$E108*$I108/12*0,IF($J108=11,$E108*$I108/12*1,IF($J108=12,$E108*$I108/12*2,0)))))</f>
        <v>0</v>
      </c>
      <c r="CF108" s="118">
        <f>IF(AND(CA108&lt;&gt;0,CA$5=$H108),$I108*$E108-CA108,IF(CF$5=$H108,$I108*$E108*(12-$J108+1)/12,0))</f>
        <v>0</v>
      </c>
      <c r="CG108" s="119">
        <f>IF($H108&lt;&gt;CK$5,0,IF(CK108&gt;0,IF($J108=1,$E108*$I108/12*3,IF($J108=2,$E108*$I108/12*2,IF($J108=3,$E108*$I108/12*1,0)))))+IF(CF$5&lt;&gt;$H108,0,IF(CF108&gt;0,IF($J108=1,$E108*$I108/12*0,IF($J108=2,$E108*$I108/12*1,IF($J108=3,$E108*$I108/12*2,IF($J108&gt;=4,$E108*$I108/12*3,0))))))</f>
        <v>0</v>
      </c>
      <c r="CH108" s="120">
        <f>IF($H108&lt;&gt;CK$5,0,IF(CK108&gt;0,IF(OR($J108=1,$J108=2,$J108=3,$J108=4),$E108*$I108/12*3,IF($J108=5,$E108*$I108/12*2,IF($J108=6,$E108*$I108/12*1,0)))))+IF(CF$5&lt;&gt;$H108,0,IF(CF108&gt;0,IF($J108=4,$E108*$I108/12*0,IF($J108=5,$E108*$I108/12*1,IF($J108=6,$E108*$I108/12*2,IF($J108&gt;=7,$E108*$I108/12*3,0))))))</f>
        <v>0</v>
      </c>
      <c r="CI108" s="120">
        <f>IF($H108&lt;&gt;CK$5,0,IF(CK108&gt;0,IF(OR($J108=1,$J108=2,$J108=3,$J108=4,$J108=5,$J108=6,$J108=7),$E108*$I108/12*3,IF($J108=8,$E108*$I108/12*2,IF($J108=9,$E108*$I108/12*1,0)))))+IF(CF$5&lt;&gt;$H108,0,IF(CF108&gt;0,IF($J108=7,$E108*$I108/12*0,IF($J108=8,$E108*$I108/12*1,IF($J108=9,$E108*$I108/12*2,IF($J108&gt;=10,$E108*$I108/12*3,0))))))</f>
        <v>0</v>
      </c>
      <c r="CJ108" s="121">
        <f>IF($H108&lt;&gt;CK$5,0,IF(CK108&gt;0,IF(OR($J108=1,$J108=2,$J108=3,$J108=4,$J108=5,$J108=6,$J108=7,$J108=8,$J108=9,$J108=10),$E108*$I108/12*3,IF($J108=11,$E108*$I108/12*2,IF($J108=12,$E108*$I108/12*1,0)))))+IF(CF$5&lt;&gt;$H108,0,IF(CF108&gt;0,IF($J108=10,$E108*$I108/12*0,IF($J108=11,$E108*$I108/12*1,IF($J108=12,$E108*$I108/12*2,0)))))</f>
        <v>0</v>
      </c>
      <c r="CK108" s="118">
        <f>IF(AND(CF108&lt;&gt;0,CF$5=$H108),$I108*$E108-CF108,IF(CK$5=$H108,$I108*$E108*(12-$J108+1)/12,0))</f>
        <v>0</v>
      </c>
      <c r="CL108" s="119">
        <f>IF($H108&lt;&gt;CP$5,0,IF(CP108&gt;0,IF($J108=1,$E108*$I108/12*3,IF($J108=2,$E108*$I108/12*2,IF($J108=3,$E108*$I108/12*1,0)))))+IF(CK$5&lt;&gt;$H108,0,IF(CK108&gt;0,IF($J108=1,$E108*$I108/12*0,IF($J108=2,$E108*$I108/12*1,IF($J108=3,$E108*$I108/12*2,IF($J108&gt;=4,$E108*$I108/12*3,0))))))</f>
        <v>0</v>
      </c>
      <c r="CM108" s="120">
        <f>IF($H108&lt;&gt;CP$5,0,IF(CP108&gt;0,IF(OR($J108=1,$J108=2,$J108=3,$J108=4),$E108*$I108/12*3,IF($J108=5,$E108*$I108/12*2,IF($J108=6,$E108*$I108/12*1,0)))))+IF(CK$5&lt;&gt;$H108,0,IF(CK108&gt;0,IF($J108=4,$E108*$I108/12*0,IF($J108=5,$E108*$I108/12*1,IF($J108=6,$E108*$I108/12*2,IF($J108&gt;=7,$E108*$I108/12*3,0))))))</f>
        <v>0</v>
      </c>
      <c r="CN108" s="120">
        <f>IF($H108&lt;&gt;CP$5,0,IF(CP108&gt;0,IF(OR($J108=1,$J108=2,$J108=3,$J108=4,$J108=5,$J108=6,$J108=7),$E108*$I108/12*3,IF($J108=8,$E108*$I108/12*2,IF($J108=9,$E108*$I108/12*1,0)))))+IF(CK$5&lt;&gt;$H108,0,IF(CK108&gt;0,IF($J108=7,$E108*$I108/12*0,IF($J108=8,$E108*$I108/12*1,IF($J108=9,$E108*$I108/12*2,IF($J108&gt;=10,$E108*$I108/12*3,0))))))</f>
        <v>0</v>
      </c>
      <c r="CO108" s="121">
        <f>IF($H108&lt;&gt;CP$5,0,IF(CP108&gt;0,IF(OR($J108=1,$J108=2,$J108=3,$J108=4,$J108=5,$J108=6,$J108=7,$J108=8,$J108=9,$J108=10),$E108*$I108/12*3,IF($J108=11,$E108*$I108/12*2,IF($J108=12,$E108*$I108/12*1,0)))))+IF(CK$5&lt;&gt;$H108,0,IF(CK108&gt;0,IF($J108=10,$E108*$I108/12*0,IF($J108=11,$E108*$I108/12*1,IF($J108=12,$E108*$I108/12*2,0)))))</f>
        <v>0</v>
      </c>
      <c r="CP108" s="118">
        <f>IF(AND(CK108&lt;&gt;0,CK$5=$H108),$I108*$E108-CK108,IF(CP$5=$H108,$I108*$E108*(12-$J108+1)/12,0))</f>
        <v>0</v>
      </c>
      <c r="CQ108" s="119">
        <f>IF($H108&lt;&gt;CU$5,0,IF(CU108&gt;0,IF($J108=1,$E108*$I108/12*3,IF($J108=2,$E108*$I108/12*2,IF($J108=3,$E108*$I108/12*1,0)))))+IF(CP$5&lt;&gt;$H108,0,IF(CP108&gt;0,IF($J108=1,$E108*$I108/12*0,IF($J108=2,$E108*$I108/12*1,IF($J108=3,$E108*$I108/12*2,IF($J108&gt;=4,$E108*$I108/12*3,0))))))</f>
        <v>0</v>
      </c>
      <c r="CR108" s="120">
        <f>IF($H108&lt;&gt;CU$5,0,IF(CU108&gt;0,IF(OR($J108=1,$J108=2,$J108=3,$J108=4),$E108*$I108/12*3,IF($J108=5,$E108*$I108/12*2,IF($J108=6,$E108*$I108/12*1,0)))))+IF(CP$5&lt;&gt;$H108,0,IF(CP108&gt;0,IF($J108=4,$E108*$I108/12*0,IF($J108=5,$E108*$I108/12*1,IF($J108=6,$E108*$I108/12*2,IF($J108&gt;=7,$E108*$I108/12*3,0))))))</f>
        <v>0</v>
      </c>
      <c r="CS108" s="120">
        <f>IF($H108&lt;&gt;CU$5,0,IF(CU108&gt;0,IF(OR($J108=1,$J108=2,$J108=3,$J108=4,$J108=5,$J108=6,$J108=7),$E108*$I108/12*3,IF($J108=8,$E108*$I108/12*2,IF($J108=9,$E108*$I108/12*1,0)))))+IF(CP$5&lt;&gt;$H108,0,IF(CP108&gt;0,IF($J108=7,$E108*$I108/12*0,IF($J108=8,$E108*$I108/12*1,IF($J108=9,$E108*$I108/12*2,IF($J108&gt;=10,$E108*$I108/12*3,0))))))</f>
        <v>0</v>
      </c>
      <c r="CT108" s="121">
        <f>IF($H108&lt;&gt;CU$5,0,IF(CU108&gt;0,IF(OR($J108=1,$J108=2,$J108=3,$J108=4,$J108=5,$J108=6,$J108=7,$J108=8,$J108=9,$J108=10),$E108*$I108/12*3,IF($J108=11,$E108*$I108/12*2,IF($J108=12,$E108*$I108/12*1,0)))))+IF(CP$5&lt;&gt;$H108,0,IF(CP108&gt;0,IF($J108=10,$E108*$I108/12*0,IF($J108=11,$E108*$I108/12*1,IF($J108=12,$E108*$I108/12*2,0)))))</f>
        <v>0</v>
      </c>
      <c r="CU108" s="118">
        <f>IF(AND(CP108&lt;&gt;0,CP$5=$H108),$I108*$E108-CP108,IF(CU$5=$H108,$I108*$E108*(12-$J108+1)/12,0))</f>
        <v>0</v>
      </c>
      <c r="CV108" s="119">
        <f>IF($H108&lt;&gt;CZ$5,0,IF(CZ108&gt;0,IF($J108=1,$E108*$I108/12*3,IF($J108=2,$E108*$I108/12*2,IF($J108=3,$E108*$I108/12*1,0)))))+IF(CU$5&lt;&gt;$H108,0,IF(CU108&gt;0,IF($J108=1,$E108*$I108/12*0,IF($J108=2,$E108*$I108/12*1,IF($J108=3,$E108*$I108/12*2,IF($J108&gt;=4,$E108*$I108/12*3,0))))))</f>
        <v>0</v>
      </c>
      <c r="CW108" s="120">
        <f>IF($H108&lt;&gt;CZ$5,0,IF(CZ108&gt;0,IF(OR($J108=1,$J108=2,$J108=3,$J108=4),$E108*$I108/12*3,IF($J108=5,$E108*$I108/12*2,IF($J108=6,$E108*$I108/12*1,0)))))+IF(CU$5&lt;&gt;$H108,0,IF(CU108&gt;0,IF($J108=4,$E108*$I108/12*0,IF($J108=5,$E108*$I108/12*1,IF($J108=6,$E108*$I108/12*2,IF($J108&gt;=7,$E108*$I108/12*3,0))))))</f>
        <v>0</v>
      </c>
      <c r="CX108" s="120">
        <f>IF($H108&lt;&gt;CZ$5,0,IF(CZ108&gt;0,IF(OR($J108=1,$J108=2,$J108=3,$J108=4,$J108=5,$J108=6,$J108=7),$E108*$I108/12*3,IF($J108=8,$E108*$I108/12*2,IF($J108=9,$E108*$I108/12*1,0)))))+IF(CU$5&lt;&gt;$H108,0,IF(CU108&gt;0,IF($J108=7,$E108*$I108/12*0,IF($J108=8,$E108*$I108/12*1,IF($J108=9,$E108*$I108/12*2,IF($J108&gt;=10,$E108*$I108/12*3,0))))))</f>
        <v>9.375</v>
      </c>
      <c r="CY108" s="121">
        <f>IF($H108&lt;&gt;CZ$5,0,IF(CZ108&gt;0,IF(OR($J108=1,$J108=2,$J108=3,$J108=4,$J108=5,$J108=6,$J108=7,$J108=8,$J108=9,$J108=10),$E108*$I108/12*3,IF($J108=11,$E108*$I108/12*2,IF($J108=12,$E108*$I108/12*1,0)))))+IF(CU$5&lt;&gt;$H108,0,IF(CU108&gt;0,IF($J108=10,$E108*$I108/12*0,IF($J108=11,$E108*$I108/12*1,IF($J108=12,$E108*$I108/12*2,0)))))</f>
        <v>9.375</v>
      </c>
      <c r="CZ108" s="118">
        <f>IF(AND(CU108&lt;&gt;0,CU$5=$H108),$I108*$E108-CU108,IF(CZ$5=$H108,$I108*$E108*(12-$J108+1)/12,0))</f>
        <v>18.75</v>
      </c>
    </row>
    <row r="109" spans="1:104" ht="12.75" customHeight="1">
      <c r="A109" s="7"/>
      <c r="B109" s="7"/>
      <c r="C109" s="223"/>
      <c r="D109" s="224"/>
      <c r="E109" s="197"/>
      <c r="F109" s="198"/>
      <c r="G109" s="198"/>
      <c r="H109" s="225"/>
      <c r="I109" s="226"/>
      <c r="J109" s="227"/>
      <c r="K109" s="228"/>
      <c r="L109" s="133"/>
      <c r="M109" s="134"/>
      <c r="N109" s="135"/>
      <c r="O109" s="135"/>
      <c r="P109" s="136"/>
      <c r="Q109" s="133"/>
      <c r="R109" s="134"/>
      <c r="S109" s="135"/>
      <c r="T109" s="135"/>
      <c r="U109" s="136"/>
      <c r="V109" s="133"/>
      <c r="W109" s="134"/>
      <c r="X109" s="135"/>
      <c r="Y109" s="135"/>
      <c r="Z109" s="136"/>
      <c r="AA109" s="133"/>
      <c r="AB109" s="134"/>
      <c r="AC109" s="135"/>
      <c r="AD109" s="135"/>
      <c r="AE109" s="136"/>
      <c r="AF109" s="133"/>
      <c r="AG109" s="134"/>
      <c r="AH109" s="135"/>
      <c r="AI109" s="135"/>
      <c r="AJ109" s="136"/>
      <c r="AK109" s="133"/>
      <c r="AL109" s="134"/>
      <c r="AM109" s="135"/>
      <c r="AN109" s="135"/>
      <c r="AO109" s="136"/>
      <c r="AP109" s="133"/>
      <c r="AQ109" s="134"/>
      <c r="AR109" s="135"/>
      <c r="AS109" s="135"/>
      <c r="AT109" s="136"/>
      <c r="AU109" s="133"/>
      <c r="AV109" s="134"/>
      <c r="AW109" s="135"/>
      <c r="AX109" s="135"/>
      <c r="AY109" s="136"/>
      <c r="AZ109" s="133"/>
      <c r="BA109" s="134"/>
      <c r="BB109" s="135"/>
      <c r="BC109" s="135"/>
      <c r="BD109" s="136"/>
      <c r="BE109" s="133"/>
      <c r="BF109" s="248"/>
      <c r="BG109" s="138"/>
      <c r="BH109" s="139"/>
      <c r="BI109" s="140"/>
      <c r="BJ109" s="140"/>
      <c r="BK109" s="141"/>
      <c r="BL109" s="138"/>
      <c r="BM109" s="139"/>
      <c r="BN109" s="140"/>
      <c r="BO109" s="140"/>
      <c r="BP109" s="141"/>
      <c r="BQ109" s="138"/>
      <c r="BR109" s="139"/>
      <c r="BS109" s="140"/>
      <c r="BT109" s="140"/>
      <c r="BU109" s="141"/>
      <c r="BV109" s="138"/>
      <c r="BW109" s="139"/>
      <c r="BX109" s="140"/>
      <c r="BY109" s="140"/>
      <c r="BZ109" s="141"/>
      <c r="CA109" s="138"/>
      <c r="CB109" s="139"/>
      <c r="CC109" s="140"/>
      <c r="CD109" s="140"/>
      <c r="CE109" s="141"/>
      <c r="CF109" s="138"/>
      <c r="CG109" s="139"/>
      <c r="CH109" s="140"/>
      <c r="CI109" s="140"/>
      <c r="CJ109" s="141"/>
      <c r="CK109" s="138"/>
      <c r="CL109" s="139"/>
      <c r="CM109" s="140"/>
      <c r="CN109" s="140"/>
      <c r="CO109" s="141"/>
      <c r="CP109" s="138"/>
      <c r="CQ109" s="139"/>
      <c r="CR109" s="140"/>
      <c r="CS109" s="140"/>
      <c r="CT109" s="141"/>
      <c r="CU109" s="138"/>
      <c r="CV109" s="139"/>
      <c r="CW109" s="140"/>
      <c r="CX109" s="140"/>
      <c r="CY109" s="141"/>
      <c r="CZ109" s="138"/>
    </row>
    <row r="110" spans="1:104" ht="12.75" customHeight="1">
      <c r="A110" s="203"/>
      <c r="B110" s="203"/>
      <c r="C110" s="204" t="s">
        <v>449</v>
      </c>
      <c r="D110" s="252"/>
      <c r="E110" s="205">
        <f>SUM(E105:E109)</f>
        <v>1500</v>
      </c>
      <c r="F110" s="143"/>
      <c r="G110" s="143"/>
      <c r="H110" s="144"/>
      <c r="I110" s="145"/>
      <c r="J110" s="146"/>
      <c r="K110" s="234"/>
      <c r="L110" s="147">
        <f t="shared" ref="L110:AQ110" si="490">SUM(L105:L109)</f>
        <v>0</v>
      </c>
      <c r="M110" s="148">
        <f t="shared" si="490"/>
        <v>0</v>
      </c>
      <c r="N110" s="149">
        <f t="shared" si="490"/>
        <v>0</v>
      </c>
      <c r="O110" s="149">
        <f t="shared" si="490"/>
        <v>0</v>
      </c>
      <c r="P110" s="150">
        <f t="shared" si="490"/>
        <v>0</v>
      </c>
      <c r="Q110" s="147">
        <f t="shared" si="490"/>
        <v>0</v>
      </c>
      <c r="R110" s="148">
        <f t="shared" si="490"/>
        <v>0</v>
      </c>
      <c r="S110" s="149">
        <f t="shared" si="490"/>
        <v>0</v>
      </c>
      <c r="T110" s="149">
        <f t="shared" si="490"/>
        <v>0</v>
      </c>
      <c r="U110" s="150">
        <f t="shared" si="490"/>
        <v>0</v>
      </c>
      <c r="V110" s="147">
        <f t="shared" si="490"/>
        <v>0</v>
      </c>
      <c r="W110" s="148">
        <f t="shared" si="490"/>
        <v>0</v>
      </c>
      <c r="X110" s="149">
        <f t="shared" si="490"/>
        <v>0</v>
      </c>
      <c r="Y110" s="149">
        <f t="shared" si="490"/>
        <v>0</v>
      </c>
      <c r="Z110" s="150">
        <f t="shared" si="490"/>
        <v>0</v>
      </c>
      <c r="AA110" s="147">
        <f t="shared" si="490"/>
        <v>0</v>
      </c>
      <c r="AB110" s="148">
        <f t="shared" si="490"/>
        <v>0</v>
      </c>
      <c r="AC110" s="149">
        <f t="shared" si="490"/>
        <v>0</v>
      </c>
      <c r="AD110" s="149">
        <f t="shared" si="490"/>
        <v>0</v>
      </c>
      <c r="AE110" s="150">
        <f t="shared" si="490"/>
        <v>0</v>
      </c>
      <c r="AF110" s="147">
        <f t="shared" si="490"/>
        <v>0</v>
      </c>
      <c r="AG110" s="148">
        <f t="shared" si="490"/>
        <v>0</v>
      </c>
      <c r="AH110" s="149">
        <f t="shared" si="490"/>
        <v>0</v>
      </c>
      <c r="AI110" s="149">
        <f t="shared" si="490"/>
        <v>0</v>
      </c>
      <c r="AJ110" s="150">
        <f t="shared" si="490"/>
        <v>0</v>
      </c>
      <c r="AK110" s="147">
        <f t="shared" si="490"/>
        <v>0</v>
      </c>
      <c r="AL110" s="148">
        <f t="shared" si="490"/>
        <v>0</v>
      </c>
      <c r="AM110" s="149">
        <f t="shared" si="490"/>
        <v>0</v>
      </c>
      <c r="AN110" s="149">
        <f t="shared" si="490"/>
        <v>250</v>
      </c>
      <c r="AO110" s="150">
        <f t="shared" si="490"/>
        <v>0</v>
      </c>
      <c r="AP110" s="147">
        <f t="shared" si="490"/>
        <v>250</v>
      </c>
      <c r="AQ110" s="148">
        <f t="shared" si="490"/>
        <v>0</v>
      </c>
      <c r="AR110" s="149">
        <f t="shared" ref="AR110:BW110" si="491">SUM(AR105:AR109)</f>
        <v>0</v>
      </c>
      <c r="AS110" s="149">
        <f t="shared" si="491"/>
        <v>100</v>
      </c>
      <c r="AT110" s="150">
        <f t="shared" si="491"/>
        <v>0</v>
      </c>
      <c r="AU110" s="147">
        <f t="shared" si="491"/>
        <v>100</v>
      </c>
      <c r="AV110" s="148">
        <f t="shared" si="491"/>
        <v>0</v>
      </c>
      <c r="AW110" s="149">
        <f t="shared" si="491"/>
        <v>0</v>
      </c>
      <c r="AX110" s="149">
        <f t="shared" si="491"/>
        <v>400</v>
      </c>
      <c r="AY110" s="150">
        <f t="shared" si="491"/>
        <v>0</v>
      </c>
      <c r="AZ110" s="147">
        <f t="shared" si="491"/>
        <v>400</v>
      </c>
      <c r="BA110" s="148">
        <f t="shared" si="491"/>
        <v>0</v>
      </c>
      <c r="BB110" s="149">
        <f t="shared" si="491"/>
        <v>0</v>
      </c>
      <c r="BC110" s="149">
        <f t="shared" si="491"/>
        <v>750</v>
      </c>
      <c r="BD110" s="150">
        <f t="shared" si="491"/>
        <v>0</v>
      </c>
      <c r="BE110" s="147">
        <f t="shared" si="491"/>
        <v>750</v>
      </c>
      <c r="BF110" s="235">
        <f t="shared" si="491"/>
        <v>0</v>
      </c>
      <c r="BG110" s="152">
        <f t="shared" si="491"/>
        <v>0</v>
      </c>
      <c r="BH110" s="153">
        <f t="shared" si="491"/>
        <v>0</v>
      </c>
      <c r="BI110" s="154">
        <f t="shared" si="491"/>
        <v>0</v>
      </c>
      <c r="BJ110" s="154">
        <f t="shared" si="491"/>
        <v>0</v>
      </c>
      <c r="BK110" s="155">
        <f t="shared" si="491"/>
        <v>0</v>
      </c>
      <c r="BL110" s="152">
        <f t="shared" si="491"/>
        <v>0</v>
      </c>
      <c r="BM110" s="153">
        <f t="shared" si="491"/>
        <v>0</v>
      </c>
      <c r="BN110" s="154">
        <f t="shared" si="491"/>
        <v>0</v>
      </c>
      <c r="BO110" s="154">
        <f t="shared" si="491"/>
        <v>0</v>
      </c>
      <c r="BP110" s="155">
        <f t="shared" si="491"/>
        <v>0</v>
      </c>
      <c r="BQ110" s="152">
        <f t="shared" si="491"/>
        <v>0</v>
      </c>
      <c r="BR110" s="153">
        <f t="shared" si="491"/>
        <v>0</v>
      </c>
      <c r="BS110" s="154">
        <f t="shared" si="491"/>
        <v>0</v>
      </c>
      <c r="BT110" s="154">
        <f t="shared" si="491"/>
        <v>0</v>
      </c>
      <c r="BU110" s="155">
        <f t="shared" si="491"/>
        <v>0</v>
      </c>
      <c r="BV110" s="152">
        <f t="shared" si="491"/>
        <v>0</v>
      </c>
      <c r="BW110" s="153">
        <f t="shared" si="491"/>
        <v>0</v>
      </c>
      <c r="BX110" s="154">
        <f t="shared" ref="BX110:CZ110" si="492">SUM(BX105:BX109)</f>
        <v>0</v>
      </c>
      <c r="BY110" s="154">
        <f t="shared" si="492"/>
        <v>0</v>
      </c>
      <c r="BZ110" s="155">
        <f t="shared" si="492"/>
        <v>0</v>
      </c>
      <c r="CA110" s="152">
        <f t="shared" si="492"/>
        <v>0</v>
      </c>
      <c r="CB110" s="153">
        <f t="shared" si="492"/>
        <v>0</v>
      </c>
      <c r="CC110" s="154">
        <f t="shared" si="492"/>
        <v>0</v>
      </c>
      <c r="CD110" s="154">
        <f t="shared" si="492"/>
        <v>0</v>
      </c>
      <c r="CE110" s="155">
        <f t="shared" si="492"/>
        <v>0</v>
      </c>
      <c r="CF110" s="152">
        <f t="shared" si="492"/>
        <v>0</v>
      </c>
      <c r="CG110" s="153">
        <f t="shared" si="492"/>
        <v>0</v>
      </c>
      <c r="CH110" s="154">
        <f t="shared" si="492"/>
        <v>0</v>
      </c>
      <c r="CI110" s="154">
        <f t="shared" si="492"/>
        <v>3.125</v>
      </c>
      <c r="CJ110" s="155">
        <f t="shared" si="492"/>
        <v>3.125</v>
      </c>
      <c r="CK110" s="152">
        <f t="shared" si="492"/>
        <v>6.25</v>
      </c>
      <c r="CL110" s="153">
        <f t="shared" si="492"/>
        <v>3.125</v>
      </c>
      <c r="CM110" s="154">
        <f t="shared" si="492"/>
        <v>3.125</v>
      </c>
      <c r="CN110" s="154">
        <f t="shared" si="492"/>
        <v>1.25</v>
      </c>
      <c r="CO110" s="155">
        <f t="shared" si="492"/>
        <v>1.25</v>
      </c>
      <c r="CP110" s="152">
        <f t="shared" si="492"/>
        <v>8.75</v>
      </c>
      <c r="CQ110" s="153">
        <f t="shared" si="492"/>
        <v>1.25</v>
      </c>
      <c r="CR110" s="154">
        <f t="shared" si="492"/>
        <v>1.25</v>
      </c>
      <c r="CS110" s="154">
        <f t="shared" si="492"/>
        <v>5</v>
      </c>
      <c r="CT110" s="155">
        <f t="shared" si="492"/>
        <v>5</v>
      </c>
      <c r="CU110" s="152">
        <f t="shared" si="492"/>
        <v>12.5</v>
      </c>
      <c r="CV110" s="153">
        <f t="shared" si="492"/>
        <v>5</v>
      </c>
      <c r="CW110" s="154">
        <f t="shared" si="492"/>
        <v>5</v>
      </c>
      <c r="CX110" s="154">
        <f t="shared" si="492"/>
        <v>9.375</v>
      </c>
      <c r="CY110" s="155">
        <f t="shared" si="492"/>
        <v>9.375</v>
      </c>
      <c r="CZ110" s="152">
        <f t="shared" si="492"/>
        <v>28.75</v>
      </c>
    </row>
    <row r="111" spans="1:104" ht="12.75" customHeight="1">
      <c r="A111" s="7"/>
      <c r="B111" s="7"/>
      <c r="C111" s="253"/>
      <c r="D111" s="253"/>
      <c r="E111" s="107"/>
      <c r="F111" s="108"/>
      <c r="G111" s="108"/>
      <c r="H111" s="109"/>
      <c r="I111" s="110"/>
      <c r="J111" s="111"/>
      <c r="K111" s="112"/>
      <c r="L111" s="113"/>
      <c r="M111" s="114"/>
      <c r="N111" s="115"/>
      <c r="O111" s="115"/>
      <c r="P111" s="116"/>
      <c r="Q111" s="113"/>
      <c r="R111" s="114"/>
      <c r="S111" s="115"/>
      <c r="T111" s="115"/>
      <c r="U111" s="116"/>
      <c r="V111" s="113"/>
      <c r="W111" s="114"/>
      <c r="X111" s="115"/>
      <c r="Y111" s="115"/>
      <c r="Z111" s="116"/>
      <c r="AA111" s="113"/>
      <c r="AB111" s="114"/>
      <c r="AC111" s="115"/>
      <c r="AD111" s="115"/>
      <c r="AE111" s="116"/>
      <c r="AF111" s="113"/>
      <c r="AG111" s="114"/>
      <c r="AH111" s="115"/>
      <c r="AI111" s="115"/>
      <c r="AJ111" s="116"/>
      <c r="AK111" s="113"/>
      <c r="AL111" s="114"/>
      <c r="AM111" s="115"/>
      <c r="AN111" s="115"/>
      <c r="AO111" s="116"/>
      <c r="AP111" s="113"/>
      <c r="AQ111" s="114"/>
      <c r="AR111" s="115"/>
      <c r="AS111" s="115"/>
      <c r="AT111" s="116"/>
      <c r="AU111" s="113"/>
      <c r="AV111" s="114"/>
      <c r="AW111" s="115"/>
      <c r="AX111" s="115"/>
      <c r="AY111" s="116"/>
      <c r="AZ111" s="113"/>
      <c r="BA111" s="114"/>
      <c r="BB111" s="115"/>
      <c r="BC111" s="115"/>
      <c r="BD111" s="116"/>
      <c r="BE111" s="113"/>
      <c r="BF111" s="222"/>
      <c r="BG111" s="118"/>
      <c r="BH111" s="119"/>
      <c r="BI111" s="120"/>
      <c r="BJ111" s="120"/>
      <c r="BK111" s="121"/>
      <c r="BL111" s="118"/>
      <c r="BM111" s="119"/>
      <c r="BN111" s="120"/>
      <c r="BO111" s="120"/>
      <c r="BP111" s="121"/>
      <c r="BQ111" s="118"/>
      <c r="BR111" s="119"/>
      <c r="BS111" s="120"/>
      <c r="BT111" s="120"/>
      <c r="BU111" s="121"/>
      <c r="BV111" s="118"/>
      <c r="BW111" s="119"/>
      <c r="BX111" s="120"/>
      <c r="BY111" s="120"/>
      <c r="BZ111" s="121"/>
      <c r="CA111" s="118"/>
      <c r="CB111" s="119"/>
      <c r="CC111" s="120"/>
      <c r="CD111" s="120"/>
      <c r="CE111" s="121"/>
      <c r="CF111" s="118"/>
      <c r="CG111" s="119"/>
      <c r="CH111" s="120"/>
      <c r="CI111" s="120"/>
      <c r="CJ111" s="121"/>
      <c r="CK111" s="118"/>
      <c r="CL111" s="119"/>
      <c r="CM111" s="120"/>
      <c r="CN111" s="120"/>
      <c r="CO111" s="121"/>
      <c r="CP111" s="118"/>
      <c r="CQ111" s="119"/>
      <c r="CR111" s="120"/>
      <c r="CS111" s="120"/>
      <c r="CT111" s="121"/>
      <c r="CU111" s="118"/>
      <c r="CV111" s="119"/>
      <c r="CW111" s="120"/>
      <c r="CX111" s="120"/>
      <c r="CY111" s="121"/>
      <c r="CZ111" s="118"/>
    </row>
    <row r="112" spans="1:104" ht="12.75" customHeight="1">
      <c r="A112" s="7"/>
      <c r="B112" s="7"/>
      <c r="C112" s="123" t="s">
        <v>583</v>
      </c>
      <c r="D112" s="123"/>
      <c r="E112" s="142"/>
      <c r="F112" s="156"/>
      <c r="G112" s="156"/>
      <c r="H112" s="144"/>
      <c r="I112" s="145"/>
      <c r="J112" s="146"/>
      <c r="K112" s="234"/>
      <c r="L112" s="147">
        <f t="shared" ref="L112:BE112" si="493">+L102+L110</f>
        <v>0</v>
      </c>
      <c r="M112" s="148">
        <f t="shared" si="493"/>
        <v>0</v>
      </c>
      <c r="N112" s="149">
        <f t="shared" si="493"/>
        <v>0</v>
      </c>
      <c r="O112" s="149">
        <f t="shared" si="493"/>
        <v>0</v>
      </c>
      <c r="P112" s="150">
        <f t="shared" si="493"/>
        <v>0</v>
      </c>
      <c r="Q112" s="147">
        <f t="shared" si="493"/>
        <v>0</v>
      </c>
      <c r="R112" s="148">
        <f t="shared" si="493"/>
        <v>0</v>
      </c>
      <c r="S112" s="149">
        <f t="shared" si="493"/>
        <v>0</v>
      </c>
      <c r="T112" s="149">
        <f t="shared" si="493"/>
        <v>0</v>
      </c>
      <c r="U112" s="150">
        <f t="shared" si="493"/>
        <v>0</v>
      </c>
      <c r="V112" s="147">
        <f t="shared" si="493"/>
        <v>0</v>
      </c>
      <c r="W112" s="148">
        <f t="shared" si="493"/>
        <v>0</v>
      </c>
      <c r="X112" s="149">
        <f t="shared" si="493"/>
        <v>0</v>
      </c>
      <c r="Y112" s="149">
        <f t="shared" si="493"/>
        <v>0</v>
      </c>
      <c r="Z112" s="150">
        <f t="shared" si="493"/>
        <v>0</v>
      </c>
      <c r="AA112" s="147">
        <f t="shared" si="493"/>
        <v>0</v>
      </c>
      <c r="AB112" s="148">
        <f t="shared" si="493"/>
        <v>0</v>
      </c>
      <c r="AC112" s="149">
        <f t="shared" si="493"/>
        <v>0</v>
      </c>
      <c r="AD112" s="149">
        <f t="shared" si="493"/>
        <v>0</v>
      </c>
      <c r="AE112" s="150">
        <f t="shared" si="493"/>
        <v>0</v>
      </c>
      <c r="AF112" s="147">
        <f t="shared" si="493"/>
        <v>0</v>
      </c>
      <c r="AG112" s="148">
        <f t="shared" si="493"/>
        <v>0</v>
      </c>
      <c r="AH112" s="149">
        <f t="shared" si="493"/>
        <v>0</v>
      </c>
      <c r="AI112" s="149">
        <f t="shared" si="493"/>
        <v>0</v>
      </c>
      <c r="AJ112" s="150">
        <f t="shared" si="493"/>
        <v>0</v>
      </c>
      <c r="AK112" s="147">
        <f t="shared" si="493"/>
        <v>0</v>
      </c>
      <c r="AL112" s="148">
        <f t="shared" si="493"/>
        <v>0</v>
      </c>
      <c r="AM112" s="149">
        <f t="shared" si="493"/>
        <v>0</v>
      </c>
      <c r="AN112" s="149">
        <f t="shared" si="493"/>
        <v>250</v>
      </c>
      <c r="AO112" s="150">
        <f t="shared" si="493"/>
        <v>-250</v>
      </c>
      <c r="AP112" s="147">
        <f t="shared" si="493"/>
        <v>0</v>
      </c>
      <c r="AQ112" s="148">
        <f t="shared" si="493"/>
        <v>-44</v>
      </c>
      <c r="AR112" s="149">
        <f t="shared" si="493"/>
        <v>0</v>
      </c>
      <c r="AS112" s="149">
        <f t="shared" si="493"/>
        <v>100</v>
      </c>
      <c r="AT112" s="150">
        <f t="shared" si="493"/>
        <v>0</v>
      </c>
      <c r="AU112" s="147">
        <f t="shared" si="493"/>
        <v>56</v>
      </c>
      <c r="AV112" s="148">
        <f t="shared" si="493"/>
        <v>0</v>
      </c>
      <c r="AW112" s="149">
        <f t="shared" si="493"/>
        <v>-406</v>
      </c>
      <c r="AX112" s="149">
        <f t="shared" si="493"/>
        <v>400</v>
      </c>
      <c r="AY112" s="150">
        <f t="shared" si="493"/>
        <v>0</v>
      </c>
      <c r="AZ112" s="147">
        <f t="shared" si="493"/>
        <v>-6</v>
      </c>
      <c r="BA112" s="148">
        <f t="shared" si="493"/>
        <v>0</v>
      </c>
      <c r="BB112" s="149">
        <f t="shared" si="493"/>
        <v>-700</v>
      </c>
      <c r="BC112" s="149">
        <f t="shared" si="493"/>
        <v>500</v>
      </c>
      <c r="BD112" s="150">
        <f t="shared" si="493"/>
        <v>0</v>
      </c>
      <c r="BE112" s="147">
        <f t="shared" si="493"/>
        <v>-200</v>
      </c>
      <c r="BF112" s="235"/>
      <c r="BG112" s="152">
        <f t="shared" ref="BG112:CZ112" si="494">+BG102+BG110</f>
        <v>0</v>
      </c>
      <c r="BH112" s="153">
        <f t="shared" si="494"/>
        <v>0</v>
      </c>
      <c r="BI112" s="154">
        <f t="shared" si="494"/>
        <v>0</v>
      </c>
      <c r="BJ112" s="154">
        <f t="shared" si="494"/>
        <v>0</v>
      </c>
      <c r="BK112" s="155">
        <f t="shared" si="494"/>
        <v>0</v>
      </c>
      <c r="BL112" s="152">
        <f t="shared" si="494"/>
        <v>0</v>
      </c>
      <c r="BM112" s="153">
        <f t="shared" si="494"/>
        <v>0</v>
      </c>
      <c r="BN112" s="154">
        <f t="shared" si="494"/>
        <v>0</v>
      </c>
      <c r="BO112" s="154">
        <f t="shared" si="494"/>
        <v>0</v>
      </c>
      <c r="BP112" s="155">
        <f t="shared" si="494"/>
        <v>0</v>
      </c>
      <c r="BQ112" s="152">
        <f t="shared" si="494"/>
        <v>0</v>
      </c>
      <c r="BR112" s="153">
        <f t="shared" si="494"/>
        <v>0</v>
      </c>
      <c r="BS112" s="154">
        <f t="shared" si="494"/>
        <v>0</v>
      </c>
      <c r="BT112" s="154">
        <f t="shared" si="494"/>
        <v>0</v>
      </c>
      <c r="BU112" s="155">
        <f t="shared" si="494"/>
        <v>0</v>
      </c>
      <c r="BV112" s="152">
        <f t="shared" si="494"/>
        <v>0</v>
      </c>
      <c r="BW112" s="153">
        <f t="shared" si="494"/>
        <v>0</v>
      </c>
      <c r="BX112" s="154">
        <f t="shared" si="494"/>
        <v>0</v>
      </c>
      <c r="BY112" s="154">
        <f t="shared" si="494"/>
        <v>0</v>
      </c>
      <c r="BZ112" s="155">
        <f t="shared" si="494"/>
        <v>0</v>
      </c>
      <c r="CA112" s="152">
        <f t="shared" si="494"/>
        <v>0</v>
      </c>
      <c r="CB112" s="153">
        <f t="shared" si="494"/>
        <v>0</v>
      </c>
      <c r="CC112" s="154">
        <f t="shared" si="494"/>
        <v>0</v>
      </c>
      <c r="CD112" s="154">
        <f t="shared" si="494"/>
        <v>0</v>
      </c>
      <c r="CE112" s="155">
        <f t="shared" si="494"/>
        <v>0</v>
      </c>
      <c r="CF112" s="152">
        <f t="shared" si="494"/>
        <v>0</v>
      </c>
      <c r="CG112" s="153">
        <f t="shared" si="494"/>
        <v>0</v>
      </c>
      <c r="CH112" s="154">
        <f t="shared" si="494"/>
        <v>0</v>
      </c>
      <c r="CI112" s="154">
        <f t="shared" si="494"/>
        <v>3.125</v>
      </c>
      <c r="CJ112" s="155">
        <f t="shared" si="494"/>
        <v>2.104166666666667</v>
      </c>
      <c r="CK112" s="152">
        <f t="shared" si="494"/>
        <v>5.229166666666667</v>
      </c>
      <c r="CL112" s="153">
        <f t="shared" si="494"/>
        <v>1.2637499999999999</v>
      </c>
      <c r="CM112" s="154">
        <f t="shared" si="494"/>
        <v>1.2637499999999999</v>
      </c>
      <c r="CN112" s="154">
        <f t="shared" si="494"/>
        <v>-0.61125000000000007</v>
      </c>
      <c r="CO112" s="155">
        <f t="shared" si="494"/>
        <v>0.40958333333333341</v>
      </c>
      <c r="CP112" s="152">
        <f t="shared" si="494"/>
        <v>2.3258333333333336</v>
      </c>
      <c r="CQ112" s="153">
        <f t="shared" si="494"/>
        <v>1.25</v>
      </c>
      <c r="CR112" s="154">
        <f t="shared" si="494"/>
        <v>-3.9518749999999994</v>
      </c>
      <c r="CS112" s="154">
        <f t="shared" si="494"/>
        <v>-0.20187499999999936</v>
      </c>
      <c r="CT112" s="155">
        <f t="shared" si="494"/>
        <v>-0.20187499999999936</v>
      </c>
      <c r="CU112" s="152">
        <f t="shared" si="494"/>
        <v>-3.1056249999999981</v>
      </c>
      <c r="CV112" s="153">
        <f t="shared" si="494"/>
        <v>-0.20187499999999936</v>
      </c>
      <c r="CW112" s="154">
        <f t="shared" si="494"/>
        <v>3.25</v>
      </c>
      <c r="CX112" s="154">
        <f t="shared" si="494"/>
        <v>3.260416666666667</v>
      </c>
      <c r="CY112" s="155">
        <f t="shared" si="494"/>
        <v>1.53125</v>
      </c>
      <c r="CZ112" s="152">
        <f t="shared" si="494"/>
        <v>7.8397916666666667</v>
      </c>
    </row>
    <row r="113" spans="1:104" ht="12.75" customHeight="1">
      <c r="A113" s="7"/>
      <c r="B113" s="7"/>
      <c r="C113" s="123"/>
      <c r="D113" s="123"/>
      <c r="E113" s="142"/>
      <c r="F113" s="156"/>
      <c r="G113" s="156"/>
      <c r="H113" s="144"/>
      <c r="I113" s="145"/>
      <c r="J113" s="146"/>
      <c r="K113" s="234"/>
      <c r="L113" s="147"/>
      <c r="M113" s="148"/>
      <c r="N113" s="149"/>
      <c r="O113" s="149"/>
      <c r="P113" s="150"/>
      <c r="Q113" s="147"/>
      <c r="R113" s="148"/>
      <c r="S113" s="149"/>
      <c r="T113" s="149"/>
      <c r="U113" s="150"/>
      <c r="V113" s="147"/>
      <c r="W113" s="148"/>
      <c r="X113" s="149"/>
      <c r="Y113" s="149"/>
      <c r="Z113" s="150"/>
      <c r="AA113" s="147"/>
      <c r="AB113" s="148"/>
      <c r="AC113" s="149"/>
      <c r="AD113" s="149"/>
      <c r="AE113" s="150"/>
      <c r="AF113" s="147"/>
      <c r="AG113" s="148"/>
      <c r="AH113" s="149"/>
      <c r="AI113" s="149"/>
      <c r="AJ113" s="150"/>
      <c r="AK113" s="147"/>
      <c r="AL113" s="148"/>
      <c r="AM113" s="149"/>
      <c r="AN113" s="149"/>
      <c r="AO113" s="150"/>
      <c r="AP113" s="147"/>
      <c r="AQ113" s="148"/>
      <c r="AR113" s="149"/>
      <c r="AS113" s="149"/>
      <c r="AT113" s="150"/>
      <c r="AU113" s="147"/>
      <c r="AV113" s="148"/>
      <c r="AW113" s="149"/>
      <c r="AX113" s="149"/>
      <c r="AY113" s="150"/>
      <c r="AZ113" s="147"/>
      <c r="BA113" s="148"/>
      <c r="BB113" s="149"/>
      <c r="BC113" s="149"/>
      <c r="BD113" s="150"/>
      <c r="BE113" s="147"/>
      <c r="BF113" s="235"/>
      <c r="BG113" s="152"/>
      <c r="BH113" s="153"/>
      <c r="BI113" s="154"/>
      <c r="BJ113" s="154"/>
      <c r="BK113" s="155"/>
      <c r="BL113" s="152"/>
      <c r="BM113" s="153"/>
      <c r="BN113" s="154"/>
      <c r="BO113" s="154"/>
      <c r="BP113" s="155"/>
      <c r="BQ113" s="152"/>
      <c r="BR113" s="153"/>
      <c r="BS113" s="154"/>
      <c r="BT113" s="154"/>
      <c r="BU113" s="155"/>
      <c r="BV113" s="152"/>
      <c r="BW113" s="153"/>
      <c r="BX113" s="154"/>
      <c r="BY113" s="154"/>
      <c r="BZ113" s="155"/>
      <c r="CA113" s="152"/>
      <c r="CB113" s="153"/>
      <c r="CC113" s="154"/>
      <c r="CD113" s="154"/>
      <c r="CE113" s="155"/>
      <c r="CF113" s="152"/>
      <c r="CG113" s="153"/>
      <c r="CH113" s="154"/>
      <c r="CI113" s="154"/>
      <c r="CJ113" s="155"/>
      <c r="CK113" s="152"/>
      <c r="CL113" s="153"/>
      <c r="CM113" s="154"/>
      <c r="CN113" s="154"/>
      <c r="CO113" s="155"/>
      <c r="CP113" s="152"/>
      <c r="CQ113" s="153"/>
      <c r="CR113" s="154"/>
      <c r="CS113" s="154"/>
      <c r="CT113" s="155"/>
      <c r="CU113" s="152"/>
      <c r="CV113" s="153"/>
      <c r="CW113" s="154"/>
      <c r="CX113" s="154"/>
      <c r="CY113" s="155"/>
      <c r="CZ113" s="152"/>
    </row>
    <row r="114" spans="1:104" ht="12.75" customHeight="1" thickBot="1">
      <c r="A114" s="7"/>
      <c r="B114" s="93"/>
      <c r="C114" s="258"/>
      <c r="D114" s="258"/>
      <c r="E114" s="236"/>
      <c r="F114" s="237"/>
      <c r="G114" s="237"/>
      <c r="H114" s="158"/>
      <c r="I114" s="159"/>
      <c r="J114" s="160"/>
      <c r="K114" s="254"/>
      <c r="L114" s="255"/>
      <c r="M114" s="239"/>
      <c r="N114" s="240"/>
      <c r="O114" s="240"/>
      <c r="P114" s="241"/>
      <c r="Q114" s="255"/>
      <c r="R114" s="239"/>
      <c r="S114" s="240"/>
      <c r="T114" s="240"/>
      <c r="U114" s="241"/>
      <c r="V114" s="255"/>
      <c r="W114" s="239"/>
      <c r="X114" s="240"/>
      <c r="Y114" s="240"/>
      <c r="Z114" s="241"/>
      <c r="AA114" s="255"/>
      <c r="AB114" s="239"/>
      <c r="AC114" s="240"/>
      <c r="AD114" s="240"/>
      <c r="AE114" s="241"/>
      <c r="AF114" s="255"/>
      <c r="AG114" s="239"/>
      <c r="AH114" s="240"/>
      <c r="AI114" s="240"/>
      <c r="AJ114" s="241"/>
      <c r="AK114" s="255"/>
      <c r="AL114" s="239"/>
      <c r="AM114" s="240"/>
      <c r="AN114" s="240"/>
      <c r="AO114" s="241"/>
      <c r="AP114" s="255"/>
      <c r="AQ114" s="239"/>
      <c r="AR114" s="240"/>
      <c r="AS114" s="240"/>
      <c r="AT114" s="241"/>
      <c r="AU114" s="255"/>
      <c r="AV114" s="239"/>
      <c r="AW114" s="240"/>
      <c r="AX114" s="240"/>
      <c r="AY114" s="241"/>
      <c r="AZ114" s="255"/>
      <c r="BA114" s="239"/>
      <c r="BB114" s="240"/>
      <c r="BC114" s="240"/>
      <c r="BD114" s="241"/>
      <c r="BE114" s="255"/>
      <c r="BF114" s="256"/>
      <c r="BG114" s="257"/>
      <c r="BH114" s="243"/>
      <c r="BI114" s="244"/>
      <c r="BJ114" s="244"/>
      <c r="BK114" s="245"/>
      <c r="BL114" s="257"/>
      <c r="BM114" s="243"/>
      <c r="BN114" s="244"/>
      <c r="BO114" s="244"/>
      <c r="BP114" s="245"/>
      <c r="BQ114" s="257"/>
      <c r="BR114" s="243"/>
      <c r="BS114" s="244"/>
      <c r="BT114" s="244"/>
      <c r="BU114" s="245"/>
      <c r="BV114" s="257"/>
      <c r="BW114" s="243"/>
      <c r="BX114" s="244"/>
      <c r="BY114" s="244"/>
      <c r="BZ114" s="245"/>
      <c r="CA114" s="257"/>
      <c r="CB114" s="243"/>
      <c r="CC114" s="244"/>
      <c r="CD114" s="244"/>
      <c r="CE114" s="245"/>
      <c r="CF114" s="257"/>
      <c r="CG114" s="243"/>
      <c r="CH114" s="244"/>
      <c r="CI114" s="244"/>
      <c r="CJ114" s="245"/>
      <c r="CK114" s="257"/>
      <c r="CL114" s="243"/>
      <c r="CM114" s="244"/>
      <c r="CN114" s="244"/>
      <c r="CO114" s="245"/>
      <c r="CP114" s="257"/>
      <c r="CQ114" s="243"/>
      <c r="CR114" s="244"/>
      <c r="CS114" s="244"/>
      <c r="CT114" s="245"/>
      <c r="CU114" s="257"/>
      <c r="CV114" s="243"/>
      <c r="CW114" s="244"/>
      <c r="CX114" s="244"/>
      <c r="CY114" s="245"/>
      <c r="CZ114" s="257"/>
    </row>
    <row r="122" spans="1:104">
      <c r="L122" s="72"/>
      <c r="Q122" s="72"/>
    </row>
    <row r="123" spans="1:104">
      <c r="W123" s="63"/>
      <c r="X123" s="307"/>
    </row>
    <row r="128" spans="1:104">
      <c r="P128" s="72"/>
      <c r="V128" s="72"/>
      <c r="AA128" s="308"/>
      <c r="AB128" s="308"/>
      <c r="AE128" s="63"/>
      <c r="AF128" s="307"/>
      <c r="AG128" s="308"/>
      <c r="AJ128" s="63"/>
      <c r="AK128" s="307"/>
      <c r="AL128" s="308"/>
      <c r="AO128" s="63"/>
      <c r="AP128" s="307"/>
      <c r="AQ128" s="308"/>
      <c r="AT128" s="63"/>
      <c r="AU128" s="307"/>
      <c r="AV128" s="308"/>
      <c r="AY128" s="63"/>
      <c r="AZ128" s="307"/>
      <c r="BA128" s="308"/>
      <c r="BD128" s="63"/>
      <c r="BE128" s="307"/>
    </row>
    <row r="129" spans="16:57">
      <c r="P129" s="72"/>
      <c r="V129" s="72"/>
      <c r="AA129" s="308"/>
      <c r="AB129" s="308"/>
      <c r="AE129" s="63"/>
      <c r="AF129" s="307"/>
      <c r="AG129" s="308"/>
      <c r="AJ129" s="63"/>
      <c r="AK129" s="307"/>
      <c r="AL129" s="308"/>
      <c r="AO129" s="63"/>
      <c r="AP129" s="307"/>
      <c r="AQ129" s="308"/>
      <c r="AT129" s="63"/>
      <c r="AU129" s="307"/>
      <c r="AV129" s="308"/>
      <c r="AY129" s="63"/>
      <c r="AZ129" s="307"/>
      <c r="BA129" s="308"/>
      <c r="BD129" s="63"/>
      <c r="BE129" s="307"/>
    </row>
  </sheetData>
  <phoneticPr fontId="0" type="noConversion"/>
  <pageMargins left="0.5" right="0.5" top="0.5" bottom="0.5" header="0" footer="0"/>
  <pageSetup scale="52" fitToWidth="2" fitToHeight="2" orientation="landscape" r:id="rId1"/>
  <headerFooter alignWithMargins="0"/>
  <rowBreaks count="1" manualBreakCount="1">
    <brk id="38" max="16383" man="1"/>
  </rowBreaks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autoPageBreaks="0"/>
  </sheetPr>
  <dimension ref="A1:CZ512"/>
  <sheetViews>
    <sheetView zoomScale="80" workbookViewId="0">
      <pane xSplit="6" ySplit="4" topLeftCell="S5" activePane="bottomRight" state="frozen"/>
      <selection pane="topRight" activeCell="G1" sqref="G1"/>
      <selection pane="bottomLeft" activeCell="A5" sqref="A5"/>
      <selection pane="bottomRight" activeCell="S5" sqref="S5"/>
    </sheetView>
  </sheetViews>
  <sheetFormatPr defaultRowHeight="12.75" outlineLevelCol="1"/>
  <cols>
    <col min="1" max="2" width="2.7109375" style="1061" customWidth="1"/>
    <col min="3" max="3" width="52.140625" style="1061" bestFit="1" customWidth="1"/>
    <col min="4" max="4" width="5.28515625" style="1061" customWidth="1"/>
    <col min="5" max="5" width="2.7109375" style="1061" customWidth="1"/>
    <col min="6" max="6" width="20" style="1255" bestFit="1" customWidth="1"/>
    <col min="7" max="10" width="9.28515625" style="1186" hidden="1" customWidth="1" outlineLevel="1"/>
    <col min="11" max="18" width="8.7109375" style="1061" hidden="1" customWidth="1" outlineLevel="1"/>
    <col min="19" max="19" width="8.7109375" style="1061" customWidth="1" collapsed="1"/>
    <col min="20" max="57" width="8.7109375" style="1061" customWidth="1"/>
    <col min="58" max="58" width="9" style="1061" customWidth="1"/>
    <col min="59" max="69" width="9.140625" style="1298"/>
    <col min="70" max="73" width="9.140625" style="1061"/>
    <col min="74" max="74" width="23.140625" style="1061" bestFit="1" customWidth="1"/>
    <col min="75" max="75" width="14.42578125" style="1061" customWidth="1"/>
    <col min="76" max="76" width="9.140625" style="1061"/>
    <col min="77" max="77" width="10.85546875" style="1061" bestFit="1" customWidth="1"/>
    <col min="78" max="16384" width="9.140625" style="1061"/>
  </cols>
  <sheetData>
    <row r="1" spans="1:78" ht="18">
      <c r="A1" s="1062"/>
      <c r="B1" s="1053" t="s">
        <v>530</v>
      </c>
      <c r="C1" s="1053"/>
      <c r="D1" s="1053"/>
      <c r="E1" s="1054"/>
      <c r="F1" s="1234"/>
      <c r="G1" s="1055"/>
      <c r="H1" s="1055"/>
      <c r="I1" s="1055"/>
      <c r="J1" s="1055"/>
      <c r="K1" s="1056"/>
      <c r="L1" s="1057"/>
      <c r="M1" s="1057"/>
      <c r="N1" s="1057"/>
      <c r="O1" s="1057"/>
      <c r="P1" s="1057"/>
      <c r="Q1" s="1057"/>
      <c r="R1" s="1058"/>
      <c r="S1" s="1058"/>
      <c r="T1" s="1058"/>
      <c r="U1" s="1058"/>
      <c r="V1" s="1058"/>
      <c r="W1" s="1058"/>
      <c r="X1" s="1058"/>
      <c r="Y1" s="1058"/>
      <c r="Z1" s="1058"/>
      <c r="AA1" s="1058"/>
      <c r="AB1" s="1058"/>
      <c r="AC1" s="1058"/>
      <c r="AD1" s="1058"/>
      <c r="AE1" s="1058"/>
      <c r="AF1" s="1058"/>
      <c r="AG1" s="1058"/>
      <c r="AH1" s="1058"/>
      <c r="AI1" s="1058"/>
      <c r="AJ1" s="1058"/>
      <c r="AK1" s="1058"/>
      <c r="AL1" s="1058"/>
      <c r="AM1" s="1058"/>
      <c r="AN1" s="1058"/>
      <c r="AO1" s="1058"/>
      <c r="AP1" s="1058"/>
      <c r="AQ1" s="1058"/>
      <c r="AR1" s="1058"/>
      <c r="AS1" s="1058"/>
      <c r="AT1" s="1058"/>
      <c r="AU1" s="1058"/>
      <c r="AV1" s="1058"/>
      <c r="AW1" s="1058"/>
      <c r="AX1" s="1058"/>
      <c r="AY1" s="1058"/>
      <c r="AZ1" s="1058"/>
      <c r="BA1" s="1058"/>
      <c r="BB1" s="1058"/>
      <c r="BC1" s="1058"/>
      <c r="BD1" s="1058"/>
      <c r="BE1" s="1058"/>
      <c r="BF1" s="1058"/>
      <c r="BG1" s="1058"/>
      <c r="BH1" s="1058"/>
      <c r="BI1" s="1058"/>
      <c r="BJ1" s="1058"/>
      <c r="BK1" s="1058"/>
      <c r="BL1" s="1058"/>
      <c r="BM1" s="1058"/>
      <c r="BN1" s="1058"/>
      <c r="BO1" s="1058"/>
      <c r="BP1" s="1058"/>
      <c r="BQ1" s="1059"/>
      <c r="BR1" s="1059"/>
      <c r="BS1" s="1059"/>
      <c r="BT1" s="1059"/>
      <c r="BU1" s="1060"/>
      <c r="BV1" s="1060"/>
      <c r="BW1" s="1059"/>
      <c r="BX1" s="1059"/>
      <c r="BY1" s="1059"/>
      <c r="BZ1" s="1059"/>
    </row>
    <row r="2" spans="1:78" ht="15.75">
      <c r="A2" s="1062"/>
      <c r="B2" s="1063" t="s">
        <v>810</v>
      </c>
      <c r="C2" s="1064"/>
      <c r="D2" s="1064"/>
      <c r="E2" s="1064"/>
      <c r="F2" s="1235"/>
      <c r="G2" s="1065"/>
      <c r="H2" s="1065"/>
      <c r="I2" s="1065"/>
      <c r="J2" s="1065"/>
      <c r="K2" s="1066"/>
      <c r="L2" s="1057"/>
      <c r="M2" s="1057"/>
      <c r="N2" s="1057"/>
      <c r="O2" s="1057"/>
      <c r="P2" s="1057"/>
      <c r="Q2" s="1057"/>
      <c r="R2" s="1058"/>
      <c r="S2" s="1058"/>
      <c r="T2" s="1058"/>
      <c r="U2" s="1058"/>
      <c r="V2" s="1058"/>
      <c r="W2" s="1058"/>
      <c r="X2" s="1058"/>
      <c r="Y2" s="1058"/>
      <c r="Z2" s="1058"/>
      <c r="AA2" s="1058"/>
      <c r="AB2" s="1058"/>
      <c r="AC2" s="1058"/>
      <c r="AD2" s="1058"/>
      <c r="AE2" s="1058"/>
      <c r="AF2" s="1058"/>
      <c r="AG2" s="1058"/>
      <c r="AH2" s="1058"/>
      <c r="AI2" s="1058"/>
      <c r="AJ2" s="1058"/>
      <c r="AK2" s="1058"/>
      <c r="AL2" s="1058"/>
      <c r="AM2" s="1058"/>
      <c r="AN2" s="1058"/>
      <c r="AO2" s="1058"/>
      <c r="AP2" s="1058"/>
      <c r="AQ2" s="1058"/>
      <c r="AR2" s="1058"/>
      <c r="AS2" s="1058"/>
      <c r="AT2" s="1058"/>
      <c r="AU2" s="1058"/>
      <c r="AV2" s="1058"/>
      <c r="AW2" s="1058"/>
      <c r="AX2" s="1058"/>
      <c r="AY2" s="1058"/>
      <c r="AZ2" s="1058"/>
      <c r="BA2" s="1058"/>
      <c r="BB2" s="1058"/>
      <c r="BC2" s="1058"/>
      <c r="BD2" s="1058"/>
      <c r="BE2" s="1058"/>
      <c r="BF2" s="1058"/>
      <c r="BG2" s="1058"/>
      <c r="BH2" s="1058"/>
      <c r="BI2" s="1058"/>
      <c r="BJ2" s="1058"/>
      <c r="BK2" s="1058"/>
      <c r="BL2" s="1058"/>
      <c r="BM2" s="1058"/>
      <c r="BN2" s="1058"/>
      <c r="BO2" s="1058"/>
      <c r="BP2" s="1058"/>
      <c r="BQ2" s="1059"/>
      <c r="BR2" s="1059"/>
      <c r="BS2" s="1059"/>
      <c r="BT2" s="1059"/>
      <c r="BU2" s="1059"/>
      <c r="BV2" s="1060" t="s">
        <v>811</v>
      </c>
      <c r="BW2" s="1059"/>
      <c r="BX2" s="1059"/>
      <c r="BY2" s="1059"/>
      <c r="BZ2" s="1059"/>
    </row>
    <row r="3" spans="1:78" ht="13.5" thickBot="1">
      <c r="A3" s="1067"/>
      <c r="B3" s="1236" t="s">
        <v>726</v>
      </c>
      <c r="C3" s="1236"/>
      <c r="D3" s="1237"/>
      <c r="E3" s="1238"/>
      <c r="F3" s="1580">
        <v>43199</v>
      </c>
      <c r="G3" s="1068"/>
      <c r="H3" s="1069"/>
      <c r="I3" s="1069"/>
      <c r="J3" s="1069"/>
      <c r="K3" s="1068"/>
      <c r="L3" s="1070"/>
      <c r="M3" s="1070"/>
      <c r="N3" s="1070"/>
      <c r="O3" s="1070"/>
      <c r="P3" s="1069"/>
      <c r="Q3" s="1069"/>
      <c r="R3" s="1069"/>
      <c r="S3" s="1069"/>
      <c r="T3" s="1069"/>
      <c r="U3" s="1069"/>
      <c r="V3" s="1069"/>
      <c r="W3" s="1069"/>
      <c r="X3" s="1069"/>
      <c r="Y3" s="1069"/>
      <c r="Z3" s="1069"/>
      <c r="AA3" s="1069"/>
      <c r="AB3" s="1069"/>
      <c r="AC3" s="1069"/>
      <c r="AD3" s="1069"/>
      <c r="AE3" s="1069"/>
      <c r="AF3" s="1069"/>
      <c r="AG3" s="1069"/>
      <c r="AH3" s="1069"/>
      <c r="AI3" s="1069"/>
      <c r="AJ3" s="1069"/>
      <c r="AK3" s="1069"/>
      <c r="AL3" s="1069"/>
      <c r="AM3" s="1069"/>
      <c r="AN3" s="1069"/>
      <c r="AO3" s="1069"/>
      <c r="AP3" s="1069"/>
      <c r="AQ3" s="1069"/>
      <c r="AR3" s="1069"/>
      <c r="AS3" s="1069"/>
      <c r="AT3" s="1069"/>
      <c r="AU3" s="1069"/>
      <c r="AV3" s="1069"/>
      <c r="AW3" s="1069"/>
      <c r="AX3" s="1069"/>
      <c r="AY3" s="1069"/>
      <c r="AZ3" s="1069"/>
      <c r="BA3" s="1069"/>
      <c r="BB3" s="1069"/>
      <c r="BC3" s="1069"/>
      <c r="BD3" s="1069"/>
      <c r="BE3" s="1069"/>
      <c r="BF3" s="1069"/>
      <c r="BG3" s="1069"/>
      <c r="BH3" s="1069"/>
      <c r="BI3" s="1069"/>
      <c r="BJ3" s="1069"/>
      <c r="BK3" s="1069"/>
      <c r="BL3" s="1069"/>
      <c r="BM3" s="1069"/>
      <c r="BN3" s="1069"/>
      <c r="BO3" s="1069"/>
      <c r="BP3" s="1069"/>
      <c r="BQ3" s="1071"/>
      <c r="BR3" s="1071"/>
      <c r="BS3" s="1071"/>
      <c r="BT3" s="1071"/>
      <c r="BU3" s="1071"/>
      <c r="BV3" s="1071"/>
      <c r="BW3" s="1071"/>
      <c r="BX3" s="1071"/>
      <c r="BY3" s="1071"/>
      <c r="BZ3" s="1071"/>
    </row>
    <row r="4" spans="1:78" s="1086" customFormat="1" ht="13.5" thickBot="1">
      <c r="A4" s="1072"/>
      <c r="B4" s="1073" t="s">
        <v>356</v>
      </c>
      <c r="C4" s="1239" t="s">
        <v>757</v>
      </c>
      <c r="D4" s="1240" t="str">
        <f>Valuation!$BX$33</f>
        <v>Yes</v>
      </c>
      <c r="E4" s="1074"/>
      <c r="F4" s="1241"/>
      <c r="G4" s="1075" t="s">
        <v>747</v>
      </c>
      <c r="H4" s="1076" t="s">
        <v>748</v>
      </c>
      <c r="I4" s="1076" t="s">
        <v>749</v>
      </c>
      <c r="J4" s="1077" t="s">
        <v>750</v>
      </c>
      <c r="K4" s="1075" t="s">
        <v>286</v>
      </c>
      <c r="L4" s="1076" t="s">
        <v>287</v>
      </c>
      <c r="M4" s="1076" t="s">
        <v>288</v>
      </c>
      <c r="N4" s="1077" t="s">
        <v>289</v>
      </c>
      <c r="O4" s="1075" t="s">
        <v>290</v>
      </c>
      <c r="P4" s="1076" t="s">
        <v>291</v>
      </c>
      <c r="Q4" s="1076" t="s">
        <v>292</v>
      </c>
      <c r="R4" s="1077" t="s">
        <v>293</v>
      </c>
      <c r="S4" s="1075" t="s">
        <v>294</v>
      </c>
      <c r="T4" s="1076" t="s">
        <v>295</v>
      </c>
      <c r="U4" s="1076" t="s">
        <v>296</v>
      </c>
      <c r="V4" s="1077" t="s">
        <v>297</v>
      </c>
      <c r="W4" s="1076" t="s">
        <v>298</v>
      </c>
      <c r="X4" s="1076" t="s">
        <v>299</v>
      </c>
      <c r="Y4" s="1076" t="s">
        <v>300</v>
      </c>
      <c r="Z4" s="1078" t="s">
        <v>301</v>
      </c>
      <c r="AA4" s="1076" t="s">
        <v>472</v>
      </c>
      <c r="AB4" s="1076" t="s">
        <v>473</v>
      </c>
      <c r="AC4" s="1076" t="s">
        <v>474</v>
      </c>
      <c r="AD4" s="1078" t="s">
        <v>475</v>
      </c>
      <c r="AE4" s="1076" t="s">
        <v>568</v>
      </c>
      <c r="AF4" s="1076" t="s">
        <v>569</v>
      </c>
      <c r="AG4" s="1076" t="s">
        <v>570</v>
      </c>
      <c r="AH4" s="1078" t="s">
        <v>571</v>
      </c>
      <c r="AI4" s="1076" t="s">
        <v>752</v>
      </c>
      <c r="AJ4" s="1076" t="s">
        <v>753</v>
      </c>
      <c r="AK4" s="1076" t="s">
        <v>754</v>
      </c>
      <c r="AL4" s="1078" t="s">
        <v>755</v>
      </c>
      <c r="AM4" s="1076" t="s">
        <v>880</v>
      </c>
      <c r="AN4" s="1076" t="s">
        <v>881</v>
      </c>
      <c r="AO4" s="1076" t="s">
        <v>882</v>
      </c>
      <c r="AP4" s="1078" t="s">
        <v>883</v>
      </c>
      <c r="AQ4" s="1076" t="s">
        <v>951</v>
      </c>
      <c r="AR4" s="1076" t="s">
        <v>952</v>
      </c>
      <c r="AS4" s="1076" t="s">
        <v>953</v>
      </c>
      <c r="AT4" s="1078" t="s">
        <v>954</v>
      </c>
      <c r="AU4" s="1076" t="s">
        <v>947</v>
      </c>
      <c r="AV4" s="1076" t="s">
        <v>948</v>
      </c>
      <c r="AW4" s="1076" t="s">
        <v>949</v>
      </c>
      <c r="AX4" s="1078" t="s">
        <v>950</v>
      </c>
      <c r="AY4" s="1076" t="s">
        <v>1047</v>
      </c>
      <c r="AZ4" s="1076" t="s">
        <v>1048</v>
      </c>
      <c r="BA4" s="1076" t="s">
        <v>1049</v>
      </c>
      <c r="BB4" s="1078" t="s">
        <v>1050</v>
      </c>
      <c r="BC4" s="1079"/>
      <c r="BD4" s="1080"/>
      <c r="BE4" s="1081">
        <v>2010</v>
      </c>
      <c r="BF4" s="1081">
        <v>2011</v>
      </c>
      <c r="BG4" s="1081">
        <f t="shared" ref="BG4:BL4" si="0">+BF4+1</f>
        <v>2012</v>
      </c>
      <c r="BH4" s="1081">
        <f t="shared" si="0"/>
        <v>2013</v>
      </c>
      <c r="BI4" s="1081">
        <f t="shared" si="0"/>
        <v>2014</v>
      </c>
      <c r="BJ4" s="1081">
        <f t="shared" si="0"/>
        <v>2015</v>
      </c>
      <c r="BK4" s="1081">
        <f t="shared" si="0"/>
        <v>2016</v>
      </c>
      <c r="BL4" s="1081">
        <f t="shared" si="0"/>
        <v>2017</v>
      </c>
      <c r="BM4" s="1081">
        <f>+BL4+1</f>
        <v>2018</v>
      </c>
      <c r="BN4" s="1081">
        <f>+BM4+1</f>
        <v>2019</v>
      </c>
      <c r="BO4" s="1081">
        <f>+BN4+1</f>
        <v>2020</v>
      </c>
      <c r="BP4" s="1081">
        <f>+BO4+1</f>
        <v>2021</v>
      </c>
      <c r="BQ4" s="1083"/>
      <c r="BR4" s="1084"/>
      <c r="BS4" s="1085"/>
      <c r="BU4" s="1087"/>
    </row>
    <row r="5" spans="1:78" ht="12.75" customHeight="1">
      <c r="A5" s="1088"/>
      <c r="B5" s="1089"/>
      <c r="C5" s="1090"/>
      <c r="D5" s="1090"/>
      <c r="E5" s="1091"/>
      <c r="F5" s="1242"/>
      <c r="G5" s="1075"/>
      <c r="H5" s="1076"/>
      <c r="I5" s="1076"/>
      <c r="J5" s="1077"/>
      <c r="K5" s="1075"/>
      <c r="L5" s="1076"/>
      <c r="M5" s="1076"/>
      <c r="N5" s="1077"/>
      <c r="O5" s="1075"/>
      <c r="P5" s="1076"/>
      <c r="Q5" s="1076"/>
      <c r="R5" s="1077"/>
      <c r="S5" s="1075"/>
      <c r="T5" s="1076"/>
      <c r="U5" s="1076"/>
      <c r="V5" s="1077"/>
      <c r="W5" s="1076"/>
      <c r="X5" s="1076"/>
      <c r="Y5" s="1076"/>
      <c r="Z5" s="1078"/>
      <c r="AA5" s="1076"/>
      <c r="AB5" s="1076"/>
      <c r="AC5" s="1076"/>
      <c r="AD5" s="1078"/>
      <c r="AE5" s="1076"/>
      <c r="AF5" s="1076"/>
      <c r="AG5" s="1076"/>
      <c r="AH5" s="1078"/>
      <c r="AI5" s="1076"/>
      <c r="AJ5" s="1076"/>
      <c r="AK5" s="1076"/>
      <c r="AL5" s="1078"/>
      <c r="AM5" s="1076"/>
      <c r="AN5" s="1076"/>
      <c r="AO5" s="1076"/>
      <c r="AP5" s="1078"/>
      <c r="AQ5" s="1076"/>
      <c r="AR5" s="1076"/>
      <c r="AS5" s="1076"/>
      <c r="AT5" s="1078"/>
      <c r="AU5" s="1076"/>
      <c r="AV5" s="1076"/>
      <c r="AW5" s="1076"/>
      <c r="AX5" s="1078"/>
      <c r="AY5" s="1076"/>
      <c r="AZ5" s="1076"/>
      <c r="BA5" s="1076"/>
      <c r="BB5" s="1078"/>
      <c r="BC5" s="1079"/>
      <c r="BD5" s="1080"/>
      <c r="BE5" s="1081"/>
      <c r="BF5" s="1081"/>
      <c r="BG5" s="1082"/>
      <c r="BH5" s="1082"/>
      <c r="BI5" s="1082"/>
      <c r="BJ5" s="1082"/>
      <c r="BK5" s="1082"/>
      <c r="BL5" s="1082"/>
      <c r="BM5" s="1082"/>
      <c r="BN5" s="1082"/>
      <c r="BO5" s="1082"/>
      <c r="BP5" s="1082"/>
      <c r="BQ5" s="1083"/>
      <c r="BR5" s="1084"/>
      <c r="BS5" s="1085"/>
      <c r="BT5" s="1086"/>
      <c r="BU5" s="1087"/>
      <c r="BV5" s="1086"/>
      <c r="BW5" s="1086"/>
      <c r="BX5" s="1086"/>
      <c r="BY5" s="1086"/>
      <c r="BZ5" s="1086"/>
    </row>
    <row r="6" spans="1:78" ht="12.75" customHeight="1">
      <c r="A6" s="1088"/>
      <c r="B6" s="1089"/>
      <c r="C6" s="1092" t="str">
        <f t="shared" ref="C6:AH6" si="1">IF(ISBLANK(C149),"",C149)</f>
        <v>Fuel Prices</v>
      </c>
      <c r="D6" s="1093" t="str">
        <f t="shared" si="1"/>
        <v/>
      </c>
      <c r="E6" s="1094" t="str">
        <f t="shared" si="1"/>
        <v/>
      </c>
      <c r="F6" s="1243" t="str">
        <f t="shared" si="1"/>
        <v/>
      </c>
      <c r="G6" s="1095" t="str">
        <f t="shared" si="1"/>
        <v/>
      </c>
      <c r="H6" s="1096" t="str">
        <f t="shared" si="1"/>
        <v/>
      </c>
      <c r="I6" s="1096" t="str">
        <f t="shared" si="1"/>
        <v/>
      </c>
      <c r="J6" s="1097" t="str">
        <f t="shared" si="1"/>
        <v/>
      </c>
      <c r="K6" s="1095" t="str">
        <f t="shared" si="1"/>
        <v/>
      </c>
      <c r="L6" s="1096" t="str">
        <f t="shared" si="1"/>
        <v/>
      </c>
      <c r="M6" s="1096" t="str">
        <f t="shared" si="1"/>
        <v/>
      </c>
      <c r="N6" s="1097" t="str">
        <f t="shared" si="1"/>
        <v/>
      </c>
      <c r="O6" s="1095" t="str">
        <f t="shared" si="1"/>
        <v/>
      </c>
      <c r="P6" s="1096" t="str">
        <f t="shared" si="1"/>
        <v/>
      </c>
      <c r="Q6" s="1096" t="str">
        <f t="shared" si="1"/>
        <v/>
      </c>
      <c r="R6" s="1097" t="str">
        <f t="shared" si="1"/>
        <v/>
      </c>
      <c r="S6" s="1095" t="str">
        <f t="shared" si="1"/>
        <v/>
      </c>
      <c r="T6" s="1730" t="str">
        <f t="shared" si="1"/>
        <v/>
      </c>
      <c r="U6" s="1730" t="str">
        <f t="shared" si="1"/>
        <v/>
      </c>
      <c r="V6" s="1731" t="str">
        <f t="shared" si="1"/>
        <v/>
      </c>
      <c r="W6" s="1730" t="str">
        <f t="shared" si="1"/>
        <v/>
      </c>
      <c r="X6" s="1730" t="str">
        <f t="shared" si="1"/>
        <v/>
      </c>
      <c r="Y6" s="1730" t="str">
        <f t="shared" si="1"/>
        <v/>
      </c>
      <c r="Z6" s="1098" t="str">
        <f t="shared" si="1"/>
        <v/>
      </c>
      <c r="AA6" s="1099" t="str">
        <f t="shared" si="1"/>
        <v/>
      </c>
      <c r="AB6" s="1099" t="str">
        <f t="shared" si="1"/>
        <v/>
      </c>
      <c r="AC6" s="1099" t="str">
        <f t="shared" si="1"/>
        <v/>
      </c>
      <c r="AD6" s="1098" t="str">
        <f t="shared" si="1"/>
        <v/>
      </c>
      <c r="AE6" s="1099" t="str">
        <f t="shared" si="1"/>
        <v/>
      </c>
      <c r="AF6" s="1099" t="str">
        <f t="shared" si="1"/>
        <v/>
      </c>
      <c r="AG6" s="1099" t="str">
        <f t="shared" si="1"/>
        <v/>
      </c>
      <c r="AH6" s="1098" t="str">
        <f t="shared" si="1"/>
        <v/>
      </c>
      <c r="AI6" s="1099" t="str">
        <f t="shared" ref="AI6:BB6" si="2">IF(ISBLANK(AI149),"",AI149)</f>
        <v/>
      </c>
      <c r="AJ6" s="1099" t="str">
        <f t="shared" si="2"/>
        <v/>
      </c>
      <c r="AK6" s="1099" t="str">
        <f t="shared" si="2"/>
        <v/>
      </c>
      <c r="AL6" s="1098" t="str">
        <f t="shared" si="2"/>
        <v/>
      </c>
      <c r="AM6" s="1099" t="str">
        <f t="shared" si="2"/>
        <v/>
      </c>
      <c r="AN6" s="1099" t="str">
        <f t="shared" si="2"/>
        <v/>
      </c>
      <c r="AO6" s="1099" t="str">
        <f t="shared" si="2"/>
        <v/>
      </c>
      <c r="AP6" s="1098" t="str">
        <f t="shared" si="2"/>
        <v/>
      </c>
      <c r="AQ6" s="1099" t="str">
        <f t="shared" si="2"/>
        <v/>
      </c>
      <c r="AR6" s="1099" t="str">
        <f t="shared" si="2"/>
        <v/>
      </c>
      <c r="AS6" s="1099" t="str">
        <f t="shared" si="2"/>
        <v/>
      </c>
      <c r="AT6" s="1098" t="str">
        <f t="shared" si="2"/>
        <v/>
      </c>
      <c r="AU6" s="1099" t="str">
        <f t="shared" si="2"/>
        <v/>
      </c>
      <c r="AV6" s="1099" t="str">
        <f t="shared" si="2"/>
        <v/>
      </c>
      <c r="AW6" s="1099" t="str">
        <f t="shared" si="2"/>
        <v/>
      </c>
      <c r="AX6" s="1098" t="str">
        <f t="shared" si="2"/>
        <v/>
      </c>
      <c r="AY6" s="1099" t="str">
        <f t="shared" si="2"/>
        <v/>
      </c>
      <c r="AZ6" s="1099" t="str">
        <f t="shared" si="2"/>
        <v/>
      </c>
      <c r="BA6" s="1099" t="str">
        <f t="shared" si="2"/>
        <v/>
      </c>
      <c r="BB6" s="1098" t="str">
        <f t="shared" si="2"/>
        <v/>
      </c>
      <c r="BC6" s="1113"/>
      <c r="BD6" s="1101"/>
      <c r="BE6" s="1101"/>
      <c r="BF6" s="1101"/>
      <c r="BG6" s="1101"/>
      <c r="BH6" s="1101"/>
      <c r="BI6" s="1101"/>
      <c r="BJ6" s="1101"/>
      <c r="BK6" s="1101"/>
      <c r="BL6" s="1101"/>
      <c r="BM6" s="1101"/>
      <c r="BN6" s="1101"/>
      <c r="BO6" s="1101"/>
      <c r="BP6" s="1101"/>
      <c r="BQ6" s="1102"/>
      <c r="BR6" s="1103"/>
      <c r="BS6" s="1104"/>
      <c r="BU6" s="1087"/>
      <c r="BV6" s="1244" t="s">
        <v>812</v>
      </c>
    </row>
    <row r="7" spans="1:78" ht="12.75" customHeight="1">
      <c r="A7" s="1088"/>
      <c r="B7" s="1089"/>
      <c r="C7" s="1105" t="str">
        <f>IF(ISBLANK(C150),"",C150)</f>
        <v/>
      </c>
      <c r="D7" s="1106" t="str">
        <f>IF(ISBLANK(D150),"",D150)</f>
        <v/>
      </c>
      <c r="E7" s="1106" t="str">
        <f>IF(ISBLANK(E150),"",E150)</f>
        <v/>
      </c>
      <c r="F7" s="1245"/>
      <c r="G7" s="1107" t="str">
        <f t="shared" ref="G7:R7" si="3">IF(ISBLANK(G150),"",G150)</f>
        <v/>
      </c>
      <c r="H7" s="1108" t="str">
        <f t="shared" si="3"/>
        <v/>
      </c>
      <c r="I7" s="1108" t="str">
        <f t="shared" si="3"/>
        <v/>
      </c>
      <c r="J7" s="1109" t="str">
        <f t="shared" si="3"/>
        <v/>
      </c>
      <c r="K7" s="1107" t="str">
        <f t="shared" si="3"/>
        <v/>
      </c>
      <c r="L7" s="1108" t="str">
        <f t="shared" si="3"/>
        <v/>
      </c>
      <c r="M7" s="1108" t="str">
        <f t="shared" si="3"/>
        <v/>
      </c>
      <c r="N7" s="1109" t="str">
        <f t="shared" si="3"/>
        <v/>
      </c>
      <c r="O7" s="1107" t="str">
        <f t="shared" si="3"/>
        <v/>
      </c>
      <c r="P7" s="1108" t="str">
        <f t="shared" si="3"/>
        <v/>
      </c>
      <c r="Q7" s="1108" t="str">
        <f t="shared" si="3"/>
        <v/>
      </c>
      <c r="R7" s="1110" t="str">
        <f t="shared" si="3"/>
        <v/>
      </c>
      <c r="S7" s="1111" t="str">
        <f t="shared" ref="S7:BB7" si="4">IF(ISBLANK(S150),"",S150)</f>
        <v/>
      </c>
      <c r="T7" s="1112" t="str">
        <f t="shared" si="4"/>
        <v/>
      </c>
      <c r="U7" s="1112" t="str">
        <f t="shared" si="4"/>
        <v/>
      </c>
      <c r="V7" s="1110" t="str">
        <f t="shared" si="4"/>
        <v/>
      </c>
      <c r="W7" s="1112" t="str">
        <f t="shared" si="4"/>
        <v/>
      </c>
      <c r="X7" s="1112" t="str">
        <f t="shared" si="4"/>
        <v/>
      </c>
      <c r="Y7" s="1112" t="str">
        <f t="shared" si="4"/>
        <v/>
      </c>
      <c r="Z7" s="1110" t="str">
        <f t="shared" si="4"/>
        <v/>
      </c>
      <c r="AA7" s="1112" t="str">
        <f t="shared" si="4"/>
        <v/>
      </c>
      <c r="AB7" s="1112" t="str">
        <f t="shared" si="4"/>
        <v/>
      </c>
      <c r="AC7" s="1112" t="str">
        <f t="shared" si="4"/>
        <v/>
      </c>
      <c r="AD7" s="1110" t="str">
        <f t="shared" si="4"/>
        <v/>
      </c>
      <c r="AE7" s="1112" t="str">
        <f t="shared" si="4"/>
        <v/>
      </c>
      <c r="AF7" s="1112" t="str">
        <f t="shared" si="4"/>
        <v/>
      </c>
      <c r="AG7" s="1112" t="str">
        <f t="shared" si="4"/>
        <v/>
      </c>
      <c r="AH7" s="1110" t="str">
        <f t="shared" si="4"/>
        <v/>
      </c>
      <c r="AI7" s="1112" t="str">
        <f t="shared" si="4"/>
        <v/>
      </c>
      <c r="AJ7" s="1112" t="str">
        <f t="shared" si="4"/>
        <v/>
      </c>
      <c r="AK7" s="1112" t="str">
        <f t="shared" si="4"/>
        <v/>
      </c>
      <c r="AL7" s="1110" t="str">
        <f t="shared" si="4"/>
        <v/>
      </c>
      <c r="AM7" s="1112" t="str">
        <f t="shared" si="4"/>
        <v/>
      </c>
      <c r="AN7" s="1112" t="str">
        <f t="shared" si="4"/>
        <v/>
      </c>
      <c r="AO7" s="1112" t="str">
        <f t="shared" si="4"/>
        <v/>
      </c>
      <c r="AP7" s="1110" t="str">
        <f t="shared" si="4"/>
        <v/>
      </c>
      <c r="AQ7" s="1112" t="str">
        <f t="shared" si="4"/>
        <v/>
      </c>
      <c r="AR7" s="1112" t="str">
        <f t="shared" si="4"/>
        <v/>
      </c>
      <c r="AS7" s="1112" t="str">
        <f t="shared" si="4"/>
        <v/>
      </c>
      <c r="AT7" s="1110" t="str">
        <f t="shared" si="4"/>
        <v/>
      </c>
      <c r="AU7" s="1112" t="str">
        <f t="shared" si="4"/>
        <v/>
      </c>
      <c r="AV7" s="1112" t="str">
        <f t="shared" si="4"/>
        <v/>
      </c>
      <c r="AW7" s="1112" t="str">
        <f t="shared" si="4"/>
        <v/>
      </c>
      <c r="AX7" s="1110" t="str">
        <f t="shared" si="4"/>
        <v/>
      </c>
      <c r="AY7" s="1112" t="str">
        <f t="shared" si="4"/>
        <v/>
      </c>
      <c r="AZ7" s="1112" t="str">
        <f t="shared" si="4"/>
        <v/>
      </c>
      <c r="BA7" s="1112" t="str">
        <f t="shared" si="4"/>
        <v/>
      </c>
      <c r="BB7" s="1110" t="str">
        <f t="shared" si="4"/>
        <v/>
      </c>
      <c r="BC7" s="1113"/>
      <c r="BD7" s="1113"/>
      <c r="BE7" s="1113"/>
      <c r="BF7" s="1113"/>
      <c r="BG7" s="1113"/>
      <c r="BH7" s="1113"/>
      <c r="BI7" s="1113"/>
      <c r="BJ7" s="1246"/>
      <c r="BK7" s="1113"/>
      <c r="BL7" s="1113"/>
      <c r="BM7" s="1113"/>
      <c r="BN7" s="1113"/>
      <c r="BO7" s="1113"/>
      <c r="BP7" s="1113"/>
      <c r="BQ7" s="1114"/>
      <c r="BR7" s="1115"/>
      <c r="BU7" s="1087"/>
      <c r="BV7" s="1247" t="s">
        <v>1051</v>
      </c>
      <c r="BW7" s="1248">
        <f>BP8</f>
        <v>2.8552499999999994</v>
      </c>
    </row>
    <row r="8" spans="1:78" ht="12.75" customHeight="1">
      <c r="A8" s="1088"/>
      <c r="B8" s="1089"/>
      <c r="C8" s="1371" t="s">
        <v>751</v>
      </c>
      <c r="D8" s="1370"/>
      <c r="E8" s="1370"/>
      <c r="F8" s="1116"/>
      <c r="G8" s="1388">
        <f t="shared" ref="G8:R8" si="5">IF(ISBLANK(G151),"",G151)</f>
        <v>5.1241129032258064</v>
      </c>
      <c r="H8" s="1389">
        <f t="shared" si="5"/>
        <v>4.3247460317460309</v>
      </c>
      <c r="I8" s="1389">
        <f t="shared" si="5"/>
        <v>4.2905156250000003</v>
      </c>
      <c r="J8" s="1390">
        <f t="shared" si="5"/>
        <v>3.8051846153846145</v>
      </c>
      <c r="K8" s="1388">
        <f t="shared" si="5"/>
        <v>4.1753749999999998</v>
      </c>
      <c r="L8" s="1389">
        <f t="shared" si="5"/>
        <v>4.3679218749999995</v>
      </c>
      <c r="M8" s="1389">
        <f t="shared" si="5"/>
        <v>4.1250937499999987</v>
      </c>
      <c r="N8" s="1390">
        <f t="shared" si="5"/>
        <v>3.3347142857142864</v>
      </c>
      <c r="O8" s="1388">
        <f t="shared" si="5"/>
        <v>2.4596984126984123</v>
      </c>
      <c r="P8" s="1389">
        <f t="shared" si="5"/>
        <v>2.2776984126984123</v>
      </c>
      <c r="Q8" s="1389">
        <f t="shared" si="5"/>
        <v>2.8780317460317462</v>
      </c>
      <c r="R8" s="1389">
        <f t="shared" si="5"/>
        <v>3.3929375000000004</v>
      </c>
      <c r="S8" s="1120">
        <f t="shared" ref="S8:BB8" si="6">IF(ISBLANK(S151),"",S151)</f>
        <v>3.4791000000000003</v>
      </c>
      <c r="T8" s="1121">
        <f t="shared" si="6"/>
        <v>4.0243281250000011</v>
      </c>
      <c r="U8" s="1121">
        <f t="shared" si="6"/>
        <v>3.5578281250000003</v>
      </c>
      <c r="V8" s="1122">
        <f t="shared" si="6"/>
        <v>3.8364218749999996</v>
      </c>
      <c r="W8" s="1121">
        <f t="shared" si="6"/>
        <v>5.1762950819672131</v>
      </c>
      <c r="X8" s="1121">
        <f t="shared" si="6"/>
        <v>4.6069687499999992</v>
      </c>
      <c r="Y8" s="1121">
        <f t="shared" si="6"/>
        <v>3.9690625000000006</v>
      </c>
      <c r="Z8" s="1122">
        <f t="shared" si="6"/>
        <v>3.7758906249999988</v>
      </c>
      <c r="AA8" s="1121">
        <f t="shared" si="6"/>
        <v>2.8932580645161292</v>
      </c>
      <c r="AB8" s="1121">
        <f t="shared" si="6"/>
        <v>2.7407301587301576</v>
      </c>
      <c r="AC8" s="1121">
        <f t="shared" si="6"/>
        <v>2.7644218749999996</v>
      </c>
      <c r="AD8" s="1122">
        <f t="shared" si="6"/>
        <v>2.1331111111111114</v>
      </c>
      <c r="AE8" s="1121">
        <f t="shared" si="6"/>
        <v>1.9876885245901643</v>
      </c>
      <c r="AF8" s="1121">
        <f t="shared" si="6"/>
        <v>2.135984375</v>
      </c>
      <c r="AG8" s="1121">
        <f t="shared" si="6"/>
        <v>2.8751562499999994</v>
      </c>
      <c r="AH8" s="1122">
        <f t="shared" si="6"/>
        <v>3.0312419354838709</v>
      </c>
      <c r="AI8" s="1121">
        <f t="shared" si="6"/>
        <v>3.0098387096774188</v>
      </c>
      <c r="AJ8" s="1121">
        <f t="shared" si="6"/>
        <v>3.076171875</v>
      </c>
      <c r="AK8" s="1121">
        <f t="shared" si="6"/>
        <v>2.9540158730158725</v>
      </c>
      <c r="AL8" s="1122">
        <f t="shared" si="6"/>
        <v>2.8899677419354837</v>
      </c>
      <c r="AM8" s="1121">
        <f t="shared" si="6"/>
        <v>3.1108032786885249</v>
      </c>
      <c r="AN8" s="1121">
        <f t="shared" si="6"/>
        <v>2.6796666666666664</v>
      </c>
      <c r="AO8" s="1121">
        <f t="shared" si="6"/>
        <v>2.8149999999999999</v>
      </c>
      <c r="AP8" s="1122">
        <f t="shared" si="6"/>
        <v>2.9016666666666668</v>
      </c>
      <c r="AQ8" s="1121">
        <f t="shared" si="6"/>
        <v>2.9026943643004919</v>
      </c>
      <c r="AR8" s="1121">
        <f t="shared" si="6"/>
        <v>2.5441789597993276</v>
      </c>
      <c r="AS8" s="1121">
        <f t="shared" si="6"/>
        <v>2.5777897789713125</v>
      </c>
      <c r="AT8" s="1122">
        <f t="shared" si="6"/>
        <v>3.0133368969288674</v>
      </c>
      <c r="AU8" s="1121">
        <f t="shared" si="6"/>
        <v>2.9460848852381236</v>
      </c>
      <c r="AV8" s="1121">
        <f t="shared" si="6"/>
        <v>2.5822102633295767</v>
      </c>
      <c r="AW8" s="1121">
        <f t="shared" si="6"/>
        <v>2.6163235091335033</v>
      </c>
      <c r="AX8" s="1122">
        <f t="shared" si="6"/>
        <v>3.0583813422987949</v>
      </c>
      <c r="AY8" s="1121">
        <f t="shared" si="6"/>
        <v>3.0034129674466312</v>
      </c>
      <c r="AZ8" s="1121">
        <f t="shared" si="6"/>
        <v>2.632457682539239</v>
      </c>
      <c r="BA8" s="1121">
        <f t="shared" si="6"/>
        <v>2.6672347404993073</v>
      </c>
      <c r="BB8" s="1122">
        <f t="shared" si="6"/>
        <v>3.117894609514821</v>
      </c>
      <c r="BC8" s="1123"/>
      <c r="BD8" s="1123"/>
      <c r="BE8" s="1249">
        <f>AVERAGE(G8:J8)</f>
        <v>4.3861397938391136</v>
      </c>
      <c r="BF8" s="1249">
        <f>AVERAGE(K8:N8)</f>
        <v>4.0007762276785712</v>
      </c>
      <c r="BG8" s="1249">
        <f>AVERAGE(O8:R8)</f>
        <v>2.752091517857143</v>
      </c>
      <c r="BH8" s="1249">
        <f>AVERAGE(S8:V8)</f>
        <v>3.7244195312500001</v>
      </c>
      <c r="BI8" s="1249">
        <f>AVERAGE(W8:Z8)</f>
        <v>4.3820542392418025</v>
      </c>
      <c r="BJ8" s="1249">
        <f>AVERAGE(AA8:AD8)</f>
        <v>2.6328803023393492</v>
      </c>
      <c r="BK8" s="1249">
        <f>AVERAGE(AE8:AH8)</f>
        <v>2.5075177712685086</v>
      </c>
      <c r="BL8" s="1249">
        <f>AVERAGE(AI8:AL8)</f>
        <v>2.9824985499071941</v>
      </c>
      <c r="BM8" s="1249">
        <f>AVERAGE(AM8:AP8)</f>
        <v>2.8767841530054645</v>
      </c>
      <c r="BN8" s="1249">
        <f>AVERAGE(AQ8:AT8)</f>
        <v>2.7594999999999996</v>
      </c>
      <c r="BO8" s="1249">
        <f>AVERAGE(AU8:AX8)</f>
        <v>2.8007499999999994</v>
      </c>
      <c r="BP8" s="1249">
        <f>AVERAGE(AY8:BB8)</f>
        <v>2.8552499999999994</v>
      </c>
      <c r="BQ8" s="1114"/>
      <c r="BR8" s="1115"/>
      <c r="BU8" s="1087"/>
      <c r="BV8" s="1250" t="s">
        <v>711</v>
      </c>
      <c r="BW8" s="1251">
        <f>Valuation!BX27</f>
        <v>2.75</v>
      </c>
    </row>
    <row r="9" spans="1:78" ht="12.75" customHeight="1">
      <c r="A9" s="1088"/>
      <c r="B9" s="1089"/>
      <c r="C9" s="1370" t="s">
        <v>520</v>
      </c>
      <c r="D9" s="1370"/>
      <c r="E9" s="1370"/>
      <c r="F9" s="1116"/>
      <c r="G9" s="1388">
        <f t="shared" ref="G9:R9" si="7">IF(ISBLANK(G152),"",G152)</f>
        <v>57.876923076923077</v>
      </c>
      <c r="H9" s="1389">
        <f t="shared" si="7"/>
        <v>62.742307692307698</v>
      </c>
      <c r="I9" s="1389">
        <f t="shared" si="7"/>
        <v>67.830769230769235</v>
      </c>
      <c r="J9" s="1390">
        <f t="shared" si="7"/>
        <v>70.910714285714263</v>
      </c>
      <c r="K9" s="1388">
        <f t="shared" si="7"/>
        <v>77.237500000000026</v>
      </c>
      <c r="L9" s="1389">
        <f t="shared" si="7"/>
        <v>78.430769230769243</v>
      </c>
      <c r="M9" s="1389">
        <f t="shared" si="7"/>
        <v>80.007142857142853</v>
      </c>
      <c r="N9" s="1390">
        <f t="shared" si="7"/>
        <v>78.934615384615398</v>
      </c>
      <c r="O9" s="1388">
        <f t="shared" si="7"/>
        <v>70.069230769230771</v>
      </c>
      <c r="P9" s="1389">
        <f t="shared" si="7"/>
        <v>59.92307692307692</v>
      </c>
      <c r="Q9" s="1389">
        <f t="shared" si="7"/>
        <v>61.334615384615397</v>
      </c>
      <c r="R9" s="1389">
        <f t="shared" si="7"/>
        <v>66.634615384615373</v>
      </c>
      <c r="S9" s="1120">
        <f t="shared" ref="S9:BB9" si="8">IF(ISBLANK(S152),"",S152)</f>
        <v>66.511538461538478</v>
      </c>
      <c r="T9" s="1121">
        <f t="shared" si="8"/>
        <v>66.914615384615374</v>
      </c>
      <c r="U9" s="1121">
        <f t="shared" si="8"/>
        <v>64.0053846153846</v>
      </c>
      <c r="V9" s="1122">
        <f t="shared" si="8"/>
        <v>62.446153846153841</v>
      </c>
      <c r="W9" s="1121">
        <f t="shared" si="8"/>
        <v>63.813846153846164</v>
      </c>
      <c r="X9" s="1121">
        <f t="shared" si="8"/>
        <v>60.582307692307708</v>
      </c>
      <c r="Y9" s="1121">
        <f t="shared" si="8"/>
        <v>57.336923076923085</v>
      </c>
      <c r="Z9" s="1122">
        <f t="shared" si="8"/>
        <v>56.106923076923081</v>
      </c>
      <c r="AA9" s="1121">
        <f t="shared" si="8"/>
        <v>53.513846153846139</v>
      </c>
      <c r="AB9" s="1121">
        <f t="shared" si="8"/>
        <v>52.858461538461547</v>
      </c>
      <c r="AC9" s="1121">
        <f t="shared" si="8"/>
        <v>50.784615384615385</v>
      </c>
      <c r="AD9" s="1122">
        <f t="shared" si="8"/>
        <v>46.303846153846159</v>
      </c>
      <c r="AE9" s="1121">
        <f t="shared" si="8"/>
        <v>42.380769230769232</v>
      </c>
      <c r="AF9" s="1121">
        <f t="shared" si="8"/>
        <v>41.192307692307693</v>
      </c>
      <c r="AG9" s="1121">
        <f t="shared" si="8"/>
        <v>40.928571428571438</v>
      </c>
      <c r="AH9" s="1122">
        <f t="shared" si="8"/>
        <v>44.896153846153844</v>
      </c>
      <c r="AI9" s="1121">
        <f t="shared" si="8"/>
        <v>50.057692307692314</v>
      </c>
      <c r="AJ9" s="1121">
        <f t="shared" si="8"/>
        <v>52.46153846153846</v>
      </c>
      <c r="AK9" s="1121">
        <f t="shared" si="8"/>
        <v>52.98846153846155</v>
      </c>
      <c r="AL9" s="1122">
        <f t="shared" si="8"/>
        <v>58.261538461538478</v>
      </c>
      <c r="AM9" s="1121">
        <f t="shared" si="8"/>
        <v>60.850000000000009</v>
      </c>
      <c r="AN9" s="1121">
        <f t="shared" si="8"/>
        <v>49</v>
      </c>
      <c r="AO9" s="1121">
        <f t="shared" si="8"/>
        <v>49</v>
      </c>
      <c r="AP9" s="1122">
        <f t="shared" si="8"/>
        <v>49</v>
      </c>
      <c r="AQ9" s="1121">
        <f t="shared" si="8"/>
        <v>48.154286333412259</v>
      </c>
      <c r="AR9" s="1121">
        <f t="shared" si="8"/>
        <v>48.154286333412259</v>
      </c>
      <c r="AS9" s="1121">
        <f t="shared" si="8"/>
        <v>48.154286333412259</v>
      </c>
      <c r="AT9" s="1122">
        <f t="shared" si="8"/>
        <v>55.537140999763238</v>
      </c>
      <c r="AU9" s="1121">
        <f t="shared" si="8"/>
        <v>48.154286333412259</v>
      </c>
      <c r="AV9" s="1121">
        <f t="shared" si="8"/>
        <v>48.154286333412259</v>
      </c>
      <c r="AW9" s="1121">
        <f t="shared" si="8"/>
        <v>48.154286333412259</v>
      </c>
      <c r="AX9" s="1122">
        <f t="shared" si="8"/>
        <v>55.537140999763238</v>
      </c>
      <c r="AY9" s="1121">
        <f t="shared" si="8"/>
        <v>48.154286333412259</v>
      </c>
      <c r="AZ9" s="1121">
        <f t="shared" si="8"/>
        <v>48.154286333412259</v>
      </c>
      <c r="BA9" s="1121">
        <f t="shared" si="8"/>
        <v>48.154286333412259</v>
      </c>
      <c r="BB9" s="1122">
        <f t="shared" si="8"/>
        <v>55.537140999763238</v>
      </c>
      <c r="BC9" s="1125"/>
      <c r="BD9" s="1123"/>
      <c r="BE9" s="1249">
        <f>AVERAGE(G9:J9)</f>
        <v>64.840178571428567</v>
      </c>
      <c r="BF9" s="1249">
        <f>AVERAGE(K9:N9)</f>
        <v>78.652506868131894</v>
      </c>
      <c r="BG9" s="1249">
        <f>AVERAGE(O9:R9)</f>
        <v>64.490384615384613</v>
      </c>
      <c r="BH9" s="1249">
        <f>AVERAGE(S9:V9)</f>
        <v>64.969423076923078</v>
      </c>
      <c r="BI9" s="1249">
        <f>AVERAGE(W9:Z9)</f>
        <v>59.460000000000008</v>
      </c>
      <c r="BJ9" s="1249">
        <f>AVERAGE(AA9:AD9)</f>
        <v>50.865192307692311</v>
      </c>
      <c r="BK9" s="1249">
        <f>AVERAGE(AE9:AH9)</f>
        <v>42.349450549450552</v>
      </c>
      <c r="BL9" s="1249">
        <f>AVERAGE(AI9:AL9)</f>
        <v>53.442307692307693</v>
      </c>
      <c r="BM9" s="1249">
        <f>AVERAGE(AM9:AP9)</f>
        <v>51.962500000000006</v>
      </c>
      <c r="BN9" s="1249">
        <f>AVERAGE(AQ9:AT9)</f>
        <v>50.000000000000007</v>
      </c>
      <c r="BO9" s="1249">
        <f>AVERAGE(AU9:AX9)</f>
        <v>50.000000000000007</v>
      </c>
      <c r="BP9" s="1249">
        <f>AVERAGE(AY9:BB9)</f>
        <v>50.000000000000007</v>
      </c>
      <c r="BQ9" s="1114"/>
      <c r="BR9" s="1115"/>
      <c r="BU9" s="1087"/>
      <c r="BV9" s="1124" t="s">
        <v>813</v>
      </c>
      <c r="BW9" s="1252">
        <f>(BW8-'Market Prices'!BW7)*75%+'Market Prices'!BW7</f>
        <v>2.7763125</v>
      </c>
      <c r="BX9" s="1253"/>
    </row>
    <row r="10" spans="1:78" ht="12.75" customHeight="1">
      <c r="A10" s="1088"/>
      <c r="B10" s="1089"/>
      <c r="C10" s="1370" t="s">
        <v>514</v>
      </c>
      <c r="D10" s="1370"/>
      <c r="E10" s="1370"/>
      <c r="F10" s="1116"/>
      <c r="G10" s="1388">
        <f t="shared" ref="G10:R10" si="9">IF(ISBLANK(G153),"",G153)</f>
        <v>10.753846153846155</v>
      </c>
      <c r="H10" s="1389">
        <f t="shared" si="9"/>
        <v>12.153846153846153</v>
      </c>
      <c r="I10" s="1389">
        <f t="shared" si="9"/>
        <v>14.249999999999998</v>
      </c>
      <c r="J10" s="1390">
        <f t="shared" si="9"/>
        <v>13.750000000000002</v>
      </c>
      <c r="K10" s="1388">
        <f t="shared" si="9"/>
        <v>13.887499999999998</v>
      </c>
      <c r="L10" s="1389">
        <f t="shared" si="9"/>
        <v>12.738461538461538</v>
      </c>
      <c r="M10" s="1389">
        <f t="shared" si="9"/>
        <v>14.228571428571428</v>
      </c>
      <c r="N10" s="1390">
        <f t="shared" si="9"/>
        <v>13.626923076923076</v>
      </c>
      <c r="O10" s="1388">
        <f t="shared" si="9"/>
        <v>9.8423076923076955</v>
      </c>
      <c r="P10" s="1389">
        <f t="shared" si="9"/>
        <v>9.1000000000000014</v>
      </c>
      <c r="Q10" s="1389">
        <f t="shared" si="9"/>
        <v>8.8346153846153861</v>
      </c>
      <c r="R10" s="1389">
        <f t="shared" si="9"/>
        <v>10.123076923076923</v>
      </c>
      <c r="S10" s="1120">
        <f t="shared" ref="S10:BB10" si="10">IF(ISBLANK(S153),"",S153)</f>
        <v>10.238461538461538</v>
      </c>
      <c r="T10" s="1121">
        <f t="shared" si="10"/>
        <v>10.513846153846153</v>
      </c>
      <c r="U10" s="1121">
        <f t="shared" si="10"/>
        <v>10.403846153846152</v>
      </c>
      <c r="V10" s="1122">
        <f t="shared" si="10"/>
        <v>10.982307692307691</v>
      </c>
      <c r="W10" s="1121">
        <f t="shared" si="10"/>
        <v>12.356153846153846</v>
      </c>
      <c r="X10" s="1121">
        <f t="shared" si="10"/>
        <v>12.986153846153845</v>
      </c>
      <c r="Y10" s="1121">
        <f t="shared" si="10"/>
        <v>11.965384615384615</v>
      </c>
      <c r="Z10" s="1122">
        <f t="shared" si="10"/>
        <v>11.526923076923076</v>
      </c>
      <c r="AA10" s="1121">
        <f t="shared" si="10"/>
        <v>11.592307692307692</v>
      </c>
      <c r="AB10" s="1121">
        <f t="shared" si="10"/>
        <v>11.55</v>
      </c>
      <c r="AC10" s="1121">
        <f t="shared" si="10"/>
        <v>11.592307692307692</v>
      </c>
      <c r="AD10" s="1122">
        <f t="shared" si="10"/>
        <v>11.342307692307694</v>
      </c>
      <c r="AE10" s="1121">
        <f t="shared" si="10"/>
        <v>9.7807692307692307</v>
      </c>
      <c r="AF10" s="1121">
        <f t="shared" si="10"/>
        <v>9.1807692307692292</v>
      </c>
      <c r="AG10" s="1121">
        <f t="shared" si="10"/>
        <v>8.6428571428571441</v>
      </c>
      <c r="AH10" s="1122">
        <f t="shared" si="10"/>
        <v>9.3461538461538467</v>
      </c>
      <c r="AI10" s="1121">
        <f t="shared" si="10"/>
        <v>11.473076923076921</v>
      </c>
      <c r="AJ10" s="1121">
        <f t="shared" si="10"/>
        <v>11.597692307692309</v>
      </c>
      <c r="AK10" s="1121">
        <f t="shared" si="10"/>
        <v>11.516153846153847</v>
      </c>
      <c r="AL10" s="1122">
        <f t="shared" si="10"/>
        <v>11.923076923076922</v>
      </c>
      <c r="AM10" s="1121">
        <f t="shared" si="10"/>
        <v>12.296153846153848</v>
      </c>
      <c r="AN10" s="1121">
        <f t="shared" si="10"/>
        <v>11</v>
      </c>
      <c r="AO10" s="1121">
        <f t="shared" si="10"/>
        <v>11.35</v>
      </c>
      <c r="AP10" s="1122">
        <f t="shared" si="10"/>
        <v>11.65</v>
      </c>
      <c r="AQ10" s="1121">
        <f t="shared" si="10"/>
        <v>11.728652443964354</v>
      </c>
      <c r="AR10" s="1121">
        <f t="shared" si="10"/>
        <v>11.728652443964354</v>
      </c>
      <c r="AS10" s="1121">
        <f t="shared" si="10"/>
        <v>11.728652443964354</v>
      </c>
      <c r="AT10" s="1122">
        <f t="shared" si="10"/>
        <v>11.414042668106942</v>
      </c>
      <c r="AU10" s="1121">
        <f t="shared" si="10"/>
        <v>11.728652443964354</v>
      </c>
      <c r="AV10" s="1121">
        <f t="shared" si="10"/>
        <v>11.728652443964354</v>
      </c>
      <c r="AW10" s="1121">
        <f t="shared" si="10"/>
        <v>11.728652443964354</v>
      </c>
      <c r="AX10" s="1122">
        <f t="shared" si="10"/>
        <v>11.414042668106942</v>
      </c>
      <c r="AY10" s="1121">
        <f t="shared" si="10"/>
        <v>11.728652443964354</v>
      </c>
      <c r="AZ10" s="1121">
        <f t="shared" si="10"/>
        <v>11.728652443964354</v>
      </c>
      <c r="BA10" s="1121">
        <f t="shared" si="10"/>
        <v>11.728652443964354</v>
      </c>
      <c r="BB10" s="1122">
        <f t="shared" si="10"/>
        <v>11.414042668106942</v>
      </c>
      <c r="BC10" s="1125"/>
      <c r="BD10" s="1123"/>
      <c r="BE10" s="1249">
        <f>AVERAGE(G10:J10)</f>
        <v>12.726923076923077</v>
      </c>
      <c r="BF10" s="1249">
        <f>AVERAGE(K10:N10)</f>
        <v>13.620364010989011</v>
      </c>
      <c r="BG10" s="1249">
        <f>AVERAGE(O10:R10)</f>
        <v>9.4750000000000014</v>
      </c>
      <c r="BH10" s="1249">
        <f>AVERAGE(S10:V10)</f>
        <v>10.534615384615384</v>
      </c>
      <c r="BI10" s="1249">
        <f>AVERAGE(W10:Z10)</f>
        <v>12.208653846153846</v>
      </c>
      <c r="BJ10" s="1249">
        <f>AVERAGE(AA10:AD10)</f>
        <v>11.519230769230768</v>
      </c>
      <c r="BK10" s="1249">
        <f>AVERAGE(AE10:AH10)</f>
        <v>9.2376373626373631</v>
      </c>
      <c r="BL10" s="1249">
        <f>AVERAGE(AI10:AL10)</f>
        <v>11.6275</v>
      </c>
      <c r="BM10" s="1249">
        <f>AVERAGE(AM10:AP10)</f>
        <v>11.574038461538462</v>
      </c>
      <c r="BN10" s="1249">
        <f>AVERAGE(AQ10:AT10)</f>
        <v>11.650000000000002</v>
      </c>
      <c r="BO10" s="1249">
        <f>AVERAGE(AU10:AX10)</f>
        <v>11.650000000000002</v>
      </c>
      <c r="BP10" s="1249">
        <f>AVERAGE(AY10:BB10)</f>
        <v>11.650000000000002</v>
      </c>
      <c r="BQ10" s="1114"/>
      <c r="BR10" s="1115"/>
      <c r="BU10" s="1087"/>
      <c r="BV10" s="1086"/>
      <c r="BW10" s="1086"/>
      <c r="BX10" s="1086"/>
    </row>
    <row r="11" spans="1:78" ht="12.75" customHeight="1">
      <c r="A11" s="1088"/>
      <c r="B11" s="1089"/>
      <c r="C11" s="1370" t="s">
        <v>701</v>
      </c>
      <c r="D11" s="1370"/>
      <c r="E11" s="1370"/>
      <c r="F11" s="1116"/>
      <c r="G11" s="1388">
        <f t="shared" ref="G11:R11" si="11">IF(ISBLANK(G154),"",G154)</f>
        <v>57.360769230769236</v>
      </c>
      <c r="H11" s="1389">
        <f t="shared" si="11"/>
        <v>61.346153846153847</v>
      </c>
      <c r="I11" s="1389">
        <f t="shared" si="11"/>
        <v>65.019230769230774</v>
      </c>
      <c r="J11" s="1390">
        <f t="shared" si="11"/>
        <v>69.714285714285708</v>
      </c>
      <c r="K11" s="1388">
        <f t="shared" si="11"/>
        <v>73.291666666666657</v>
      </c>
      <c r="L11" s="1389">
        <f t="shared" si="11"/>
        <v>77.380769230769218</v>
      </c>
      <c r="M11" s="1389">
        <f t="shared" si="11"/>
        <v>77.203571428571422</v>
      </c>
      <c r="N11" s="1390">
        <f t="shared" si="11"/>
        <v>76.461538461538453</v>
      </c>
      <c r="O11" s="1388">
        <f t="shared" si="11"/>
        <v>70.211538461538439</v>
      </c>
      <c r="P11" s="1389">
        <f t="shared" si="11"/>
        <v>64.988461538461522</v>
      </c>
      <c r="Q11" s="1389">
        <f t="shared" si="11"/>
        <v>64.992307692307705</v>
      </c>
      <c r="R11" s="1389">
        <f t="shared" si="11"/>
        <v>64.276923076923083</v>
      </c>
      <c r="S11" s="1120">
        <f t="shared" ref="S11:BB11" si="12">IF(ISBLANK(S154),"",S154)</f>
        <v>62.246153846153859</v>
      </c>
      <c r="T11" s="1121">
        <f t="shared" si="12"/>
        <v>64.961538461538467</v>
      </c>
      <c r="U11" s="1121">
        <f t="shared" si="12"/>
        <v>68.230769230769226</v>
      </c>
      <c r="V11" s="1122">
        <f t="shared" si="12"/>
        <v>68.615384615384613</v>
      </c>
      <c r="W11" s="1121">
        <f t="shared" si="12"/>
        <v>68.453846153846143</v>
      </c>
      <c r="X11" s="1121">
        <f t="shared" si="12"/>
        <v>67.120769230769227</v>
      </c>
      <c r="Y11" s="1121">
        <f t="shared" si="12"/>
        <v>63.607692307692297</v>
      </c>
      <c r="Z11" s="1122">
        <f t="shared" si="12"/>
        <v>53.301576923076922</v>
      </c>
      <c r="AA11" s="1121">
        <f t="shared" si="12"/>
        <v>50.83815384615383</v>
      </c>
      <c r="AB11" s="1121">
        <f t="shared" si="12"/>
        <v>50.215538461538465</v>
      </c>
      <c r="AC11" s="1121">
        <f t="shared" si="12"/>
        <v>48.245384615384616</v>
      </c>
      <c r="AD11" s="1122">
        <f t="shared" si="12"/>
        <v>43.988653846153852</v>
      </c>
      <c r="AE11" s="1121">
        <f t="shared" si="12"/>
        <v>40.261730769230766</v>
      </c>
      <c r="AF11" s="1121">
        <f t="shared" si="12"/>
        <v>39.132692307692309</v>
      </c>
      <c r="AG11" s="1121">
        <f t="shared" si="12"/>
        <v>38.882142857142867</v>
      </c>
      <c r="AH11" s="1122">
        <f t="shared" si="12"/>
        <v>42.651346153846148</v>
      </c>
      <c r="AI11" s="1121">
        <f t="shared" si="12"/>
        <v>47.554807692307698</v>
      </c>
      <c r="AJ11" s="1121">
        <f t="shared" si="12"/>
        <v>49.838461538461537</v>
      </c>
      <c r="AK11" s="1121">
        <f t="shared" si="12"/>
        <v>50.339038461538472</v>
      </c>
      <c r="AL11" s="1122">
        <f t="shared" si="12"/>
        <v>55.348461538461549</v>
      </c>
      <c r="AM11" s="1121">
        <f t="shared" si="12"/>
        <v>57.807500000000005</v>
      </c>
      <c r="AN11" s="1121">
        <f t="shared" si="12"/>
        <v>46.55</v>
      </c>
      <c r="AO11" s="1121">
        <f t="shared" si="12"/>
        <v>46.55</v>
      </c>
      <c r="AP11" s="1122">
        <f t="shared" si="12"/>
        <v>46.55</v>
      </c>
      <c r="AQ11" s="1121">
        <f t="shared" si="12"/>
        <v>45.746572016741645</v>
      </c>
      <c r="AR11" s="1121">
        <f t="shared" si="12"/>
        <v>45.746572016741645</v>
      </c>
      <c r="AS11" s="1121">
        <f t="shared" si="12"/>
        <v>45.746572016741645</v>
      </c>
      <c r="AT11" s="1122">
        <f t="shared" si="12"/>
        <v>52.760283949775072</v>
      </c>
      <c r="AU11" s="1121">
        <f t="shared" si="12"/>
        <v>45.746572016741645</v>
      </c>
      <c r="AV11" s="1121">
        <f t="shared" si="12"/>
        <v>45.746572016741645</v>
      </c>
      <c r="AW11" s="1121">
        <f t="shared" si="12"/>
        <v>45.746572016741645</v>
      </c>
      <c r="AX11" s="1122">
        <f t="shared" si="12"/>
        <v>52.760283949775072</v>
      </c>
      <c r="AY11" s="1121">
        <f t="shared" si="12"/>
        <v>45.746572016741645</v>
      </c>
      <c r="AZ11" s="1121">
        <f t="shared" si="12"/>
        <v>45.746572016741645</v>
      </c>
      <c r="BA11" s="1121">
        <f t="shared" si="12"/>
        <v>45.746572016741645</v>
      </c>
      <c r="BB11" s="1122">
        <f t="shared" si="12"/>
        <v>52.760283949775072</v>
      </c>
      <c r="BC11" s="1125"/>
      <c r="BD11" s="1123"/>
      <c r="BE11" s="1249">
        <f>AVERAGE(G11:J11)</f>
        <v>63.360109890109896</v>
      </c>
      <c r="BF11" s="1249">
        <f>AVERAGE(K11:N11)</f>
        <v>76.084386446886441</v>
      </c>
      <c r="BG11" s="1249">
        <f>AVERAGE(O11:R11)</f>
        <v>66.117307692307691</v>
      </c>
      <c r="BH11" s="1249">
        <f>AVERAGE(S11:V11)</f>
        <v>66.013461538461542</v>
      </c>
      <c r="BI11" s="1249">
        <f>AVERAGE(W11:Z11)</f>
        <v>63.120971153846142</v>
      </c>
      <c r="BJ11" s="1249">
        <f>AVERAGE(AA11:AD11)</f>
        <v>48.321932692307691</v>
      </c>
      <c r="BK11" s="1249">
        <f>AVERAGE(AE11:AH11)</f>
        <v>40.231978021978023</v>
      </c>
      <c r="BL11" s="1249">
        <f>AVERAGE(AI11:AL11)</f>
        <v>50.770192307692312</v>
      </c>
      <c r="BM11" s="1249">
        <f>AVERAGE(AM11:AP11)</f>
        <v>49.364374999999995</v>
      </c>
      <c r="BN11" s="1249">
        <f>AVERAGE(AQ11:AT11)</f>
        <v>47.5</v>
      </c>
      <c r="BO11" s="1249">
        <f>AVERAGE(AU11:AX11)</f>
        <v>47.5</v>
      </c>
      <c r="BP11" s="1249">
        <f>AVERAGE(AY11:BB11)</f>
        <v>47.5</v>
      </c>
      <c r="BQ11" s="1114"/>
      <c r="BR11" s="1115"/>
      <c r="BU11" s="1087"/>
    </row>
    <row r="12" spans="1:78" ht="12.75" customHeight="1">
      <c r="A12" s="1088"/>
      <c r="B12" s="1089"/>
      <c r="C12" s="1370" t="s">
        <v>702</v>
      </c>
      <c r="D12" s="1370"/>
      <c r="E12" s="1370"/>
      <c r="F12" s="1116"/>
      <c r="G12" s="1388">
        <f t="shared" ref="G12:R12" si="13">IF(ISBLANK(G155),"",G155)</f>
        <v>41.269230769230766</v>
      </c>
      <c r="H12" s="1389">
        <f t="shared" si="13"/>
        <v>41.919230769230765</v>
      </c>
      <c r="I12" s="1389">
        <f t="shared" si="13"/>
        <v>42.634615384615387</v>
      </c>
      <c r="J12" s="1390">
        <f t="shared" si="13"/>
        <v>47.214285714285715</v>
      </c>
      <c r="K12" s="1388">
        <f t="shared" si="13"/>
        <v>47.5</v>
      </c>
      <c r="L12" s="1389">
        <f t="shared" si="13"/>
        <v>47.730769230769234</v>
      </c>
      <c r="M12" s="1389">
        <f t="shared" si="13"/>
        <v>47.8</v>
      </c>
      <c r="N12" s="1390">
        <f t="shared" si="13"/>
        <v>48.323076923076918</v>
      </c>
      <c r="O12" s="1388">
        <f t="shared" si="13"/>
        <v>52.46153846153846</v>
      </c>
      <c r="P12" s="1389">
        <f t="shared" si="13"/>
        <v>48.615384615384613</v>
      </c>
      <c r="Q12" s="1389">
        <f t="shared" si="13"/>
        <v>47.42307692307692</v>
      </c>
      <c r="R12" s="1389">
        <f t="shared" si="13"/>
        <v>47.888461538461527</v>
      </c>
      <c r="S12" s="1120">
        <f>IF(ISBLANK(S155),"",S155)</f>
        <v>46.630769230769218</v>
      </c>
      <c r="T12" s="1121">
        <f>IF(ISBLANK(T155),"",T155)</f>
        <v>45.149999999999984</v>
      </c>
      <c r="U12" s="1121">
        <f>IF(ISBLANK(U155),"",U155)</f>
        <v>45.534615384615371</v>
      </c>
      <c r="V12" s="1122">
        <f t="shared" ref="S12:AX19" si="14">IF(ISBLANK(V155),"",V155)</f>
        <v>46.149999999999984</v>
      </c>
      <c r="W12" s="1121">
        <f t="shared" si="14"/>
        <v>46.578461538461518</v>
      </c>
      <c r="X12" s="1121">
        <f t="shared" si="14"/>
        <v>46.272307692307692</v>
      </c>
      <c r="Y12" s="1121">
        <f t="shared" si="14"/>
        <v>44.207692307692305</v>
      </c>
      <c r="Z12" s="1122">
        <f t="shared" si="14"/>
        <v>39.274846153846156</v>
      </c>
      <c r="AA12" s="1121">
        <f t="shared" si="14"/>
        <v>37.459692307692293</v>
      </c>
      <c r="AB12" s="1121">
        <f t="shared" si="14"/>
        <v>37.00092307692308</v>
      </c>
      <c r="AC12" s="1121">
        <f t="shared" si="14"/>
        <v>35.549230769230768</v>
      </c>
      <c r="AD12" s="1122">
        <f t="shared" si="14"/>
        <v>32.412692307692311</v>
      </c>
      <c r="AE12" s="1121">
        <f t="shared" si="14"/>
        <v>29.666538461538462</v>
      </c>
      <c r="AF12" s="1121">
        <f t="shared" si="14"/>
        <v>28.834615384615383</v>
      </c>
      <c r="AG12" s="1121">
        <f t="shared" si="14"/>
        <v>28.650000000000006</v>
      </c>
      <c r="AH12" s="1122">
        <f t="shared" si="14"/>
        <v>31.427307692307689</v>
      </c>
      <c r="AI12" s="1121">
        <f t="shared" si="14"/>
        <v>35.040384615384617</v>
      </c>
      <c r="AJ12" s="1121">
        <f t="shared" si="14"/>
        <v>36.723076923076917</v>
      </c>
      <c r="AK12" s="1121">
        <f t="shared" si="14"/>
        <v>37.091923076923081</v>
      </c>
      <c r="AL12" s="1122">
        <f t="shared" si="14"/>
        <v>40.783076923076933</v>
      </c>
      <c r="AM12" s="1121">
        <f t="shared" si="14"/>
        <v>42.595000000000006</v>
      </c>
      <c r="AN12" s="1121">
        <f t="shared" si="14"/>
        <v>34.299999999999997</v>
      </c>
      <c r="AO12" s="1121">
        <f t="shared" si="14"/>
        <v>34.299999999999997</v>
      </c>
      <c r="AP12" s="1122">
        <f t="shared" si="14"/>
        <v>34.299999999999997</v>
      </c>
      <c r="AQ12" s="1121">
        <f t="shared" si="14"/>
        <v>33.708000433388577</v>
      </c>
      <c r="AR12" s="1121">
        <f t="shared" si="14"/>
        <v>33.708000433388577</v>
      </c>
      <c r="AS12" s="1121">
        <f t="shared" si="14"/>
        <v>33.708000433388577</v>
      </c>
      <c r="AT12" s="1122">
        <f t="shared" si="14"/>
        <v>38.875998699834263</v>
      </c>
      <c r="AU12" s="1121">
        <f t="shared" si="14"/>
        <v>33.708000433388577</v>
      </c>
      <c r="AV12" s="1121">
        <f t="shared" si="14"/>
        <v>33.708000433388577</v>
      </c>
      <c r="AW12" s="1121">
        <f t="shared" si="14"/>
        <v>33.708000433388577</v>
      </c>
      <c r="AX12" s="1122">
        <f t="shared" si="14"/>
        <v>38.875998699834263</v>
      </c>
      <c r="AY12" s="1121">
        <f t="shared" ref="AY12:BB19" si="15">IF(ISBLANK(AY155),"",AY155)</f>
        <v>33.708000433388577</v>
      </c>
      <c r="AZ12" s="1121">
        <f t="shared" si="15"/>
        <v>33.708000433388577</v>
      </c>
      <c r="BA12" s="1121">
        <f t="shared" si="15"/>
        <v>33.708000433388577</v>
      </c>
      <c r="BB12" s="1122">
        <f t="shared" si="15"/>
        <v>38.875998699834263</v>
      </c>
      <c r="BC12" s="1125"/>
      <c r="BD12" s="1123"/>
      <c r="BE12" s="1249">
        <f>AVERAGE(G12:J12)</f>
        <v>43.259340659340658</v>
      </c>
      <c r="BF12" s="1249">
        <f>AVERAGE(K12:N12)</f>
        <v>47.838461538461537</v>
      </c>
      <c r="BG12" s="1249">
        <f>AVERAGE(O12:R12)</f>
        <v>49.097115384615378</v>
      </c>
      <c r="BH12" s="1249">
        <f>AVERAGE(S12:V12)</f>
        <v>45.866346153846138</v>
      </c>
      <c r="BI12" s="1249">
        <f>AVERAGE(W12:Z12)</f>
        <v>44.08332692307691</v>
      </c>
      <c r="BJ12" s="1249">
        <f>AVERAGE(AA12:AD12)</f>
        <v>35.605634615384616</v>
      </c>
      <c r="BK12" s="1249">
        <f>AVERAGE(AE12:AH12)</f>
        <v>29.644615384615385</v>
      </c>
      <c r="BL12" s="1249">
        <f>AVERAGE(AI12:AL12)</f>
        <v>37.409615384615392</v>
      </c>
      <c r="BM12" s="1249">
        <f>AVERAGE(AM12:AP12)</f>
        <v>36.373750000000001</v>
      </c>
      <c r="BN12" s="1249">
        <f>AVERAGE(AQ12:AT12)</f>
        <v>35</v>
      </c>
      <c r="BO12" s="1249">
        <f>AVERAGE(AU12:AX12)</f>
        <v>35</v>
      </c>
      <c r="BP12" s="1249">
        <f>AVERAGE(AY12:BB12)</f>
        <v>35</v>
      </c>
      <c r="BQ12" s="1114"/>
      <c r="BR12" s="1115"/>
      <c r="BU12" s="1087"/>
    </row>
    <row r="13" spans="1:78" ht="12.75" customHeight="1">
      <c r="A13" s="1088"/>
      <c r="B13" s="1089"/>
      <c r="C13" s="1370"/>
      <c r="D13" s="1370"/>
      <c r="E13" s="1370"/>
      <c r="F13" s="1369"/>
      <c r="G13" s="1388" t="str">
        <f t="shared" ref="G13:R13" si="16">IF(ISBLANK(G156),"",G156)</f>
        <v/>
      </c>
      <c r="H13" s="1389" t="str">
        <f t="shared" si="16"/>
        <v/>
      </c>
      <c r="I13" s="1389" t="str">
        <f t="shared" si="16"/>
        <v/>
      </c>
      <c r="J13" s="1390" t="str">
        <f t="shared" si="16"/>
        <v/>
      </c>
      <c r="K13" s="1388" t="str">
        <f t="shared" si="16"/>
        <v/>
      </c>
      <c r="L13" s="1389" t="str">
        <f t="shared" si="16"/>
        <v/>
      </c>
      <c r="M13" s="1389" t="str">
        <f t="shared" si="16"/>
        <v/>
      </c>
      <c r="N13" s="1390" t="str">
        <f t="shared" si="16"/>
        <v/>
      </c>
      <c r="O13" s="1388" t="str">
        <f t="shared" si="16"/>
        <v/>
      </c>
      <c r="P13" s="1389" t="str">
        <f t="shared" si="16"/>
        <v/>
      </c>
      <c r="Q13" s="1389" t="str">
        <f t="shared" si="16"/>
        <v/>
      </c>
      <c r="R13" s="1122" t="str">
        <f t="shared" si="16"/>
        <v/>
      </c>
      <c r="S13" s="1120" t="str">
        <f t="shared" si="14"/>
        <v/>
      </c>
      <c r="T13" s="1121" t="str">
        <f t="shared" si="14"/>
        <v/>
      </c>
      <c r="U13" s="1121" t="str">
        <f t="shared" si="14"/>
        <v/>
      </c>
      <c r="V13" s="1122" t="str">
        <f t="shared" si="14"/>
        <v/>
      </c>
      <c r="W13" s="1121" t="str">
        <f t="shared" si="14"/>
        <v/>
      </c>
      <c r="X13" s="1121" t="str">
        <f t="shared" si="14"/>
        <v/>
      </c>
      <c r="Y13" s="1121" t="str">
        <f t="shared" si="14"/>
        <v/>
      </c>
      <c r="Z13" s="1122" t="str">
        <f t="shared" si="14"/>
        <v/>
      </c>
      <c r="AA13" s="1121" t="str">
        <f t="shared" si="14"/>
        <v/>
      </c>
      <c r="AB13" s="1121" t="str">
        <f t="shared" si="14"/>
        <v/>
      </c>
      <c r="AC13" s="1121" t="str">
        <f t="shared" si="14"/>
        <v/>
      </c>
      <c r="AD13" s="1122" t="str">
        <f t="shared" si="14"/>
        <v/>
      </c>
      <c r="AE13" s="1121" t="str">
        <f t="shared" si="14"/>
        <v/>
      </c>
      <c r="AF13" s="1121" t="str">
        <f t="shared" si="14"/>
        <v/>
      </c>
      <c r="AG13" s="1121" t="str">
        <f t="shared" si="14"/>
        <v/>
      </c>
      <c r="AH13" s="1122" t="str">
        <f t="shared" si="14"/>
        <v/>
      </c>
      <c r="AI13" s="1121" t="str">
        <f t="shared" si="14"/>
        <v/>
      </c>
      <c r="AJ13" s="1121" t="str">
        <f t="shared" si="14"/>
        <v/>
      </c>
      <c r="AK13" s="1121" t="str">
        <f t="shared" si="14"/>
        <v/>
      </c>
      <c r="AL13" s="1122" t="str">
        <f t="shared" si="14"/>
        <v/>
      </c>
      <c r="AM13" s="1121" t="str">
        <f t="shared" si="14"/>
        <v/>
      </c>
      <c r="AN13" s="1121" t="str">
        <f t="shared" si="14"/>
        <v/>
      </c>
      <c r="AO13" s="1121" t="str">
        <f t="shared" si="14"/>
        <v/>
      </c>
      <c r="AP13" s="1122" t="str">
        <f t="shared" si="14"/>
        <v/>
      </c>
      <c r="AQ13" s="1121" t="str">
        <f t="shared" si="14"/>
        <v/>
      </c>
      <c r="AR13" s="1121" t="str">
        <f t="shared" si="14"/>
        <v/>
      </c>
      <c r="AS13" s="1121" t="str">
        <f t="shared" si="14"/>
        <v/>
      </c>
      <c r="AT13" s="1122" t="str">
        <f t="shared" si="14"/>
        <v/>
      </c>
      <c r="AU13" s="1121" t="str">
        <f t="shared" si="14"/>
        <v/>
      </c>
      <c r="AV13" s="1121" t="str">
        <f t="shared" si="14"/>
        <v/>
      </c>
      <c r="AW13" s="1121" t="str">
        <f t="shared" si="14"/>
        <v/>
      </c>
      <c r="AX13" s="1122" t="str">
        <f t="shared" si="14"/>
        <v/>
      </c>
      <c r="AY13" s="1121" t="str">
        <f t="shared" si="15"/>
        <v/>
      </c>
      <c r="AZ13" s="1121" t="str">
        <f t="shared" si="15"/>
        <v/>
      </c>
      <c r="BA13" s="1121" t="str">
        <f t="shared" si="15"/>
        <v/>
      </c>
      <c r="BB13" s="1122" t="str">
        <f t="shared" si="15"/>
        <v/>
      </c>
      <c r="BC13" s="1123"/>
      <c r="BD13" s="1123"/>
      <c r="BE13" s="1254"/>
      <c r="BF13" s="1254"/>
      <c r="BG13" s="1254"/>
      <c r="BH13" s="1254"/>
      <c r="BI13" s="1254"/>
      <c r="BJ13" s="1254"/>
      <c r="BK13" s="1254"/>
      <c r="BL13" s="1254"/>
      <c r="BM13" s="1254"/>
      <c r="BN13" s="1254"/>
      <c r="BO13" s="1254"/>
      <c r="BP13" s="1254"/>
      <c r="BQ13" s="1127"/>
      <c r="BR13" s="1128"/>
      <c r="BU13" s="1087"/>
      <c r="BV13" s="1129" t="s">
        <v>518</v>
      </c>
    </row>
    <row r="14" spans="1:78" ht="12.75" customHeight="1">
      <c r="A14" s="1088"/>
      <c r="B14" s="1089"/>
      <c r="C14" s="1370"/>
      <c r="D14" s="1370"/>
      <c r="E14" s="1370"/>
      <c r="F14" s="1369"/>
      <c r="G14" s="1391" t="str">
        <f t="shared" ref="G14:R14" si="17">IF(ISBLANK(G157),"",G157)</f>
        <v/>
      </c>
      <c r="H14" s="1392" t="str">
        <f t="shared" si="17"/>
        <v/>
      </c>
      <c r="I14" s="1392" t="str">
        <f t="shared" si="17"/>
        <v/>
      </c>
      <c r="J14" s="1393" t="str">
        <f t="shared" si="17"/>
        <v/>
      </c>
      <c r="K14" s="1391" t="str">
        <f t="shared" si="17"/>
        <v/>
      </c>
      <c r="L14" s="1392" t="str">
        <f t="shared" si="17"/>
        <v/>
      </c>
      <c r="M14" s="1392" t="str">
        <f t="shared" si="17"/>
        <v/>
      </c>
      <c r="N14" s="1393" t="str">
        <f t="shared" si="17"/>
        <v/>
      </c>
      <c r="O14" s="1391" t="str">
        <f t="shared" si="17"/>
        <v/>
      </c>
      <c r="P14" s="1392" t="str">
        <f t="shared" si="17"/>
        <v/>
      </c>
      <c r="Q14" s="1392" t="str">
        <f t="shared" si="17"/>
        <v/>
      </c>
      <c r="R14" s="1130" t="str">
        <f t="shared" si="17"/>
        <v/>
      </c>
      <c r="S14" s="1378" t="str">
        <f t="shared" si="14"/>
        <v/>
      </c>
      <c r="T14" s="1131" t="str">
        <f t="shared" si="14"/>
        <v/>
      </c>
      <c r="U14" s="1131" t="str">
        <f t="shared" si="14"/>
        <v/>
      </c>
      <c r="V14" s="1130" t="str">
        <f t="shared" si="14"/>
        <v/>
      </c>
      <c r="W14" s="1131" t="str">
        <f t="shared" si="14"/>
        <v/>
      </c>
      <c r="X14" s="1131" t="str">
        <f t="shared" si="14"/>
        <v/>
      </c>
      <c r="Y14" s="1131" t="str">
        <f t="shared" si="14"/>
        <v/>
      </c>
      <c r="Z14" s="1379" t="str">
        <f t="shared" si="14"/>
        <v/>
      </c>
      <c r="AA14" s="1380" t="str">
        <f t="shared" si="14"/>
        <v/>
      </c>
      <c r="AB14" s="1380" t="str">
        <f t="shared" si="14"/>
        <v/>
      </c>
      <c r="AC14" s="1380" t="str">
        <f t="shared" si="14"/>
        <v/>
      </c>
      <c r="AD14" s="1379" t="str">
        <f t="shared" si="14"/>
        <v/>
      </c>
      <c r="AE14" s="1380" t="str">
        <f t="shared" si="14"/>
        <v/>
      </c>
      <c r="AF14" s="1380" t="str">
        <f t="shared" si="14"/>
        <v/>
      </c>
      <c r="AG14" s="1380" t="str">
        <f t="shared" si="14"/>
        <v/>
      </c>
      <c r="AH14" s="1379" t="str">
        <f t="shared" si="14"/>
        <v/>
      </c>
      <c r="AI14" s="1380" t="str">
        <f t="shared" si="14"/>
        <v/>
      </c>
      <c r="AJ14" s="1380" t="str">
        <f t="shared" si="14"/>
        <v/>
      </c>
      <c r="AK14" s="1380" t="str">
        <f t="shared" si="14"/>
        <v/>
      </c>
      <c r="AL14" s="1379" t="str">
        <f t="shared" si="14"/>
        <v/>
      </c>
      <c r="AM14" s="1380" t="str">
        <f t="shared" si="14"/>
        <v/>
      </c>
      <c r="AN14" s="1380" t="str">
        <f t="shared" si="14"/>
        <v/>
      </c>
      <c r="AO14" s="1380" t="str">
        <f t="shared" si="14"/>
        <v/>
      </c>
      <c r="AP14" s="1379" t="str">
        <f t="shared" si="14"/>
        <v/>
      </c>
      <c r="AQ14" s="1380" t="str">
        <f t="shared" si="14"/>
        <v/>
      </c>
      <c r="AR14" s="1380" t="str">
        <f t="shared" si="14"/>
        <v/>
      </c>
      <c r="AS14" s="1380" t="str">
        <f t="shared" si="14"/>
        <v/>
      </c>
      <c r="AT14" s="1379" t="str">
        <f t="shared" si="14"/>
        <v/>
      </c>
      <c r="AU14" s="1380" t="str">
        <f t="shared" si="14"/>
        <v/>
      </c>
      <c r="AV14" s="1380" t="str">
        <f t="shared" si="14"/>
        <v/>
      </c>
      <c r="AW14" s="1380" t="str">
        <f t="shared" si="14"/>
        <v/>
      </c>
      <c r="AX14" s="1379" t="str">
        <f t="shared" si="14"/>
        <v/>
      </c>
      <c r="AY14" s="1380" t="str">
        <f t="shared" si="15"/>
        <v/>
      </c>
      <c r="AZ14" s="1380" t="str">
        <f t="shared" si="15"/>
        <v/>
      </c>
      <c r="BA14" s="1380" t="str">
        <f t="shared" si="15"/>
        <v/>
      </c>
      <c r="BB14" s="1379" t="str">
        <f t="shared" si="15"/>
        <v/>
      </c>
      <c r="BC14" s="1132"/>
      <c r="BD14" s="1133"/>
      <c r="BE14" s="1256"/>
      <c r="BF14" s="1256"/>
      <c r="BG14" s="1256"/>
      <c r="BH14" s="1256"/>
      <c r="BI14" s="1256"/>
      <c r="BJ14" s="1256"/>
      <c r="BK14" s="1256"/>
      <c r="BL14" s="1256"/>
      <c r="BM14" s="1256"/>
      <c r="BN14" s="1256"/>
      <c r="BO14" s="1256"/>
      <c r="BP14" s="1256"/>
      <c r="BQ14" s="1127"/>
      <c r="BR14" s="1128"/>
      <c r="BU14" s="1087"/>
      <c r="BV14" s="1257" t="s">
        <v>758</v>
      </c>
      <c r="BW14" s="1258"/>
      <c r="BX14" s="1258">
        <v>22</v>
      </c>
      <c r="BY14" s="1259" t="s">
        <v>759</v>
      </c>
    </row>
    <row r="15" spans="1:78" ht="12.75" customHeight="1">
      <c r="A15" s="1088"/>
      <c r="B15" s="1089"/>
      <c r="C15" s="1372" t="s">
        <v>617</v>
      </c>
      <c r="D15" s="1373"/>
      <c r="E15" s="1373"/>
      <c r="F15" s="1374"/>
      <c r="G15" s="1388" t="str">
        <f t="shared" ref="G15:R15" si="18">IF(ISBLANK(G158),"",G158)</f>
        <v/>
      </c>
      <c r="H15" s="1389" t="str">
        <f t="shared" si="18"/>
        <v/>
      </c>
      <c r="I15" s="1389" t="str">
        <f t="shared" si="18"/>
        <v/>
      </c>
      <c r="J15" s="1390" t="str">
        <f t="shared" si="18"/>
        <v/>
      </c>
      <c r="K15" s="1388" t="str">
        <f t="shared" si="18"/>
        <v/>
      </c>
      <c r="L15" s="1389" t="str">
        <f t="shared" si="18"/>
        <v/>
      </c>
      <c r="M15" s="1389" t="str">
        <f t="shared" si="18"/>
        <v/>
      </c>
      <c r="N15" s="1390" t="str">
        <f t="shared" si="18"/>
        <v/>
      </c>
      <c r="O15" s="1388" t="str">
        <f t="shared" si="18"/>
        <v/>
      </c>
      <c r="P15" s="1389" t="str">
        <f t="shared" si="18"/>
        <v/>
      </c>
      <c r="Q15" s="1389" t="str">
        <f t="shared" si="18"/>
        <v/>
      </c>
      <c r="R15" s="1122" t="str">
        <f t="shared" si="18"/>
        <v/>
      </c>
      <c r="S15" s="1120" t="str">
        <f t="shared" si="14"/>
        <v/>
      </c>
      <c r="T15" s="1121" t="str">
        <f t="shared" si="14"/>
        <v/>
      </c>
      <c r="U15" s="1121" t="str">
        <f t="shared" si="14"/>
        <v/>
      </c>
      <c r="V15" s="1122" t="str">
        <f t="shared" si="14"/>
        <v/>
      </c>
      <c r="W15" s="1121" t="str">
        <f t="shared" si="14"/>
        <v/>
      </c>
      <c r="X15" s="1121" t="str">
        <f t="shared" si="14"/>
        <v/>
      </c>
      <c r="Y15" s="1121" t="str">
        <f t="shared" si="14"/>
        <v/>
      </c>
      <c r="Z15" s="1122" t="str">
        <f t="shared" si="14"/>
        <v/>
      </c>
      <c r="AA15" s="1121" t="str">
        <f t="shared" si="14"/>
        <v/>
      </c>
      <c r="AB15" s="1121" t="str">
        <f t="shared" si="14"/>
        <v/>
      </c>
      <c r="AC15" s="1121" t="str">
        <f t="shared" si="14"/>
        <v/>
      </c>
      <c r="AD15" s="1122" t="str">
        <f t="shared" si="14"/>
        <v/>
      </c>
      <c r="AE15" s="1121" t="str">
        <f t="shared" si="14"/>
        <v/>
      </c>
      <c r="AF15" s="1121" t="str">
        <f t="shared" si="14"/>
        <v/>
      </c>
      <c r="AG15" s="1121" t="str">
        <f t="shared" si="14"/>
        <v/>
      </c>
      <c r="AH15" s="1122" t="str">
        <f t="shared" si="14"/>
        <v/>
      </c>
      <c r="AI15" s="1121" t="str">
        <f t="shared" si="14"/>
        <v/>
      </c>
      <c r="AJ15" s="1121" t="str">
        <f t="shared" si="14"/>
        <v/>
      </c>
      <c r="AK15" s="1121" t="str">
        <f t="shared" si="14"/>
        <v/>
      </c>
      <c r="AL15" s="1122" t="str">
        <f t="shared" si="14"/>
        <v/>
      </c>
      <c r="AM15" s="1121" t="str">
        <f t="shared" si="14"/>
        <v/>
      </c>
      <c r="AN15" s="1121" t="str">
        <f t="shared" si="14"/>
        <v/>
      </c>
      <c r="AO15" s="1121" t="str">
        <f t="shared" si="14"/>
        <v/>
      </c>
      <c r="AP15" s="1122" t="str">
        <f t="shared" si="14"/>
        <v/>
      </c>
      <c r="AQ15" s="1121" t="str">
        <f t="shared" si="14"/>
        <v/>
      </c>
      <c r="AR15" s="1121" t="str">
        <f t="shared" si="14"/>
        <v/>
      </c>
      <c r="AS15" s="1121" t="str">
        <f t="shared" si="14"/>
        <v/>
      </c>
      <c r="AT15" s="1122" t="str">
        <f t="shared" si="14"/>
        <v/>
      </c>
      <c r="AU15" s="1121" t="str">
        <f t="shared" si="14"/>
        <v/>
      </c>
      <c r="AV15" s="1121" t="str">
        <f t="shared" si="14"/>
        <v/>
      </c>
      <c r="AW15" s="1121" t="str">
        <f t="shared" si="14"/>
        <v/>
      </c>
      <c r="AX15" s="1122" t="str">
        <f t="shared" si="14"/>
        <v/>
      </c>
      <c r="AY15" s="1121" t="str">
        <f t="shared" si="15"/>
        <v/>
      </c>
      <c r="AZ15" s="1121" t="str">
        <f t="shared" si="15"/>
        <v/>
      </c>
      <c r="BA15" s="1121" t="str">
        <f t="shared" si="15"/>
        <v/>
      </c>
      <c r="BB15" s="1122" t="str">
        <f t="shared" si="15"/>
        <v/>
      </c>
      <c r="BC15" s="1123"/>
      <c r="BD15" s="1123"/>
      <c r="BE15" s="1254"/>
      <c r="BF15" s="1254"/>
      <c r="BG15" s="1254"/>
      <c r="BH15" s="1260"/>
      <c r="BI15" s="1261"/>
      <c r="BJ15" s="1260"/>
      <c r="BK15" s="1260"/>
      <c r="BL15" s="1260"/>
      <c r="BM15" s="1260"/>
      <c r="BN15" s="1260"/>
      <c r="BO15" s="1260"/>
      <c r="BP15" s="1260"/>
      <c r="BQ15" s="1127"/>
      <c r="BR15" s="1134"/>
      <c r="BS15" s="1134"/>
      <c r="BU15" s="1087"/>
      <c r="BV15" s="1262" t="s">
        <v>760</v>
      </c>
      <c r="BW15" s="1135"/>
      <c r="BX15" s="1135">
        <f>($BX$14/$BW$9+7)*1000</f>
        <v>14924.180004952612</v>
      </c>
      <c r="BY15" s="1263" t="s">
        <v>761</v>
      </c>
    </row>
    <row r="16" spans="1:78" ht="12.75" customHeight="1">
      <c r="A16" s="1088"/>
      <c r="B16" s="1089"/>
      <c r="C16" s="1370" t="s">
        <v>611</v>
      </c>
      <c r="D16" s="1370"/>
      <c r="E16" s="1180"/>
      <c r="F16" s="1136"/>
      <c r="G16" s="1388">
        <f t="shared" ref="G16:R16" si="19">IF(ISBLANK(G159),"",G159)</f>
        <v>55.301269841269843</v>
      </c>
      <c r="H16" s="1389">
        <f t="shared" si="19"/>
        <v>51.354570312500016</v>
      </c>
      <c r="I16" s="1389">
        <f t="shared" si="19"/>
        <v>67.22877929687499</v>
      </c>
      <c r="J16" s="1390">
        <f t="shared" si="19"/>
        <v>51.534971153846179</v>
      </c>
      <c r="K16" s="1388">
        <f t="shared" si="19"/>
        <v>63.793710937500023</v>
      </c>
      <c r="L16" s="1389">
        <f t="shared" si="19"/>
        <v>48.444853515625013</v>
      </c>
      <c r="M16" s="1389">
        <f t="shared" si="19"/>
        <v>55.141689453125004</v>
      </c>
      <c r="N16" s="1390">
        <f t="shared" si="19"/>
        <v>41.796567460317455</v>
      </c>
      <c r="O16" s="1388">
        <f t="shared" si="19"/>
        <v>33.353476562500006</v>
      </c>
      <c r="P16" s="1389">
        <f t="shared" si="19"/>
        <v>34.616933593750005</v>
      </c>
      <c r="Q16" s="1389">
        <f t="shared" si="19"/>
        <v>46.289513888888905</v>
      </c>
      <c r="R16" s="1389">
        <f t="shared" si="19"/>
        <v>50.846972656250003</v>
      </c>
      <c r="S16" s="1120">
        <f t="shared" si="14"/>
        <v>89.765515873015843</v>
      </c>
      <c r="T16" s="1121">
        <f t="shared" si="14"/>
        <v>45.063007812499997</v>
      </c>
      <c r="U16" s="1121">
        <f t="shared" si="14"/>
        <v>54.984013671875012</v>
      </c>
      <c r="V16" s="1122">
        <f t="shared" si="14"/>
        <v>67.341074218749995</v>
      </c>
      <c r="W16" s="1121">
        <f t="shared" si="14"/>
        <v>167.3350595238096</v>
      </c>
      <c r="X16" s="1121">
        <f t="shared" si="14"/>
        <v>44.335244140625001</v>
      </c>
      <c r="Y16" s="1121">
        <f t="shared" si="14"/>
        <v>41.33302734374999</v>
      </c>
      <c r="Z16" s="1122">
        <f t="shared" si="14"/>
        <v>48.027636718749996</v>
      </c>
      <c r="AA16" s="1121">
        <f t="shared" si="14"/>
        <v>87.659980158730164</v>
      </c>
      <c r="AB16" s="1121">
        <f t="shared" si="14"/>
        <v>28.370332031249998</v>
      </c>
      <c r="AC16" s="1121">
        <f t="shared" si="14"/>
        <v>42.395605769230762</v>
      </c>
      <c r="AD16" s="1122">
        <f t="shared" si="14"/>
        <v>33.065136718749997</v>
      </c>
      <c r="AE16" s="1121">
        <f t="shared" si="14"/>
        <v>30.31946289062499</v>
      </c>
      <c r="AF16" s="1121">
        <f t="shared" si="14"/>
        <v>28.207148437500003</v>
      </c>
      <c r="AG16" s="1121">
        <f t="shared" si="14"/>
        <v>42.730703124999998</v>
      </c>
      <c r="AH16" s="1122">
        <f t="shared" si="14"/>
        <v>38.680972222222231</v>
      </c>
      <c r="AI16" s="1121">
        <f t="shared" si="14"/>
        <v>33.978535156249983</v>
      </c>
      <c r="AJ16" s="1121">
        <f t="shared" si="14"/>
        <v>33.298916015625018</v>
      </c>
      <c r="AK16" s="1121">
        <f t="shared" si="14"/>
        <v>31.712827380952376</v>
      </c>
      <c r="AL16" s="1122">
        <f t="shared" si="14"/>
        <v>52.552301587301585</v>
      </c>
      <c r="AM16" s="1121">
        <f t="shared" si="14"/>
        <v>62.437333984375016</v>
      </c>
      <c r="AN16" s="1121">
        <f t="shared" si="14"/>
        <v>32.65</v>
      </c>
      <c r="AO16" s="1121">
        <f t="shared" si="14"/>
        <v>35.383333333333333</v>
      </c>
      <c r="AP16" s="1122">
        <f t="shared" si="14"/>
        <v>42.35</v>
      </c>
      <c r="AQ16" s="1121">
        <f t="shared" si="14"/>
        <v>73.199444871908256</v>
      </c>
      <c r="AR16" s="1121">
        <f t="shared" si="14"/>
        <v>31.598138616301913</v>
      </c>
      <c r="AS16" s="1121">
        <f t="shared" si="14"/>
        <v>36.852856695587477</v>
      </c>
      <c r="AT16" s="1122">
        <f t="shared" si="14"/>
        <v>38.566226482602346</v>
      </c>
      <c r="AU16" s="1121">
        <f t="shared" si="14"/>
        <v>73.199444871908256</v>
      </c>
      <c r="AV16" s="1121">
        <f t="shared" si="14"/>
        <v>31.598138616301913</v>
      </c>
      <c r="AW16" s="1121">
        <f t="shared" si="14"/>
        <v>36.852856695587477</v>
      </c>
      <c r="AX16" s="1122">
        <f t="shared" si="14"/>
        <v>38.566226482602346</v>
      </c>
      <c r="AY16" s="1121">
        <f t="shared" si="15"/>
        <v>73.361914739375962</v>
      </c>
      <c r="AZ16" s="1121">
        <f t="shared" si="15"/>
        <v>31.668272281962913</v>
      </c>
      <c r="BA16" s="1121">
        <f t="shared" si="15"/>
        <v>36.934653473604257</v>
      </c>
      <c r="BB16" s="1122">
        <f t="shared" si="15"/>
        <v>38.651826171456854</v>
      </c>
      <c r="BC16" s="1123"/>
      <c r="BD16" s="1123"/>
      <c r="BE16" s="1254">
        <f t="shared" ref="BE16:BE31" si="20">AVERAGE(G16:J16)</f>
        <v>56.354897651122755</v>
      </c>
      <c r="BF16" s="1254">
        <f t="shared" ref="BF16:BF31" si="21">AVERAGE(K16:N16)</f>
        <v>52.29420534164187</v>
      </c>
      <c r="BG16" s="1254">
        <f t="shared" ref="BG16:BG31" si="22">AVERAGE(O16:R16)</f>
        <v>41.276724175347226</v>
      </c>
      <c r="BH16" s="1260">
        <f t="shared" ref="BH16:BH31" si="23">AVERAGE(S16:V16)</f>
        <v>64.288402894035215</v>
      </c>
      <c r="BI16" s="1260">
        <f t="shared" ref="BI16:BI31" si="24">AVERAGE(W16:Z16)</f>
        <v>75.257741931733648</v>
      </c>
      <c r="BJ16" s="1260">
        <f t="shared" ref="BJ16:BJ31" si="25">AVERAGE(AA16:AD16)</f>
        <v>47.872763669490226</v>
      </c>
      <c r="BK16" s="1260">
        <f t="shared" ref="BK16:BK31" si="26">AVERAGE(AE16:AH16)</f>
        <v>34.984571668836807</v>
      </c>
      <c r="BL16" s="1260">
        <f t="shared" ref="BL16:BL31" si="27">AVERAGE(AI16:AL16)</f>
        <v>37.88564503503224</v>
      </c>
      <c r="BM16" s="1260">
        <f t="shared" ref="BM16:BM31" si="28">AVERAGE(AM16:AP16)</f>
        <v>43.205166829427085</v>
      </c>
      <c r="BN16" s="1260">
        <f t="shared" ref="BN16:BN31" si="29">AVERAGE(AQ16:AT16)</f>
        <v>45.054166666599997</v>
      </c>
      <c r="BO16" s="1260">
        <f t="shared" ref="BO16:BO31" si="30">AVERAGE(AU16:AX16)</f>
        <v>45.054166666599997</v>
      </c>
      <c r="BP16" s="1260">
        <f t="shared" ref="BP16:BP31" si="31">AVERAGE(AY16:BB16)</f>
        <v>45.154166666599998</v>
      </c>
      <c r="BQ16" s="1114"/>
      <c r="BR16" s="1264"/>
      <c r="BS16" s="1260"/>
      <c r="BU16" s="1087"/>
      <c r="BV16" s="1262" t="s">
        <v>814</v>
      </c>
      <c r="BW16" s="1135"/>
      <c r="BX16" s="1135">
        <f>BP230</f>
        <v>13059.517736879347</v>
      </c>
      <c r="BY16" s="1263" t="s">
        <v>761</v>
      </c>
    </row>
    <row r="17" spans="1:77" ht="12.75" customHeight="1">
      <c r="A17" s="1088"/>
      <c r="B17" s="1089"/>
      <c r="C17" s="1370" t="s">
        <v>517</v>
      </c>
      <c r="D17" s="1370"/>
      <c r="E17" s="1180"/>
      <c r="F17" s="1136"/>
      <c r="G17" s="1388">
        <f t="shared" ref="G17:R17" si="32">IF(ISBLANK(G160),"",G160)</f>
        <v>38.230565476190485</v>
      </c>
      <c r="H17" s="1389">
        <f t="shared" si="32"/>
        <v>43.142958984374999</v>
      </c>
      <c r="I17" s="1389">
        <f t="shared" si="32"/>
        <v>53.878339843750005</v>
      </c>
      <c r="J17" s="1390">
        <f t="shared" si="32"/>
        <v>42.122894230769219</v>
      </c>
      <c r="K17" s="1388">
        <f t="shared" si="32"/>
        <v>40.630429687500012</v>
      </c>
      <c r="L17" s="1389">
        <f t="shared" si="32"/>
        <v>42.511806640624982</v>
      </c>
      <c r="M17" s="1389">
        <f t="shared" si="32"/>
        <v>47.368398437499991</v>
      </c>
      <c r="N17" s="1390">
        <f t="shared" si="32"/>
        <v>36.792847222222221</v>
      </c>
      <c r="O17" s="1388">
        <f t="shared" si="32"/>
        <v>30.628144531250001</v>
      </c>
      <c r="P17" s="1389">
        <f t="shared" si="32"/>
        <v>34.255439453125</v>
      </c>
      <c r="Q17" s="1389">
        <f t="shared" si="32"/>
        <v>41.418353174603176</v>
      </c>
      <c r="R17" s="1389">
        <f t="shared" si="32"/>
        <v>39.001152343749993</v>
      </c>
      <c r="S17" s="1120">
        <f t="shared" si="14"/>
        <v>45.623531746031745</v>
      </c>
      <c r="T17" s="1121">
        <f t="shared" si="14"/>
        <v>40.663671874999991</v>
      </c>
      <c r="U17" s="1121">
        <f t="shared" si="14"/>
        <v>53.937705078124999</v>
      </c>
      <c r="V17" s="1122">
        <f t="shared" si="14"/>
        <v>46.228017578124991</v>
      </c>
      <c r="W17" s="1121">
        <f t="shared" si="14"/>
        <v>105.87010912698416</v>
      </c>
      <c r="X17" s="1121">
        <f t="shared" si="14"/>
        <v>44.886210937499996</v>
      </c>
      <c r="Y17" s="1121">
        <f t="shared" si="14"/>
        <v>43.024843750000009</v>
      </c>
      <c r="Z17" s="1122">
        <f t="shared" si="14"/>
        <v>39.284560546874999</v>
      </c>
      <c r="AA17" s="1121">
        <f t="shared" si="14"/>
        <v>53.16058531746031</v>
      </c>
      <c r="AB17" s="1121">
        <f t="shared" si="14"/>
        <v>38.357529296875022</v>
      </c>
      <c r="AC17" s="1121">
        <f t="shared" si="14"/>
        <v>40.580288461538458</v>
      </c>
      <c r="AD17" s="1122">
        <f t="shared" si="14"/>
        <v>34.609042968749996</v>
      </c>
      <c r="AE17" s="1121">
        <f t="shared" si="14"/>
        <v>30.752001953124992</v>
      </c>
      <c r="AF17" s="1121">
        <f t="shared" si="14"/>
        <v>35.769550781249997</v>
      </c>
      <c r="AG17" s="1121">
        <f t="shared" si="14"/>
        <v>46.082998046874998</v>
      </c>
      <c r="AH17" s="1122">
        <f t="shared" si="14"/>
        <v>27.32274801587301</v>
      </c>
      <c r="AI17" s="1121">
        <f t="shared" si="14"/>
        <v>27.648046875000006</v>
      </c>
      <c r="AJ17" s="1121">
        <f t="shared" si="14"/>
        <v>33.630214843749989</v>
      </c>
      <c r="AK17" s="1121">
        <f t="shared" si="14"/>
        <v>34.760575396825409</v>
      </c>
      <c r="AL17" s="1122">
        <f t="shared" si="14"/>
        <v>35.233521825396821</v>
      </c>
      <c r="AM17" s="1121">
        <f t="shared" si="14"/>
        <v>36.453183593749991</v>
      </c>
      <c r="AN17" s="1121">
        <f t="shared" si="14"/>
        <v>37.466666666666661</v>
      </c>
      <c r="AO17" s="1121">
        <f t="shared" si="14"/>
        <v>33.733333333333327</v>
      </c>
      <c r="AP17" s="1122">
        <f t="shared" si="14"/>
        <v>37.766666666666666</v>
      </c>
      <c r="AQ17" s="1121">
        <f t="shared" si="14"/>
        <v>52.984877086683952</v>
      </c>
      <c r="AR17" s="1121">
        <f t="shared" si="14"/>
        <v>34.892480032694301</v>
      </c>
      <c r="AS17" s="1121">
        <f t="shared" si="14"/>
        <v>31.661694844481872</v>
      </c>
      <c r="AT17" s="1122">
        <f t="shared" si="14"/>
        <v>28.460948036139868</v>
      </c>
      <c r="AU17" s="1121">
        <f t="shared" si="14"/>
        <v>52.579137036825585</v>
      </c>
      <c r="AV17" s="1121">
        <f t="shared" si="14"/>
        <v>34.625285365714404</v>
      </c>
      <c r="AW17" s="1121">
        <f t="shared" si="14"/>
        <v>31.419240424444556</v>
      </c>
      <c r="AX17" s="1122">
        <f t="shared" si="14"/>
        <v>28.243003839415444</v>
      </c>
      <c r="AY17" s="1121">
        <f t="shared" si="15"/>
        <v>52.937142963086963</v>
      </c>
      <c r="AZ17" s="1121">
        <f t="shared" si="15"/>
        <v>34.861045365935311</v>
      </c>
      <c r="BA17" s="1121">
        <f t="shared" si="15"/>
        <v>31.633170795015378</v>
      </c>
      <c r="BB17" s="1122">
        <f t="shared" si="15"/>
        <v>28.435307542362334</v>
      </c>
      <c r="BC17" s="1123"/>
      <c r="BD17" s="1123"/>
      <c r="BE17" s="1254">
        <f t="shared" si="20"/>
        <v>44.343689633771177</v>
      </c>
      <c r="BF17" s="1254">
        <f t="shared" si="21"/>
        <v>41.825870496961798</v>
      </c>
      <c r="BG17" s="1254">
        <f t="shared" si="22"/>
        <v>36.325772375682043</v>
      </c>
      <c r="BH17" s="1260">
        <f t="shared" si="23"/>
        <v>46.613231569320433</v>
      </c>
      <c r="BI17" s="1260">
        <f t="shared" si="24"/>
        <v>58.266431090339793</v>
      </c>
      <c r="BJ17" s="1260">
        <f t="shared" si="25"/>
        <v>41.676861511155948</v>
      </c>
      <c r="BK17" s="1260">
        <f t="shared" si="26"/>
        <v>34.98182469928075</v>
      </c>
      <c r="BL17" s="1260">
        <f t="shared" si="27"/>
        <v>32.818089735243056</v>
      </c>
      <c r="BM17" s="1260">
        <f t="shared" si="28"/>
        <v>36.354962565104159</v>
      </c>
      <c r="BN17" s="1260">
        <f t="shared" si="29"/>
        <v>37</v>
      </c>
      <c r="BO17" s="1260">
        <f t="shared" si="30"/>
        <v>36.716666666599998</v>
      </c>
      <c r="BP17" s="1260">
        <f t="shared" si="31"/>
        <v>36.966666666599998</v>
      </c>
      <c r="BQ17" s="1114"/>
      <c r="BR17" s="1264"/>
      <c r="BS17" s="1260"/>
      <c r="BU17" s="1087"/>
      <c r="BV17" s="1265" t="s">
        <v>1053</v>
      </c>
      <c r="BW17" s="1266"/>
      <c r="BX17" s="1266">
        <f>BX15-BX16+BZ114</f>
        <v>1864.6622680732653</v>
      </c>
      <c r="BY17" s="1267" t="s">
        <v>761</v>
      </c>
    </row>
    <row r="18" spans="1:77" ht="12.75" customHeight="1">
      <c r="A18" s="1088"/>
      <c r="B18" s="1089"/>
      <c r="C18" s="1370" t="s">
        <v>515</v>
      </c>
      <c r="D18" s="1370"/>
      <c r="E18" s="1180"/>
      <c r="F18" s="1136"/>
      <c r="G18" s="1388">
        <f t="shared" ref="G18:R18" si="33">IF(ISBLANK(G161),"",G161)</f>
        <v>55.40223214285713</v>
      </c>
      <c r="H18" s="1389">
        <f t="shared" si="33"/>
        <v>55.080830078125018</v>
      </c>
      <c r="I18" s="1389">
        <f t="shared" si="33"/>
        <v>72.568281249999998</v>
      </c>
      <c r="J18" s="1390">
        <f t="shared" si="33"/>
        <v>55.060048076923088</v>
      </c>
      <c r="K18" s="1388">
        <f t="shared" si="33"/>
        <v>61.319755859375</v>
      </c>
      <c r="L18" s="1389">
        <f t="shared" si="33"/>
        <v>56.261513671875008</v>
      </c>
      <c r="M18" s="1389">
        <f t="shared" si="33"/>
        <v>64.744736328125001</v>
      </c>
      <c r="N18" s="1390">
        <f t="shared" si="33"/>
        <v>42.035863095238099</v>
      </c>
      <c r="O18" s="1388">
        <f t="shared" si="33"/>
        <v>35.479599609374993</v>
      </c>
      <c r="P18" s="1389">
        <f t="shared" si="33"/>
        <v>42.463750000000005</v>
      </c>
      <c r="Q18" s="1389">
        <f t="shared" si="33"/>
        <v>49.926091269841251</v>
      </c>
      <c r="R18" s="1389">
        <f t="shared" si="33"/>
        <v>46.815820312500001</v>
      </c>
      <c r="S18" s="1120">
        <f t="shared" si="14"/>
        <v>71.969464285714295</v>
      </c>
      <c r="T18" s="1121">
        <f t="shared" si="14"/>
        <v>47.40742187499999</v>
      </c>
      <c r="U18" s="1121">
        <f t="shared" si="14"/>
        <v>63.43471679687498</v>
      </c>
      <c r="V18" s="1122">
        <f t="shared" si="14"/>
        <v>49.675136718749997</v>
      </c>
      <c r="W18" s="1121">
        <f t="shared" si="14"/>
        <v>145.08544642857149</v>
      </c>
      <c r="X18" s="1121">
        <f t="shared" si="14"/>
        <v>45.55554687499999</v>
      </c>
      <c r="Y18" s="1121">
        <f t="shared" si="14"/>
        <v>40.321435546875001</v>
      </c>
      <c r="Z18" s="1122">
        <f t="shared" si="14"/>
        <v>42.091767578124994</v>
      </c>
      <c r="AA18" s="1121">
        <f t="shared" si="14"/>
        <v>77.999513888888885</v>
      </c>
      <c r="AB18" s="1121">
        <f t="shared" si="14"/>
        <v>32.442470703124989</v>
      </c>
      <c r="AC18" s="1121">
        <f t="shared" si="14"/>
        <v>38.379144230769235</v>
      </c>
      <c r="AD18" s="1122">
        <f t="shared" si="14"/>
        <v>27.262890625000001</v>
      </c>
      <c r="AE18" s="1121">
        <f t="shared" si="14"/>
        <v>30.82033203124999</v>
      </c>
      <c r="AF18" s="1121">
        <f t="shared" si="14"/>
        <v>28.172070312500008</v>
      </c>
      <c r="AG18" s="1121">
        <f t="shared" si="14"/>
        <v>39.596083984375014</v>
      </c>
      <c r="AH18" s="1122">
        <f t="shared" si="14"/>
        <v>34.996567460317451</v>
      </c>
      <c r="AI18" s="1121">
        <f t="shared" si="14"/>
        <v>34.973046875000001</v>
      </c>
      <c r="AJ18" s="1121">
        <f t="shared" si="14"/>
        <v>33.375703125000008</v>
      </c>
      <c r="AK18" s="1121">
        <f t="shared" si="14"/>
        <v>32.778422619047618</v>
      </c>
      <c r="AL18" s="1122">
        <f t="shared" si="14"/>
        <v>41.835218253968264</v>
      </c>
      <c r="AM18" s="1121">
        <f t="shared" si="14"/>
        <v>50.315361328125007</v>
      </c>
      <c r="AN18" s="1121">
        <f t="shared" si="14"/>
        <v>37.133333333333333</v>
      </c>
      <c r="AO18" s="1121">
        <f t="shared" si="14"/>
        <v>29.216666666666669</v>
      </c>
      <c r="AP18" s="1122">
        <f t="shared" si="14"/>
        <v>41.81666666666667</v>
      </c>
      <c r="AQ18" s="1121">
        <f t="shared" si="14"/>
        <v>72.206176601284838</v>
      </c>
      <c r="AR18" s="1121">
        <f t="shared" si="14"/>
        <v>35.335679660435538</v>
      </c>
      <c r="AS18" s="1121">
        <f t="shared" si="14"/>
        <v>28.167385316684786</v>
      </c>
      <c r="AT18" s="1122">
        <f t="shared" si="14"/>
        <v>29.507425087994822</v>
      </c>
      <c r="AU18" s="1121">
        <f t="shared" si="14"/>
        <v>73.276922890037596</v>
      </c>
      <c r="AV18" s="1121">
        <f t="shared" si="14"/>
        <v>35.859672892564298</v>
      </c>
      <c r="AW18" s="1121">
        <f t="shared" si="14"/>
        <v>28.585079823046065</v>
      </c>
      <c r="AX18" s="1122">
        <f t="shared" si="14"/>
        <v>29.944991060752034</v>
      </c>
      <c r="AY18" s="1121">
        <f t="shared" si="15"/>
        <v>73.888777912182022</v>
      </c>
      <c r="AZ18" s="1121">
        <f t="shared" si="15"/>
        <v>36.159097596637878</v>
      </c>
      <c r="BA18" s="1121">
        <f t="shared" si="15"/>
        <v>28.823762398109654</v>
      </c>
      <c r="BB18" s="1122">
        <f t="shared" si="15"/>
        <v>30.195028759470443</v>
      </c>
      <c r="BC18" s="1123"/>
      <c r="BD18" s="1123"/>
      <c r="BE18" s="1254">
        <f t="shared" si="20"/>
        <v>59.527847886976311</v>
      </c>
      <c r="BF18" s="1254">
        <f t="shared" si="21"/>
        <v>56.090467238653275</v>
      </c>
      <c r="BG18" s="1254">
        <f t="shared" si="22"/>
        <v>43.671315297929063</v>
      </c>
      <c r="BH18" s="1260">
        <f t="shared" si="23"/>
        <v>58.121684919084821</v>
      </c>
      <c r="BI18" s="1260">
        <f t="shared" si="24"/>
        <v>68.263549107142865</v>
      </c>
      <c r="BJ18" s="1260">
        <f t="shared" si="25"/>
        <v>44.021004861945784</v>
      </c>
      <c r="BK18" s="1260">
        <f t="shared" si="26"/>
        <v>33.396263447110613</v>
      </c>
      <c r="BL18" s="1260">
        <f t="shared" si="27"/>
        <v>35.740597718253973</v>
      </c>
      <c r="BM18" s="1260">
        <f t="shared" si="28"/>
        <v>39.62050699869792</v>
      </c>
      <c r="BN18" s="1260">
        <f t="shared" si="29"/>
        <v>41.304166666599997</v>
      </c>
      <c r="BO18" s="1260">
        <f t="shared" si="30"/>
        <v>41.916666666600001</v>
      </c>
      <c r="BP18" s="1260">
        <f t="shared" si="31"/>
        <v>42.266666666599995</v>
      </c>
      <c r="BQ18" s="1114"/>
      <c r="BR18" s="1264"/>
      <c r="BS18" s="1260"/>
      <c r="BU18" s="1087"/>
      <c r="BV18" s="1304"/>
      <c r="BW18" s="1114"/>
      <c r="BX18" s="1114"/>
      <c r="BY18" s="1305"/>
    </row>
    <row r="19" spans="1:77" ht="12.75" customHeight="1">
      <c r="A19" s="1088"/>
      <c r="B19" s="1089"/>
      <c r="C19" s="1181" t="s">
        <v>516</v>
      </c>
      <c r="D19" s="1370"/>
      <c r="E19" s="1180"/>
      <c r="F19" s="1136"/>
      <c r="G19" s="1388">
        <f t="shared" ref="G19:R19" si="34">IF(ISBLANK(G162),"",G162)</f>
        <v>60.907093253968256</v>
      </c>
      <c r="H19" s="1389">
        <f t="shared" si="34"/>
        <v>64.299941406249999</v>
      </c>
      <c r="I19" s="1389">
        <f t="shared" si="34"/>
        <v>80.573457031249987</v>
      </c>
      <c r="J19" s="1390">
        <f t="shared" si="34"/>
        <v>59.753067307692298</v>
      </c>
      <c r="K19" s="1388">
        <f t="shared" si="34"/>
        <v>70.866767578124993</v>
      </c>
      <c r="L19" s="1389">
        <f t="shared" si="34"/>
        <v>61.81411132812498</v>
      </c>
      <c r="M19" s="1389">
        <f t="shared" si="34"/>
        <v>68.602324218750013</v>
      </c>
      <c r="N19" s="1390">
        <f t="shared" si="34"/>
        <v>45.84968253968254</v>
      </c>
      <c r="O19" s="1388">
        <f t="shared" si="34"/>
        <v>40.598867187499984</v>
      </c>
      <c r="P19" s="1389">
        <f t="shared" si="34"/>
        <v>44.787695312499999</v>
      </c>
      <c r="Q19" s="1389">
        <f t="shared" si="34"/>
        <v>52.449682539682534</v>
      </c>
      <c r="R19" s="1389">
        <f t="shared" si="34"/>
        <v>48.760292968750008</v>
      </c>
      <c r="S19" s="1120">
        <f t="shared" si="14"/>
        <v>82.751825396825382</v>
      </c>
      <c r="T19" s="1121">
        <f t="shared" si="14"/>
        <v>51.984208984375009</v>
      </c>
      <c r="U19" s="1121">
        <f t="shared" si="14"/>
        <v>67.099775390625013</v>
      </c>
      <c r="V19" s="1122">
        <f t="shared" si="14"/>
        <v>50.633037109375017</v>
      </c>
      <c r="W19" s="1121">
        <f t="shared" si="14"/>
        <v>156.84135912698406</v>
      </c>
      <c r="X19" s="1121">
        <f t="shared" si="14"/>
        <v>47.093769531249976</v>
      </c>
      <c r="Y19" s="1121">
        <f t="shared" ref="Y19:AX33" si="35">IF(ISBLANK(Y162),"",Y162)</f>
        <v>41.267587890624995</v>
      </c>
      <c r="Z19" s="1122">
        <f t="shared" si="35"/>
        <v>42.321269531250003</v>
      </c>
      <c r="AA19" s="1121">
        <f t="shared" si="35"/>
        <v>80.378015873015883</v>
      </c>
      <c r="AB19" s="1121">
        <f t="shared" si="35"/>
        <v>34.555751953125004</v>
      </c>
      <c r="AC19" s="1121">
        <f t="shared" si="35"/>
        <v>41.128067307692319</v>
      </c>
      <c r="AD19" s="1122">
        <f t="shared" si="35"/>
        <v>28.156972656249998</v>
      </c>
      <c r="AE19" s="1121">
        <f t="shared" si="35"/>
        <v>32.810527343750003</v>
      </c>
      <c r="AF19" s="1121">
        <f t="shared" si="35"/>
        <v>29.281435546875006</v>
      </c>
      <c r="AG19" s="1121">
        <f t="shared" si="35"/>
        <v>42.594873046874994</v>
      </c>
      <c r="AH19" s="1122">
        <f t="shared" si="35"/>
        <v>35.888214285714291</v>
      </c>
      <c r="AI19" s="1121">
        <f t="shared" si="35"/>
        <v>35.824277343750005</v>
      </c>
      <c r="AJ19" s="1121">
        <f t="shared" si="35"/>
        <v>38.990224609374998</v>
      </c>
      <c r="AK19" s="1121">
        <f t="shared" si="35"/>
        <v>35.719781746031757</v>
      </c>
      <c r="AL19" s="1122">
        <f t="shared" si="35"/>
        <v>42.862331349206364</v>
      </c>
      <c r="AM19" s="1121">
        <f t="shared" si="35"/>
        <v>61.037626953124992</v>
      </c>
      <c r="AN19" s="1121">
        <f t="shared" si="35"/>
        <v>41.31666666666667</v>
      </c>
      <c r="AO19" s="1121">
        <f t="shared" si="35"/>
        <v>34.133333333333333</v>
      </c>
      <c r="AP19" s="1122">
        <f t="shared" si="35"/>
        <v>45.383333333333333</v>
      </c>
      <c r="AQ19" s="1121">
        <f t="shared" si="35"/>
        <v>76.012753062656998</v>
      </c>
      <c r="AR19" s="1121">
        <f t="shared" si="35"/>
        <v>38.217946206964925</v>
      </c>
      <c r="AS19" s="1121">
        <f t="shared" si="35"/>
        <v>32.581730048010407</v>
      </c>
      <c r="AT19" s="1122">
        <f t="shared" si="35"/>
        <v>37.154237348767644</v>
      </c>
      <c r="AU19" s="1121">
        <f t="shared" si="35"/>
        <v>77.355612896616023</v>
      </c>
      <c r="AV19" s="1121">
        <f t="shared" si="35"/>
        <v>38.893113765432851</v>
      </c>
      <c r="AW19" s="1121">
        <f t="shared" si="35"/>
        <v>33.157326837226861</v>
      </c>
      <c r="AX19" s="1122">
        <f t="shared" si="35"/>
        <v>37.810613167124252</v>
      </c>
      <c r="AY19" s="1121">
        <f t="shared" si="15"/>
        <v>78.264625707295977</v>
      </c>
      <c r="AZ19" s="1121">
        <f t="shared" si="15"/>
        <v>39.350150266549605</v>
      </c>
      <c r="BA19" s="1121">
        <f t="shared" si="15"/>
        <v>33.546961586850315</v>
      </c>
      <c r="BB19" s="1122">
        <f t="shared" si="15"/>
        <v>38.254929105704107</v>
      </c>
      <c r="BC19" s="1123"/>
      <c r="BD19" s="1123"/>
      <c r="BE19" s="1254">
        <f t="shared" si="20"/>
        <v>66.383389749790126</v>
      </c>
      <c r="BF19" s="1254">
        <f t="shared" si="21"/>
        <v>61.783221416170633</v>
      </c>
      <c r="BG19" s="1254">
        <f t="shared" si="22"/>
        <v>46.649134502108133</v>
      </c>
      <c r="BH19" s="1260">
        <f t="shared" si="23"/>
        <v>63.117211720300105</v>
      </c>
      <c r="BI19" s="1260">
        <f t="shared" si="24"/>
        <v>71.880996520027253</v>
      </c>
      <c r="BJ19" s="1260">
        <f t="shared" si="25"/>
        <v>46.054701947520797</v>
      </c>
      <c r="BK19" s="1260">
        <f t="shared" si="26"/>
        <v>35.143762555803576</v>
      </c>
      <c r="BL19" s="1260">
        <f t="shared" si="27"/>
        <v>38.349153762090779</v>
      </c>
      <c r="BM19" s="1260">
        <f t="shared" si="28"/>
        <v>45.467740071614578</v>
      </c>
      <c r="BN19" s="1260">
        <f t="shared" si="29"/>
        <v>45.991666666599997</v>
      </c>
      <c r="BO19" s="1260">
        <f t="shared" si="30"/>
        <v>46.804166666599997</v>
      </c>
      <c r="BP19" s="1260">
        <f t="shared" si="31"/>
        <v>47.354166666599994</v>
      </c>
      <c r="BQ19" s="1114"/>
      <c r="BR19" s="1264"/>
      <c r="BS19" s="1260"/>
      <c r="BU19" s="1087"/>
      <c r="BV19" s="1306" t="s">
        <v>837</v>
      </c>
      <c r="BW19" s="1307"/>
      <c r="BX19" s="1308">
        <f>BX17*BW9*8.76*0.48/365</f>
        <v>59.63771707925941</v>
      </c>
      <c r="BY19" s="1309" t="s">
        <v>838</v>
      </c>
    </row>
    <row r="20" spans="1:77" ht="12.75" customHeight="1">
      <c r="A20" s="1088"/>
      <c r="B20" s="1089"/>
      <c r="C20" s="1181" t="s">
        <v>512</v>
      </c>
      <c r="D20" s="1181"/>
      <c r="E20" s="1180"/>
      <c r="F20" s="1136"/>
      <c r="G20" s="1388">
        <f t="shared" ref="G20:R20" si="36">IF(ISBLANK(G163),"",G163)</f>
        <v>48.020902807539699</v>
      </c>
      <c r="H20" s="1389">
        <f t="shared" si="36"/>
        <v>51.584562626953129</v>
      </c>
      <c r="I20" s="1389">
        <f t="shared" si="36"/>
        <v>66.121800654296877</v>
      </c>
      <c r="J20" s="1390">
        <f t="shared" si="36"/>
        <v>49.490597307692312</v>
      </c>
      <c r="K20" s="1388">
        <f t="shared" si="36"/>
        <v>50.059908115234371</v>
      </c>
      <c r="L20" s="1389">
        <f t="shared" si="36"/>
        <v>59.78809870117189</v>
      </c>
      <c r="M20" s="1389">
        <f t="shared" si="36"/>
        <v>57.162939843749975</v>
      </c>
      <c r="N20" s="1390">
        <f t="shared" si="36"/>
        <v>39.320604523809529</v>
      </c>
      <c r="O20" s="1388">
        <f t="shared" si="36"/>
        <v>34.398327744140623</v>
      </c>
      <c r="P20" s="1389">
        <f t="shared" si="36"/>
        <v>38.54343235351562</v>
      </c>
      <c r="Q20" s="1389">
        <f t="shared" si="36"/>
        <v>48.952091091269828</v>
      </c>
      <c r="R20" s="1389">
        <f t="shared" si="36"/>
        <v>41.477144667968737</v>
      </c>
      <c r="S20" s="1120">
        <f t="shared" ref="S20:AH35" si="37">IF(ISBLANK(S163),"",S163)</f>
        <v>41.997815863095234</v>
      </c>
      <c r="T20" s="1121">
        <f t="shared" si="37"/>
        <v>45.530304316406237</v>
      </c>
      <c r="U20" s="1121">
        <f t="shared" si="37"/>
        <v>48.136464199218764</v>
      </c>
      <c r="V20" s="1122">
        <f t="shared" si="37"/>
        <v>40.193486718750002</v>
      </c>
      <c r="W20" s="1121">
        <f t="shared" si="37"/>
        <v>113.57858770833333</v>
      </c>
      <c r="X20" s="1121">
        <f t="shared" si="37"/>
        <v>50.488559589843774</v>
      </c>
      <c r="Y20" s="1121">
        <f t="shared" si="37"/>
        <v>41.389708935546885</v>
      </c>
      <c r="Z20" s="1122">
        <f t="shared" si="37"/>
        <v>40.371172851562484</v>
      </c>
      <c r="AA20" s="1121">
        <f t="shared" si="37"/>
        <v>56.866776517857168</v>
      </c>
      <c r="AB20" s="1121">
        <f t="shared" si="37"/>
        <v>39.147263818359377</v>
      </c>
      <c r="AC20" s="1121">
        <f t="shared" si="37"/>
        <v>39.464831807692299</v>
      </c>
      <c r="AD20" s="1122">
        <f t="shared" si="37"/>
        <v>31.895178447265625</v>
      </c>
      <c r="AE20" s="1121">
        <f t="shared" si="37"/>
        <v>30.103148642578116</v>
      </c>
      <c r="AF20" s="1121">
        <f t="shared" si="37"/>
        <v>32.701806339843749</v>
      </c>
      <c r="AG20" s="1121">
        <f t="shared" si="37"/>
        <v>38.936782353515625</v>
      </c>
      <c r="AH20" s="1122">
        <f t="shared" si="37"/>
        <v>33.269796091269853</v>
      </c>
      <c r="AI20" s="1121">
        <f t="shared" si="35"/>
        <v>32.144072138671881</v>
      </c>
      <c r="AJ20" s="1121">
        <f t="shared" si="35"/>
        <v>32.803312458984372</v>
      </c>
      <c r="AK20" s="1121">
        <f t="shared" si="35"/>
        <v>35.491018034722238</v>
      </c>
      <c r="AL20" s="1122">
        <f t="shared" si="35"/>
        <v>37.447859950396833</v>
      </c>
      <c r="AM20" s="1121">
        <f t="shared" si="35"/>
        <v>48.149713212890617</v>
      </c>
      <c r="AN20" s="1121">
        <f t="shared" si="35"/>
        <v>34.5</v>
      </c>
      <c r="AO20" s="1121">
        <f t="shared" si="35"/>
        <v>36.9</v>
      </c>
      <c r="AP20" s="1122">
        <f t="shared" si="35"/>
        <v>34.68333333333333</v>
      </c>
      <c r="AQ20" s="1121">
        <f t="shared" si="35"/>
        <v>40.501333218824747</v>
      </c>
      <c r="AR20" s="1121">
        <f t="shared" si="35"/>
        <v>29.678493986239484</v>
      </c>
      <c r="AS20" s="1121">
        <f t="shared" si="35"/>
        <v>32.100602483050345</v>
      </c>
      <c r="AT20" s="1122">
        <f t="shared" si="35"/>
        <v>39.002903645085446</v>
      </c>
      <c r="AU20" s="1121">
        <f t="shared" si="35"/>
        <v>40.405777401430235</v>
      </c>
      <c r="AV20" s="1121">
        <f t="shared" si="35"/>
        <v>29.608472766528742</v>
      </c>
      <c r="AW20" s="1121">
        <f t="shared" si="35"/>
        <v>32.024866721648337</v>
      </c>
      <c r="AX20" s="1122">
        <f t="shared" si="35"/>
        <v>38.910883110392696</v>
      </c>
      <c r="AY20" s="1381">
        <f t="shared" ref="AY20:BB24" si="38">IF(ISBLANK(AY163),"",IF(Uplift="Yes",AY82/1000*(AY57+AY$8),AY163))</f>
        <v>39.428873693835754</v>
      </c>
      <c r="AZ20" s="1381">
        <f t="shared" si="38"/>
        <v>34.116794013961901</v>
      </c>
      <c r="BA20" s="1381">
        <f t="shared" si="38"/>
        <v>34.614801483950075</v>
      </c>
      <c r="BB20" s="1382">
        <f t="shared" si="38"/>
        <v>41.06825080825223</v>
      </c>
      <c r="BC20" s="1123"/>
      <c r="BD20" s="1123"/>
      <c r="BE20" s="1254">
        <f t="shared" si="20"/>
        <v>53.804465849120504</v>
      </c>
      <c r="BF20" s="1254">
        <f t="shared" si="21"/>
        <v>51.582887795991439</v>
      </c>
      <c r="BG20" s="1254">
        <f t="shared" si="22"/>
        <v>40.842748964223702</v>
      </c>
      <c r="BH20" s="1260">
        <f t="shared" si="23"/>
        <v>43.964517774367557</v>
      </c>
      <c r="BI20" s="1260">
        <f t="shared" si="24"/>
        <v>61.457007271321615</v>
      </c>
      <c r="BJ20" s="1260">
        <f t="shared" si="25"/>
        <v>41.843512647793617</v>
      </c>
      <c r="BK20" s="1260">
        <f t="shared" si="26"/>
        <v>33.752883356801831</v>
      </c>
      <c r="BL20" s="1260">
        <f t="shared" si="27"/>
        <v>34.471565645693829</v>
      </c>
      <c r="BM20" s="1260">
        <f t="shared" si="28"/>
        <v>38.55826163655599</v>
      </c>
      <c r="BN20" s="1260">
        <f t="shared" si="29"/>
        <v>35.320833333300001</v>
      </c>
      <c r="BO20" s="1260">
        <f t="shared" si="30"/>
        <v>35.237500000000004</v>
      </c>
      <c r="BP20" s="1260">
        <f t="shared" si="31"/>
        <v>37.307179999999988</v>
      </c>
      <c r="BQ20" s="1138"/>
      <c r="BR20" s="1264"/>
      <c r="BS20" s="1260"/>
      <c r="BU20" s="1087"/>
    </row>
    <row r="21" spans="1:77" ht="12.75" customHeight="1">
      <c r="A21" s="1088"/>
      <c r="B21" s="1089"/>
      <c r="C21" s="1181" t="s">
        <v>703</v>
      </c>
      <c r="D21" s="1181"/>
      <c r="E21" s="1180"/>
      <c r="F21" s="1136"/>
      <c r="G21" s="1388">
        <f t="shared" ref="G21:R21" si="39">IF(ISBLANK(G164),"",G164)</f>
        <v>52.409421755952401</v>
      </c>
      <c r="H21" s="1389">
        <f t="shared" si="39"/>
        <v>56.777662714843743</v>
      </c>
      <c r="I21" s="1389">
        <f t="shared" si="39"/>
        <v>79.80542767578126</v>
      </c>
      <c r="J21" s="1390">
        <f t="shared" si="39"/>
        <v>53.380955625000034</v>
      </c>
      <c r="K21" s="1388">
        <f t="shared" si="39"/>
        <v>56.349727597656255</v>
      </c>
      <c r="L21" s="1389">
        <f t="shared" si="39"/>
        <v>65.570403749999997</v>
      </c>
      <c r="M21" s="1389">
        <f t="shared" si="39"/>
        <v>66.498248447265624</v>
      </c>
      <c r="N21" s="1390">
        <f t="shared" si="39"/>
        <v>40.979681686507909</v>
      </c>
      <c r="O21" s="1388">
        <f t="shared" si="39"/>
        <v>38.512803037109371</v>
      </c>
      <c r="P21" s="1389">
        <f t="shared" si="39"/>
        <v>36.974501874023439</v>
      </c>
      <c r="Q21" s="1389">
        <f t="shared" si="39"/>
        <v>55.885414017857158</v>
      </c>
      <c r="R21" s="1389">
        <f t="shared" si="39"/>
        <v>46.126044788085935</v>
      </c>
      <c r="S21" s="1120">
        <f t="shared" si="37"/>
        <v>42.607887670634931</v>
      </c>
      <c r="T21" s="1121">
        <f t="shared" si="37"/>
        <v>47.166300820312507</v>
      </c>
      <c r="U21" s="1121">
        <f t="shared" si="37"/>
        <v>55.200128388671871</v>
      </c>
      <c r="V21" s="1122">
        <f t="shared" si="37"/>
        <v>42.192332373046867</v>
      </c>
      <c r="W21" s="1121">
        <f t="shared" si="37"/>
        <v>132.34547472222224</v>
      </c>
      <c r="X21" s="1121">
        <f t="shared" si="37"/>
        <v>53.88701666992187</v>
      </c>
      <c r="Y21" s="1121">
        <f t="shared" si="37"/>
        <v>45.337472450195328</v>
      </c>
      <c r="Z21" s="1122">
        <f t="shared" si="37"/>
        <v>49.12051941503907</v>
      </c>
      <c r="AA21" s="1121">
        <f t="shared" si="37"/>
        <v>67.284598143849209</v>
      </c>
      <c r="AB21" s="1121">
        <f t="shared" si="37"/>
        <v>36.819058058593754</v>
      </c>
      <c r="AC21" s="1121">
        <f t="shared" si="37"/>
        <v>39.89850856153847</v>
      </c>
      <c r="AD21" s="1122">
        <f t="shared" si="37"/>
        <v>30.041686161132823</v>
      </c>
      <c r="AE21" s="1121">
        <f t="shared" si="37"/>
        <v>31.266320479492187</v>
      </c>
      <c r="AF21" s="1121">
        <f t="shared" si="37"/>
        <v>28.707086242187497</v>
      </c>
      <c r="AG21" s="1121">
        <f t="shared" si="37"/>
        <v>40.605906624023433</v>
      </c>
      <c r="AH21" s="1122">
        <f t="shared" si="37"/>
        <v>28.828253920634918</v>
      </c>
      <c r="AI21" s="1121">
        <f t="shared" si="35"/>
        <v>33.256564817382809</v>
      </c>
      <c r="AJ21" s="1121">
        <f t="shared" si="35"/>
        <v>32.387231337890618</v>
      </c>
      <c r="AK21" s="1121">
        <f t="shared" si="35"/>
        <v>34.354411583333331</v>
      </c>
      <c r="AL21" s="1122">
        <f t="shared" si="35"/>
        <v>39.044797251984129</v>
      </c>
      <c r="AM21" s="1121">
        <f t="shared" si="35"/>
        <v>49.504310380859373</v>
      </c>
      <c r="AN21" s="1121">
        <f t="shared" si="35"/>
        <v>34.371333333333332</v>
      </c>
      <c r="AO21" s="1121">
        <f t="shared" si="35"/>
        <v>38.062833333333337</v>
      </c>
      <c r="AP21" s="1122">
        <f t="shared" si="35"/>
        <v>34.614333333333327</v>
      </c>
      <c r="AQ21" s="1121">
        <f t="shared" si="35"/>
        <v>46.510944725679025</v>
      </c>
      <c r="AR21" s="1121">
        <f t="shared" si="35"/>
        <v>30.296280173373429</v>
      </c>
      <c r="AS21" s="1121">
        <f t="shared" si="35"/>
        <v>33.947384063861342</v>
      </c>
      <c r="AT21" s="1122">
        <f t="shared" si="35"/>
        <v>36.41005770348621</v>
      </c>
      <c r="AU21" s="1121">
        <f t="shared" si="35"/>
        <v>46.479340030218317</v>
      </c>
      <c r="AV21" s="1121">
        <f t="shared" si="35"/>
        <v>30.275693519756327</v>
      </c>
      <c r="AW21" s="1121">
        <f t="shared" si="35"/>
        <v>33.924316445231923</v>
      </c>
      <c r="AX21" s="1122">
        <f t="shared" si="35"/>
        <v>36.385316671193436</v>
      </c>
      <c r="AY21" s="1381">
        <f t="shared" si="38"/>
        <v>39.672747413809603</v>
      </c>
      <c r="AZ21" s="1381">
        <f t="shared" si="38"/>
        <v>34.327811694415381</v>
      </c>
      <c r="BA21" s="1381">
        <f t="shared" si="38"/>
        <v>34.828899418108591</v>
      </c>
      <c r="BB21" s="1382">
        <f t="shared" si="38"/>
        <v>41.322264330809269</v>
      </c>
      <c r="BC21" s="1123"/>
      <c r="BD21" s="1123"/>
      <c r="BE21" s="1254">
        <f t="shared" si="20"/>
        <v>60.593366942894363</v>
      </c>
      <c r="BF21" s="1254">
        <f t="shared" si="21"/>
        <v>57.349515370357445</v>
      </c>
      <c r="BG21" s="1254">
        <f t="shared" si="22"/>
        <v>44.374690929268979</v>
      </c>
      <c r="BH21" s="1260">
        <f t="shared" si="23"/>
        <v>46.791662313166547</v>
      </c>
      <c r="BI21" s="1260">
        <f t="shared" si="24"/>
        <v>70.172620814344626</v>
      </c>
      <c r="BJ21" s="1260">
        <f t="shared" si="25"/>
        <v>43.510962731278561</v>
      </c>
      <c r="BK21" s="1260">
        <f t="shared" si="26"/>
        <v>32.351891816584505</v>
      </c>
      <c r="BL21" s="1260">
        <f t="shared" si="27"/>
        <v>34.760751247647725</v>
      </c>
      <c r="BM21" s="1260">
        <f t="shared" si="28"/>
        <v>39.138202595214842</v>
      </c>
      <c r="BN21" s="1260">
        <f t="shared" si="29"/>
        <v>36.791166666600006</v>
      </c>
      <c r="BO21" s="1260">
        <f t="shared" si="30"/>
        <v>36.7661666666</v>
      </c>
      <c r="BP21" s="1260">
        <f t="shared" si="31"/>
        <v>37.537930714285714</v>
      </c>
      <c r="BQ21" s="1138"/>
      <c r="BR21" s="1264"/>
      <c r="BS21" s="1260"/>
      <c r="BU21" s="1087"/>
      <c r="BV21" s="1129" t="s">
        <v>550</v>
      </c>
    </row>
    <row r="22" spans="1:77" ht="12.75" customHeight="1">
      <c r="A22" s="1088"/>
      <c r="B22" s="1139"/>
      <c r="C22" s="1181" t="s">
        <v>532</v>
      </c>
      <c r="D22" s="1370"/>
      <c r="E22" s="1180"/>
      <c r="F22" s="1136"/>
      <c r="G22" s="1388">
        <f t="shared" ref="G22:R22" si="40">IF(ISBLANK(G165),"",G165)</f>
        <v>42.318757033730158</v>
      </c>
      <c r="H22" s="1389">
        <f t="shared" si="40"/>
        <v>43.07423765625002</v>
      </c>
      <c r="I22" s="1389">
        <f t="shared" si="40"/>
        <v>51.328195917968742</v>
      </c>
      <c r="J22" s="1390">
        <f t="shared" si="40"/>
        <v>38.933001861538465</v>
      </c>
      <c r="K22" s="1388">
        <f t="shared" si="40"/>
        <v>41.451086953125014</v>
      </c>
      <c r="L22" s="1389">
        <f t="shared" si="40"/>
        <v>51.097349746093769</v>
      </c>
      <c r="M22" s="1389">
        <f t="shared" si="40"/>
        <v>50.310268931640643</v>
      </c>
      <c r="N22" s="1390">
        <f t="shared" si="40"/>
        <v>37.410923978174601</v>
      </c>
      <c r="O22" s="1388">
        <f t="shared" si="40"/>
        <v>32.153772558593758</v>
      </c>
      <c r="P22" s="1389">
        <f t="shared" si="40"/>
        <v>34.709669501953115</v>
      </c>
      <c r="Q22" s="1389">
        <f t="shared" si="40"/>
        <v>44.635360783730164</v>
      </c>
      <c r="R22" s="1389">
        <f t="shared" si="40"/>
        <v>38.089502343749999</v>
      </c>
      <c r="S22" s="1120">
        <f t="shared" si="37"/>
        <v>38.017161944444446</v>
      </c>
      <c r="T22" s="1121">
        <f t="shared" si="37"/>
        <v>41.806956083984382</v>
      </c>
      <c r="U22" s="1121">
        <f t="shared" si="37"/>
        <v>41.772417763671875</v>
      </c>
      <c r="V22" s="1122">
        <f t="shared" si="37"/>
        <v>36.018476103515631</v>
      </c>
      <c r="W22" s="1121">
        <f t="shared" si="37"/>
        <v>79.351583283730179</v>
      </c>
      <c r="X22" s="1121">
        <f t="shared" si="37"/>
        <v>50.487840683593745</v>
      </c>
      <c r="Y22" s="1121">
        <f t="shared" si="37"/>
        <v>38.234623320312501</v>
      </c>
      <c r="Z22" s="1122">
        <f t="shared" si="37"/>
        <v>40.068190000000001</v>
      </c>
      <c r="AA22" s="1121">
        <f t="shared" si="37"/>
        <v>43.107304533730151</v>
      </c>
      <c r="AB22" s="1121">
        <f t="shared" si="37"/>
        <v>36.571755771484384</v>
      </c>
      <c r="AC22" s="1121">
        <f t="shared" si="37"/>
        <v>35.906114451923074</v>
      </c>
      <c r="AD22" s="1122">
        <f t="shared" si="37"/>
        <v>30.830603544921882</v>
      </c>
      <c r="AE22" s="1121">
        <f t="shared" si="37"/>
        <v>27.466274697265614</v>
      </c>
      <c r="AF22" s="1121">
        <f t="shared" si="37"/>
        <v>31.331062939453119</v>
      </c>
      <c r="AG22" s="1121">
        <f t="shared" si="37"/>
        <v>37.764263886718759</v>
      </c>
      <c r="AH22" s="1122">
        <f t="shared" si="37"/>
        <v>32.442105446428577</v>
      </c>
      <c r="AI22" s="1121">
        <f t="shared" si="35"/>
        <v>30.987138056640639</v>
      </c>
      <c r="AJ22" s="1121">
        <f t="shared" si="35"/>
        <v>33.05749094726562</v>
      </c>
      <c r="AK22" s="1121">
        <f t="shared" si="35"/>
        <v>36.590803630952387</v>
      </c>
      <c r="AL22" s="1122">
        <f t="shared" si="35"/>
        <v>32.10412905753968</v>
      </c>
      <c r="AM22" s="1121">
        <f t="shared" si="35"/>
        <v>39.582188720703122</v>
      </c>
      <c r="AN22" s="1121">
        <f t="shared" si="35"/>
        <v>35.416666666666664</v>
      </c>
      <c r="AO22" s="1121">
        <f t="shared" si="35"/>
        <v>37.699999999999996</v>
      </c>
      <c r="AP22" s="1122">
        <f t="shared" si="35"/>
        <v>34.06666666666667</v>
      </c>
      <c r="AQ22" s="1121">
        <f t="shared" si="35"/>
        <v>37.104731797582915</v>
      </c>
      <c r="AR22" s="1121">
        <f t="shared" si="35"/>
        <v>31.21709085897621</v>
      </c>
      <c r="AS22" s="1121">
        <f t="shared" si="35"/>
        <v>33.846064219263162</v>
      </c>
      <c r="AT22" s="1122">
        <f t="shared" si="35"/>
        <v>36.098779790577716</v>
      </c>
      <c r="AU22" s="1121">
        <f t="shared" si="35"/>
        <v>36.757952834841539</v>
      </c>
      <c r="AV22" s="1121">
        <f t="shared" si="35"/>
        <v>30.925337493207795</v>
      </c>
      <c r="AW22" s="1121">
        <f t="shared" si="35"/>
        <v>33.52974060030094</v>
      </c>
      <c r="AX22" s="1122">
        <f t="shared" si="35"/>
        <v>35.761402404849747</v>
      </c>
      <c r="AY22" s="1381">
        <f t="shared" si="38"/>
        <v>40.635458590641832</v>
      </c>
      <c r="AZ22" s="1381">
        <f t="shared" si="38"/>
        <v>35.160821005560344</v>
      </c>
      <c r="BA22" s="1381">
        <f t="shared" si="38"/>
        <v>35.674068279161737</v>
      </c>
      <c r="BB22" s="1382">
        <f t="shared" si="38"/>
        <v>42.325003196064621</v>
      </c>
      <c r="BC22" s="1123"/>
      <c r="BD22" s="1123"/>
      <c r="BE22" s="1254">
        <f t="shared" si="20"/>
        <v>43.913548117371846</v>
      </c>
      <c r="BF22" s="1254">
        <f t="shared" si="21"/>
        <v>45.067407402258503</v>
      </c>
      <c r="BG22" s="1254">
        <f t="shared" si="22"/>
        <v>37.397076297006763</v>
      </c>
      <c r="BH22" s="1260">
        <f t="shared" si="23"/>
        <v>39.403752973904083</v>
      </c>
      <c r="BI22" s="1260">
        <f t="shared" si="24"/>
        <v>52.035559321909105</v>
      </c>
      <c r="BJ22" s="1260">
        <f t="shared" si="25"/>
        <v>36.603944575514873</v>
      </c>
      <c r="BK22" s="1260">
        <f t="shared" si="26"/>
        <v>32.250926742466518</v>
      </c>
      <c r="BL22" s="1260">
        <f t="shared" si="27"/>
        <v>33.184890423099588</v>
      </c>
      <c r="BM22" s="1260">
        <f t="shared" si="28"/>
        <v>36.69138051350911</v>
      </c>
      <c r="BN22" s="1260">
        <f t="shared" si="29"/>
        <v>34.5666666666</v>
      </c>
      <c r="BO22" s="1260">
        <f t="shared" si="30"/>
        <v>34.243608333300003</v>
      </c>
      <c r="BP22" s="1260">
        <f t="shared" si="31"/>
        <v>38.448837767857128</v>
      </c>
      <c r="BQ22" s="1114"/>
      <c r="BR22" s="1264"/>
      <c r="BS22" s="1260"/>
      <c r="BU22" s="1087"/>
      <c r="BV22" s="1257" t="s">
        <v>758</v>
      </c>
      <c r="BW22" s="1258"/>
      <c r="BX22" s="1258">
        <v>22</v>
      </c>
      <c r="BY22" s="1259" t="s">
        <v>759</v>
      </c>
    </row>
    <row r="23" spans="1:77" ht="12.75" customHeight="1">
      <c r="A23" s="1088"/>
      <c r="B23" s="1089"/>
      <c r="C23" s="1181" t="s">
        <v>281</v>
      </c>
      <c r="D23" s="1370"/>
      <c r="E23" s="1180"/>
      <c r="F23" s="1136"/>
      <c r="G23" s="1388">
        <f t="shared" ref="G23:R23" si="41">IF(ISBLANK(G166),"",G166)</f>
        <v>42.324658253968252</v>
      </c>
      <c r="H23" s="1389">
        <f t="shared" si="41"/>
        <v>43.262810498046875</v>
      </c>
      <c r="I23" s="1389">
        <f t="shared" si="41"/>
        <v>51.606527089843752</v>
      </c>
      <c r="J23" s="1390">
        <f t="shared" si="41"/>
        <v>38.918928847115382</v>
      </c>
      <c r="K23" s="1388">
        <f t="shared" si="41"/>
        <v>41.488797080078136</v>
      </c>
      <c r="L23" s="1389">
        <f t="shared" si="41"/>
        <v>50.985843300781255</v>
      </c>
      <c r="M23" s="1389">
        <f t="shared" si="41"/>
        <v>50.268828780273431</v>
      </c>
      <c r="N23" s="1390">
        <f t="shared" si="41"/>
        <v>37.525041934523813</v>
      </c>
      <c r="O23" s="1388">
        <f t="shared" si="41"/>
        <v>32.221690878906244</v>
      </c>
      <c r="P23" s="1389">
        <f t="shared" si="41"/>
        <v>34.827419687500004</v>
      </c>
      <c r="Q23" s="1389">
        <f t="shared" si="41"/>
        <v>44.932445357142846</v>
      </c>
      <c r="R23" s="1389">
        <f t="shared" si="41"/>
        <v>38.199312265625004</v>
      </c>
      <c r="S23" s="1120">
        <f t="shared" si="37"/>
        <v>37.715632986111103</v>
      </c>
      <c r="T23" s="1121">
        <f t="shared" si="37"/>
        <v>41.987925156249993</v>
      </c>
      <c r="U23" s="1121">
        <f t="shared" si="37"/>
        <v>41.924110576171877</v>
      </c>
      <c r="V23" s="1122">
        <f t="shared" si="37"/>
        <v>36.103588144531251</v>
      </c>
      <c r="W23" s="1121">
        <f t="shared" si="37"/>
        <v>79.291454067460307</v>
      </c>
      <c r="X23" s="1121">
        <f t="shared" si="37"/>
        <v>50.610264160156234</v>
      </c>
      <c r="Y23" s="1121">
        <f t="shared" si="37"/>
        <v>38.224814638671887</v>
      </c>
      <c r="Z23" s="1122">
        <f t="shared" si="37"/>
        <v>39.049467128906258</v>
      </c>
      <c r="AA23" s="1121">
        <f t="shared" si="37"/>
        <v>42.983203065476189</v>
      </c>
      <c r="AB23" s="1121">
        <f t="shared" si="37"/>
        <v>35.431994833984376</v>
      </c>
      <c r="AC23" s="1121">
        <f t="shared" si="37"/>
        <v>35.234762865384596</v>
      </c>
      <c r="AD23" s="1122">
        <f t="shared" si="37"/>
        <v>30.793894384765622</v>
      </c>
      <c r="AE23" s="1121">
        <f t="shared" si="37"/>
        <v>27.255926289062497</v>
      </c>
      <c r="AF23" s="1121">
        <f t="shared" si="37"/>
        <v>31.587512695312501</v>
      </c>
      <c r="AG23" s="1121">
        <f t="shared" si="37"/>
        <v>38.382545029296871</v>
      </c>
      <c r="AH23" s="1122">
        <f t="shared" si="37"/>
        <v>32.453721736111113</v>
      </c>
      <c r="AI23" s="1121">
        <f t="shared" si="35"/>
        <v>31.073804345703124</v>
      </c>
      <c r="AJ23" s="1121">
        <f t="shared" si="35"/>
        <v>33.234170273437506</v>
      </c>
      <c r="AK23" s="1121">
        <f t="shared" si="35"/>
        <v>36.864877966269844</v>
      </c>
      <c r="AL23" s="1122">
        <f t="shared" si="35"/>
        <v>32.037018710317462</v>
      </c>
      <c r="AM23" s="1121">
        <f t="shared" si="35"/>
        <v>38.43211967773437</v>
      </c>
      <c r="AN23" s="1121">
        <f t="shared" si="35"/>
        <v>33.833333333333336</v>
      </c>
      <c r="AO23" s="1121">
        <f t="shared" si="35"/>
        <v>36.31666666666667</v>
      </c>
      <c r="AP23" s="1122">
        <f t="shared" si="35"/>
        <v>33.616666666666667</v>
      </c>
      <c r="AQ23" s="1121">
        <f t="shared" si="35"/>
        <v>34.505559751881279</v>
      </c>
      <c r="AR23" s="1121">
        <f t="shared" si="35"/>
        <v>30.200278902105268</v>
      </c>
      <c r="AS23" s="1121">
        <f t="shared" si="35"/>
        <v>33.302613632090925</v>
      </c>
      <c r="AT23" s="1122">
        <f t="shared" si="35"/>
        <v>36.708214380322516</v>
      </c>
      <c r="AU23" s="1121">
        <f t="shared" si="35"/>
        <v>34.591868474798638</v>
      </c>
      <c r="AV23" s="1121">
        <f t="shared" si="35"/>
        <v>30.275818830236602</v>
      </c>
      <c r="AW23" s="1121">
        <f t="shared" si="35"/>
        <v>33.385913427053367</v>
      </c>
      <c r="AX23" s="1122">
        <f t="shared" si="35"/>
        <v>36.800032601111397</v>
      </c>
      <c r="AY23" s="1381">
        <f t="shared" si="38"/>
        <v>49.406143314497093</v>
      </c>
      <c r="AZ23" s="1381">
        <f t="shared" si="38"/>
        <v>43.303928877770488</v>
      </c>
      <c r="BA23" s="1381">
        <f t="shared" si="38"/>
        <v>43.876011481213609</v>
      </c>
      <c r="BB23" s="1382">
        <f t="shared" si="38"/>
        <v>51.289366326518817</v>
      </c>
      <c r="BC23" s="1123"/>
      <c r="BD23" s="1123"/>
      <c r="BE23" s="1254">
        <f t="shared" si="20"/>
        <v>44.028231172243565</v>
      </c>
      <c r="BF23" s="1254">
        <f t="shared" si="21"/>
        <v>45.067127773914159</v>
      </c>
      <c r="BG23" s="1254">
        <f t="shared" si="22"/>
        <v>37.545217047293526</v>
      </c>
      <c r="BH23" s="1260">
        <f t="shared" si="23"/>
        <v>39.432814215766051</v>
      </c>
      <c r="BI23" s="1260">
        <f t="shared" si="24"/>
        <v>51.793999998798668</v>
      </c>
      <c r="BJ23" s="1260">
        <f t="shared" si="25"/>
        <v>36.110963787402696</v>
      </c>
      <c r="BK23" s="1260">
        <f t="shared" si="26"/>
        <v>32.419926437445746</v>
      </c>
      <c r="BL23" s="1260">
        <f t="shared" si="27"/>
        <v>33.302467823931984</v>
      </c>
      <c r="BM23" s="1260">
        <f t="shared" si="28"/>
        <v>35.549696586100261</v>
      </c>
      <c r="BN23" s="1260">
        <f t="shared" si="29"/>
        <v>33.679166666599997</v>
      </c>
      <c r="BO23" s="1260">
        <f t="shared" si="30"/>
        <v>33.763408333300006</v>
      </c>
      <c r="BP23" s="1260">
        <f t="shared" si="31"/>
        <v>46.9688625</v>
      </c>
      <c r="BQ23" s="1114"/>
      <c r="BR23" s="1264"/>
      <c r="BS23" s="1260"/>
      <c r="BU23" s="1087"/>
      <c r="BV23" s="1262" t="s">
        <v>760</v>
      </c>
      <c r="BW23" s="1135"/>
      <c r="BX23" s="1135">
        <f>($BX$14/$BW$9+7)*1000</f>
        <v>14924.180004952612</v>
      </c>
      <c r="BY23" s="1263" t="s">
        <v>761</v>
      </c>
    </row>
    <row r="24" spans="1:77" ht="12.75" customHeight="1">
      <c r="A24" s="1088"/>
      <c r="B24" s="1089"/>
      <c r="C24" s="1181" t="s">
        <v>549</v>
      </c>
      <c r="D24" s="1370"/>
      <c r="E24" s="1180"/>
      <c r="F24" s="1136"/>
      <c r="G24" s="1388">
        <f t="shared" ref="G24:R24" si="42">IF(ISBLANK(G167),"",G167)</f>
        <v>40.373286190476193</v>
      </c>
      <c r="H24" s="1389">
        <f t="shared" si="42"/>
        <v>41.051071525390626</v>
      </c>
      <c r="I24" s="1389">
        <f t="shared" si="42"/>
        <v>50.072542607421866</v>
      </c>
      <c r="J24" s="1390">
        <f t="shared" si="42"/>
        <v>34.412752877884607</v>
      </c>
      <c r="K24" s="1388">
        <f t="shared" si="42"/>
        <v>39.612896863281264</v>
      </c>
      <c r="L24" s="1389">
        <f t="shared" si="42"/>
        <v>45.46599732519531</v>
      </c>
      <c r="M24" s="1389">
        <f t="shared" si="42"/>
        <v>47.308313137695315</v>
      </c>
      <c r="N24" s="1390">
        <f t="shared" si="42"/>
        <v>31.727422125992067</v>
      </c>
      <c r="O24" s="1388">
        <f t="shared" si="42"/>
        <v>30.441801791015621</v>
      </c>
      <c r="P24" s="1389">
        <f t="shared" si="42"/>
        <v>32.770161261718748</v>
      </c>
      <c r="Q24" s="1389">
        <f t="shared" si="42"/>
        <v>44.877897271825397</v>
      </c>
      <c r="R24" s="1389">
        <f t="shared" si="42"/>
        <v>35.019350765624992</v>
      </c>
      <c r="S24" s="1120">
        <f t="shared" si="37"/>
        <v>34.838090073412694</v>
      </c>
      <c r="T24" s="1121">
        <f t="shared" si="37"/>
        <v>39.428378864257809</v>
      </c>
      <c r="U24" s="1121">
        <f t="shared" si="37"/>
        <v>41.11704862597658</v>
      </c>
      <c r="V24" s="1122">
        <f t="shared" si="37"/>
        <v>34.355717211914069</v>
      </c>
      <c r="W24" s="1121">
        <f t="shared" si="37"/>
        <v>72.99622284523808</v>
      </c>
      <c r="X24" s="1121">
        <f t="shared" si="37"/>
        <v>48.442515457031263</v>
      </c>
      <c r="Y24" s="1121">
        <f t="shared" si="37"/>
        <v>37.030601145507809</v>
      </c>
      <c r="Z24" s="1122">
        <f t="shared" si="37"/>
        <v>38.673259170898433</v>
      </c>
      <c r="AA24" s="1121">
        <f t="shared" si="37"/>
        <v>39.963556904761916</v>
      </c>
      <c r="AB24" s="1121">
        <f t="shared" si="37"/>
        <v>30.605513267578125</v>
      </c>
      <c r="AC24" s="1121">
        <f t="shared" si="37"/>
        <v>33.950207826923084</v>
      </c>
      <c r="AD24" s="1122">
        <f t="shared" si="37"/>
        <v>29.947609584960937</v>
      </c>
      <c r="AE24" s="1121">
        <f t="shared" si="37"/>
        <v>26.738570957031257</v>
      </c>
      <c r="AF24" s="1121">
        <f t="shared" si="37"/>
        <v>29.587132090820305</v>
      </c>
      <c r="AG24" s="1121">
        <f t="shared" si="37"/>
        <v>37.576820068359396</v>
      </c>
      <c r="AH24" s="1122">
        <f t="shared" si="37"/>
        <v>31.571357599206348</v>
      </c>
      <c r="AI24" s="1121">
        <f t="shared" si="35"/>
        <v>29.354624452148443</v>
      </c>
      <c r="AJ24" s="1121">
        <f t="shared" si="35"/>
        <v>33.630935440429681</v>
      </c>
      <c r="AK24" s="1121">
        <f t="shared" si="35"/>
        <v>34.552619896825405</v>
      </c>
      <c r="AL24" s="1122">
        <f t="shared" si="35"/>
        <v>30.295690178571437</v>
      </c>
      <c r="AM24" s="1121">
        <f t="shared" si="35"/>
        <v>31.943508934570318</v>
      </c>
      <c r="AN24" s="1121">
        <f t="shared" si="35"/>
        <v>30.066666666666666</v>
      </c>
      <c r="AO24" s="1121">
        <f t="shared" si="35"/>
        <v>34.6</v>
      </c>
      <c r="AP24" s="1122">
        <f t="shared" si="35"/>
        <v>30.166666666666668</v>
      </c>
      <c r="AQ24" s="1121">
        <f t="shared" si="35"/>
        <v>33.929172095569285</v>
      </c>
      <c r="AR24" s="1121">
        <f t="shared" si="35"/>
        <v>28.660363159574629</v>
      </c>
      <c r="AS24" s="1121">
        <f t="shared" si="35"/>
        <v>32.36321030654301</v>
      </c>
      <c r="AT24" s="1122">
        <f t="shared" si="35"/>
        <v>28.947254438313074</v>
      </c>
      <c r="AU24" s="1121">
        <f t="shared" si="35"/>
        <v>33.932622519850185</v>
      </c>
      <c r="AV24" s="1121">
        <f t="shared" si="35"/>
        <v>28.663277772777295</v>
      </c>
      <c r="AW24" s="1121">
        <f t="shared" si="35"/>
        <v>32.366501480472486</v>
      </c>
      <c r="AX24" s="1122">
        <f t="shared" si="35"/>
        <v>28.950198226900017</v>
      </c>
      <c r="AY24" s="1381">
        <f t="shared" si="38"/>
        <v>44.790694407380123</v>
      </c>
      <c r="AZ24" s="1381">
        <f t="shared" si="38"/>
        <v>39.258539826847944</v>
      </c>
      <c r="BA24" s="1381">
        <f t="shared" si="38"/>
        <v>39.777179318772838</v>
      </c>
      <c r="BB24" s="1382">
        <f t="shared" si="38"/>
        <v>46.49798950822359</v>
      </c>
      <c r="BC24" s="1123"/>
      <c r="BD24" s="1123"/>
      <c r="BE24" s="1254">
        <f t="shared" si="20"/>
        <v>41.477413300293321</v>
      </c>
      <c r="BF24" s="1254">
        <f t="shared" si="21"/>
        <v>41.028657363040985</v>
      </c>
      <c r="BG24" s="1254">
        <f t="shared" si="22"/>
        <v>35.777302772546193</v>
      </c>
      <c r="BH24" s="1260">
        <f t="shared" si="23"/>
        <v>37.43480869389029</v>
      </c>
      <c r="BI24" s="1260">
        <f t="shared" si="24"/>
        <v>49.285649654668894</v>
      </c>
      <c r="BJ24" s="1260">
        <f t="shared" si="25"/>
        <v>33.616721896056013</v>
      </c>
      <c r="BK24" s="1260">
        <f t="shared" si="26"/>
        <v>31.368470178854327</v>
      </c>
      <c r="BL24" s="1260">
        <f t="shared" si="27"/>
        <v>31.958467491993741</v>
      </c>
      <c r="BM24" s="1260">
        <f t="shared" si="28"/>
        <v>31.694210566975915</v>
      </c>
      <c r="BN24" s="1260">
        <f t="shared" si="29"/>
        <v>30.975000000000001</v>
      </c>
      <c r="BO24" s="1260">
        <f t="shared" si="30"/>
        <v>30.978149999999996</v>
      </c>
      <c r="BP24" s="1260">
        <f t="shared" si="31"/>
        <v>42.581100765306125</v>
      </c>
      <c r="BQ24" s="1114"/>
      <c r="BR24" s="1264"/>
      <c r="BS24" s="1260"/>
      <c r="BU24" s="1087"/>
      <c r="BV24" s="1262" t="s">
        <v>814</v>
      </c>
      <c r="BW24" s="1135"/>
      <c r="BX24" s="1135">
        <f>+BX23-BX25</f>
        <v>12303.36322926092</v>
      </c>
      <c r="BY24" s="1263" t="s">
        <v>761</v>
      </c>
    </row>
    <row r="25" spans="1:77" ht="12.75" customHeight="1">
      <c r="A25" s="1088"/>
      <c r="B25" s="1089"/>
      <c r="C25" s="1181" t="s">
        <v>518</v>
      </c>
      <c r="D25" s="1370"/>
      <c r="E25" s="1180"/>
      <c r="F25" s="1136"/>
      <c r="G25" s="1388">
        <f t="shared" ref="G25:R25" si="43">IF(ISBLANK(G168),"",G168)</f>
        <v>41.339221230158728</v>
      </c>
      <c r="H25" s="1389">
        <f t="shared" si="43"/>
        <v>39.390153808593752</v>
      </c>
      <c r="I25" s="1389">
        <f t="shared" si="43"/>
        <v>48.872324218750009</v>
      </c>
      <c r="J25" s="1390">
        <f t="shared" si="43"/>
        <v>32.494792444029855</v>
      </c>
      <c r="K25" s="1388">
        <f t="shared" si="43"/>
        <v>49.694167480468757</v>
      </c>
      <c r="L25" s="1389">
        <f t="shared" si="43"/>
        <v>41.930664062500007</v>
      </c>
      <c r="M25" s="1389">
        <f t="shared" si="43"/>
        <v>111.00009521484377</v>
      </c>
      <c r="N25" s="1390">
        <f t="shared" si="43"/>
        <v>29.544866071428554</v>
      </c>
      <c r="O25" s="1388">
        <f t="shared" si="43"/>
        <v>25.356325683593752</v>
      </c>
      <c r="P25" s="1389">
        <f t="shared" si="43"/>
        <v>30.825715332031248</v>
      </c>
      <c r="Q25" s="1389">
        <f t="shared" si="43"/>
        <v>31.618534226190476</v>
      </c>
      <c r="R25" s="1389">
        <f t="shared" si="43"/>
        <v>27.927487792968755</v>
      </c>
      <c r="S25" s="1120">
        <f t="shared" si="37"/>
        <v>28.835245535714289</v>
      </c>
      <c r="T25" s="1121">
        <f t="shared" si="37"/>
        <v>36.626384277343753</v>
      </c>
      <c r="U25" s="1121">
        <f t="shared" si="37"/>
        <v>43.148923339843755</v>
      </c>
      <c r="V25" s="1122">
        <f t="shared" si="37"/>
        <v>36.768386230468735</v>
      </c>
      <c r="W25" s="1121">
        <f t="shared" si="37"/>
        <v>57.726661706349176</v>
      </c>
      <c r="X25" s="1121">
        <f t="shared" si="37"/>
        <v>44.823835449218755</v>
      </c>
      <c r="Y25" s="1121">
        <f t="shared" si="37"/>
        <v>38.568947753906251</v>
      </c>
      <c r="Z25" s="1122">
        <f t="shared" si="37"/>
        <v>33.674279785156259</v>
      </c>
      <c r="AA25" s="1121">
        <f t="shared" si="37"/>
        <v>26.530957341269843</v>
      </c>
      <c r="AB25" s="1121">
        <f t="shared" si="37"/>
        <v>27.875180664062505</v>
      </c>
      <c r="AC25" s="1121">
        <f t="shared" si="37"/>
        <v>34.771600961538461</v>
      </c>
      <c r="AD25" s="1122">
        <f t="shared" si="37"/>
        <v>23.322177734375007</v>
      </c>
      <c r="AE25" s="1121">
        <f t="shared" si="37"/>
        <v>20.53059082031249</v>
      </c>
      <c r="AF25" s="1121">
        <f t="shared" si="37"/>
        <v>24.409040527343741</v>
      </c>
      <c r="AG25" s="1121">
        <f t="shared" si="37"/>
        <v>33.207656250000007</v>
      </c>
      <c r="AH25" s="1122">
        <f t="shared" si="37"/>
        <v>29.754362599206353</v>
      </c>
      <c r="AI25" s="1121">
        <f t="shared" si="35"/>
        <v>27.700273437500005</v>
      </c>
      <c r="AJ25" s="1121">
        <f t="shared" si="35"/>
        <v>46.152717285156264</v>
      </c>
      <c r="AK25" s="1121">
        <f t="shared" si="35"/>
        <v>33.043561507936509</v>
      </c>
      <c r="AL25" s="1122">
        <f t="shared" si="35"/>
        <v>29.19860119047619</v>
      </c>
      <c r="AM25" s="1121">
        <f t="shared" si="35"/>
        <v>33.29329345703124</v>
      </c>
      <c r="AN25" s="1121">
        <f t="shared" si="35"/>
        <v>37.382000000000005</v>
      </c>
      <c r="AO25" s="1121">
        <f t="shared" si="35"/>
        <v>118.87111666666665</v>
      </c>
      <c r="AP25" s="1122">
        <f t="shared" si="35"/>
        <v>27.205766666666666</v>
      </c>
      <c r="AQ25" s="1121">
        <f t="shared" si="35"/>
        <v>24.525092123733586</v>
      </c>
      <c r="AR25" s="1121">
        <f t="shared" si="35"/>
        <v>26.33436343081933</v>
      </c>
      <c r="AS25" s="1121">
        <f t="shared" si="35"/>
        <v>72.001306158597217</v>
      </c>
      <c r="AT25" s="1122">
        <f t="shared" si="35"/>
        <v>45.433288286849844</v>
      </c>
      <c r="AU25" s="1121">
        <f t="shared" si="35"/>
        <v>22.536414554517716</v>
      </c>
      <c r="AV25" s="1121">
        <f t="shared" si="35"/>
        <v>24.198976636338397</v>
      </c>
      <c r="AW25" s="1121">
        <f t="shared" si="35"/>
        <v>66.162902706759411</v>
      </c>
      <c r="AX25" s="1122">
        <f t="shared" si="35"/>
        <v>41.749218075984459</v>
      </c>
      <c r="AY25" s="1121">
        <f t="shared" ref="AY25:BB30" si="44">IF(ISBLANK(AY168),"",AY168)</f>
        <v>21.446763815512227</v>
      </c>
      <c r="AZ25" s="1121">
        <f t="shared" si="44"/>
        <v>23.028939907062984</v>
      </c>
      <c r="BA25" s="1121">
        <f t="shared" si="44"/>
        <v>62.96388204378902</v>
      </c>
      <c r="BB25" s="1122">
        <f t="shared" si="44"/>
        <v>39.730615417635761</v>
      </c>
      <c r="BC25" s="1123"/>
      <c r="BD25" s="1123"/>
      <c r="BE25" s="1254">
        <f t="shared" si="20"/>
        <v>40.524122925383089</v>
      </c>
      <c r="BF25" s="1254">
        <f t="shared" si="21"/>
        <v>58.042448207310272</v>
      </c>
      <c r="BG25" s="1254">
        <f t="shared" si="22"/>
        <v>28.93201575869606</v>
      </c>
      <c r="BH25" s="1260">
        <f t="shared" si="23"/>
        <v>36.34473484584263</v>
      </c>
      <c r="BI25" s="1260">
        <f t="shared" si="24"/>
        <v>43.69843117365761</v>
      </c>
      <c r="BJ25" s="1260">
        <f t="shared" si="25"/>
        <v>28.124979175311452</v>
      </c>
      <c r="BK25" s="1260">
        <f t="shared" si="26"/>
        <v>26.975412549215648</v>
      </c>
      <c r="BL25" s="1260">
        <f t="shared" si="27"/>
        <v>34.023788355267243</v>
      </c>
      <c r="BM25" s="1260">
        <f t="shared" si="28"/>
        <v>54.188044197591147</v>
      </c>
      <c r="BN25" s="1260">
        <f t="shared" si="29"/>
        <v>42.073512499999993</v>
      </c>
      <c r="BO25" s="1260">
        <f t="shared" si="30"/>
        <v>38.661877993399997</v>
      </c>
      <c r="BP25" s="1260">
        <f t="shared" si="31"/>
        <v>36.792550296000002</v>
      </c>
      <c r="BQ25" s="1114"/>
      <c r="BR25" s="1264"/>
      <c r="BS25" s="1260"/>
      <c r="BU25" s="1087"/>
      <c r="BV25" s="1265" t="s">
        <v>1053</v>
      </c>
      <c r="BW25" s="1266"/>
      <c r="BX25" s="1266">
        <f>BX23-BP231+BZ114</f>
        <v>2620.8167756916919</v>
      </c>
      <c r="BY25" s="1267" t="s">
        <v>761</v>
      </c>
    </row>
    <row r="26" spans="1:77" ht="12.75" customHeight="1">
      <c r="A26" s="1088"/>
      <c r="B26" s="1089"/>
      <c r="C26" s="1370" t="s">
        <v>550</v>
      </c>
      <c r="D26" s="1370"/>
      <c r="E26" s="1180"/>
      <c r="F26" s="1136"/>
      <c r="G26" s="1388">
        <f t="shared" ref="G26:R26" si="45">IF(ISBLANK(G169),"",G169)</f>
        <v>41.463162202380943</v>
      </c>
      <c r="H26" s="1389">
        <f t="shared" si="45"/>
        <v>39.232558593749999</v>
      </c>
      <c r="I26" s="1389">
        <f t="shared" si="45"/>
        <v>48.767795410156261</v>
      </c>
      <c r="J26" s="1390">
        <f t="shared" si="45"/>
        <v>32.77672574626866</v>
      </c>
      <c r="K26" s="1388">
        <f t="shared" si="45"/>
        <v>50.755690917968764</v>
      </c>
      <c r="L26" s="1389">
        <f t="shared" si="45"/>
        <v>40.202160644531247</v>
      </c>
      <c r="M26" s="1389">
        <f t="shared" si="45"/>
        <v>106.84378173828125</v>
      </c>
      <c r="N26" s="1390">
        <f t="shared" si="45"/>
        <v>28.962276785714291</v>
      </c>
      <c r="O26" s="1388">
        <f t="shared" si="45"/>
        <v>25.273820800781262</v>
      </c>
      <c r="P26" s="1389">
        <f t="shared" si="45"/>
        <v>31.306391601562503</v>
      </c>
      <c r="Q26" s="1389">
        <f t="shared" si="45"/>
        <v>32.226475694444453</v>
      </c>
      <c r="R26" s="1389">
        <f t="shared" si="45"/>
        <v>28.259047851562507</v>
      </c>
      <c r="S26" s="1120">
        <f t="shared" si="37"/>
        <v>29.044474206349211</v>
      </c>
      <c r="T26" s="1121">
        <f t="shared" si="37"/>
        <v>35.193894042968758</v>
      </c>
      <c r="U26" s="1121">
        <f t="shared" si="37"/>
        <v>38.431984863281251</v>
      </c>
      <c r="V26" s="1122">
        <f t="shared" si="37"/>
        <v>35.855332031250001</v>
      </c>
      <c r="W26" s="1121">
        <f t="shared" si="37"/>
        <v>60.188559027777771</v>
      </c>
      <c r="X26" s="1121">
        <f t="shared" si="37"/>
        <v>40.574257812500001</v>
      </c>
      <c r="Y26" s="1121">
        <f t="shared" si="37"/>
        <v>37.938735351562507</v>
      </c>
      <c r="Z26" s="1122">
        <f t="shared" si="37"/>
        <v>34.462575683593748</v>
      </c>
      <c r="AA26" s="1121">
        <f t="shared" si="37"/>
        <v>26.624528769841273</v>
      </c>
      <c r="AB26" s="1121">
        <f t="shared" si="37"/>
        <v>27.696826171875006</v>
      </c>
      <c r="AC26" s="1121">
        <f t="shared" si="37"/>
        <v>35.113086538461538</v>
      </c>
      <c r="AD26" s="1122">
        <f t="shared" si="37"/>
        <v>20.858798828125007</v>
      </c>
      <c r="AE26" s="1121">
        <f t="shared" si="37"/>
        <v>19.673029785156263</v>
      </c>
      <c r="AF26" s="1121">
        <f t="shared" si="37"/>
        <v>22.350983886718744</v>
      </c>
      <c r="AG26" s="1121">
        <f t="shared" si="37"/>
        <v>30.610273437499995</v>
      </c>
      <c r="AH26" s="1122">
        <f t="shared" si="37"/>
        <v>25.720223214285713</v>
      </c>
      <c r="AI26" s="1121">
        <f t="shared" si="35"/>
        <v>22.746433105468753</v>
      </c>
      <c r="AJ26" s="1121">
        <f t="shared" si="35"/>
        <v>27.890290527343748</v>
      </c>
      <c r="AK26" s="1121">
        <f t="shared" si="35"/>
        <v>29.419799107142854</v>
      </c>
      <c r="AL26" s="1122">
        <f t="shared" si="35"/>
        <v>23.559124503968256</v>
      </c>
      <c r="AM26" s="1121">
        <f t="shared" si="35"/>
        <v>31.786008300781262</v>
      </c>
      <c r="AN26" s="1121">
        <f t="shared" si="35"/>
        <v>35.332000000000001</v>
      </c>
      <c r="AO26" s="1121">
        <f t="shared" si="35"/>
        <v>118.57111666666667</v>
      </c>
      <c r="AP26" s="1122">
        <f t="shared" si="35"/>
        <v>26.272433333333336</v>
      </c>
      <c r="AQ26" s="1121">
        <f t="shared" si="35"/>
        <v>23.582895883834407</v>
      </c>
      <c r="AR26" s="1121">
        <f t="shared" si="35"/>
        <v>24.58750024208658</v>
      </c>
      <c r="AS26" s="1121">
        <f t="shared" si="35"/>
        <v>70.499208350188795</v>
      </c>
      <c r="AT26" s="1122">
        <f t="shared" si="35"/>
        <v>43.541112190290235</v>
      </c>
      <c r="AU26" s="1121">
        <f t="shared" si="35"/>
        <v>21.356595924499164</v>
      </c>
      <c r="AV26" s="1121">
        <f t="shared" si="35"/>
        <v>22.266362453973152</v>
      </c>
      <c r="AW26" s="1121">
        <f t="shared" si="35"/>
        <v>63.843860107279404</v>
      </c>
      <c r="AX26" s="1122">
        <f t="shared" si="35"/>
        <v>39.430693487848274</v>
      </c>
      <c r="AY26" s="1121">
        <f t="shared" si="44"/>
        <v>20.153204665518864</v>
      </c>
      <c r="AZ26" s="1121">
        <f t="shared" si="44"/>
        <v>21.011708105446548</v>
      </c>
      <c r="BA26" s="1121">
        <f t="shared" si="44"/>
        <v>60.246416794484098</v>
      </c>
      <c r="BB26" s="1122">
        <f t="shared" si="44"/>
        <v>37.208871618550496</v>
      </c>
      <c r="BC26" s="1123"/>
      <c r="BD26" s="1123"/>
      <c r="BE26" s="1254">
        <f t="shared" si="20"/>
        <v>40.560060488138966</v>
      </c>
      <c r="BF26" s="1254">
        <f t="shared" si="21"/>
        <v>56.690977521623886</v>
      </c>
      <c r="BG26" s="1254">
        <f t="shared" si="22"/>
        <v>29.26643398708768</v>
      </c>
      <c r="BH26" s="1260">
        <f t="shared" si="23"/>
        <v>34.631421285962304</v>
      </c>
      <c r="BI26" s="1260">
        <f t="shared" si="24"/>
        <v>43.291031968858505</v>
      </c>
      <c r="BJ26" s="1260">
        <f t="shared" si="25"/>
        <v>27.573310077075703</v>
      </c>
      <c r="BK26" s="1260">
        <f t="shared" si="26"/>
        <v>24.58862758091518</v>
      </c>
      <c r="BL26" s="1260">
        <f t="shared" si="27"/>
        <v>25.903911810980901</v>
      </c>
      <c r="BM26" s="1260">
        <f t="shared" si="28"/>
        <v>52.990389575195316</v>
      </c>
      <c r="BN26" s="1260">
        <f t="shared" si="29"/>
        <v>40.552679166600001</v>
      </c>
      <c r="BO26" s="1260">
        <f t="shared" si="30"/>
        <v>36.724377993399997</v>
      </c>
      <c r="BP26" s="1260">
        <f t="shared" si="31"/>
        <v>34.655050295999999</v>
      </c>
      <c r="BQ26" s="1114"/>
      <c r="BR26" s="1264"/>
      <c r="BS26" s="1260"/>
      <c r="BU26" s="1087"/>
    </row>
    <row r="27" spans="1:77" ht="12.75" customHeight="1">
      <c r="A27" s="1088"/>
      <c r="B27" s="1089"/>
      <c r="C27" s="1370" t="s">
        <v>519</v>
      </c>
      <c r="D27" s="1370"/>
      <c r="E27" s="1180"/>
      <c r="F27" s="1136"/>
      <c r="G27" s="1388">
        <f t="shared" ref="G27:R27" si="46">IF(ISBLANK(G170),"",G170)</f>
        <v>41.207070932539686</v>
      </c>
      <c r="H27" s="1389">
        <f t="shared" si="46"/>
        <v>39.192001953125001</v>
      </c>
      <c r="I27" s="1389">
        <f t="shared" si="46"/>
        <v>48.72686279296876</v>
      </c>
      <c r="J27" s="1390">
        <f t="shared" si="46"/>
        <v>31.765543376865669</v>
      </c>
      <c r="K27" s="1388">
        <f t="shared" si="46"/>
        <v>55.323972167968762</v>
      </c>
      <c r="L27" s="1389">
        <f t="shared" si="46"/>
        <v>39.6252978515625</v>
      </c>
      <c r="M27" s="1389">
        <f t="shared" si="46"/>
        <v>106.81442871093749</v>
      </c>
      <c r="N27" s="1390">
        <f t="shared" si="46"/>
        <v>29.354828869047626</v>
      </c>
      <c r="O27" s="1388">
        <f t="shared" si="46"/>
        <v>25.648288574218743</v>
      </c>
      <c r="P27" s="1389">
        <f t="shared" si="46"/>
        <v>29.951386718749998</v>
      </c>
      <c r="Q27" s="1389">
        <f t="shared" si="46"/>
        <v>31.210275297619049</v>
      </c>
      <c r="R27" s="1389">
        <f t="shared" si="46"/>
        <v>28.586511230468751</v>
      </c>
      <c r="S27" s="1120">
        <f t="shared" si="37"/>
        <v>28.708407738095232</v>
      </c>
      <c r="T27" s="1121">
        <f t="shared" si="37"/>
        <v>36.230866699218758</v>
      </c>
      <c r="U27" s="1121">
        <f t="shared" si="37"/>
        <v>40.352358398437502</v>
      </c>
      <c r="V27" s="1122">
        <f t="shared" si="37"/>
        <v>36.304406738281251</v>
      </c>
      <c r="W27" s="1121">
        <f t="shared" si="37"/>
        <v>59.069300595238097</v>
      </c>
      <c r="X27" s="1121">
        <f t="shared" si="37"/>
        <v>41.673994140624984</v>
      </c>
      <c r="Y27" s="1121">
        <f t="shared" si="37"/>
        <v>38.124675292968753</v>
      </c>
      <c r="Z27" s="1122">
        <f t="shared" si="37"/>
        <v>34.437966308593751</v>
      </c>
      <c r="AA27" s="1121">
        <f t="shared" si="37"/>
        <v>26.435344742063496</v>
      </c>
      <c r="AB27" s="1121">
        <f t="shared" si="37"/>
        <v>27.865429687499994</v>
      </c>
      <c r="AC27" s="1121">
        <f t="shared" si="37"/>
        <v>34.586947115384625</v>
      </c>
      <c r="AD27" s="1122">
        <f t="shared" si="37"/>
        <v>23.201174316406249</v>
      </c>
      <c r="AE27" s="1121">
        <f t="shared" si="37"/>
        <v>20.267778320312491</v>
      </c>
      <c r="AF27" s="1121">
        <f t="shared" si="37"/>
        <v>22.831770019531245</v>
      </c>
      <c r="AG27" s="1121">
        <f t="shared" si="37"/>
        <v>30.974855957031252</v>
      </c>
      <c r="AH27" s="1122">
        <f t="shared" si="37"/>
        <v>28.905121527777784</v>
      </c>
      <c r="AI27" s="1121">
        <f t="shared" si="35"/>
        <v>24.182224121093753</v>
      </c>
      <c r="AJ27" s="1121">
        <f t="shared" si="35"/>
        <v>35.500275878906244</v>
      </c>
      <c r="AK27" s="1121">
        <f t="shared" si="35"/>
        <v>30.679335317460314</v>
      </c>
      <c r="AL27" s="1122">
        <f t="shared" si="35"/>
        <v>26.539970238095233</v>
      </c>
      <c r="AM27" s="1121">
        <f t="shared" si="35"/>
        <v>33.080983886718748</v>
      </c>
      <c r="AN27" s="1121">
        <f t="shared" si="35"/>
        <v>38.148666666666664</v>
      </c>
      <c r="AO27" s="1121">
        <f t="shared" si="35"/>
        <v>119.77111666666667</v>
      </c>
      <c r="AP27" s="1122">
        <f t="shared" si="35"/>
        <v>27.555766666666667</v>
      </c>
      <c r="AQ27" s="1121">
        <f t="shared" si="35"/>
        <v>25.311841025847244</v>
      </c>
      <c r="AR27" s="1121">
        <f t="shared" si="35"/>
        <v>26.536363358265632</v>
      </c>
      <c r="AS27" s="1121">
        <f t="shared" si="35"/>
        <v>72.644761515096988</v>
      </c>
      <c r="AT27" s="1122">
        <f t="shared" si="35"/>
        <v>44.901084100790143</v>
      </c>
      <c r="AU27" s="1121">
        <f t="shared" si="35"/>
        <v>23.143193839184796</v>
      </c>
      <c r="AV27" s="1121">
        <f t="shared" si="35"/>
        <v>24.262802550010321</v>
      </c>
      <c r="AW27" s="1121">
        <f t="shared" si="35"/>
        <v>66.420763129337274</v>
      </c>
      <c r="AX27" s="1122">
        <f t="shared" si="35"/>
        <v>41.054085788267628</v>
      </c>
      <c r="AY27" s="1121">
        <f t="shared" si="44"/>
        <v>21.966120391696254</v>
      </c>
      <c r="AZ27" s="1121">
        <f t="shared" si="44"/>
        <v>23.028785290261158</v>
      </c>
      <c r="BA27" s="1121">
        <f t="shared" si="44"/>
        <v>63.042572669337098</v>
      </c>
      <c r="BB27" s="1122">
        <f t="shared" si="44"/>
        <v>38.966056165905499</v>
      </c>
      <c r="BC27" s="1123"/>
      <c r="BD27" s="1123"/>
      <c r="BE27" s="1254">
        <f t="shared" si="20"/>
        <v>40.222869763874776</v>
      </c>
      <c r="BF27" s="1254">
        <f t="shared" si="21"/>
        <v>57.779631899879099</v>
      </c>
      <c r="BG27" s="1254">
        <f t="shared" si="22"/>
        <v>28.849115455264133</v>
      </c>
      <c r="BH27" s="1260">
        <f t="shared" si="23"/>
        <v>35.399009893508186</v>
      </c>
      <c r="BI27" s="1260">
        <f t="shared" si="24"/>
        <v>43.326484084356402</v>
      </c>
      <c r="BJ27" s="1260">
        <f t="shared" si="25"/>
        <v>28.02222396533859</v>
      </c>
      <c r="BK27" s="1260">
        <f t="shared" si="26"/>
        <v>25.744881456163192</v>
      </c>
      <c r="BL27" s="1260">
        <f t="shared" si="27"/>
        <v>29.225451388888885</v>
      </c>
      <c r="BM27" s="1260">
        <f t="shared" si="28"/>
        <v>54.639133471679685</v>
      </c>
      <c r="BN27" s="1260">
        <f t="shared" si="29"/>
        <v>42.348512499999998</v>
      </c>
      <c r="BO27" s="1260">
        <f t="shared" si="30"/>
        <v>38.720211326700003</v>
      </c>
      <c r="BP27" s="1260">
        <f t="shared" si="31"/>
        <v>36.750883629300006</v>
      </c>
      <c r="BQ27" s="1114"/>
      <c r="BR27" s="1264"/>
      <c r="BS27" s="1260"/>
      <c r="BU27" s="1087"/>
      <c r="BV27" s="1129" t="s">
        <v>519</v>
      </c>
    </row>
    <row r="28" spans="1:77" ht="12.75" customHeight="1">
      <c r="A28" s="1088"/>
      <c r="B28" s="1089"/>
      <c r="C28" s="1370" t="s">
        <v>551</v>
      </c>
      <c r="D28" s="1370"/>
      <c r="E28" s="1149"/>
      <c r="F28" s="1136"/>
      <c r="G28" s="1388">
        <f t="shared" ref="G28:R28" si="47">IF(ISBLANK(G171),"",G171)</f>
        <v>44.912666666666681</v>
      </c>
      <c r="H28" s="1389">
        <f t="shared" si="47"/>
        <v>35.874838709677434</v>
      </c>
      <c r="I28" s="1389">
        <f t="shared" si="47"/>
        <v>40.575468749999999</v>
      </c>
      <c r="J28" s="1390">
        <f t="shared" si="47"/>
        <v>34.270317460317472</v>
      </c>
      <c r="K28" s="1388">
        <f t="shared" si="47"/>
        <v>32.430468750000003</v>
      </c>
      <c r="L28" s="1389">
        <f t="shared" si="47"/>
        <v>36.866093749999997</v>
      </c>
      <c r="M28" s="1389">
        <f t="shared" si="47"/>
        <v>42.871093750000007</v>
      </c>
      <c r="N28" s="1390">
        <f t="shared" si="47"/>
        <v>33.560156250000006</v>
      </c>
      <c r="O28" s="1388">
        <f t="shared" si="47"/>
        <v>25.353281250000002</v>
      </c>
      <c r="P28" s="1389">
        <f t="shared" si="47"/>
        <v>25.953076923076935</v>
      </c>
      <c r="Q28" s="1389">
        <f t="shared" si="47"/>
        <v>36.29349206349206</v>
      </c>
      <c r="R28" s="1389">
        <f t="shared" si="47"/>
        <v>31.014769230769229</v>
      </c>
      <c r="S28" s="1120">
        <f t="shared" si="37"/>
        <v>32.511999999999993</v>
      </c>
      <c r="T28" s="1121">
        <f t="shared" si="37"/>
        <v>38.131384615384611</v>
      </c>
      <c r="U28" s="1121">
        <f t="shared" si="37"/>
        <v>42.04296875</v>
      </c>
      <c r="V28" s="1122">
        <f t="shared" si="37"/>
        <v>37.624062500000001</v>
      </c>
      <c r="W28" s="1121">
        <f t="shared" si="37"/>
        <v>47.590967741935479</v>
      </c>
      <c r="X28" s="1121">
        <f t="shared" si="37"/>
        <v>42.762769230769244</v>
      </c>
      <c r="Y28" s="1121">
        <f t="shared" si="37"/>
        <v>43.211212121212121</v>
      </c>
      <c r="Z28" s="1122">
        <f t="shared" si="37"/>
        <v>36.127031249999987</v>
      </c>
      <c r="AA28" s="1121">
        <f t="shared" si="37"/>
        <v>25.419180327868858</v>
      </c>
      <c r="AB28" s="1121">
        <f t="shared" si="37"/>
        <v>26.831111111111106</v>
      </c>
      <c r="AC28" s="1121">
        <f t="shared" si="37"/>
        <v>33.160312500000011</v>
      </c>
      <c r="AD28" s="1122">
        <f t="shared" si="37"/>
        <v>23.980158730158735</v>
      </c>
      <c r="AE28" s="1121">
        <f t="shared" si="37"/>
        <v>19.007377049180324</v>
      </c>
      <c r="AF28" s="1121">
        <f t="shared" si="37"/>
        <v>22.532187499999996</v>
      </c>
      <c r="AG28" s="1121">
        <f t="shared" si="37"/>
        <v>34.896093749999999</v>
      </c>
      <c r="AH28" s="1122">
        <f t="shared" si="37"/>
        <v>25.215322580645164</v>
      </c>
      <c r="AI28" s="1121">
        <f t="shared" si="35"/>
        <v>23.400322580645167</v>
      </c>
      <c r="AJ28" s="1121">
        <f t="shared" si="35"/>
        <v>32.938906250000002</v>
      </c>
      <c r="AK28" s="1121">
        <f t="shared" si="35"/>
        <v>44.240952380952386</v>
      </c>
      <c r="AL28" s="1122">
        <f t="shared" si="35"/>
        <v>30.908548387096779</v>
      </c>
      <c r="AM28" s="1121">
        <f t="shared" si="35"/>
        <v>26.38622950819672</v>
      </c>
      <c r="AN28" s="1121">
        <f t="shared" si="35"/>
        <v>27.183333333333334</v>
      </c>
      <c r="AO28" s="1121">
        <f t="shared" si="35"/>
        <v>42.599999999999994</v>
      </c>
      <c r="AP28" s="1122">
        <f t="shared" si="35"/>
        <v>25.099999999999998</v>
      </c>
      <c r="AQ28" s="1121">
        <f t="shared" si="35"/>
        <v>25.992977359392921</v>
      </c>
      <c r="AR28" s="1121">
        <f t="shared" si="35"/>
        <v>25.589202953810119</v>
      </c>
      <c r="AS28" s="1121">
        <f t="shared" si="35"/>
        <v>40.377440558280256</v>
      </c>
      <c r="AT28" s="1122">
        <f t="shared" si="35"/>
        <v>30.457045794916699</v>
      </c>
      <c r="AU28" s="1121">
        <f t="shared" si="35"/>
        <v>28.466645320489615</v>
      </c>
      <c r="AV28" s="1121">
        <f t="shared" si="35"/>
        <v>28.024445004831527</v>
      </c>
      <c r="AW28" s="1121">
        <f t="shared" si="35"/>
        <v>44.220031565809109</v>
      </c>
      <c r="AX28" s="1122">
        <f t="shared" si="35"/>
        <v>33.355544775269749</v>
      </c>
      <c r="AY28" s="1121">
        <f t="shared" si="44"/>
        <v>30.466105117398659</v>
      </c>
      <c r="AZ28" s="1121">
        <f t="shared" si="44"/>
        <v>29.992845232079848</v>
      </c>
      <c r="BA28" s="1121">
        <f t="shared" si="44"/>
        <v>47.325988531881407</v>
      </c>
      <c r="BB28" s="1122">
        <f t="shared" si="44"/>
        <v>35.69839445184008</v>
      </c>
      <c r="BC28" s="1123"/>
      <c r="BD28" s="1123"/>
      <c r="BE28" s="1254">
        <f t="shared" si="20"/>
        <v>38.908322896665396</v>
      </c>
      <c r="BF28" s="1254">
        <f t="shared" si="21"/>
        <v>36.431953125</v>
      </c>
      <c r="BG28" s="1254">
        <f t="shared" si="22"/>
        <v>29.653654866834557</v>
      </c>
      <c r="BH28" s="1260">
        <f t="shared" si="23"/>
        <v>37.577603966346153</v>
      </c>
      <c r="BI28" s="1260">
        <f t="shared" si="24"/>
        <v>42.42299508597921</v>
      </c>
      <c r="BJ28" s="1260">
        <f t="shared" si="25"/>
        <v>27.347690667284677</v>
      </c>
      <c r="BK28" s="1260">
        <f t="shared" si="26"/>
        <v>25.412745219956371</v>
      </c>
      <c r="BL28" s="1260">
        <f t="shared" si="27"/>
        <v>32.872182399673584</v>
      </c>
      <c r="BM28" s="1260">
        <f t="shared" si="28"/>
        <v>30.317390710382512</v>
      </c>
      <c r="BN28" s="1260">
        <f t="shared" si="29"/>
        <v>30.604166666599998</v>
      </c>
      <c r="BO28" s="1260">
        <f t="shared" si="30"/>
        <v>33.516666666600003</v>
      </c>
      <c r="BP28" s="1260">
        <f t="shared" si="31"/>
        <v>35.870833333299998</v>
      </c>
      <c r="BQ28" s="1114"/>
      <c r="BR28" s="1264"/>
      <c r="BS28" s="1260"/>
      <c r="BU28" s="1087"/>
      <c r="BV28" s="1257" t="s">
        <v>758</v>
      </c>
      <c r="BW28" s="1258"/>
      <c r="BX28" s="1258">
        <v>22</v>
      </c>
      <c r="BY28" s="1259" t="s">
        <v>759</v>
      </c>
    </row>
    <row r="29" spans="1:77" ht="12.75" customHeight="1">
      <c r="A29" s="1088"/>
      <c r="B29" s="1089"/>
      <c r="C29" s="1370" t="s">
        <v>552</v>
      </c>
      <c r="D29" s="1370"/>
      <c r="E29" s="1180"/>
      <c r="F29" s="1136"/>
      <c r="G29" s="1388">
        <f t="shared" ref="G29:R29" si="48">IF(ISBLANK(G172),"",G172)</f>
        <v>60.128553647202374</v>
      </c>
      <c r="H29" s="1389">
        <f t="shared" si="48"/>
        <v>31.946377822646106</v>
      </c>
      <c r="I29" s="1389">
        <f t="shared" si="48"/>
        <v>37.433810982142873</v>
      </c>
      <c r="J29" s="1390">
        <f t="shared" si="48"/>
        <v>33.962447284902595</v>
      </c>
      <c r="K29" s="1388">
        <f t="shared" si="48"/>
        <v>30.515116445312522</v>
      </c>
      <c r="L29" s="1389">
        <f t="shared" si="48"/>
        <v>33.011711513798716</v>
      </c>
      <c r="M29" s="1389">
        <f t="shared" si="48"/>
        <v>42.068564527191569</v>
      </c>
      <c r="N29" s="1390">
        <f t="shared" si="48"/>
        <v>32.950429456168834</v>
      </c>
      <c r="O29" s="1388">
        <f t="shared" si="48"/>
        <v>25.307843413149342</v>
      </c>
      <c r="P29" s="1389">
        <f t="shared" si="48"/>
        <v>22.80274092532467</v>
      </c>
      <c r="Q29" s="1389">
        <f t="shared" si="48"/>
        <v>35.896205914884867</v>
      </c>
      <c r="R29" s="1389">
        <f t="shared" si="48"/>
        <v>42.475329612418847</v>
      </c>
      <c r="S29" s="1120">
        <f t="shared" si="37"/>
        <v>42.911978651315792</v>
      </c>
      <c r="T29" s="1121">
        <f t="shared" si="37"/>
        <v>45.579805629058441</v>
      </c>
      <c r="U29" s="1121">
        <f t="shared" si="37"/>
        <v>48.084160511363628</v>
      </c>
      <c r="V29" s="1122">
        <f t="shared" si="37"/>
        <v>45.337906345373376</v>
      </c>
      <c r="W29" s="1121">
        <f t="shared" si="37"/>
        <v>53.600572129934207</v>
      </c>
      <c r="X29" s="1121">
        <f t="shared" si="37"/>
        <v>40.900113140016224</v>
      </c>
      <c r="Y29" s="1121">
        <f t="shared" si="37"/>
        <v>46.183565756087653</v>
      </c>
      <c r="Z29" s="1122">
        <f t="shared" si="37"/>
        <v>41.445947460091979</v>
      </c>
      <c r="AA29" s="1121">
        <f t="shared" si="37"/>
        <v>28.829850453771133</v>
      </c>
      <c r="AB29" s="1121">
        <f t="shared" si="37"/>
        <v>29.03807379386982</v>
      </c>
      <c r="AC29" s="1121">
        <f t="shared" si="37"/>
        <v>35.943119470128089</v>
      </c>
      <c r="AD29" s="1122">
        <f t="shared" si="37"/>
        <v>32.371010031004026</v>
      </c>
      <c r="AE29" s="1121">
        <f t="shared" si="37"/>
        <v>21.909217117018397</v>
      </c>
      <c r="AF29" s="1121">
        <f t="shared" si="37"/>
        <v>21.147224745129879</v>
      </c>
      <c r="AG29" s="1121">
        <f t="shared" si="37"/>
        <v>35.217113687499996</v>
      </c>
      <c r="AH29" s="1122">
        <f t="shared" si="37"/>
        <v>32.804729900021115</v>
      </c>
      <c r="AI29" s="1121">
        <f t="shared" si="35"/>
        <v>27.142658075794955</v>
      </c>
      <c r="AJ29" s="1121">
        <f t="shared" si="35"/>
        <v>32.083006007440474</v>
      </c>
      <c r="AK29" s="1121">
        <f t="shared" si="35"/>
        <v>43.369349766774882</v>
      </c>
      <c r="AL29" s="1122">
        <f t="shared" si="35"/>
        <v>48.204032704495603</v>
      </c>
      <c r="AM29" s="1121">
        <f t="shared" si="35"/>
        <v>34.474168695211048</v>
      </c>
      <c r="AN29" s="1121">
        <f t="shared" si="35"/>
        <v>27.633333333333336</v>
      </c>
      <c r="AO29" s="1121">
        <f t="shared" si="35"/>
        <v>46.35</v>
      </c>
      <c r="AP29" s="1122">
        <f t="shared" si="35"/>
        <v>39.75</v>
      </c>
      <c r="AQ29" s="1121">
        <f t="shared" si="35"/>
        <v>35.039319558003335</v>
      </c>
      <c r="AR29" s="1121">
        <f t="shared" si="35"/>
        <v>25.220609132408999</v>
      </c>
      <c r="AS29" s="1121">
        <f t="shared" si="35"/>
        <v>40.23746037155329</v>
      </c>
      <c r="AT29" s="1122">
        <f t="shared" si="35"/>
        <v>42.319277604434383</v>
      </c>
      <c r="AU29" s="1121">
        <f t="shared" si="35"/>
        <v>37.701310109094798</v>
      </c>
      <c r="AV29" s="1121">
        <f t="shared" si="35"/>
        <v>27.136657276326481</v>
      </c>
      <c r="AW29" s="1121">
        <f t="shared" si="35"/>
        <v>43.29436160879569</v>
      </c>
      <c r="AX29" s="1122">
        <f t="shared" si="35"/>
        <v>45.534337672183035</v>
      </c>
      <c r="AY29" s="1121">
        <f t="shared" si="44"/>
        <v>39.12839874558054</v>
      </c>
      <c r="AZ29" s="1121">
        <f t="shared" si="44"/>
        <v>28.16384744874204</v>
      </c>
      <c r="BA29" s="1121">
        <f t="shared" si="44"/>
        <v>44.93316119684799</v>
      </c>
      <c r="BB29" s="1122">
        <f t="shared" si="44"/>
        <v>47.257925942029424</v>
      </c>
      <c r="BC29" s="1123"/>
      <c r="BD29" s="1123"/>
      <c r="BE29" s="1254">
        <f t="shared" si="20"/>
        <v>40.867797434223483</v>
      </c>
      <c r="BF29" s="1254">
        <f t="shared" si="21"/>
        <v>34.636455485617915</v>
      </c>
      <c r="BG29" s="1254">
        <f t="shared" si="22"/>
        <v>31.62052996644443</v>
      </c>
      <c r="BH29" s="1260">
        <f t="shared" si="23"/>
        <v>45.478462784277809</v>
      </c>
      <c r="BI29" s="1260">
        <f t="shared" si="24"/>
        <v>45.532549621532517</v>
      </c>
      <c r="BJ29" s="1260">
        <f t="shared" si="25"/>
        <v>31.545513437193271</v>
      </c>
      <c r="BK29" s="1260">
        <f t="shared" si="26"/>
        <v>27.769571362417349</v>
      </c>
      <c r="BL29" s="1260">
        <f t="shared" si="27"/>
        <v>37.699761638626477</v>
      </c>
      <c r="BM29" s="1260">
        <f t="shared" si="28"/>
        <v>37.051875507136096</v>
      </c>
      <c r="BN29" s="1260">
        <f t="shared" si="29"/>
        <v>35.704166666600003</v>
      </c>
      <c r="BO29" s="1260">
        <f t="shared" si="30"/>
        <v>38.416666666600001</v>
      </c>
      <c r="BP29" s="1260">
        <f t="shared" si="31"/>
        <v>39.870833333299998</v>
      </c>
      <c r="BQ29" s="1114"/>
      <c r="BR29" s="1264"/>
      <c r="BS29" s="1260"/>
      <c r="BU29" s="1087"/>
      <c r="BV29" s="1262" t="s">
        <v>760</v>
      </c>
      <c r="BW29" s="1135"/>
      <c r="BX29" s="1135">
        <f>($BX$14/$BW$9+7)*1000</f>
        <v>14924.180004952612</v>
      </c>
      <c r="BY29" s="1263" t="s">
        <v>761</v>
      </c>
    </row>
    <row r="30" spans="1:77" ht="12.75" customHeight="1">
      <c r="A30" s="1088"/>
      <c r="B30" s="1089"/>
      <c r="C30" s="1370" t="s">
        <v>553</v>
      </c>
      <c r="D30" s="1370"/>
      <c r="E30" s="1180"/>
      <c r="F30" s="1136"/>
      <c r="G30" s="1388">
        <f t="shared" ref="G30:R30" si="49">IF(ISBLANK(G173),"",G173)</f>
        <v>45.136661350916356</v>
      </c>
      <c r="H30" s="1389">
        <f t="shared" si="49"/>
        <v>31.276324283685071</v>
      </c>
      <c r="I30" s="1389">
        <f t="shared" si="49"/>
        <v>35.895895022321419</v>
      </c>
      <c r="J30" s="1390">
        <f t="shared" si="49"/>
        <v>34.310879216720778</v>
      </c>
      <c r="K30" s="1388">
        <f t="shared" si="49"/>
        <v>30.24114454975328</v>
      </c>
      <c r="L30" s="1389">
        <f t="shared" si="49"/>
        <v>31.702068581574675</v>
      </c>
      <c r="M30" s="1389">
        <f t="shared" si="49"/>
        <v>41.130466008522738</v>
      </c>
      <c r="N30" s="1390">
        <f t="shared" si="49"/>
        <v>32.790118090503235</v>
      </c>
      <c r="O30" s="1388">
        <f t="shared" si="49"/>
        <v>25.843621564529215</v>
      </c>
      <c r="P30" s="1389">
        <f t="shared" si="49"/>
        <v>26.883430413961047</v>
      </c>
      <c r="Q30" s="1389">
        <f t="shared" si="49"/>
        <v>32.092331157483542</v>
      </c>
      <c r="R30" s="1389">
        <f t="shared" si="49"/>
        <v>35.354487767857144</v>
      </c>
      <c r="S30" s="1120">
        <f t="shared" si="37"/>
        <v>38.341412275904609</v>
      </c>
      <c r="T30" s="1121">
        <f t="shared" si="37"/>
        <v>53.221846702516224</v>
      </c>
      <c r="U30" s="1121">
        <f t="shared" si="37"/>
        <v>43.118555716314944</v>
      </c>
      <c r="V30" s="1122">
        <f t="shared" si="37"/>
        <v>47.006490310470774</v>
      </c>
      <c r="W30" s="1121">
        <f t="shared" si="37"/>
        <v>54.453317212171072</v>
      </c>
      <c r="X30" s="1121">
        <f t="shared" si="37"/>
        <v>43.800113599161243</v>
      </c>
      <c r="Y30" s="1121">
        <f t="shared" si="37"/>
        <v>46.219888831825891</v>
      </c>
      <c r="Z30" s="1122">
        <f t="shared" si="37"/>
        <v>42.75064843777055</v>
      </c>
      <c r="AA30" s="1121">
        <f t="shared" si="37"/>
        <v>30.826490857906492</v>
      </c>
      <c r="AB30" s="1121">
        <f t="shared" si="37"/>
        <v>36.661938962643021</v>
      </c>
      <c r="AC30" s="1121">
        <f t="shared" si="37"/>
        <v>36.175045137228835</v>
      </c>
      <c r="AD30" s="1122">
        <f t="shared" si="37"/>
        <v>31.309796634826355</v>
      </c>
      <c r="AE30" s="1121">
        <f t="shared" si="37"/>
        <v>23.238426047889615</v>
      </c>
      <c r="AF30" s="1121">
        <f t="shared" si="37"/>
        <v>25.958117773133125</v>
      </c>
      <c r="AG30" s="1121">
        <f t="shared" si="37"/>
        <v>35.980332387929025</v>
      </c>
      <c r="AH30" s="1122">
        <f t="shared" si="37"/>
        <v>36.942520320092108</v>
      </c>
      <c r="AI30" s="1121">
        <f t="shared" si="35"/>
        <v>29.92399809991776</v>
      </c>
      <c r="AJ30" s="1121">
        <f t="shared" si="35"/>
        <v>36.316399976055195</v>
      </c>
      <c r="AK30" s="1121">
        <f t="shared" si="35"/>
        <v>47.946497504058435</v>
      </c>
      <c r="AL30" s="1122">
        <f t="shared" si="35"/>
        <v>48.663296223684213</v>
      </c>
      <c r="AM30" s="1121">
        <f t="shared" si="35"/>
        <v>34.379404778409103</v>
      </c>
      <c r="AN30" s="1121">
        <f t="shared" si="35"/>
        <v>28.966666666666669</v>
      </c>
      <c r="AO30" s="1121">
        <f t="shared" si="35"/>
        <v>44.1</v>
      </c>
      <c r="AP30" s="1122">
        <f t="shared" si="35"/>
        <v>40.25</v>
      </c>
      <c r="AQ30" s="1121">
        <f t="shared" si="35"/>
        <v>38.255538918101109</v>
      </c>
      <c r="AR30" s="1121">
        <f t="shared" si="35"/>
        <v>29.023202192532711</v>
      </c>
      <c r="AS30" s="1121">
        <f t="shared" si="35"/>
        <v>41.520011572445739</v>
      </c>
      <c r="AT30" s="1122">
        <f t="shared" si="35"/>
        <v>42.017913983320447</v>
      </c>
      <c r="AU30" s="1121">
        <f t="shared" si="35"/>
        <v>41.312092640925286</v>
      </c>
      <c r="AV30" s="1121">
        <f t="shared" si="35"/>
        <v>31.342107616915317</v>
      </c>
      <c r="AW30" s="1121">
        <f t="shared" si="35"/>
        <v>44.837391212950912</v>
      </c>
      <c r="AX30" s="1122">
        <f t="shared" si="35"/>
        <v>45.375075195608474</v>
      </c>
      <c r="AY30" s="1121">
        <f t="shared" si="44"/>
        <v>42.787524520994573</v>
      </c>
      <c r="AZ30" s="1121">
        <f t="shared" si="44"/>
        <v>32.461468603261217</v>
      </c>
      <c r="BA30" s="1121">
        <f t="shared" si="44"/>
        <v>46.438726613452779</v>
      </c>
      <c r="BB30" s="1122">
        <f t="shared" si="44"/>
        <v>46.995613595491442</v>
      </c>
      <c r="BC30" s="1123"/>
      <c r="BD30" s="1123"/>
      <c r="BE30" s="1254">
        <f t="shared" si="20"/>
        <v>36.654939968410901</v>
      </c>
      <c r="BF30" s="1254">
        <f t="shared" si="21"/>
        <v>33.965949307588481</v>
      </c>
      <c r="BG30" s="1254">
        <f t="shared" si="22"/>
        <v>30.04346772595774</v>
      </c>
      <c r="BH30" s="1260">
        <f t="shared" si="23"/>
        <v>45.42207625130164</v>
      </c>
      <c r="BI30" s="1260">
        <f t="shared" si="24"/>
        <v>46.805992020232196</v>
      </c>
      <c r="BJ30" s="1260">
        <f t="shared" si="25"/>
        <v>33.743317898151176</v>
      </c>
      <c r="BK30" s="1260">
        <f t="shared" si="26"/>
        <v>30.529849132260971</v>
      </c>
      <c r="BL30" s="1260">
        <f t="shared" si="27"/>
        <v>40.712547950928908</v>
      </c>
      <c r="BM30" s="1260">
        <f t="shared" si="28"/>
        <v>36.924017861268943</v>
      </c>
      <c r="BN30" s="1260">
        <f t="shared" si="29"/>
        <v>37.704166666600003</v>
      </c>
      <c r="BO30" s="1260">
        <f t="shared" si="30"/>
        <v>40.716666666599998</v>
      </c>
      <c r="BP30" s="1260">
        <f t="shared" si="31"/>
        <v>42.170833333300003</v>
      </c>
      <c r="BQ30" s="1114"/>
      <c r="BR30" s="1264"/>
      <c r="BS30" s="1260"/>
      <c r="BU30" s="1087"/>
      <c r="BV30" s="1262" t="s">
        <v>814</v>
      </c>
      <c r="BW30" s="1135"/>
      <c r="BX30" s="1135">
        <f>+BX29-BX31</f>
        <v>13048.805132456902</v>
      </c>
      <c r="BY30" s="1263" t="s">
        <v>761</v>
      </c>
    </row>
    <row r="31" spans="1:77" ht="12.75" customHeight="1">
      <c r="A31" s="1088"/>
      <c r="B31" s="1089"/>
      <c r="C31" s="1370" t="s">
        <v>554</v>
      </c>
      <c r="D31" s="1370"/>
      <c r="E31" s="1370"/>
      <c r="F31" s="1136"/>
      <c r="G31" s="1388">
        <f t="shared" ref="G31:R31" si="50">IF(ISBLANK(G174),"",G174)</f>
        <v>43.829666666666668</v>
      </c>
      <c r="H31" s="1389">
        <f t="shared" si="50"/>
        <v>28.54564516129032</v>
      </c>
      <c r="I31" s="1389">
        <f t="shared" si="50"/>
        <v>38.119531250000001</v>
      </c>
      <c r="J31" s="1390">
        <f t="shared" si="50"/>
        <v>33.579047619047621</v>
      </c>
      <c r="K31" s="1388">
        <f t="shared" si="50"/>
        <v>26.340468749999999</v>
      </c>
      <c r="L31" s="1389">
        <f t="shared" si="50"/>
        <v>27.286249999999995</v>
      </c>
      <c r="M31" s="1389">
        <f t="shared" si="50"/>
        <v>33.397500000000015</v>
      </c>
      <c r="N31" s="1390">
        <f t="shared" si="50"/>
        <v>30.906093749999997</v>
      </c>
      <c r="O31" s="1388">
        <f t="shared" si="50"/>
        <v>23.229218750000008</v>
      </c>
      <c r="P31" s="1389">
        <f t="shared" si="50"/>
        <v>12.017692307692307</v>
      </c>
      <c r="Q31" s="1389">
        <f t="shared" si="50"/>
        <v>26.9057142857143</v>
      </c>
      <c r="R31" s="1389">
        <f t="shared" si="50"/>
        <v>29.446000000000005</v>
      </c>
      <c r="S31" s="1120">
        <f t="shared" si="37"/>
        <v>30.320000000000007</v>
      </c>
      <c r="T31" s="1121">
        <f t="shared" si="37"/>
        <v>33.439538461538454</v>
      </c>
      <c r="U31" s="1121">
        <f t="shared" si="37"/>
        <v>42.477500000000006</v>
      </c>
      <c r="V31" s="1122">
        <f t="shared" si="37"/>
        <v>43.603750000000005</v>
      </c>
      <c r="W31" s="1121">
        <f t="shared" si="37"/>
        <v>47.446612903225798</v>
      </c>
      <c r="X31" s="1121">
        <f t="shared" si="37"/>
        <v>33.838307692307687</v>
      </c>
      <c r="Y31" s="1121">
        <f t="shared" si="37"/>
        <v>40.372878787878776</v>
      </c>
      <c r="Z31" s="1122">
        <f t="shared" si="37"/>
        <v>32.739843750000006</v>
      </c>
      <c r="AA31" s="1121">
        <f t="shared" si="37"/>
        <v>20.717049180327873</v>
      </c>
      <c r="AB31" s="1121">
        <f t="shared" si="37"/>
        <v>28.650317460317464</v>
      </c>
      <c r="AC31" s="1121">
        <f t="shared" si="37"/>
        <v>33.344531250000003</v>
      </c>
      <c r="AD31" s="1122">
        <f t="shared" si="37"/>
        <v>21.909841269841273</v>
      </c>
      <c r="AE31" s="1121">
        <f t="shared" si="37"/>
        <v>17.523114754098362</v>
      </c>
      <c r="AF31" s="1121">
        <f t="shared" si="37"/>
        <v>16.668125</v>
      </c>
      <c r="AG31" s="1121">
        <f t="shared" si="37"/>
        <v>32.027968749999999</v>
      </c>
      <c r="AH31" s="1122">
        <f t="shared" si="37"/>
        <v>25.693387096774195</v>
      </c>
      <c r="AI31" s="1121">
        <f t="shared" si="35"/>
        <v>23.318548387096779</v>
      </c>
      <c r="AJ31" s="1121">
        <f t="shared" si="35"/>
        <v>16.274843750000002</v>
      </c>
      <c r="AK31" s="1121">
        <f t="shared" si="35"/>
        <v>38.276507936507947</v>
      </c>
      <c r="AL31" s="1122">
        <f t="shared" si="35"/>
        <v>27.148064516129033</v>
      </c>
      <c r="AM31" s="1121">
        <f t="shared" si="35"/>
        <v>21.811311475409838</v>
      </c>
      <c r="AN31" s="1121">
        <f t="shared" si="35"/>
        <v>13.183333333333332</v>
      </c>
      <c r="AO31" s="1121">
        <f t="shared" si="35"/>
        <v>28.649999999999995</v>
      </c>
      <c r="AP31" s="1122">
        <f t="shared" si="35"/>
        <v>23.75</v>
      </c>
      <c r="AQ31" s="1121">
        <f t="shared" si="35"/>
        <v>27.40712890369376</v>
      </c>
      <c r="AR31" s="1121">
        <f t="shared" si="35"/>
        <v>18.328876562466629</v>
      </c>
      <c r="AS31" s="1121">
        <f t="shared" si="35"/>
        <v>32.290998834121375</v>
      </c>
      <c r="AT31" s="1122">
        <f t="shared" si="35"/>
        <v>22.389662366118252</v>
      </c>
      <c r="AU31" s="1121">
        <f t="shared" si="35"/>
        <v>30.859744810408912</v>
      </c>
      <c r="AV31" s="1121">
        <f t="shared" si="35"/>
        <v>20.637858688765235</v>
      </c>
      <c r="AW31" s="1121">
        <f t="shared" si="35"/>
        <v>36.358860761949288</v>
      </c>
      <c r="AX31" s="1122">
        <f t="shared" si="35"/>
        <v>25.210202405276569</v>
      </c>
      <c r="AY31" s="1121">
        <f t="shared" ref="AY31:BB46" si="51">IF(ISBLANK(AY174),"",AY174)</f>
        <v>33.047766221683759</v>
      </c>
      <c r="AZ31" s="1121">
        <f t="shared" si="51"/>
        <v>22.101126676601996</v>
      </c>
      <c r="BA31" s="1121">
        <f t="shared" si="51"/>
        <v>38.936781166847538</v>
      </c>
      <c r="BB31" s="1122">
        <f t="shared" si="51"/>
        <v>26.997659268066712</v>
      </c>
      <c r="BC31" s="1123"/>
      <c r="BD31" s="1123"/>
      <c r="BE31" s="1254">
        <f t="shared" si="20"/>
        <v>36.018472674251157</v>
      </c>
      <c r="BF31" s="1254">
        <f t="shared" si="21"/>
        <v>29.482578125000003</v>
      </c>
      <c r="BG31" s="1254">
        <f t="shared" si="22"/>
        <v>22.899656335851652</v>
      </c>
      <c r="BH31" s="1260">
        <f t="shared" si="23"/>
        <v>37.460197115384616</v>
      </c>
      <c r="BI31" s="1260">
        <f t="shared" si="24"/>
        <v>38.599410783353065</v>
      </c>
      <c r="BJ31" s="1260">
        <f t="shared" si="25"/>
        <v>26.155434790121653</v>
      </c>
      <c r="BK31" s="1260">
        <f t="shared" si="26"/>
        <v>22.978148900218137</v>
      </c>
      <c r="BL31" s="1260">
        <f t="shared" si="27"/>
        <v>26.254491147433441</v>
      </c>
      <c r="BM31" s="1260">
        <f t="shared" si="28"/>
        <v>21.848661202185792</v>
      </c>
      <c r="BN31" s="1260">
        <f t="shared" si="29"/>
        <v>25.104166666600001</v>
      </c>
      <c r="BO31" s="1260">
        <f t="shared" si="30"/>
        <v>28.266666666600003</v>
      </c>
      <c r="BP31" s="1260">
        <f t="shared" si="31"/>
        <v>30.270833333300001</v>
      </c>
      <c r="BQ31" s="1114"/>
      <c r="BR31" s="1264"/>
      <c r="BS31" s="1260"/>
      <c r="BU31" s="1087"/>
      <c r="BV31" s="1265" t="s">
        <v>1053</v>
      </c>
      <c r="BW31" s="1266"/>
      <c r="BX31" s="1266">
        <f>BX29-BP232+BZ114</f>
        <v>1875.3748724957095</v>
      </c>
      <c r="BY31" s="1267" t="s">
        <v>761</v>
      </c>
    </row>
    <row r="32" spans="1:77" ht="12.75" customHeight="1">
      <c r="A32" s="1088"/>
      <c r="B32" s="1089"/>
      <c r="C32" s="1370"/>
      <c r="D32" s="1370"/>
      <c r="E32" s="1370"/>
      <c r="F32" s="1375"/>
      <c r="G32" s="1388">
        <f t="shared" ref="G32:R32" si="52">IF(ISBLANK(G175),"",G175)</f>
        <v>0</v>
      </c>
      <c r="H32" s="1389">
        <f t="shared" si="52"/>
        <v>0</v>
      </c>
      <c r="I32" s="1389">
        <f t="shared" si="52"/>
        <v>0</v>
      </c>
      <c r="J32" s="1390">
        <f t="shared" si="52"/>
        <v>26.057656249999997</v>
      </c>
      <c r="K32" s="1388">
        <f t="shared" si="52"/>
        <v>44.045515136718748</v>
      </c>
      <c r="L32" s="1389">
        <f t="shared" si="52"/>
        <v>32.527326660156241</v>
      </c>
      <c r="M32" s="1389">
        <f t="shared" si="52"/>
        <v>107.99931884765626</v>
      </c>
      <c r="N32" s="1390">
        <f t="shared" si="52"/>
        <v>25.141532738095243</v>
      </c>
      <c r="O32" s="1388">
        <f t="shared" si="52"/>
        <v>22.386582031250001</v>
      </c>
      <c r="P32" s="1389">
        <f t="shared" si="52"/>
        <v>30.746459960937493</v>
      </c>
      <c r="Q32" s="1389">
        <f t="shared" si="52"/>
        <v>32.112728174603177</v>
      </c>
      <c r="R32" s="1389">
        <f t="shared" si="52"/>
        <v>28.814428710937499</v>
      </c>
      <c r="S32" s="1120">
        <f t="shared" si="37"/>
        <v>26.779603174603171</v>
      </c>
      <c r="T32" s="1121">
        <f t="shared" si="37"/>
        <v>33.793859863281241</v>
      </c>
      <c r="U32" s="1121">
        <f t="shared" si="37"/>
        <v>38.988039550781245</v>
      </c>
      <c r="V32" s="1122">
        <f t="shared" si="37"/>
        <v>36.511301269531252</v>
      </c>
      <c r="W32" s="1120">
        <f t="shared" si="37"/>
        <v>60.688715277777789</v>
      </c>
      <c r="X32" s="1121">
        <f t="shared" si="37"/>
        <v>40.715671386718761</v>
      </c>
      <c r="Y32" s="1121">
        <f t="shared" si="37"/>
        <v>37.175153808593763</v>
      </c>
      <c r="Z32" s="1122">
        <f>IF(ISBLANK(Z175),"",Z175)</f>
        <v>34.137402343750011</v>
      </c>
      <c r="AA32" s="1120">
        <f t="shared" si="37"/>
        <v>26.590034722222224</v>
      </c>
      <c r="AB32" s="1121">
        <f t="shared" si="37"/>
        <v>28.270329589843762</v>
      </c>
      <c r="AC32" s="1121">
        <f t="shared" si="37"/>
        <v>35.146574519230789</v>
      </c>
      <c r="AD32" s="1122">
        <f>IF(ISBLANK(AD175),"",AD175)</f>
        <v>20.522995605468758</v>
      </c>
      <c r="AE32" s="1121">
        <f t="shared" si="37"/>
        <v>18.654545898437501</v>
      </c>
      <c r="AF32" s="1121">
        <f t="shared" si="37"/>
        <v>20.813508300781255</v>
      </c>
      <c r="AG32" s="1121">
        <f t="shared" si="37"/>
        <v>30.13850830078125</v>
      </c>
      <c r="AH32" s="1122">
        <f t="shared" si="37"/>
        <v>26.087876984126982</v>
      </c>
      <c r="AI32" s="1121">
        <f t="shared" si="35"/>
        <v>21.219472656250005</v>
      </c>
      <c r="AJ32" s="1121">
        <f t="shared" si="35"/>
        <v>26.678684082031253</v>
      </c>
      <c r="AK32" s="1121">
        <f t="shared" si="35"/>
        <v>28.632579365079362</v>
      </c>
      <c r="AL32" s="1122">
        <f t="shared" si="35"/>
        <v>23.46141865079365</v>
      </c>
      <c r="AM32" s="1121">
        <f t="shared" si="35"/>
        <v>30.740278320312502</v>
      </c>
      <c r="AN32" s="1121">
        <f t="shared" si="35"/>
        <v>33.448666666666668</v>
      </c>
      <c r="AO32" s="1121">
        <f t="shared" si="35"/>
        <v>117.70445000000001</v>
      </c>
      <c r="AP32" s="1122">
        <f t="shared" si="35"/>
        <v>24.139100000000003</v>
      </c>
      <c r="AQ32" s="1121">
        <f t="shared" si="35"/>
        <v>21.658071060828828</v>
      </c>
      <c r="AR32" s="1121">
        <f t="shared" si="35"/>
        <v>22.479432962685426</v>
      </c>
      <c r="AS32" s="1121">
        <f t="shared" si="35"/>
        <v>68.504257165159913</v>
      </c>
      <c r="AT32" s="1122">
        <f t="shared" si="35"/>
        <v>41.785622144525846</v>
      </c>
      <c r="AU32" s="1121">
        <f t="shared" si="35"/>
        <v>19.257985044248056</v>
      </c>
      <c r="AV32" s="1121">
        <f t="shared" si="35"/>
        <v>19.988325949375007</v>
      </c>
      <c r="AW32" s="1121">
        <f t="shared" si="35"/>
        <v>60.912809651825292</v>
      </c>
      <c r="AX32" s="1122">
        <f t="shared" si="35"/>
        <v>37.155057994951648</v>
      </c>
      <c r="AY32" s="1121">
        <f t="shared" si="51"/>
        <v>17.900765357978706</v>
      </c>
      <c r="AZ32" s="1121">
        <f t="shared" si="51"/>
        <v>18.579634987588069</v>
      </c>
      <c r="BA32" s="1121">
        <f t="shared" si="51"/>
        <v>56.619937670904982</v>
      </c>
      <c r="BB32" s="1122">
        <f t="shared" si="51"/>
        <v>34.536529834328249</v>
      </c>
      <c r="BC32" s="1123"/>
      <c r="BD32" s="1123"/>
      <c r="BE32" s="1254"/>
      <c r="BF32" s="1254"/>
      <c r="BG32" s="1254"/>
      <c r="BH32" s="1260"/>
      <c r="BI32" s="1260"/>
      <c r="BJ32" s="1260"/>
      <c r="BK32" s="1260"/>
      <c r="BL32" s="1260"/>
      <c r="BM32" s="1260"/>
      <c r="BN32" s="1260"/>
      <c r="BO32" s="1260"/>
      <c r="BP32" s="1260"/>
      <c r="BQ32" s="1114"/>
      <c r="BR32" s="1141"/>
      <c r="BU32" s="1087"/>
      <c r="BV32" s="1086"/>
      <c r="BW32" s="1086"/>
      <c r="BX32" s="1086"/>
    </row>
    <row r="33" spans="1:104" ht="12.75" customHeight="1">
      <c r="A33" s="1088"/>
      <c r="B33" s="1089"/>
      <c r="C33" s="1376" t="s">
        <v>618</v>
      </c>
      <c r="D33" s="1142"/>
      <c r="E33" s="1142"/>
      <c r="F33" s="1269"/>
      <c r="G33" s="1391" t="str">
        <f t="shared" ref="G33:R33" si="53">IF(ISBLANK(G176),"",G176)</f>
        <v/>
      </c>
      <c r="H33" s="1392" t="str">
        <f t="shared" si="53"/>
        <v/>
      </c>
      <c r="I33" s="1392" t="str">
        <f t="shared" si="53"/>
        <v/>
      </c>
      <c r="J33" s="1393" t="str">
        <f t="shared" si="53"/>
        <v/>
      </c>
      <c r="K33" s="1391" t="str">
        <f t="shared" si="53"/>
        <v/>
      </c>
      <c r="L33" s="1392" t="str">
        <f t="shared" si="53"/>
        <v/>
      </c>
      <c r="M33" s="1392" t="str">
        <f t="shared" si="53"/>
        <v/>
      </c>
      <c r="N33" s="1393" t="str">
        <f t="shared" si="53"/>
        <v/>
      </c>
      <c r="O33" s="1391" t="str">
        <f t="shared" si="53"/>
        <v/>
      </c>
      <c r="P33" s="1392" t="str">
        <f t="shared" si="53"/>
        <v/>
      </c>
      <c r="Q33" s="1392" t="str">
        <f t="shared" si="53"/>
        <v/>
      </c>
      <c r="R33" s="1392" t="str">
        <f t="shared" si="53"/>
        <v/>
      </c>
      <c r="S33" s="1378" t="str">
        <f t="shared" si="37"/>
        <v/>
      </c>
      <c r="T33" s="1131" t="str">
        <f t="shared" si="37"/>
        <v/>
      </c>
      <c r="U33" s="1131" t="str">
        <f t="shared" si="37"/>
        <v/>
      </c>
      <c r="V33" s="1130" t="str">
        <f t="shared" si="37"/>
        <v/>
      </c>
      <c r="W33" s="1131" t="str">
        <f t="shared" si="37"/>
        <v/>
      </c>
      <c r="X33" s="1131" t="str">
        <f t="shared" si="37"/>
        <v/>
      </c>
      <c r="Y33" s="1131" t="str">
        <f t="shared" si="37"/>
        <v/>
      </c>
      <c r="Z33" s="1379" t="str">
        <f t="shared" si="37"/>
        <v/>
      </c>
      <c r="AA33" s="1380" t="str">
        <f t="shared" si="37"/>
        <v/>
      </c>
      <c r="AB33" s="1380" t="str">
        <f t="shared" si="37"/>
        <v/>
      </c>
      <c r="AC33" s="1380" t="str">
        <f t="shared" si="37"/>
        <v/>
      </c>
      <c r="AD33" s="1379" t="str">
        <f t="shared" si="37"/>
        <v/>
      </c>
      <c r="AE33" s="1380" t="str">
        <f t="shared" si="37"/>
        <v/>
      </c>
      <c r="AF33" s="1380" t="str">
        <f t="shared" si="37"/>
        <v/>
      </c>
      <c r="AG33" s="1380" t="str">
        <f t="shared" si="37"/>
        <v/>
      </c>
      <c r="AH33" s="1379" t="str">
        <f t="shared" si="37"/>
        <v/>
      </c>
      <c r="AI33" s="1380" t="str">
        <f t="shared" si="35"/>
        <v/>
      </c>
      <c r="AJ33" s="1380" t="str">
        <f t="shared" si="35"/>
        <v/>
      </c>
      <c r="AK33" s="1380" t="str">
        <f t="shared" si="35"/>
        <v/>
      </c>
      <c r="AL33" s="1379" t="str">
        <f t="shared" si="35"/>
        <v/>
      </c>
      <c r="AM33" s="1380" t="str">
        <f t="shared" si="35"/>
        <v/>
      </c>
      <c r="AN33" s="1380" t="str">
        <f t="shared" si="35"/>
        <v/>
      </c>
      <c r="AO33" s="1380" t="str">
        <f t="shared" si="35"/>
        <v/>
      </c>
      <c r="AP33" s="1379" t="str">
        <f t="shared" si="35"/>
        <v/>
      </c>
      <c r="AQ33" s="1380" t="str">
        <f t="shared" si="35"/>
        <v/>
      </c>
      <c r="AR33" s="1380" t="str">
        <f t="shared" si="35"/>
        <v/>
      </c>
      <c r="AS33" s="1380" t="str">
        <f t="shared" si="35"/>
        <v/>
      </c>
      <c r="AT33" s="1379" t="str">
        <f t="shared" si="35"/>
        <v/>
      </c>
      <c r="AU33" s="1380" t="str">
        <f t="shared" si="35"/>
        <v/>
      </c>
      <c r="AV33" s="1380" t="str">
        <f t="shared" si="35"/>
        <v/>
      </c>
      <c r="AW33" s="1380" t="str">
        <f t="shared" si="35"/>
        <v/>
      </c>
      <c r="AX33" s="1379" t="str">
        <f t="shared" ref="AU33:BB48" si="54">IF(ISBLANK(AX176),"",AX176)</f>
        <v/>
      </c>
      <c r="AY33" s="1380" t="str">
        <f t="shared" si="51"/>
        <v/>
      </c>
      <c r="AZ33" s="1380" t="str">
        <f t="shared" si="51"/>
        <v/>
      </c>
      <c r="BA33" s="1380" t="str">
        <f t="shared" si="51"/>
        <v/>
      </c>
      <c r="BB33" s="1379" t="str">
        <f t="shared" si="51"/>
        <v/>
      </c>
      <c r="BC33" s="1132"/>
      <c r="BD33" s="1133"/>
      <c r="BE33" s="1256"/>
      <c r="BF33" s="1256"/>
      <c r="BG33" s="1256"/>
      <c r="BH33" s="1256"/>
      <c r="BI33" s="1256"/>
      <c r="BJ33" s="1270"/>
      <c r="BK33" s="1256"/>
      <c r="BL33" s="1256"/>
      <c r="BM33" s="1256"/>
      <c r="BN33" s="1256"/>
      <c r="BO33" s="1256"/>
      <c r="BP33" s="1256"/>
      <c r="BQ33" s="1114"/>
      <c r="BR33" s="1141"/>
      <c r="BU33" s="1087"/>
      <c r="BV33" s="1086"/>
      <c r="BW33" s="1086"/>
      <c r="BX33" s="1086"/>
    </row>
    <row r="34" spans="1:104" ht="12.75" customHeight="1">
      <c r="A34" s="1088"/>
      <c r="B34" s="1089"/>
      <c r="C34" s="1370" t="s">
        <v>611</v>
      </c>
      <c r="D34" s="1370"/>
      <c r="E34" s="1370"/>
      <c r="F34" s="1136"/>
      <c r="G34" s="1388">
        <f t="shared" ref="G34:R34" si="55">IF(ISBLANK(G177),"",G177)</f>
        <v>44.804086956521751</v>
      </c>
      <c r="H34" s="1389">
        <f t="shared" si="55"/>
        <v>38.409404761904753</v>
      </c>
      <c r="I34" s="1389">
        <f t="shared" si="55"/>
        <v>41.222355072463778</v>
      </c>
      <c r="J34" s="1390">
        <f t="shared" si="55"/>
        <v>42.090868115942037</v>
      </c>
      <c r="K34" s="1388">
        <f t="shared" si="55"/>
        <v>51.30131863929148</v>
      </c>
      <c r="L34" s="1389">
        <f t="shared" si="55"/>
        <v>37.850595238095231</v>
      </c>
      <c r="M34" s="1389">
        <f t="shared" si="55"/>
        <v>39.460384963768135</v>
      </c>
      <c r="N34" s="1390">
        <f t="shared" si="55"/>
        <v>32.516622101449258</v>
      </c>
      <c r="O34" s="1388">
        <f t="shared" si="55"/>
        <v>27.601070632266282</v>
      </c>
      <c r="P34" s="1389">
        <f t="shared" si="55"/>
        <v>22.926753663003662</v>
      </c>
      <c r="Q34" s="1389">
        <f t="shared" si="55"/>
        <v>30.926911231884059</v>
      </c>
      <c r="R34" s="1389">
        <f t="shared" si="55"/>
        <v>38.427999456521725</v>
      </c>
      <c r="S34" s="1120">
        <f t="shared" si="37"/>
        <v>72.617844806763287</v>
      </c>
      <c r="T34" s="1121">
        <f t="shared" si="37"/>
        <v>34.133154761904763</v>
      </c>
      <c r="U34" s="1121">
        <f t="shared" si="37"/>
        <v>30.454148550724629</v>
      </c>
      <c r="V34" s="1122">
        <f t="shared" si="37"/>
        <v>51.12213387681161</v>
      </c>
      <c r="W34" s="1121">
        <f t="shared" si="37"/>
        <v>125.17613546698865</v>
      </c>
      <c r="X34" s="1121">
        <f t="shared" si="37"/>
        <v>32.324491758241756</v>
      </c>
      <c r="Y34" s="1121">
        <f t="shared" si="37"/>
        <v>26.776259057971</v>
      </c>
      <c r="Z34" s="1122">
        <f t="shared" si="37"/>
        <v>31.050057065217377</v>
      </c>
      <c r="AA34" s="1121">
        <f t="shared" si="37"/>
        <v>74.709404790660244</v>
      </c>
      <c r="AB34" s="1121">
        <f t="shared" si="37"/>
        <v>18.747051282051284</v>
      </c>
      <c r="AC34" s="1121">
        <f t="shared" si="37"/>
        <v>22.344044384057977</v>
      </c>
      <c r="AD34" s="1122">
        <f t="shared" si="37"/>
        <v>20.198206884057964</v>
      </c>
      <c r="AE34" s="1121">
        <f t="shared" si="37"/>
        <v>22.403306059882148</v>
      </c>
      <c r="AF34" s="1121">
        <f t="shared" si="37"/>
        <v>18.611707875457874</v>
      </c>
      <c r="AG34" s="1121">
        <f t="shared" si="37"/>
        <v>21.732721920289862</v>
      </c>
      <c r="AH34" s="1122">
        <f t="shared" si="37"/>
        <v>28.745413949275392</v>
      </c>
      <c r="AI34" s="1121">
        <f t="shared" ref="AI34:AX49" si="56">IF(ISBLANK(AI177),"",AI177)</f>
        <v>30.265937600644122</v>
      </c>
      <c r="AJ34" s="1121">
        <f t="shared" si="56"/>
        <v>22.968333333333337</v>
      </c>
      <c r="AK34" s="1121">
        <f t="shared" si="56"/>
        <v>19.421938405797103</v>
      </c>
      <c r="AL34" s="1122">
        <f t="shared" si="56"/>
        <v>41.756125543478241</v>
      </c>
      <c r="AM34" s="1121">
        <f t="shared" si="56"/>
        <v>55.496529991948492</v>
      </c>
      <c r="AN34" s="1121">
        <f t="shared" si="56"/>
        <v>24.166666666666668</v>
      </c>
      <c r="AO34" s="1121">
        <f t="shared" si="56"/>
        <v>23.3</v>
      </c>
      <c r="AP34" s="1122">
        <f t="shared" si="56"/>
        <v>33.699999999999996</v>
      </c>
      <c r="AQ34" s="1121">
        <f t="shared" si="56"/>
        <v>56.863680246618699</v>
      </c>
      <c r="AR34" s="1121">
        <f t="shared" si="56"/>
        <v>22.402357917897525</v>
      </c>
      <c r="AS34" s="1121">
        <f t="shared" si="56"/>
        <v>23.701528116853666</v>
      </c>
      <c r="AT34" s="1122">
        <f t="shared" si="56"/>
        <v>32.932400385030085</v>
      </c>
      <c r="AU34" s="1121">
        <f t="shared" si="54"/>
        <v>56.696324969164479</v>
      </c>
      <c r="AV34" s="1121">
        <f t="shared" si="54"/>
        <v>22.336425624934453</v>
      </c>
      <c r="AW34" s="1121">
        <f t="shared" si="54"/>
        <v>23.631772241101658</v>
      </c>
      <c r="AX34" s="1122">
        <f t="shared" si="54"/>
        <v>32.8354771647994</v>
      </c>
      <c r="AY34" s="1121">
        <f t="shared" si="51"/>
        <v>57.030965787007425</v>
      </c>
      <c r="AZ34" s="1121">
        <f t="shared" si="51"/>
        <v>22.468262736826301</v>
      </c>
      <c r="BA34" s="1121">
        <f t="shared" si="51"/>
        <v>23.771254925281653</v>
      </c>
      <c r="BB34" s="1122">
        <f t="shared" si="51"/>
        <v>33.0292832172846</v>
      </c>
      <c r="BC34" s="1123"/>
      <c r="BD34" s="1123"/>
      <c r="BE34" s="1254">
        <f t="shared" ref="BE34:BE49" si="57">AVERAGE(G34:J34)</f>
        <v>41.631678726708081</v>
      </c>
      <c r="BF34" s="1254">
        <f t="shared" ref="BF34:BF49" si="58">AVERAGE(K34:N34)</f>
        <v>40.282230235651021</v>
      </c>
      <c r="BG34" s="1254">
        <f t="shared" ref="BG34:BG49" si="59">AVERAGE(O34:R34)</f>
        <v>29.970683745918933</v>
      </c>
      <c r="BH34" s="1254">
        <f t="shared" ref="BH34:BH49" si="60">AVERAGE(S34:V34)</f>
        <v>47.081820499051069</v>
      </c>
      <c r="BI34" s="1254">
        <f t="shared" ref="BI34:BI49" si="61">AVERAGE(W34:Z34)</f>
        <v>53.831735837104695</v>
      </c>
      <c r="BJ34" s="1254">
        <f t="shared" ref="BJ34:BJ49" si="62">AVERAGE(AA34:AD34)</f>
        <v>33.99967683520687</v>
      </c>
      <c r="BK34" s="1260">
        <f t="shared" ref="BK34:BK49" si="63">AVERAGE(AE34:AH34)</f>
        <v>22.873287451226318</v>
      </c>
      <c r="BL34" s="1260">
        <f t="shared" ref="BL34:BL49" si="64">AVERAGE(AI34:AL34)</f>
        <v>28.603083720813203</v>
      </c>
      <c r="BM34" s="1260">
        <f t="shared" ref="BM34:BM49" si="65">AVERAGE(AM34:AP34)</f>
        <v>34.165799164653791</v>
      </c>
      <c r="BN34" s="1260">
        <f t="shared" ref="BN34:BN49" si="66">AVERAGE(AQ34:AT34)</f>
        <v>33.974991666599998</v>
      </c>
      <c r="BO34" s="1260">
        <f t="shared" ref="BO34:BO49" si="67">AVERAGE(AU34:AX34)</f>
        <v>33.875</v>
      </c>
      <c r="BP34" s="1260">
        <f t="shared" ref="BP34:BP49" si="68">AVERAGE(AY34:BB34)</f>
        <v>34.074941666599997</v>
      </c>
      <c r="BQ34" s="1114"/>
      <c r="BR34" s="1143"/>
      <c r="BS34" s="1144"/>
      <c r="BU34" s="1087"/>
      <c r="BV34" s="1520" t="s">
        <v>815</v>
      </c>
      <c r="BW34" s="1086"/>
      <c r="BX34" s="1086"/>
    </row>
    <row r="35" spans="1:104" ht="12.75" customHeight="1">
      <c r="A35" s="1088"/>
      <c r="B35" s="1089"/>
      <c r="C35" s="1370" t="s">
        <v>517</v>
      </c>
      <c r="D35" s="1370"/>
      <c r="E35" s="1370"/>
      <c r="F35" s="1136"/>
      <c r="G35" s="1388">
        <f t="shared" ref="G35:R35" si="69">IF(ISBLANK(G178),"",G178)</f>
        <v>30.611880233494375</v>
      </c>
      <c r="H35" s="1389">
        <f t="shared" si="69"/>
        <v>32.835989010988996</v>
      </c>
      <c r="I35" s="1389">
        <f t="shared" si="69"/>
        <v>38.537432065217374</v>
      </c>
      <c r="J35" s="1390">
        <f t="shared" si="69"/>
        <v>34.208417028985515</v>
      </c>
      <c r="K35" s="1388">
        <f t="shared" si="69"/>
        <v>35.779313405797105</v>
      </c>
      <c r="L35" s="1389">
        <f t="shared" si="69"/>
        <v>31.184803113553112</v>
      </c>
      <c r="M35" s="1389">
        <f t="shared" si="69"/>
        <v>33.652490942028983</v>
      </c>
      <c r="N35" s="1390">
        <f t="shared" si="69"/>
        <v>27.712640036231885</v>
      </c>
      <c r="O35" s="1388">
        <f t="shared" si="69"/>
        <v>23.968829033285562</v>
      </c>
      <c r="P35" s="1389">
        <f t="shared" si="69"/>
        <v>20.569913003663</v>
      </c>
      <c r="Q35" s="1389">
        <f t="shared" si="69"/>
        <v>27.271308876811592</v>
      </c>
      <c r="R35" s="1389">
        <f t="shared" si="69"/>
        <v>30.6151650362319</v>
      </c>
      <c r="S35" s="1120">
        <f t="shared" si="37"/>
        <v>35.609952294685982</v>
      </c>
      <c r="T35" s="1121">
        <f t="shared" si="37"/>
        <v>28.352330586080591</v>
      </c>
      <c r="U35" s="1121">
        <f t="shared" si="37"/>
        <v>26.087404891304349</v>
      </c>
      <c r="V35" s="1122">
        <f t="shared" si="37"/>
        <v>29.252230615942018</v>
      </c>
      <c r="W35" s="1121">
        <f t="shared" si="37"/>
        <v>74.738565619967801</v>
      </c>
      <c r="X35" s="1121">
        <f t="shared" si="37"/>
        <v>27.261304945054935</v>
      </c>
      <c r="Y35" s="1121">
        <f t="shared" si="37"/>
        <v>23.849180253623189</v>
      </c>
      <c r="Z35" s="1122">
        <f t="shared" si="37"/>
        <v>21.799227355072471</v>
      </c>
      <c r="AA35" s="1121">
        <f t="shared" si="37"/>
        <v>37.643325281803556</v>
      </c>
      <c r="AB35" s="1121">
        <f t="shared" si="37"/>
        <v>18.227133699633701</v>
      </c>
      <c r="AC35" s="1121">
        <f t="shared" si="37"/>
        <v>20.449230072463759</v>
      </c>
      <c r="AD35" s="1122">
        <f t="shared" si="37"/>
        <v>14.298236956521748</v>
      </c>
      <c r="AE35" s="1121">
        <f t="shared" si="37"/>
        <v>13.624288899506292</v>
      </c>
      <c r="AF35" s="1121">
        <f t="shared" si="37"/>
        <v>15.5952152014652</v>
      </c>
      <c r="AG35" s="1121">
        <f t="shared" si="37"/>
        <v>19.290855978260876</v>
      </c>
      <c r="AH35" s="1122">
        <f t="shared" si="37"/>
        <v>17.244110869565226</v>
      </c>
      <c r="AI35" s="1121">
        <f t="shared" si="56"/>
        <v>19.385393719806771</v>
      </c>
      <c r="AJ35" s="1121">
        <f t="shared" si="56"/>
        <v>14.500613553113546</v>
      </c>
      <c r="AK35" s="1121">
        <f t="shared" si="56"/>
        <v>17.318980978260868</v>
      </c>
      <c r="AL35" s="1122">
        <f t="shared" si="56"/>
        <v>19.652653804347828</v>
      </c>
      <c r="AM35" s="1121">
        <f t="shared" si="56"/>
        <v>32.735488727858289</v>
      </c>
      <c r="AN35" s="1121">
        <f t="shared" si="56"/>
        <v>32.93333333333333</v>
      </c>
      <c r="AO35" s="1121">
        <f t="shared" si="56"/>
        <v>29.3</v>
      </c>
      <c r="AP35" s="1122">
        <f t="shared" si="56"/>
        <v>33.083333333333336</v>
      </c>
      <c r="AQ35" s="1121">
        <f t="shared" si="56"/>
        <v>50.208915257706202</v>
      </c>
      <c r="AR35" s="1121">
        <f t="shared" si="56"/>
        <v>32.014743875122768</v>
      </c>
      <c r="AS35" s="1121">
        <f t="shared" si="56"/>
        <v>27.396223447236203</v>
      </c>
      <c r="AT35" s="1122">
        <f t="shared" si="56"/>
        <v>24.304750753134826</v>
      </c>
      <c r="AU35" s="1121">
        <f t="shared" si="54"/>
        <v>49.683624405377643</v>
      </c>
      <c r="AV35" s="1121">
        <f t="shared" si="54"/>
        <v>31.679802321198988</v>
      </c>
      <c r="AW35" s="1121">
        <f t="shared" si="54"/>
        <v>27.109601330599784</v>
      </c>
      <c r="AX35" s="1122">
        <f t="shared" si="54"/>
        <v>24.050471942823588</v>
      </c>
      <c r="AY35" s="1121">
        <f t="shared" si="51"/>
        <v>49.75851777917272</v>
      </c>
      <c r="AZ35" s="1121">
        <f t="shared" si="51"/>
        <v>31.727556632712918</v>
      </c>
      <c r="BA35" s="1121">
        <f t="shared" si="51"/>
        <v>27.150466495534658</v>
      </c>
      <c r="BB35" s="1122">
        <f t="shared" si="51"/>
        <v>24.0867257589797</v>
      </c>
      <c r="BC35" s="1123"/>
      <c r="BD35" s="1123"/>
      <c r="BE35" s="1254">
        <f t="shared" si="57"/>
        <v>34.048429584671567</v>
      </c>
      <c r="BF35" s="1254">
        <f t="shared" si="58"/>
        <v>32.08231187440277</v>
      </c>
      <c r="BG35" s="1254">
        <f t="shared" si="59"/>
        <v>25.606303987498013</v>
      </c>
      <c r="BH35" s="1254">
        <f t="shared" si="60"/>
        <v>29.825479597003238</v>
      </c>
      <c r="BI35" s="1254">
        <f t="shared" si="61"/>
        <v>36.912069543429595</v>
      </c>
      <c r="BJ35" s="1254">
        <f t="shared" si="62"/>
        <v>22.654481502605691</v>
      </c>
      <c r="BK35" s="1260">
        <f t="shared" si="63"/>
        <v>16.438617737199401</v>
      </c>
      <c r="BL35" s="1260">
        <f t="shared" si="64"/>
        <v>17.714410513882253</v>
      </c>
      <c r="BM35" s="1260">
        <f t="shared" si="65"/>
        <v>32.01303884863124</v>
      </c>
      <c r="BN35" s="1260">
        <f t="shared" si="66"/>
        <v>33.481158333300002</v>
      </c>
      <c r="BO35" s="1260">
        <f t="shared" si="67"/>
        <v>33.130875000000003</v>
      </c>
      <c r="BP35" s="1260">
        <f t="shared" si="68"/>
        <v>33.180816666600002</v>
      </c>
      <c r="BQ35" s="1114"/>
      <c r="BR35" s="1143"/>
      <c r="BS35" s="1144"/>
      <c r="BU35" s="1087"/>
      <c r="BV35" s="1129" t="s">
        <v>816</v>
      </c>
      <c r="BW35" s="1129" t="s">
        <v>976</v>
      </c>
      <c r="BX35" s="1399">
        <v>2021</v>
      </c>
      <c r="BY35" s="1399" t="s">
        <v>895</v>
      </c>
      <c r="BZ35" s="1399" t="s">
        <v>896</v>
      </c>
      <c r="CA35" s="1399" t="s">
        <v>897</v>
      </c>
      <c r="CB35" s="1399" t="s">
        <v>898</v>
      </c>
      <c r="CC35" s="1399" t="s">
        <v>742</v>
      </c>
    </row>
    <row r="36" spans="1:104" ht="12.75" customHeight="1">
      <c r="A36" s="1088"/>
      <c r="B36" s="1089"/>
      <c r="C36" s="1370" t="s">
        <v>515</v>
      </c>
      <c r="D36" s="1370"/>
      <c r="E36" s="1370"/>
      <c r="F36" s="1136"/>
      <c r="G36" s="1388">
        <f t="shared" ref="G36:R36" si="70">IF(ISBLANK(G179),"",G179)</f>
        <v>42.842352657004845</v>
      </c>
      <c r="H36" s="1389">
        <f t="shared" si="70"/>
        <v>38.993859890109889</v>
      </c>
      <c r="I36" s="1389">
        <f t="shared" si="70"/>
        <v>43.926820652173916</v>
      </c>
      <c r="J36" s="1390">
        <f t="shared" si="70"/>
        <v>40.879857427536237</v>
      </c>
      <c r="K36" s="1388">
        <f t="shared" si="70"/>
        <v>49.229429347826084</v>
      </c>
      <c r="L36" s="1389">
        <f t="shared" si="70"/>
        <v>35.886799450549439</v>
      </c>
      <c r="M36" s="1389">
        <f t="shared" si="70"/>
        <v>39.740421195652168</v>
      </c>
      <c r="N36" s="1390">
        <f t="shared" si="70"/>
        <v>30.484731521739121</v>
      </c>
      <c r="O36" s="1388">
        <f t="shared" si="70"/>
        <v>27.569314580347193</v>
      </c>
      <c r="P36" s="1389">
        <f t="shared" si="70"/>
        <v>22.281291208791199</v>
      </c>
      <c r="Q36" s="1389">
        <f t="shared" si="70"/>
        <v>30.822210144927531</v>
      </c>
      <c r="R36" s="1389">
        <f t="shared" si="70"/>
        <v>36.205649818840577</v>
      </c>
      <c r="S36" s="1120">
        <f t="shared" ref="S36:AH50" si="71">IF(ISBLANK(S179),"",S179)</f>
        <v>56.707361111111105</v>
      </c>
      <c r="T36" s="1121">
        <f t="shared" si="71"/>
        <v>33.444134615384613</v>
      </c>
      <c r="U36" s="1121">
        <f t="shared" si="71"/>
        <v>31.241820652173907</v>
      </c>
      <c r="V36" s="1122">
        <f t="shared" si="71"/>
        <v>36.510255434782614</v>
      </c>
      <c r="W36" s="1121">
        <f t="shared" si="71"/>
        <v>104.25991747181963</v>
      </c>
      <c r="X36" s="1121">
        <f t="shared" si="71"/>
        <v>30.387303113553116</v>
      </c>
      <c r="Y36" s="1121">
        <f t="shared" si="71"/>
        <v>25.834510869565232</v>
      </c>
      <c r="Z36" s="1122">
        <f t="shared" si="71"/>
        <v>26.259342210144922</v>
      </c>
      <c r="AA36" s="1121">
        <f t="shared" si="71"/>
        <v>58.731627415458931</v>
      </c>
      <c r="AB36" s="1121">
        <f t="shared" si="71"/>
        <v>19.32760989010988</v>
      </c>
      <c r="AC36" s="1121">
        <f t="shared" si="71"/>
        <v>22.11728713768116</v>
      </c>
      <c r="AD36" s="1122">
        <f t="shared" si="71"/>
        <v>17.28061014492754</v>
      </c>
      <c r="AE36" s="1121">
        <f t="shared" si="71"/>
        <v>20.397999084249086</v>
      </c>
      <c r="AF36" s="1121">
        <f t="shared" si="71"/>
        <v>19.320544871794873</v>
      </c>
      <c r="AG36" s="1121">
        <f t="shared" si="71"/>
        <v>22.198464673913044</v>
      </c>
      <c r="AH36" s="1122">
        <f t="shared" si="71"/>
        <v>25.744134963768118</v>
      </c>
      <c r="AI36" s="1121">
        <f t="shared" si="56"/>
        <v>29.326884259259263</v>
      </c>
      <c r="AJ36" s="1121">
        <f t="shared" si="56"/>
        <v>21.279184981684978</v>
      </c>
      <c r="AK36" s="1121">
        <f t="shared" si="56"/>
        <v>19.207495471014489</v>
      </c>
      <c r="AL36" s="1122">
        <f t="shared" si="56"/>
        <v>28.660226630434785</v>
      </c>
      <c r="AM36" s="1121">
        <f t="shared" si="56"/>
        <v>44.676771739130423</v>
      </c>
      <c r="AN36" s="1121">
        <f t="shared" si="56"/>
        <v>38.200000000000003</v>
      </c>
      <c r="AO36" s="1121">
        <f t="shared" si="56"/>
        <v>32.6</v>
      </c>
      <c r="AP36" s="1122">
        <f t="shared" si="56"/>
        <v>41.800000000000004</v>
      </c>
      <c r="AQ36" s="1121">
        <f t="shared" si="56"/>
        <v>67.7166668198211</v>
      </c>
      <c r="AR36" s="1121">
        <f t="shared" si="56"/>
        <v>38.042079509049643</v>
      </c>
      <c r="AS36" s="1121">
        <f t="shared" si="56"/>
        <v>31.175086966580828</v>
      </c>
      <c r="AT36" s="1122">
        <f t="shared" si="56"/>
        <v>28.982800037748426</v>
      </c>
      <c r="AU36" s="1121">
        <f t="shared" si="54"/>
        <v>68.226851296430993</v>
      </c>
      <c r="AV36" s="1121">
        <f t="shared" si="54"/>
        <v>38.328692529668608</v>
      </c>
      <c r="AW36" s="1121">
        <f t="shared" si="54"/>
        <v>31.409963344498731</v>
      </c>
      <c r="AX36" s="1122">
        <f t="shared" si="54"/>
        <v>29.201159495801665</v>
      </c>
      <c r="AY36" s="1121">
        <f t="shared" si="51"/>
        <v>68.716520101812705</v>
      </c>
      <c r="AZ36" s="1121">
        <f t="shared" si="51"/>
        <v>38.603780192754527</v>
      </c>
      <c r="BA36" s="1121">
        <f t="shared" si="51"/>
        <v>31.635394812252667</v>
      </c>
      <c r="BB36" s="1122">
        <f t="shared" si="51"/>
        <v>29.410738226380104</v>
      </c>
      <c r="BC36" s="1123"/>
      <c r="BD36" s="1123"/>
      <c r="BE36" s="1254">
        <f t="shared" si="57"/>
        <v>41.660722656706227</v>
      </c>
      <c r="BF36" s="1254">
        <f t="shared" si="58"/>
        <v>38.835345378941703</v>
      </c>
      <c r="BG36" s="1254">
        <f t="shared" si="59"/>
        <v>29.219616438226623</v>
      </c>
      <c r="BH36" s="1254">
        <f t="shared" si="60"/>
        <v>39.475892953363058</v>
      </c>
      <c r="BI36" s="1254">
        <f t="shared" si="61"/>
        <v>46.685268416270723</v>
      </c>
      <c r="BJ36" s="1254">
        <f t="shared" si="62"/>
        <v>29.364283647044378</v>
      </c>
      <c r="BK36" s="1260">
        <f t="shared" si="63"/>
        <v>21.915285898431279</v>
      </c>
      <c r="BL36" s="1260">
        <f t="shared" si="64"/>
        <v>24.618447835598374</v>
      </c>
      <c r="BM36" s="1260">
        <f t="shared" si="65"/>
        <v>39.319192934782606</v>
      </c>
      <c r="BN36" s="1260">
        <f t="shared" si="66"/>
        <v>41.479158333299999</v>
      </c>
      <c r="BO36" s="1260">
        <f t="shared" si="67"/>
        <v>41.791666666600001</v>
      </c>
      <c r="BP36" s="1260">
        <f t="shared" si="68"/>
        <v>42.091608333300002</v>
      </c>
      <c r="BQ36" s="1114"/>
      <c r="BR36" s="1143"/>
      <c r="BS36" s="1144"/>
      <c r="BU36" s="1087"/>
      <c r="BV36" s="1137" t="s">
        <v>512</v>
      </c>
      <c r="BW36" s="1400">
        <f>BX36+BZ115</f>
        <v>14319.999999999998</v>
      </c>
      <c r="BX36" s="1400">
        <f>((BZ36*4/1000)+CB36)/CA36*1000</f>
        <v>14319.999999999998</v>
      </c>
      <c r="BY36" s="1515">
        <f>HLOOKUP(CA36,$CB$53:$CZ$58,BZ54,TRUE)</f>
        <v>0.5357142857142857</v>
      </c>
      <c r="BZ36" s="1400">
        <v>11200</v>
      </c>
      <c r="CA36" s="1401">
        <f>$BW$8+$BX$58</f>
        <v>2.5</v>
      </c>
      <c r="CB36" s="1401">
        <f>BY36*(CA36-4)*BZ36/1000</f>
        <v>-9</v>
      </c>
      <c r="CC36" s="1401">
        <f>(BX36*CA36-4*BZ36)/1000</f>
        <v>-9.0000000000000071</v>
      </c>
    </row>
    <row r="37" spans="1:104" ht="12.75" customHeight="1">
      <c r="A37" s="1088"/>
      <c r="B37" s="1089"/>
      <c r="C37" s="1181" t="s">
        <v>516</v>
      </c>
      <c r="D37" s="1370"/>
      <c r="E37" s="1370"/>
      <c r="F37" s="1136"/>
      <c r="G37" s="1388">
        <f t="shared" ref="G37:R37" si="72">IF(ISBLANK(G180),"",G180)</f>
        <v>43.763039855072456</v>
      </c>
      <c r="H37" s="1389">
        <f t="shared" si="72"/>
        <v>41.705434981684988</v>
      </c>
      <c r="I37" s="1389">
        <f t="shared" si="72"/>
        <v>47.003220108695643</v>
      </c>
      <c r="J37" s="1390">
        <f t="shared" si="72"/>
        <v>41.219209057971007</v>
      </c>
      <c r="K37" s="1388">
        <f t="shared" si="72"/>
        <v>51.080749798711743</v>
      </c>
      <c r="L37" s="1389">
        <f t="shared" si="72"/>
        <v>37.080599816849826</v>
      </c>
      <c r="M37" s="1389">
        <f t="shared" si="72"/>
        <v>42.037432065217381</v>
      </c>
      <c r="N37" s="1390">
        <f t="shared" si="72"/>
        <v>30.768373369565197</v>
      </c>
      <c r="O37" s="1388">
        <f t="shared" si="72"/>
        <v>28.248588549132045</v>
      </c>
      <c r="P37" s="1389">
        <f t="shared" si="72"/>
        <v>22.741620879120877</v>
      </c>
      <c r="Q37" s="1389">
        <f t="shared" si="72"/>
        <v>32.049044384057972</v>
      </c>
      <c r="R37" s="1389">
        <f t="shared" si="72"/>
        <v>36.959637137681163</v>
      </c>
      <c r="S37" s="1120">
        <f t="shared" si="71"/>
        <v>58.074166062801964</v>
      </c>
      <c r="T37" s="1121">
        <f t="shared" si="71"/>
        <v>34.010100732600726</v>
      </c>
      <c r="U37" s="1121">
        <f t="shared" si="71"/>
        <v>33.497015398550722</v>
      </c>
      <c r="V37" s="1122">
        <f t="shared" si="71"/>
        <v>35.902980434782606</v>
      </c>
      <c r="W37" s="1121">
        <f t="shared" si="71"/>
        <v>104.53095511272141</v>
      </c>
      <c r="X37" s="1121">
        <f t="shared" si="71"/>
        <v>30.633470695970686</v>
      </c>
      <c r="Y37" s="1121">
        <f t="shared" si="71"/>
        <v>26.27728260869565</v>
      </c>
      <c r="Z37" s="1122">
        <f t="shared" si="71"/>
        <v>26.346719927536238</v>
      </c>
      <c r="AA37" s="1121">
        <f t="shared" si="71"/>
        <v>59.086149154589357</v>
      </c>
      <c r="AB37" s="1121">
        <f t="shared" si="71"/>
        <v>19.830306776556778</v>
      </c>
      <c r="AC37" s="1121">
        <f t="shared" si="71"/>
        <v>23.797971014492759</v>
      </c>
      <c r="AD37" s="1122">
        <f t="shared" si="71"/>
        <v>17.491895833333331</v>
      </c>
      <c r="AE37" s="1121">
        <f t="shared" si="71"/>
        <v>21.25929785793916</v>
      </c>
      <c r="AF37" s="1121">
        <f t="shared" si="71"/>
        <v>20.53872252747253</v>
      </c>
      <c r="AG37" s="1121">
        <f t="shared" si="71"/>
        <v>24.140729166666659</v>
      </c>
      <c r="AH37" s="1122">
        <f t="shared" si="71"/>
        <v>25.848853442028986</v>
      </c>
      <c r="AI37" s="1121">
        <f t="shared" si="56"/>
        <v>29.471096215781014</v>
      </c>
      <c r="AJ37" s="1121">
        <f t="shared" si="56"/>
        <v>22.852271062271065</v>
      </c>
      <c r="AK37" s="1121">
        <f t="shared" si="56"/>
        <v>20.054769021739126</v>
      </c>
      <c r="AL37" s="1122">
        <f t="shared" si="56"/>
        <v>29.040597463768133</v>
      </c>
      <c r="AM37" s="1121">
        <f t="shared" si="56"/>
        <v>46.970595410628015</v>
      </c>
      <c r="AN37" s="1121">
        <f t="shared" si="56"/>
        <v>39.85</v>
      </c>
      <c r="AO37" s="1121">
        <f t="shared" si="56"/>
        <v>34.283333333333331</v>
      </c>
      <c r="AP37" s="1122">
        <f t="shared" si="56"/>
        <v>43.066666666666663</v>
      </c>
      <c r="AQ37" s="1121">
        <f t="shared" si="56"/>
        <v>70.748332973984347</v>
      </c>
      <c r="AR37" s="1121">
        <f t="shared" si="56"/>
        <v>40.060601265759729</v>
      </c>
      <c r="AS37" s="1121">
        <f t="shared" si="56"/>
        <v>33.256854743843881</v>
      </c>
      <c r="AT37" s="1122">
        <f t="shared" si="56"/>
        <v>29.784177682812054</v>
      </c>
      <c r="AU37" s="1121">
        <f t="shared" si="54"/>
        <v>71.419814884174826</v>
      </c>
      <c r="AV37" s="1121">
        <f t="shared" si="54"/>
        <v>40.440821801432321</v>
      </c>
      <c r="AW37" s="1121">
        <f t="shared" si="54"/>
        <v>33.572500009415513</v>
      </c>
      <c r="AX37" s="1122">
        <f t="shared" si="54"/>
        <v>30.066863304977336</v>
      </c>
      <c r="AY37" s="1121">
        <f t="shared" si="51"/>
        <v>72.233620953267874</v>
      </c>
      <c r="AZ37" s="1121">
        <f t="shared" si="51"/>
        <v>40.901632100009685</v>
      </c>
      <c r="BA37" s="1121">
        <f t="shared" si="51"/>
        <v>33.955047966261908</v>
      </c>
      <c r="BB37" s="1122">
        <f t="shared" si="51"/>
        <v>30.409465646860522</v>
      </c>
      <c r="BC37" s="1123"/>
      <c r="BD37" s="1123"/>
      <c r="BE37" s="1254">
        <f t="shared" si="57"/>
        <v>43.422726000856024</v>
      </c>
      <c r="BF37" s="1254">
        <f t="shared" si="58"/>
        <v>40.24178876258604</v>
      </c>
      <c r="BG37" s="1254">
        <f t="shared" si="59"/>
        <v>29.999722737498018</v>
      </c>
      <c r="BH37" s="1254">
        <f t="shared" si="60"/>
        <v>40.371065657184005</v>
      </c>
      <c r="BI37" s="1254">
        <f t="shared" si="61"/>
        <v>46.947107086231</v>
      </c>
      <c r="BJ37" s="1254">
        <f t="shared" si="62"/>
        <v>30.051580694743055</v>
      </c>
      <c r="BK37" s="1260">
        <f t="shared" si="63"/>
        <v>22.946900748526833</v>
      </c>
      <c r="BL37" s="1260">
        <f t="shared" si="64"/>
        <v>25.354683440889836</v>
      </c>
      <c r="BM37" s="1260">
        <f t="shared" si="65"/>
        <v>41.042648852657003</v>
      </c>
      <c r="BN37" s="1260">
        <f t="shared" si="66"/>
        <v>43.462491666600002</v>
      </c>
      <c r="BO37" s="1260">
        <f t="shared" si="67"/>
        <v>43.875</v>
      </c>
      <c r="BP37" s="1260">
        <f t="shared" si="68"/>
        <v>44.374941666599995</v>
      </c>
      <c r="BQ37" s="1114"/>
      <c r="BR37" s="1143"/>
      <c r="BS37" s="1144"/>
      <c r="BU37" s="1087"/>
      <c r="BV37" s="1137" t="s">
        <v>703</v>
      </c>
      <c r="BW37" s="1400">
        <f>BX37+BZ116</f>
        <v>14408.571428571429</v>
      </c>
      <c r="BX37" s="1400">
        <f>((BZ37*4/1000)+CB37)/CA37*1000</f>
        <v>14408.571428571429</v>
      </c>
      <c r="BY37" s="1515">
        <f>HLOOKUP(CA37,$CB$53:$CZ$58,BZ55,TRUE)</f>
        <v>0.7142857142857143</v>
      </c>
      <c r="BZ37" s="1400">
        <v>12300</v>
      </c>
      <c r="CA37" s="1401">
        <f>$BW$8+$BX$58</f>
        <v>2.5</v>
      </c>
      <c r="CB37" s="1401">
        <f>BY37*(CA37-4)*BZ37/1000</f>
        <v>-13.178571428571427</v>
      </c>
      <c r="CC37" s="1401">
        <f>(BX37*CA37-4*BZ37)/1000</f>
        <v>-13.178571428571427</v>
      </c>
    </row>
    <row r="38" spans="1:104" ht="12.75" customHeight="1">
      <c r="A38" s="1088"/>
      <c r="B38" s="1089"/>
      <c r="C38" s="1181" t="s">
        <v>512</v>
      </c>
      <c r="D38" s="1370"/>
      <c r="E38" s="1370"/>
      <c r="F38" s="1136"/>
      <c r="G38" s="1388">
        <f t="shared" ref="G38:R38" si="73">IF(ISBLANK(G181),"",G181)</f>
        <v>39.448182602375198</v>
      </c>
      <c r="H38" s="1389">
        <f t="shared" si="73"/>
        <v>32.95930132783883</v>
      </c>
      <c r="I38" s="1389">
        <f t="shared" si="73"/>
        <v>37.786714411684756</v>
      </c>
      <c r="J38" s="1390">
        <f t="shared" si="73"/>
        <v>38.127121226902197</v>
      </c>
      <c r="K38" s="1388">
        <f t="shared" si="73"/>
        <v>40.858928955797097</v>
      </c>
      <c r="L38" s="1389">
        <f t="shared" si="73"/>
        <v>33.916098321428571</v>
      </c>
      <c r="M38" s="1389">
        <f t="shared" si="73"/>
        <v>34.068597563405802</v>
      </c>
      <c r="N38" s="1390">
        <f t="shared" si="73"/>
        <v>31.114616296105076</v>
      </c>
      <c r="O38" s="1388">
        <f t="shared" si="73"/>
        <v>27.303063772177097</v>
      </c>
      <c r="P38" s="1389">
        <f t="shared" si="73"/>
        <v>22.034301452838829</v>
      </c>
      <c r="Q38" s="1389">
        <f t="shared" si="73"/>
        <v>26.919559772644931</v>
      </c>
      <c r="R38" s="1389">
        <f t="shared" si="73"/>
        <v>30.869201327717395</v>
      </c>
      <c r="S38" s="1120">
        <f t="shared" si="71"/>
        <v>33.486062323832535</v>
      </c>
      <c r="T38" s="1121">
        <f t="shared" si="71"/>
        <v>29.612168522893782</v>
      </c>
      <c r="U38" s="1121">
        <f t="shared" si="71"/>
        <v>28.466996774909425</v>
      </c>
      <c r="V38" s="1122">
        <f t="shared" si="71"/>
        <v>31.005893446105066</v>
      </c>
      <c r="W38" s="1121">
        <f t="shared" si="71"/>
        <v>78.280771197463764</v>
      </c>
      <c r="X38" s="1121">
        <f t="shared" si="71"/>
        <v>30.680673397435903</v>
      </c>
      <c r="Y38" s="1121">
        <f t="shared" si="71"/>
        <v>27.413026009963772</v>
      </c>
      <c r="Z38" s="1122">
        <f t="shared" si="71"/>
        <v>29.952876293025369</v>
      </c>
      <c r="AA38" s="1121">
        <f t="shared" si="71"/>
        <v>44.217764477254434</v>
      </c>
      <c r="AB38" s="1121">
        <f t="shared" si="71"/>
        <v>25.028568056318672</v>
      </c>
      <c r="AC38" s="1121">
        <f t="shared" si="71"/>
        <v>23.224815237318836</v>
      </c>
      <c r="AD38" s="1122">
        <f t="shared" si="71"/>
        <v>22.109061745018124</v>
      </c>
      <c r="AE38" s="1121">
        <f t="shared" si="71"/>
        <v>23.988923446826721</v>
      </c>
      <c r="AF38" s="1121">
        <f t="shared" si="71"/>
        <v>21.266628026098903</v>
      </c>
      <c r="AG38" s="1121">
        <f t="shared" si="71"/>
        <v>22.910100094655796</v>
      </c>
      <c r="AH38" s="1122">
        <f t="shared" si="71"/>
        <v>25.259746692934794</v>
      </c>
      <c r="AI38" s="1121">
        <f t="shared" si="56"/>
        <v>27.075569670692435</v>
      </c>
      <c r="AJ38" s="1121">
        <f t="shared" si="56"/>
        <v>22.121270426282045</v>
      </c>
      <c r="AK38" s="1121">
        <f t="shared" si="56"/>
        <v>21.948979516304348</v>
      </c>
      <c r="AL38" s="1122">
        <f t="shared" si="56"/>
        <v>28.679605414130428</v>
      </c>
      <c r="AM38" s="1121">
        <f t="shared" si="56"/>
        <v>43.803590137359109</v>
      </c>
      <c r="AN38" s="1121">
        <f t="shared" si="56"/>
        <v>24.95</v>
      </c>
      <c r="AO38" s="1121">
        <f t="shared" si="56"/>
        <v>24.783333333333331</v>
      </c>
      <c r="AP38" s="1122">
        <f t="shared" si="56"/>
        <v>25.683333333333334</v>
      </c>
      <c r="AQ38" s="1121">
        <f t="shared" si="56"/>
        <v>32.710239316820804</v>
      </c>
      <c r="AR38" s="1121">
        <f t="shared" si="56"/>
        <v>20.631697104333988</v>
      </c>
      <c r="AS38" s="1121">
        <f t="shared" si="56"/>
        <v>20.527571740433242</v>
      </c>
      <c r="AT38" s="1122">
        <f t="shared" si="56"/>
        <v>31.93845850481198</v>
      </c>
      <c r="AU38" s="1121">
        <f t="shared" si="54"/>
        <v>32.33891227956417</v>
      </c>
      <c r="AV38" s="1121">
        <f t="shared" si="54"/>
        <v>20.397485826173483</v>
      </c>
      <c r="AW38" s="1121">
        <f t="shared" si="54"/>
        <v>20.29454249467874</v>
      </c>
      <c r="AX38" s="1122">
        <f t="shared" si="54"/>
        <v>31.575892732783615</v>
      </c>
      <c r="AY38" s="1121">
        <f t="shared" si="51"/>
        <v>32.400669590326544</v>
      </c>
      <c r="AZ38" s="1121">
        <f t="shared" si="51"/>
        <v>20.436438709314643</v>
      </c>
      <c r="BA38" s="1121">
        <f t="shared" si="51"/>
        <v>20.333298787926616</v>
      </c>
      <c r="BB38" s="1122">
        <f t="shared" si="51"/>
        <v>31.636192912432207</v>
      </c>
      <c r="BC38" s="1123"/>
      <c r="BD38" s="1123"/>
      <c r="BE38" s="1254">
        <f t="shared" si="57"/>
        <v>37.080329892200247</v>
      </c>
      <c r="BF38" s="1254">
        <f t="shared" si="58"/>
        <v>34.989560284184137</v>
      </c>
      <c r="BG38" s="1254">
        <f t="shared" si="59"/>
        <v>26.781531581344563</v>
      </c>
      <c r="BH38" s="1254">
        <f t="shared" si="60"/>
        <v>30.642780266935201</v>
      </c>
      <c r="BI38" s="1254">
        <f t="shared" si="61"/>
        <v>41.581836724472197</v>
      </c>
      <c r="BJ38" s="1254">
        <f t="shared" si="62"/>
        <v>28.645052378977518</v>
      </c>
      <c r="BK38" s="1260">
        <f t="shared" si="63"/>
        <v>23.356349565129054</v>
      </c>
      <c r="BL38" s="1260">
        <f t="shared" si="64"/>
        <v>24.956356256852317</v>
      </c>
      <c r="BM38" s="1260">
        <f t="shared" si="65"/>
        <v>29.805064201006445</v>
      </c>
      <c r="BN38" s="1260">
        <f t="shared" si="66"/>
        <v>26.451991666600001</v>
      </c>
      <c r="BO38" s="1260">
        <f t="shared" si="67"/>
        <v>26.1517083333</v>
      </c>
      <c r="BP38" s="1260">
        <f t="shared" si="68"/>
        <v>26.201650000000004</v>
      </c>
      <c r="BQ38" s="1114"/>
      <c r="BR38" s="1143"/>
      <c r="BS38" s="1144"/>
      <c r="BU38" s="1087"/>
      <c r="BV38" s="1137" t="s">
        <v>532</v>
      </c>
      <c r="BW38" s="1400">
        <f>BX38+BZ117</f>
        <v>14758.214285714284</v>
      </c>
      <c r="BX38" s="1400">
        <f>((BZ38*4/1000)+CB38)/CA38*1000</f>
        <v>14758.214285714284</v>
      </c>
      <c r="BY38" s="1515">
        <f>HLOOKUP(CA38,$CB$53:$CZ$58,BZ56,TRUE)</f>
        <v>0.37857142857142861</v>
      </c>
      <c r="BZ38" s="1400">
        <v>10750</v>
      </c>
      <c r="CA38" s="1401">
        <f>$BW$8+$BX$58</f>
        <v>2.5</v>
      </c>
      <c r="CB38" s="1401">
        <f>BY38*(CA38-4)*BZ38/1000</f>
        <v>-6.104464285714287</v>
      </c>
      <c r="CC38" s="1401">
        <f>(BX38*CA38-4*BZ38)/1000</f>
        <v>-6.1044642857142897</v>
      </c>
    </row>
    <row r="39" spans="1:104" ht="12.75" customHeight="1">
      <c r="A39" s="1088"/>
      <c r="B39" s="1089"/>
      <c r="C39" s="1181" t="s">
        <v>703</v>
      </c>
      <c r="D39" s="1370"/>
      <c r="E39" s="1370"/>
      <c r="F39" s="1136"/>
      <c r="G39" s="1388">
        <f t="shared" ref="G39:R39" si="74">IF(ISBLANK(G182),"",G182)</f>
        <v>43.12788123345409</v>
      </c>
      <c r="H39" s="1389">
        <f t="shared" si="74"/>
        <v>35.696539456043951</v>
      </c>
      <c r="I39" s="1389">
        <f t="shared" si="74"/>
        <v>41.941960537590575</v>
      </c>
      <c r="J39" s="1390">
        <f t="shared" si="74"/>
        <v>39.099061662771746</v>
      </c>
      <c r="K39" s="1388">
        <f t="shared" si="74"/>
        <v>45.558643104669883</v>
      </c>
      <c r="L39" s="1389">
        <f t="shared" si="74"/>
        <v>35.489017982600728</v>
      </c>
      <c r="M39" s="1389">
        <f t="shared" si="74"/>
        <v>37.110367609148561</v>
      </c>
      <c r="N39" s="1390">
        <f t="shared" si="74"/>
        <v>30.853395797826089</v>
      </c>
      <c r="O39" s="1388">
        <f t="shared" si="74"/>
        <v>28.838922174609813</v>
      </c>
      <c r="P39" s="1389">
        <f t="shared" si="74"/>
        <v>21.591528022435909</v>
      </c>
      <c r="Q39" s="1389">
        <f t="shared" si="74"/>
        <v>30.122786553894926</v>
      </c>
      <c r="R39" s="1389">
        <f t="shared" si="74"/>
        <v>32.447619825815202</v>
      </c>
      <c r="S39" s="1120">
        <f t="shared" si="71"/>
        <v>34.55972632302737</v>
      </c>
      <c r="T39" s="1121">
        <f t="shared" si="71"/>
        <v>31.325106590201472</v>
      </c>
      <c r="U39" s="1121">
        <f t="shared" si="71"/>
        <v>30.007325350543471</v>
      </c>
      <c r="V39" s="1122">
        <f t="shared" si="71"/>
        <v>32.19676385769926</v>
      </c>
      <c r="W39" s="1121">
        <f t="shared" si="71"/>
        <v>90.786707820652168</v>
      </c>
      <c r="X39" s="1121">
        <f t="shared" si="71"/>
        <v>30.634786767857143</v>
      </c>
      <c r="Y39" s="1121">
        <f t="shared" si="71"/>
        <v>26.507552103713767</v>
      </c>
      <c r="Z39" s="1122">
        <f t="shared" si="71"/>
        <v>37.660706784782626</v>
      </c>
      <c r="AA39" s="1121">
        <f t="shared" si="71"/>
        <v>52.91501483514493</v>
      </c>
      <c r="AB39" s="1121">
        <f t="shared" si="71"/>
        <v>25.152664907509156</v>
      </c>
      <c r="AC39" s="1121">
        <f t="shared" si="71"/>
        <v>20.837114357789854</v>
      </c>
      <c r="AD39" s="1122">
        <f t="shared" si="71"/>
        <v>25.347991754166664</v>
      </c>
      <c r="AE39" s="1121">
        <f t="shared" si="71"/>
        <v>25.346020121237455</v>
      </c>
      <c r="AF39" s="1121">
        <f t="shared" si="71"/>
        <v>19.254250642399267</v>
      </c>
      <c r="AG39" s="1121">
        <f t="shared" si="71"/>
        <v>21.072814450181166</v>
      </c>
      <c r="AH39" s="1122">
        <f t="shared" si="71"/>
        <v>21.316599519927536</v>
      </c>
      <c r="AI39" s="1121">
        <f t="shared" si="56"/>
        <v>29.336510980555559</v>
      </c>
      <c r="AJ39" s="1121">
        <f t="shared" si="56"/>
        <v>21.736222810439564</v>
      </c>
      <c r="AK39" s="1121">
        <f t="shared" si="56"/>
        <v>19.181085373188402</v>
      </c>
      <c r="AL39" s="1122">
        <f t="shared" si="56"/>
        <v>33.856300585507235</v>
      </c>
      <c r="AM39" s="1121">
        <f t="shared" si="56"/>
        <v>46.651077805173117</v>
      </c>
      <c r="AN39" s="1121">
        <f t="shared" si="56"/>
        <v>25.158666666666665</v>
      </c>
      <c r="AO39" s="1121">
        <f t="shared" si="56"/>
        <v>25.266666666666666</v>
      </c>
      <c r="AP39" s="1122">
        <f t="shared" si="56"/>
        <v>25.499833333333331</v>
      </c>
      <c r="AQ39" s="1121">
        <f t="shared" si="56"/>
        <v>37.348531597794079</v>
      </c>
      <c r="AR39" s="1121">
        <f t="shared" si="56"/>
        <v>20.745010650110846</v>
      </c>
      <c r="AS39" s="1121">
        <f t="shared" si="56"/>
        <v>21.194398638146534</v>
      </c>
      <c r="AT39" s="1122">
        <f t="shared" si="56"/>
        <v>30.991359113948537</v>
      </c>
      <c r="AU39" s="1121">
        <f t="shared" si="54"/>
        <v>37.020764656216237</v>
      </c>
      <c r="AV39" s="1121">
        <f t="shared" si="54"/>
        <v>20.562954531626438</v>
      </c>
      <c r="AW39" s="1121">
        <f t="shared" si="54"/>
        <v>21.008398736061569</v>
      </c>
      <c r="AX39" s="1122">
        <f t="shared" si="54"/>
        <v>30.719382076095741</v>
      </c>
      <c r="AY39" s="1121">
        <f t="shared" si="51"/>
        <v>37.359357818581813</v>
      </c>
      <c r="AZ39" s="1121">
        <f t="shared" si="51"/>
        <v>20.751024007421933</v>
      </c>
      <c r="BA39" s="1121">
        <f t="shared" si="51"/>
        <v>21.200542259576977</v>
      </c>
      <c r="BB39" s="1122">
        <f t="shared" si="51"/>
        <v>31.000342580819272</v>
      </c>
      <c r="BC39" s="1123"/>
      <c r="BD39" s="1123"/>
      <c r="BE39" s="1254">
        <f t="shared" si="57"/>
        <v>39.96636072246509</v>
      </c>
      <c r="BF39" s="1254">
        <f t="shared" si="58"/>
        <v>37.252856123561315</v>
      </c>
      <c r="BG39" s="1254">
        <f t="shared" si="59"/>
        <v>28.250214144188959</v>
      </c>
      <c r="BH39" s="1254">
        <f t="shared" si="60"/>
        <v>32.022230530367892</v>
      </c>
      <c r="BI39" s="1254">
        <f t="shared" si="61"/>
        <v>46.397438369251432</v>
      </c>
      <c r="BJ39" s="1254">
        <f t="shared" si="62"/>
        <v>31.063196463652652</v>
      </c>
      <c r="BK39" s="1260">
        <f t="shared" si="63"/>
        <v>21.747421183436355</v>
      </c>
      <c r="BL39" s="1260">
        <f t="shared" si="64"/>
        <v>26.027529937422692</v>
      </c>
      <c r="BM39" s="1260">
        <f t="shared" si="65"/>
        <v>30.644061117959943</v>
      </c>
      <c r="BN39" s="1260">
        <f t="shared" si="66"/>
        <v>27.569824999999998</v>
      </c>
      <c r="BO39" s="1260">
        <f t="shared" si="67"/>
        <v>27.327874999999995</v>
      </c>
      <c r="BP39" s="1260">
        <f t="shared" si="68"/>
        <v>27.5778166666</v>
      </c>
      <c r="BQ39" s="1114"/>
      <c r="BR39" s="1143"/>
      <c r="BS39" s="1144"/>
      <c r="BU39" s="1087"/>
      <c r="BV39" s="1137" t="s">
        <v>281</v>
      </c>
      <c r="BW39" s="1400">
        <f>BX39+BZ118</f>
        <v>16450.000000000004</v>
      </c>
      <c r="BX39" s="1400">
        <f>((BZ39*4.25/1000)+CB39)/CA39*1000</f>
        <v>16450.000000000004</v>
      </c>
      <c r="BY39" s="1515">
        <f>HLOOKUP(CA39,$CB$53:$CZ$58,BZ57,TRUE)</f>
        <v>0.36250000000000004</v>
      </c>
      <c r="BZ39" s="1400">
        <v>10500</v>
      </c>
      <c r="CA39" s="1401">
        <f>$BW$8+BX60</f>
        <v>2.25</v>
      </c>
      <c r="CB39" s="1401">
        <f>BY39*(CA39-4.25)*BZ39/1000</f>
        <v>-7.6125000000000007</v>
      </c>
      <c r="CC39" s="1401">
        <f>(BX39*CA39-4.25*BZ39)/1000</f>
        <v>-7.6124999999999927</v>
      </c>
    </row>
    <row r="40" spans="1:104" ht="12.75" customHeight="1">
      <c r="A40" s="1088"/>
      <c r="B40" s="1089"/>
      <c r="C40" s="1181" t="s">
        <v>532</v>
      </c>
      <c r="D40" s="1370"/>
      <c r="E40" s="1370"/>
      <c r="F40" s="1136"/>
      <c r="G40" s="1388">
        <f t="shared" ref="G40:R40" si="75">IF(ISBLANK(G183),"",G183)</f>
        <v>33.65507139897344</v>
      </c>
      <c r="H40" s="1389">
        <f t="shared" si="75"/>
        <v>27.940983067765572</v>
      </c>
      <c r="I40" s="1389">
        <f t="shared" si="75"/>
        <v>31.064639944746379</v>
      </c>
      <c r="J40" s="1390">
        <f t="shared" si="75"/>
        <v>31.179066678713756</v>
      </c>
      <c r="K40" s="1388">
        <f t="shared" si="75"/>
        <v>33.366856885466987</v>
      </c>
      <c r="L40" s="1389">
        <f t="shared" si="75"/>
        <v>30.988586447802195</v>
      </c>
      <c r="M40" s="1389">
        <f t="shared" si="75"/>
        <v>31.983560708333318</v>
      </c>
      <c r="N40" s="1390">
        <f t="shared" si="75"/>
        <v>30.553551319112341</v>
      </c>
      <c r="O40" s="1388">
        <f t="shared" si="75"/>
        <v>25.678486559862229</v>
      </c>
      <c r="P40" s="1389">
        <f t="shared" si="75"/>
        <v>21.65716656639195</v>
      </c>
      <c r="Q40" s="1389">
        <f t="shared" si="75"/>
        <v>25.59958281884057</v>
      </c>
      <c r="R40" s="1389">
        <f t="shared" si="75"/>
        <v>29.691809545561608</v>
      </c>
      <c r="S40" s="1120">
        <f t="shared" si="71"/>
        <v>30.712843264895323</v>
      </c>
      <c r="T40" s="1121">
        <f t="shared" si="71"/>
        <v>28.683858509157513</v>
      </c>
      <c r="U40" s="1121">
        <f t="shared" si="71"/>
        <v>26.289797765398554</v>
      </c>
      <c r="V40" s="1122">
        <f t="shared" si="71"/>
        <v>28.58454812028986</v>
      </c>
      <c r="W40" s="1121">
        <f t="shared" si="71"/>
        <v>55.582024361513675</v>
      </c>
      <c r="X40" s="1121">
        <f t="shared" si="71"/>
        <v>30.848939755952369</v>
      </c>
      <c r="Y40" s="1121">
        <f t="shared" si="71"/>
        <v>26.474229680253622</v>
      </c>
      <c r="Z40" s="1122">
        <f t="shared" si="71"/>
        <v>30.106497532518123</v>
      </c>
      <c r="AA40" s="1121">
        <f t="shared" si="71"/>
        <v>33.672197658071667</v>
      </c>
      <c r="AB40" s="1121">
        <f t="shared" si="71"/>
        <v>24.408332260531143</v>
      </c>
      <c r="AC40" s="1121">
        <f t="shared" si="71"/>
        <v>22.758183921195638</v>
      </c>
      <c r="AD40" s="1122">
        <f t="shared" si="71"/>
        <v>22.005480128297094</v>
      </c>
      <c r="AE40" s="1121">
        <f t="shared" si="71"/>
        <v>21.940509499422674</v>
      </c>
      <c r="AF40" s="1121">
        <f t="shared" si="71"/>
        <v>21.194626118131868</v>
      </c>
      <c r="AG40" s="1121">
        <f t="shared" si="71"/>
        <v>22.397125852355067</v>
      </c>
      <c r="AH40" s="1122">
        <f t="shared" si="71"/>
        <v>25.119274915036236</v>
      </c>
      <c r="AI40" s="1121">
        <f t="shared" si="56"/>
        <v>25.609943032206107</v>
      </c>
      <c r="AJ40" s="1121">
        <f t="shared" si="56"/>
        <v>22.558270758241754</v>
      </c>
      <c r="AK40" s="1121">
        <f t="shared" si="56"/>
        <v>22.753793536231882</v>
      </c>
      <c r="AL40" s="1122">
        <f t="shared" si="56"/>
        <v>26.193597912862309</v>
      </c>
      <c r="AM40" s="1121">
        <f t="shared" si="56"/>
        <v>34.436698074516897</v>
      </c>
      <c r="AN40" s="1121">
        <f t="shared" si="56"/>
        <v>25.55</v>
      </c>
      <c r="AO40" s="1121">
        <f t="shared" si="56"/>
        <v>25.216666666666669</v>
      </c>
      <c r="AP40" s="1122">
        <f t="shared" si="56"/>
        <v>25.316666666666663</v>
      </c>
      <c r="AQ40" s="1121">
        <f t="shared" si="56"/>
        <v>30.065523917280856</v>
      </c>
      <c r="AR40" s="1121">
        <f t="shared" si="56"/>
        <v>21.597016408139439</v>
      </c>
      <c r="AS40" s="1121">
        <f t="shared" si="56"/>
        <v>21.984059712944806</v>
      </c>
      <c r="AT40" s="1122">
        <f t="shared" si="56"/>
        <v>28.678033294834901</v>
      </c>
      <c r="AU40" s="1121">
        <f t="shared" si="54"/>
        <v>29.607950419373292</v>
      </c>
      <c r="AV40" s="1121">
        <f t="shared" si="54"/>
        <v>21.268326897541574</v>
      </c>
      <c r="AW40" s="1121">
        <f t="shared" si="54"/>
        <v>21.649479709325476</v>
      </c>
      <c r="AX40" s="1122">
        <f t="shared" si="54"/>
        <v>28.241576306959669</v>
      </c>
      <c r="AY40" s="1121">
        <f t="shared" si="51"/>
        <v>29.616706401032346</v>
      </c>
      <c r="AZ40" s="1121">
        <f t="shared" si="51"/>
        <v>21.274616596004179</v>
      </c>
      <c r="BA40" s="1121">
        <f t="shared" si="51"/>
        <v>21.65588212639852</v>
      </c>
      <c r="BB40" s="1122">
        <f t="shared" si="51"/>
        <v>28.24992820976496</v>
      </c>
      <c r="BC40" s="1123"/>
      <c r="BD40" s="1123"/>
      <c r="BE40" s="1254">
        <f t="shared" si="57"/>
        <v>30.959940272549787</v>
      </c>
      <c r="BF40" s="1254">
        <f t="shared" si="58"/>
        <v>31.723138840178709</v>
      </c>
      <c r="BG40" s="1254">
        <f t="shared" si="59"/>
        <v>25.656761372664089</v>
      </c>
      <c r="BH40" s="1254">
        <f t="shared" si="60"/>
        <v>28.567761914935311</v>
      </c>
      <c r="BI40" s="1254">
        <f t="shared" si="61"/>
        <v>35.752922832559449</v>
      </c>
      <c r="BJ40" s="1254">
        <f t="shared" si="62"/>
        <v>25.711048492023885</v>
      </c>
      <c r="BK40" s="1260">
        <f t="shared" si="63"/>
        <v>22.662884096236461</v>
      </c>
      <c r="BL40" s="1260">
        <f t="shared" si="64"/>
        <v>24.278901309885512</v>
      </c>
      <c r="BM40" s="1260">
        <f t="shared" si="65"/>
        <v>27.630007851962556</v>
      </c>
      <c r="BN40" s="1260">
        <f t="shared" si="66"/>
        <v>25.581158333300003</v>
      </c>
      <c r="BO40" s="1260">
        <f t="shared" si="67"/>
        <v>25.191833333300004</v>
      </c>
      <c r="BP40" s="1260">
        <f t="shared" si="68"/>
        <v>25.199283333300002</v>
      </c>
      <c r="BQ40" s="1114"/>
      <c r="BR40" s="1143"/>
      <c r="BS40" s="1144"/>
      <c r="BU40" s="1087"/>
      <c r="BV40" s="1137" t="s">
        <v>549</v>
      </c>
      <c r="BW40" s="1400">
        <f>BX40+BZ119</f>
        <v>14913.26530612245</v>
      </c>
      <c r="BX40" s="1400">
        <f>((BZ40*4.25/1000)+CB40)/CA40*1000</f>
        <v>14913.26530612245</v>
      </c>
      <c r="BY40" s="1515">
        <f>HLOOKUP(CA40,$CB$53:$CZ$58,BZ58,TRUE)</f>
        <v>0.33124999999999999</v>
      </c>
      <c r="BZ40" s="1400">
        <v>10000</v>
      </c>
      <c r="CA40" s="1401">
        <f>$BW$8+BX59</f>
        <v>2.4500000000000002</v>
      </c>
      <c r="CB40" s="1401">
        <f>BY40*(CA40-4.25)*BZ40/1000</f>
        <v>-5.9624999999999995</v>
      </c>
      <c r="CC40" s="1401">
        <f>(BX40*CA40-4.25*BZ40)/1000</f>
        <v>-5.9624999999999924</v>
      </c>
    </row>
    <row r="41" spans="1:104" ht="12.75" customHeight="1">
      <c r="A41" s="1088"/>
      <c r="B41" s="1089"/>
      <c r="C41" s="1181" t="s">
        <v>281</v>
      </c>
      <c r="D41" s="1370"/>
      <c r="E41" s="1370"/>
      <c r="F41" s="1136"/>
      <c r="G41" s="1388">
        <f t="shared" ref="G41:R41" si="76">IF(ISBLANK(G184),"",G184)</f>
        <v>33.577120008313223</v>
      </c>
      <c r="H41" s="1389">
        <f t="shared" si="76"/>
        <v>28.007368155677657</v>
      </c>
      <c r="I41" s="1389">
        <f t="shared" si="76"/>
        <v>31.199241193840571</v>
      </c>
      <c r="J41" s="1390">
        <f t="shared" si="76"/>
        <v>31.280175134510877</v>
      </c>
      <c r="K41" s="1388">
        <f t="shared" si="76"/>
        <v>33.316046651227865</v>
      </c>
      <c r="L41" s="1389">
        <f t="shared" si="76"/>
        <v>31.034006899725281</v>
      </c>
      <c r="M41" s="1389">
        <f t="shared" si="76"/>
        <v>32.137521466938395</v>
      </c>
      <c r="N41" s="1390">
        <f t="shared" si="76"/>
        <v>30.682761882608698</v>
      </c>
      <c r="O41" s="1388">
        <f t="shared" si="76"/>
        <v>25.679288122073572</v>
      </c>
      <c r="P41" s="1389">
        <f t="shared" si="76"/>
        <v>21.775065671703299</v>
      </c>
      <c r="Q41" s="1389">
        <f t="shared" si="76"/>
        <v>25.7171560271739</v>
      </c>
      <c r="R41" s="1389">
        <f t="shared" si="76"/>
        <v>29.781977215851452</v>
      </c>
      <c r="S41" s="1120">
        <f t="shared" si="71"/>
        <v>30.59628365193236</v>
      </c>
      <c r="T41" s="1121">
        <f t="shared" si="71"/>
        <v>28.85574062912087</v>
      </c>
      <c r="U41" s="1121">
        <f t="shared" si="71"/>
        <v>26.426258410326099</v>
      </c>
      <c r="V41" s="1122">
        <f t="shared" si="71"/>
        <v>28.631262306884061</v>
      </c>
      <c r="W41" s="1121">
        <f t="shared" si="71"/>
        <v>55.245883308574896</v>
      </c>
      <c r="X41" s="1121">
        <f t="shared" si="71"/>
        <v>31.092236393315009</v>
      </c>
      <c r="Y41" s="1121">
        <f t="shared" si="71"/>
        <v>26.565221706068847</v>
      </c>
      <c r="Z41" s="1122">
        <f t="shared" si="71"/>
        <v>29.935611420199269</v>
      </c>
      <c r="AA41" s="1121">
        <f t="shared" si="71"/>
        <v>33.546102769424323</v>
      </c>
      <c r="AB41" s="1121">
        <f t="shared" si="71"/>
        <v>24.350682732600731</v>
      </c>
      <c r="AC41" s="1121">
        <f t="shared" si="71"/>
        <v>22.832639235507255</v>
      </c>
      <c r="AD41" s="1122">
        <f t="shared" si="71"/>
        <v>21.995092569728257</v>
      </c>
      <c r="AE41" s="1121">
        <f t="shared" si="71"/>
        <v>22.062136905279502</v>
      </c>
      <c r="AF41" s="1121">
        <f t="shared" si="71"/>
        <v>21.344116594322344</v>
      </c>
      <c r="AG41" s="1121">
        <f t="shared" si="71"/>
        <v>22.51157196376812</v>
      </c>
      <c r="AH41" s="1122">
        <f t="shared" si="71"/>
        <v>25.05356571974637</v>
      </c>
      <c r="AI41" s="1121">
        <f t="shared" si="56"/>
        <v>25.637689978663452</v>
      </c>
      <c r="AJ41" s="1121">
        <f t="shared" si="56"/>
        <v>22.658216380036624</v>
      </c>
      <c r="AK41" s="1121">
        <f t="shared" si="56"/>
        <v>22.877026026268119</v>
      </c>
      <c r="AL41" s="1122">
        <f t="shared" si="56"/>
        <v>26.103430919021747</v>
      </c>
      <c r="AM41" s="1121">
        <f t="shared" si="56"/>
        <v>33.49635729142512</v>
      </c>
      <c r="AN41" s="1121">
        <f t="shared" si="56"/>
        <v>24.3</v>
      </c>
      <c r="AO41" s="1121">
        <f t="shared" si="56"/>
        <v>24.716666666666669</v>
      </c>
      <c r="AP41" s="1122">
        <f t="shared" si="56"/>
        <v>24.833333333333332</v>
      </c>
      <c r="AQ41" s="1121">
        <f t="shared" si="56"/>
        <v>26.535204784504245</v>
      </c>
      <c r="AR41" s="1121">
        <f t="shared" si="56"/>
        <v>20.510009202701678</v>
      </c>
      <c r="AS41" s="1121">
        <f t="shared" si="56"/>
        <v>20.875172571295771</v>
      </c>
      <c r="AT41" s="1122">
        <f t="shared" si="56"/>
        <v>29.770913441498301</v>
      </c>
      <c r="AU41" s="1121">
        <f t="shared" si="54"/>
        <v>26.434034268000321</v>
      </c>
      <c r="AV41" s="1121">
        <f t="shared" si="54"/>
        <v>20.43181089063328</v>
      </c>
      <c r="AW41" s="1121">
        <f t="shared" si="54"/>
        <v>20.795582004413099</v>
      </c>
      <c r="AX41" s="1122">
        <f t="shared" si="54"/>
        <v>29.657406170153298</v>
      </c>
      <c r="AY41" s="1121">
        <f t="shared" si="51"/>
        <v>26.496453235293</v>
      </c>
      <c r="AZ41" s="1121">
        <f t="shared" si="51"/>
        <v>20.480056743792986</v>
      </c>
      <c r="BA41" s="1121">
        <f t="shared" si="51"/>
        <v>20.844686834186923</v>
      </c>
      <c r="BB41" s="1122">
        <f t="shared" si="51"/>
        <v>29.727436519927089</v>
      </c>
      <c r="BC41" s="1123"/>
      <c r="BD41" s="1123"/>
      <c r="BE41" s="1254">
        <f t="shared" si="57"/>
        <v>31.015976123085579</v>
      </c>
      <c r="BF41" s="1254">
        <f t="shared" si="58"/>
        <v>31.792584225125061</v>
      </c>
      <c r="BG41" s="1254">
        <f t="shared" si="59"/>
        <v>25.738371759200557</v>
      </c>
      <c r="BH41" s="1254">
        <f t="shared" si="60"/>
        <v>28.627386249565845</v>
      </c>
      <c r="BI41" s="1254">
        <f t="shared" si="61"/>
        <v>35.709738207039507</v>
      </c>
      <c r="BJ41" s="1254">
        <f t="shared" si="62"/>
        <v>25.681129326815142</v>
      </c>
      <c r="BK41" s="1260">
        <f t="shared" si="63"/>
        <v>22.742847795779085</v>
      </c>
      <c r="BL41" s="1260">
        <f t="shared" si="64"/>
        <v>24.319090825997485</v>
      </c>
      <c r="BM41" s="1260">
        <f t="shared" si="65"/>
        <v>26.83658932285628</v>
      </c>
      <c r="BN41" s="1260">
        <f t="shared" si="66"/>
        <v>24.422824999999996</v>
      </c>
      <c r="BO41" s="1260">
        <f t="shared" si="67"/>
        <v>24.329708333300001</v>
      </c>
      <c r="BP41" s="1260">
        <f t="shared" si="68"/>
        <v>24.3871583333</v>
      </c>
      <c r="BQ41" s="1114"/>
      <c r="BR41" s="1143"/>
      <c r="BS41" s="1144"/>
      <c r="BU41" s="1087"/>
      <c r="BV41" s="1086"/>
      <c r="BW41" s="1086"/>
    </row>
    <row r="42" spans="1:104" ht="12.75" customHeight="1">
      <c r="A42" s="1088"/>
      <c r="B42" s="1089"/>
      <c r="C42" s="1181" t="s">
        <v>549</v>
      </c>
      <c r="D42" s="1370"/>
      <c r="E42" s="1370"/>
      <c r="F42" s="1136"/>
      <c r="G42" s="1388">
        <f t="shared" ref="G42:R42" si="77">IF(ISBLANK(G185),"",G185)</f>
        <v>27.647922274134451</v>
      </c>
      <c r="H42" s="1389">
        <f t="shared" si="77"/>
        <v>22.058756606684991</v>
      </c>
      <c r="I42" s="1389">
        <f t="shared" si="77"/>
        <v>25.77205439356884</v>
      </c>
      <c r="J42" s="1390">
        <f t="shared" si="77"/>
        <v>20.233505312028988</v>
      </c>
      <c r="K42" s="1388">
        <f t="shared" si="77"/>
        <v>28.117182428522533</v>
      </c>
      <c r="L42" s="1389">
        <f t="shared" si="77"/>
        <v>24.030010341117219</v>
      </c>
      <c r="M42" s="1389">
        <f t="shared" si="77"/>
        <v>25.858050654891304</v>
      </c>
      <c r="N42" s="1390">
        <f t="shared" si="77"/>
        <v>19.96068864096015</v>
      </c>
      <c r="O42" s="1388">
        <f t="shared" si="77"/>
        <v>23.311520222746449</v>
      </c>
      <c r="P42" s="1389">
        <f t="shared" si="77"/>
        <v>18.617785842032969</v>
      </c>
      <c r="Q42" s="1389">
        <f t="shared" si="77"/>
        <v>23.770870774456522</v>
      </c>
      <c r="R42" s="1389">
        <f t="shared" si="77"/>
        <v>21.751328907065218</v>
      </c>
      <c r="S42" s="1120">
        <f t="shared" si="71"/>
        <v>27.102873879810776</v>
      </c>
      <c r="T42" s="1121">
        <f t="shared" si="71"/>
        <v>23.983492510531136</v>
      </c>
      <c r="U42" s="1121">
        <f t="shared" si="71"/>
        <v>24.337539511322465</v>
      </c>
      <c r="V42" s="1122">
        <f t="shared" si="71"/>
        <v>25.034081106974629</v>
      </c>
      <c r="W42" s="1121">
        <f t="shared" si="71"/>
        <v>46.659030578200486</v>
      </c>
      <c r="X42" s="1121">
        <f t="shared" si="71"/>
        <v>25.040844436355307</v>
      </c>
      <c r="Y42" s="1121">
        <f t="shared" si="71"/>
        <v>24.573567941576091</v>
      </c>
      <c r="Z42" s="1122">
        <f t="shared" si="71"/>
        <v>25.868583025362319</v>
      </c>
      <c r="AA42" s="1121">
        <f t="shared" si="71"/>
        <v>29.701038306400971</v>
      </c>
      <c r="AB42" s="1121">
        <f t="shared" si="71"/>
        <v>18.405672966575075</v>
      </c>
      <c r="AC42" s="1121">
        <f t="shared" si="71"/>
        <v>21.186602595561595</v>
      </c>
      <c r="AD42" s="1122">
        <f t="shared" si="71"/>
        <v>19.679295579764492</v>
      </c>
      <c r="AE42" s="1121">
        <f t="shared" si="71"/>
        <v>19.228153737279026</v>
      </c>
      <c r="AF42" s="1121">
        <f t="shared" si="71"/>
        <v>18.306781789377293</v>
      </c>
      <c r="AG42" s="1121">
        <f t="shared" si="71"/>
        <v>21.426197764039859</v>
      </c>
      <c r="AH42" s="1122">
        <f t="shared" si="71"/>
        <v>22.45641746277175</v>
      </c>
      <c r="AI42" s="1121">
        <f t="shared" si="56"/>
        <v>23.077807067310793</v>
      </c>
      <c r="AJ42" s="1121">
        <f t="shared" si="56"/>
        <v>19.554939797619053</v>
      </c>
      <c r="AK42" s="1121">
        <f t="shared" si="56"/>
        <v>18.802316540760863</v>
      </c>
      <c r="AL42" s="1122">
        <f t="shared" si="56"/>
        <v>22.818591313496391</v>
      </c>
      <c r="AM42" s="1121">
        <f t="shared" si="56"/>
        <v>25.592786000905793</v>
      </c>
      <c r="AN42" s="1121">
        <f t="shared" si="56"/>
        <v>19.816666666666666</v>
      </c>
      <c r="AO42" s="1121">
        <f t="shared" si="56"/>
        <v>21.45</v>
      </c>
      <c r="AP42" s="1122">
        <f t="shared" si="56"/>
        <v>20.516666666666669</v>
      </c>
      <c r="AQ42" s="1121">
        <f t="shared" si="56"/>
        <v>27.334808227990884</v>
      </c>
      <c r="AR42" s="1121">
        <f t="shared" si="56"/>
        <v>19.223933699175628</v>
      </c>
      <c r="AS42" s="1121">
        <f t="shared" si="56"/>
        <v>19.937159884736072</v>
      </c>
      <c r="AT42" s="1122">
        <f t="shared" si="56"/>
        <v>20.328731521297417</v>
      </c>
      <c r="AU42" s="1121">
        <f t="shared" si="54"/>
        <v>27.753990948397757</v>
      </c>
      <c r="AV42" s="1121">
        <f t="shared" si="54"/>
        <v>19.518735139073424</v>
      </c>
      <c r="AW42" s="1121">
        <f t="shared" si="54"/>
        <v>20.242898737848368</v>
      </c>
      <c r="AX42" s="1122">
        <f t="shared" si="54"/>
        <v>20.640475174680446</v>
      </c>
      <c r="AY42" s="1121">
        <f t="shared" si="51"/>
        <v>27.7633728168137</v>
      </c>
      <c r="AZ42" s="1121">
        <f t="shared" si="51"/>
        <v>19.52533318852371</v>
      </c>
      <c r="BA42" s="1121">
        <f t="shared" si="51"/>
        <v>20.24974158119543</v>
      </c>
      <c r="BB42" s="1122">
        <f t="shared" si="51"/>
        <v>20.647452413467164</v>
      </c>
      <c r="BC42" s="1123"/>
      <c r="BD42" s="1123"/>
      <c r="BE42" s="1254">
        <f t="shared" si="57"/>
        <v>23.928059646604318</v>
      </c>
      <c r="BF42" s="1254">
        <f t="shared" si="58"/>
        <v>24.491483016372804</v>
      </c>
      <c r="BG42" s="1254">
        <f t="shared" si="59"/>
        <v>21.862876436575288</v>
      </c>
      <c r="BH42" s="1254">
        <f t="shared" si="60"/>
        <v>25.114496752159749</v>
      </c>
      <c r="BI42" s="1254">
        <f t="shared" si="61"/>
        <v>30.535506495373554</v>
      </c>
      <c r="BJ42" s="1254">
        <f t="shared" si="62"/>
        <v>22.243152362075534</v>
      </c>
      <c r="BK42" s="1260">
        <f t="shared" si="63"/>
        <v>20.354387688366984</v>
      </c>
      <c r="BL42" s="1260">
        <f t="shared" si="64"/>
        <v>21.063413679796774</v>
      </c>
      <c r="BM42" s="1260">
        <f t="shared" si="65"/>
        <v>21.84402983355978</v>
      </c>
      <c r="BN42" s="1260">
        <f t="shared" si="66"/>
        <v>21.706158333299999</v>
      </c>
      <c r="BO42" s="1260">
        <f t="shared" si="67"/>
        <v>22.039024999999999</v>
      </c>
      <c r="BP42" s="1260">
        <f t="shared" si="68"/>
        <v>22.046475000000001</v>
      </c>
      <c r="BQ42" s="1114"/>
      <c r="BR42" s="1143"/>
      <c r="BS42" s="1144"/>
      <c r="BU42" s="1087"/>
      <c r="BV42" s="1129" t="s">
        <v>817</v>
      </c>
      <c r="BW42" s="1129"/>
      <c r="BX42" s="1129">
        <v>2021</v>
      </c>
    </row>
    <row r="43" spans="1:104" ht="12.75" customHeight="1">
      <c r="A43" s="1088"/>
      <c r="B43" s="1089"/>
      <c r="C43" s="1181" t="s">
        <v>518</v>
      </c>
      <c r="D43" s="1370"/>
      <c r="E43" s="1370"/>
      <c r="F43" s="1136"/>
      <c r="G43" s="1388">
        <f t="shared" ref="G43:R43" si="78">IF(ISBLANK(G186),"",G186)</f>
        <v>35.104179045893723</v>
      </c>
      <c r="H43" s="1389">
        <f t="shared" si="78"/>
        <v>28.634282280219779</v>
      </c>
      <c r="I43" s="1389">
        <f t="shared" si="78"/>
        <v>31.990215126811602</v>
      </c>
      <c r="J43" s="1390">
        <f t="shared" si="78"/>
        <v>25.825695788043475</v>
      </c>
      <c r="K43" s="1388">
        <f t="shared" si="78"/>
        <v>29.660326036634473</v>
      </c>
      <c r="L43" s="1389">
        <f t="shared" si="78"/>
        <v>28.345022893772899</v>
      </c>
      <c r="M43" s="1389">
        <f t="shared" si="78"/>
        <v>31.569142889492749</v>
      </c>
      <c r="N43" s="1390">
        <f t="shared" si="78"/>
        <v>23.404596059782612</v>
      </c>
      <c r="O43" s="1388">
        <f t="shared" si="78"/>
        <v>19.561595895046977</v>
      </c>
      <c r="P43" s="1389">
        <f t="shared" si="78"/>
        <v>17.118434065934071</v>
      </c>
      <c r="Q43" s="1389">
        <f t="shared" si="78"/>
        <v>21.168782835144924</v>
      </c>
      <c r="R43" s="1389">
        <f t="shared" si="78"/>
        <v>22.251092119565214</v>
      </c>
      <c r="S43" s="1120">
        <f t="shared" si="71"/>
        <v>23.22272348027375</v>
      </c>
      <c r="T43" s="1121">
        <f t="shared" si="71"/>
        <v>26.715190018315013</v>
      </c>
      <c r="U43" s="1121">
        <f t="shared" si="71"/>
        <v>25.701721014492755</v>
      </c>
      <c r="V43" s="1122">
        <f t="shared" si="71"/>
        <v>27.180492210144916</v>
      </c>
      <c r="W43" s="1121">
        <f t="shared" si="71"/>
        <v>31.78499773550724</v>
      </c>
      <c r="X43" s="1121">
        <f t="shared" si="71"/>
        <v>31.412413003663001</v>
      </c>
      <c r="Y43" s="1121">
        <f t="shared" si="71"/>
        <v>28.854929800724651</v>
      </c>
      <c r="Z43" s="1122">
        <f t="shared" si="71"/>
        <v>25.233000181159419</v>
      </c>
      <c r="AA43" s="1121">
        <f t="shared" si="71"/>
        <v>22.140641555958133</v>
      </c>
      <c r="AB43" s="1121">
        <f t="shared" si="71"/>
        <v>21.621235119047622</v>
      </c>
      <c r="AC43" s="1121">
        <f t="shared" si="71"/>
        <v>20.30612658514492</v>
      </c>
      <c r="AD43" s="1122">
        <f t="shared" si="71"/>
        <v>16.061473550724639</v>
      </c>
      <c r="AE43" s="1121">
        <f t="shared" si="71"/>
        <v>13.842845198279973</v>
      </c>
      <c r="AF43" s="1121">
        <f t="shared" si="71"/>
        <v>14.911001602564097</v>
      </c>
      <c r="AG43" s="1121">
        <f t="shared" si="71"/>
        <v>23.475191349637686</v>
      </c>
      <c r="AH43" s="1122">
        <f t="shared" si="71"/>
        <v>18.614083197463771</v>
      </c>
      <c r="AI43" s="1121">
        <f t="shared" si="56"/>
        <v>19.355630787037047</v>
      </c>
      <c r="AJ43" s="1121">
        <f t="shared" si="56"/>
        <v>24.49456959706961</v>
      </c>
      <c r="AK43" s="1121">
        <f t="shared" si="56"/>
        <v>22.786469655797116</v>
      </c>
      <c r="AL43" s="1122">
        <f t="shared" si="56"/>
        <v>20.007914900362312</v>
      </c>
      <c r="AM43" s="1121">
        <f t="shared" si="56"/>
        <v>20.159236262077297</v>
      </c>
      <c r="AN43" s="1121">
        <f t="shared" si="56"/>
        <v>22.893873333333332</v>
      </c>
      <c r="AO43" s="1121">
        <f t="shared" si="56"/>
        <v>28.907523333333334</v>
      </c>
      <c r="AP43" s="1122">
        <f t="shared" si="56"/>
        <v>20.204750000000001</v>
      </c>
      <c r="AQ43" s="1121">
        <f t="shared" si="56"/>
        <v>20.922026845642609</v>
      </c>
      <c r="AR43" s="1121">
        <f t="shared" si="56"/>
        <v>19.193142488186361</v>
      </c>
      <c r="AS43" s="1121">
        <f t="shared" si="56"/>
        <v>23.750424272466308</v>
      </c>
      <c r="AT43" s="1122">
        <f t="shared" si="56"/>
        <v>20.145536393704717</v>
      </c>
      <c r="AU43" s="1121">
        <f t="shared" si="54"/>
        <v>21.12106749399333</v>
      </c>
      <c r="AV43" s="1121">
        <f t="shared" si="54"/>
        <v>19.375735482303082</v>
      </c>
      <c r="AW43" s="1121">
        <f t="shared" si="54"/>
        <v>23.97637273724332</v>
      </c>
      <c r="AX43" s="1122">
        <f t="shared" si="54"/>
        <v>20.337189939260277</v>
      </c>
      <c r="AY43" s="1121">
        <f t="shared" si="51"/>
        <v>20.82675586398943</v>
      </c>
      <c r="AZ43" s="1121">
        <f t="shared" si="51"/>
        <v>19.105744190719797</v>
      </c>
      <c r="BA43" s="1121">
        <f t="shared" si="51"/>
        <v>23.642273840779588</v>
      </c>
      <c r="BB43" s="1122">
        <f t="shared" si="51"/>
        <v>20.053801255311189</v>
      </c>
      <c r="BC43" s="1123"/>
      <c r="BD43" s="1123"/>
      <c r="BE43" s="1254">
        <f t="shared" si="57"/>
        <v>30.388593060242144</v>
      </c>
      <c r="BF43" s="1254">
        <f t="shared" si="58"/>
        <v>28.244771969920684</v>
      </c>
      <c r="BG43" s="1254">
        <f t="shared" si="59"/>
        <v>20.024976228922796</v>
      </c>
      <c r="BH43" s="1254">
        <f t="shared" si="60"/>
        <v>25.705031680806609</v>
      </c>
      <c r="BI43" s="1254">
        <f t="shared" si="61"/>
        <v>29.321335180263574</v>
      </c>
      <c r="BJ43" s="1254">
        <f t="shared" si="62"/>
        <v>20.032369202718829</v>
      </c>
      <c r="BK43" s="1260">
        <f t="shared" si="63"/>
        <v>17.710780336986382</v>
      </c>
      <c r="BL43" s="1260">
        <f t="shared" si="64"/>
        <v>21.661146235066521</v>
      </c>
      <c r="BM43" s="1260">
        <f t="shared" si="65"/>
        <v>23.041345732185992</v>
      </c>
      <c r="BN43" s="1260">
        <f t="shared" si="66"/>
        <v>21.002782499999999</v>
      </c>
      <c r="BO43" s="1260">
        <f t="shared" si="67"/>
        <v>21.202591413200004</v>
      </c>
      <c r="BP43" s="1260">
        <f t="shared" si="68"/>
        <v>20.907143787700001</v>
      </c>
      <c r="BQ43" s="1114"/>
      <c r="BR43" s="1143"/>
      <c r="BS43" s="1144"/>
      <c r="BU43" s="1087"/>
      <c r="BV43" s="1137" t="s">
        <v>512</v>
      </c>
      <c r="BW43" s="1271"/>
      <c r="BX43" s="1271">
        <f>+BP225</f>
        <v>13963.315871403218</v>
      </c>
    </row>
    <row r="44" spans="1:104" ht="12.75" customHeight="1">
      <c r="A44" s="1088"/>
      <c r="B44" s="1089"/>
      <c r="C44" s="1370" t="s">
        <v>550</v>
      </c>
      <c r="D44" s="1370"/>
      <c r="E44" s="1370"/>
      <c r="F44" s="1136"/>
      <c r="G44" s="1388">
        <f t="shared" ref="G44:R44" si="79">IF(ISBLANK(G187),"",G187)</f>
        <v>35.080230324074073</v>
      </c>
      <c r="H44" s="1389">
        <f t="shared" si="79"/>
        <v>28.455611263736266</v>
      </c>
      <c r="I44" s="1389">
        <f t="shared" si="79"/>
        <v>31.678466938405812</v>
      </c>
      <c r="J44" s="1390">
        <f t="shared" si="79"/>
        <v>25.7597316576087</v>
      </c>
      <c r="K44" s="1388">
        <f t="shared" si="79"/>
        <v>30.071405696457326</v>
      </c>
      <c r="L44" s="1389">
        <f t="shared" si="79"/>
        <v>28.042996794871794</v>
      </c>
      <c r="M44" s="1389">
        <f t="shared" si="79"/>
        <v>31.24979846014493</v>
      </c>
      <c r="N44" s="1390">
        <f t="shared" si="79"/>
        <v>23.630269338768127</v>
      </c>
      <c r="O44" s="1388">
        <f t="shared" si="79"/>
        <v>19.53850324494346</v>
      </c>
      <c r="P44" s="1389">
        <f t="shared" si="79"/>
        <v>17.141556776556776</v>
      </c>
      <c r="Q44" s="1389">
        <f t="shared" si="79"/>
        <v>20.815947690217392</v>
      </c>
      <c r="R44" s="1389">
        <f t="shared" si="79"/>
        <v>22.887461865942033</v>
      </c>
      <c r="S44" s="1120">
        <f t="shared" si="71"/>
        <v>23.199066475442827</v>
      </c>
      <c r="T44" s="1121">
        <f t="shared" si="71"/>
        <v>26.300711996337007</v>
      </c>
      <c r="U44" s="1121">
        <f t="shared" si="71"/>
        <v>25.430877490942027</v>
      </c>
      <c r="V44" s="1122">
        <f t="shared" si="71"/>
        <v>26.785470153985496</v>
      </c>
      <c r="W44" s="1121">
        <f t="shared" si="71"/>
        <v>32.004984551127215</v>
      </c>
      <c r="X44" s="1121">
        <f t="shared" si="71"/>
        <v>31.26213713369965</v>
      </c>
      <c r="Y44" s="1121">
        <f t="shared" si="71"/>
        <v>28.32578691123188</v>
      </c>
      <c r="Z44" s="1122">
        <f t="shared" si="71"/>
        <v>25.307324320652167</v>
      </c>
      <c r="AA44" s="1121">
        <f t="shared" si="71"/>
        <v>22.17571215780999</v>
      </c>
      <c r="AB44" s="1121">
        <f t="shared" si="71"/>
        <v>19.319275412087915</v>
      </c>
      <c r="AC44" s="1121">
        <f t="shared" si="71"/>
        <v>19.897398097826084</v>
      </c>
      <c r="AD44" s="1122">
        <f t="shared" si="71"/>
        <v>15.149004076086959</v>
      </c>
      <c r="AE44" s="1121">
        <f t="shared" si="71"/>
        <v>13.804743092052874</v>
      </c>
      <c r="AF44" s="1121">
        <f t="shared" si="71"/>
        <v>14.6552048992674</v>
      </c>
      <c r="AG44" s="1121">
        <f t="shared" si="71"/>
        <v>20.848108016304352</v>
      </c>
      <c r="AH44" s="1122">
        <f t="shared" si="71"/>
        <v>18.255682925724642</v>
      </c>
      <c r="AI44" s="1121">
        <f t="shared" si="56"/>
        <v>17.694403532608696</v>
      </c>
      <c r="AJ44" s="1121">
        <f t="shared" si="56"/>
        <v>19.575868818681322</v>
      </c>
      <c r="AK44" s="1121">
        <f t="shared" si="56"/>
        <v>21.74405457427536</v>
      </c>
      <c r="AL44" s="1122">
        <f t="shared" si="56"/>
        <v>18.065305072463772</v>
      </c>
      <c r="AM44" s="1121">
        <f t="shared" si="56"/>
        <v>19.286005585748793</v>
      </c>
      <c r="AN44" s="1121">
        <f t="shared" si="56"/>
        <v>20.677206666666667</v>
      </c>
      <c r="AO44" s="1121">
        <f t="shared" si="56"/>
        <v>28.640856666666668</v>
      </c>
      <c r="AP44" s="1122">
        <f t="shared" si="56"/>
        <v>19.388083333333331</v>
      </c>
      <c r="AQ44" s="1121">
        <f t="shared" si="56"/>
        <v>20.204147210285914</v>
      </c>
      <c r="AR44" s="1121">
        <f t="shared" si="56"/>
        <v>17.911730019517361</v>
      </c>
      <c r="AS44" s="1121">
        <f t="shared" si="56"/>
        <v>23.181362548745142</v>
      </c>
      <c r="AT44" s="1122">
        <f t="shared" si="56"/>
        <v>18.447223554651586</v>
      </c>
      <c r="AU44" s="1121">
        <f t="shared" si="54"/>
        <v>20.13301243857838</v>
      </c>
      <c r="AV44" s="1121">
        <f t="shared" si="54"/>
        <v>17.848666391413492</v>
      </c>
      <c r="AW44" s="1121">
        <f t="shared" si="54"/>
        <v>23.099745595769516</v>
      </c>
      <c r="AX44" s="1122">
        <f t="shared" si="54"/>
        <v>18.382274560638621</v>
      </c>
      <c r="AY44" s="1121">
        <f t="shared" si="51"/>
        <v>19.630903760724049</v>
      </c>
      <c r="AZ44" s="1121">
        <f t="shared" si="51"/>
        <v>17.403528322254854</v>
      </c>
      <c r="BA44" s="1121">
        <f t="shared" si="51"/>
        <v>22.523647867958136</v>
      </c>
      <c r="BB44" s="1122">
        <f t="shared" si="51"/>
        <v>17.923828533062963</v>
      </c>
      <c r="BC44" s="1123"/>
      <c r="BD44" s="1123"/>
      <c r="BE44" s="1254">
        <f t="shared" si="57"/>
        <v>30.24351004595621</v>
      </c>
      <c r="BF44" s="1254">
        <f t="shared" si="58"/>
        <v>28.248617572560544</v>
      </c>
      <c r="BG44" s="1254">
        <f t="shared" si="59"/>
        <v>20.095867394414917</v>
      </c>
      <c r="BH44" s="1254">
        <f t="shared" si="60"/>
        <v>25.429031529176839</v>
      </c>
      <c r="BI44" s="1254">
        <f t="shared" si="61"/>
        <v>29.22505822917773</v>
      </c>
      <c r="BJ44" s="1254">
        <f t="shared" si="62"/>
        <v>19.135347435952735</v>
      </c>
      <c r="BK44" s="1260">
        <f t="shared" si="63"/>
        <v>16.890934733337318</v>
      </c>
      <c r="BL44" s="1260">
        <f t="shared" si="64"/>
        <v>19.269907999507289</v>
      </c>
      <c r="BM44" s="1260">
        <f t="shared" si="65"/>
        <v>21.998038063103863</v>
      </c>
      <c r="BN44" s="1260">
        <f t="shared" si="66"/>
        <v>19.936115833300001</v>
      </c>
      <c r="BO44" s="1260">
        <f t="shared" si="67"/>
        <v>19.865924746600001</v>
      </c>
      <c r="BP44" s="1260">
        <f t="shared" si="68"/>
        <v>19.370477121</v>
      </c>
      <c r="BQ44" s="1114"/>
      <c r="BR44" s="1143"/>
      <c r="BS44" s="1144"/>
      <c r="BU44" s="1087"/>
      <c r="BV44" s="1137" t="s">
        <v>703</v>
      </c>
      <c r="BW44" s="1271"/>
      <c r="BX44" s="1271">
        <f>+BP226</f>
        <v>14645.816247987277</v>
      </c>
      <c r="BZ44" s="1511"/>
      <c r="CA44" s="1512" t="s">
        <v>958</v>
      </c>
      <c r="CB44" s="1511"/>
      <c r="CC44" s="1511"/>
      <c r="CD44" s="1511"/>
      <c r="CE44" s="1513"/>
      <c r="CF44" s="1513"/>
      <c r="CG44" s="1513"/>
      <c r="CH44" s="1513"/>
      <c r="CI44" s="1511"/>
      <c r="CJ44" s="1511"/>
      <c r="CK44" s="1511"/>
      <c r="CL44" s="1511"/>
      <c r="CM44" s="1511"/>
      <c r="CN44" s="1511"/>
      <c r="CO44" s="1511"/>
      <c r="CP44" s="1511"/>
      <c r="CQ44" s="1511"/>
      <c r="CR44" s="1511"/>
      <c r="CS44" s="1511"/>
      <c r="CT44" s="1511"/>
      <c r="CU44"/>
      <c r="CV44"/>
      <c r="CW44"/>
      <c r="CX44"/>
      <c r="CY44"/>
      <c r="CZ44"/>
    </row>
    <row r="45" spans="1:104" ht="12.75" customHeight="1">
      <c r="A45" s="1088"/>
      <c r="B45" s="1089"/>
      <c r="C45" s="1370" t="s">
        <v>519</v>
      </c>
      <c r="D45" s="1370"/>
      <c r="E45" s="1370"/>
      <c r="F45" s="1136"/>
      <c r="G45" s="1388">
        <f t="shared" ref="G45:R45" si="80">IF(ISBLANK(G188),"",G188)</f>
        <v>35.000784722222228</v>
      </c>
      <c r="H45" s="1389">
        <f t="shared" si="80"/>
        <v>28.382862866300375</v>
      </c>
      <c r="I45" s="1389">
        <f t="shared" si="80"/>
        <v>31.812933650362325</v>
      </c>
      <c r="J45" s="1390">
        <f t="shared" si="80"/>
        <v>25.415262409420293</v>
      </c>
      <c r="K45" s="1388">
        <f t="shared" si="80"/>
        <v>29.8071865942029</v>
      </c>
      <c r="L45" s="1389">
        <f t="shared" si="80"/>
        <v>27.334835164835152</v>
      </c>
      <c r="M45" s="1389">
        <f t="shared" si="80"/>
        <v>31.034110054347821</v>
      </c>
      <c r="N45" s="1390">
        <f t="shared" si="80"/>
        <v>23.925171286231883</v>
      </c>
      <c r="O45" s="1388">
        <f t="shared" si="80"/>
        <v>19.365880564182188</v>
      </c>
      <c r="P45" s="1389">
        <f t="shared" si="80"/>
        <v>16.926233974358968</v>
      </c>
      <c r="Q45" s="1389">
        <f t="shared" si="80"/>
        <v>21.107855525362321</v>
      </c>
      <c r="R45" s="1389">
        <f t="shared" si="80"/>
        <v>22.343847056159426</v>
      </c>
      <c r="S45" s="1120">
        <f t="shared" si="71"/>
        <v>23.143879981884069</v>
      </c>
      <c r="T45" s="1121">
        <f t="shared" si="71"/>
        <v>26.316911630036625</v>
      </c>
      <c r="U45" s="1121">
        <f t="shared" si="71"/>
        <v>25.562675498188408</v>
      </c>
      <c r="V45" s="1122">
        <f t="shared" si="71"/>
        <v>26.801473958333329</v>
      </c>
      <c r="W45" s="1121">
        <f t="shared" si="71"/>
        <v>31.796791113123987</v>
      </c>
      <c r="X45" s="1121">
        <f t="shared" si="71"/>
        <v>30.898569139194134</v>
      </c>
      <c r="Y45" s="1121">
        <f t="shared" si="71"/>
        <v>28.542640398550727</v>
      </c>
      <c r="Z45" s="1122">
        <f t="shared" si="71"/>
        <v>25.265815081521733</v>
      </c>
      <c r="AA45" s="1121">
        <f t="shared" si="71"/>
        <v>22.23049803743962</v>
      </c>
      <c r="AB45" s="1121">
        <f t="shared" si="71"/>
        <v>20.495057234432235</v>
      </c>
      <c r="AC45" s="1121">
        <f t="shared" si="71"/>
        <v>20.106205842391308</v>
      </c>
      <c r="AD45" s="1122">
        <f t="shared" si="71"/>
        <v>15.567165081521738</v>
      </c>
      <c r="AE45" s="1121">
        <f t="shared" si="71"/>
        <v>13.567103589345434</v>
      </c>
      <c r="AF45" s="1121">
        <f t="shared" si="71"/>
        <v>14.551979166666674</v>
      </c>
      <c r="AG45" s="1121">
        <f t="shared" si="71"/>
        <v>21.434193840579709</v>
      </c>
      <c r="AH45" s="1122">
        <f t="shared" si="71"/>
        <v>18.581885235507244</v>
      </c>
      <c r="AI45" s="1121">
        <f t="shared" si="56"/>
        <v>17.745814764492753</v>
      </c>
      <c r="AJ45" s="1121">
        <f t="shared" si="56"/>
        <v>21.731801739926734</v>
      </c>
      <c r="AK45" s="1121">
        <f t="shared" si="56"/>
        <v>23.207665307971009</v>
      </c>
      <c r="AL45" s="1122">
        <f t="shared" si="56"/>
        <v>19.342823505434787</v>
      </c>
      <c r="AM45" s="1121">
        <f t="shared" si="56"/>
        <v>19.624934933574881</v>
      </c>
      <c r="AN45" s="1121">
        <f t="shared" si="56"/>
        <v>22.243873333333337</v>
      </c>
      <c r="AO45" s="1121">
        <f t="shared" si="56"/>
        <v>29.724189999999997</v>
      </c>
      <c r="AP45" s="1122">
        <f t="shared" si="56"/>
        <v>20.288083333333333</v>
      </c>
      <c r="AQ45" s="1121">
        <f t="shared" si="56"/>
        <v>21.213743053469752</v>
      </c>
      <c r="AR45" s="1121">
        <f t="shared" si="56"/>
        <v>19.267514968052225</v>
      </c>
      <c r="AS45" s="1121">
        <f t="shared" si="56"/>
        <v>24.088177775796659</v>
      </c>
      <c r="AT45" s="1122">
        <f t="shared" si="56"/>
        <v>19.651694202681362</v>
      </c>
      <c r="AU45" s="1121">
        <f t="shared" si="54"/>
        <v>21.193400009991446</v>
      </c>
      <c r="AV45" s="1121">
        <f t="shared" si="54"/>
        <v>19.249038271425608</v>
      </c>
      <c r="AW45" s="1121">
        <f t="shared" si="54"/>
        <v>24.065078276261332</v>
      </c>
      <c r="AX45" s="1122">
        <f t="shared" si="54"/>
        <v>19.632849095121614</v>
      </c>
      <c r="AY45" s="1121">
        <f t="shared" si="51"/>
        <v>20.81512679245602</v>
      </c>
      <c r="AZ45" s="1121">
        <f t="shared" si="51"/>
        <v>18.905469252865018</v>
      </c>
      <c r="BA45" s="1121">
        <f t="shared" si="51"/>
        <v>23.635549527428598</v>
      </c>
      <c r="BB45" s="1122">
        <f t="shared" si="51"/>
        <v>19.282429578050358</v>
      </c>
      <c r="BC45" s="1123"/>
      <c r="BD45" s="1123"/>
      <c r="BE45" s="1254">
        <f t="shared" si="57"/>
        <v>30.152960912076306</v>
      </c>
      <c r="BF45" s="1254">
        <f t="shared" si="58"/>
        <v>28.025325774904438</v>
      </c>
      <c r="BG45" s="1254">
        <f t="shared" si="59"/>
        <v>19.935954280015729</v>
      </c>
      <c r="BH45" s="1254">
        <f t="shared" si="60"/>
        <v>25.45623526711061</v>
      </c>
      <c r="BI45" s="1254">
        <f t="shared" si="61"/>
        <v>29.125953933097648</v>
      </c>
      <c r="BJ45" s="1254">
        <f t="shared" si="62"/>
        <v>19.599731548946224</v>
      </c>
      <c r="BK45" s="1260">
        <f t="shared" si="63"/>
        <v>17.033790458024765</v>
      </c>
      <c r="BL45" s="1260">
        <f t="shared" si="64"/>
        <v>20.507026329456323</v>
      </c>
      <c r="BM45" s="1260">
        <f t="shared" si="65"/>
        <v>22.970270400060386</v>
      </c>
      <c r="BN45" s="1260">
        <f t="shared" si="66"/>
        <v>21.055282500000004</v>
      </c>
      <c r="BO45" s="1260">
        <f t="shared" si="67"/>
        <v>21.0350914132</v>
      </c>
      <c r="BP45" s="1260">
        <f t="shared" si="68"/>
        <v>20.659643787699999</v>
      </c>
      <c r="BQ45" s="1114"/>
      <c r="BR45" s="1143"/>
      <c r="BS45" s="1144"/>
      <c r="BU45" s="1087"/>
      <c r="BV45" s="1137" t="s">
        <v>532</v>
      </c>
      <c r="BW45" s="1271"/>
      <c r="BX45" s="1271">
        <f>+BP227</f>
        <v>12041.10747540348</v>
      </c>
      <c r="BZ45" s="1511">
        <v>1</v>
      </c>
      <c r="CA45" s="1511" t="s">
        <v>959</v>
      </c>
      <c r="CB45" s="1401">
        <f t="shared" ref="CB45:CI45" si="81">CC45-0.25</f>
        <v>0</v>
      </c>
      <c r="CC45" s="1401">
        <f t="shared" si="81"/>
        <v>0.25</v>
      </c>
      <c r="CD45" s="1401">
        <f t="shared" si="81"/>
        <v>0.5</v>
      </c>
      <c r="CE45" s="1401">
        <f t="shared" si="81"/>
        <v>0.75</v>
      </c>
      <c r="CF45" s="1401">
        <f t="shared" si="81"/>
        <v>1</v>
      </c>
      <c r="CG45" s="1401">
        <f t="shared" si="81"/>
        <v>1.25</v>
      </c>
      <c r="CH45" s="1401">
        <f t="shared" si="81"/>
        <v>1.5</v>
      </c>
      <c r="CI45" s="1401">
        <f t="shared" si="81"/>
        <v>1.75</v>
      </c>
      <c r="CJ45" s="1401">
        <v>2</v>
      </c>
      <c r="CK45" s="1401">
        <f t="shared" ref="CK45:CZ45" si="82">CJ45+0.25</f>
        <v>2.25</v>
      </c>
      <c r="CL45" s="1401">
        <f t="shared" si="82"/>
        <v>2.5</v>
      </c>
      <c r="CM45" s="1401">
        <f t="shared" si="82"/>
        <v>2.75</v>
      </c>
      <c r="CN45" s="1401">
        <f t="shared" si="82"/>
        <v>3</v>
      </c>
      <c r="CO45" s="1401">
        <f t="shared" si="82"/>
        <v>3.25</v>
      </c>
      <c r="CP45" s="1401">
        <f t="shared" si="82"/>
        <v>3.5</v>
      </c>
      <c r="CQ45" s="1401">
        <f t="shared" si="82"/>
        <v>3.75</v>
      </c>
      <c r="CR45" s="1401">
        <f t="shared" si="82"/>
        <v>4</v>
      </c>
      <c r="CS45" s="1401">
        <f t="shared" si="82"/>
        <v>4.25</v>
      </c>
      <c r="CT45" s="1401">
        <f t="shared" si="82"/>
        <v>4.5</v>
      </c>
      <c r="CU45" s="1401">
        <f t="shared" si="82"/>
        <v>4.75</v>
      </c>
      <c r="CV45" s="1401">
        <f t="shared" si="82"/>
        <v>5</v>
      </c>
      <c r="CW45" s="1401">
        <f t="shared" si="82"/>
        <v>5.25</v>
      </c>
      <c r="CX45" s="1401">
        <f t="shared" si="82"/>
        <v>5.5</v>
      </c>
      <c r="CY45" s="1401">
        <f t="shared" si="82"/>
        <v>5.75</v>
      </c>
      <c r="CZ45" s="1401">
        <f t="shared" si="82"/>
        <v>6</v>
      </c>
    </row>
    <row r="46" spans="1:104" ht="12.75" customHeight="1">
      <c r="A46" s="1088"/>
      <c r="B46" s="1089"/>
      <c r="C46" s="1370" t="s">
        <v>551</v>
      </c>
      <c r="D46" s="1370"/>
      <c r="E46" s="1370"/>
      <c r="F46" s="1136"/>
      <c r="G46" s="1388">
        <f t="shared" ref="G46:R46" si="83">IF(ISBLANK(G189),"",G189)</f>
        <v>33.530322580645155</v>
      </c>
      <c r="H46" s="1389">
        <f t="shared" si="83"/>
        <v>26.094333333333331</v>
      </c>
      <c r="I46" s="1389">
        <f t="shared" si="83"/>
        <v>27.91</v>
      </c>
      <c r="J46" s="1390">
        <f t="shared" si="83"/>
        <v>25.807647058823527</v>
      </c>
      <c r="K46" s="1388">
        <f t="shared" si="83"/>
        <v>20.458235294117642</v>
      </c>
      <c r="L46" s="1389">
        <f t="shared" si="83"/>
        <v>15.988181818181818</v>
      </c>
      <c r="M46" s="1389">
        <f t="shared" si="83"/>
        <v>24.526097560975611</v>
      </c>
      <c r="N46" s="1390">
        <f t="shared" si="83"/>
        <v>24.08657894736842</v>
      </c>
      <c r="O46" s="1388">
        <f t="shared" si="83"/>
        <v>19.836734693877553</v>
      </c>
      <c r="P46" s="1389">
        <f t="shared" si="83"/>
        <v>16.344545454545454</v>
      </c>
      <c r="Q46" s="1389">
        <f t="shared" si="83"/>
        <v>20.018333333333338</v>
      </c>
      <c r="R46" s="1389">
        <f t="shared" si="83"/>
        <v>25.022727272727277</v>
      </c>
      <c r="S46" s="1120">
        <f t="shared" si="71"/>
        <v>27.013333333333335</v>
      </c>
      <c r="T46" s="1121">
        <f t="shared" si="71"/>
        <v>26.58642857142857</v>
      </c>
      <c r="U46" s="1121">
        <f t="shared" si="71"/>
        <v>24.336666666666662</v>
      </c>
      <c r="V46" s="1122">
        <f t="shared" si="71"/>
        <v>29.902142857142856</v>
      </c>
      <c r="W46" s="1121">
        <f t="shared" si="71"/>
        <v>37.216206896551725</v>
      </c>
      <c r="X46" s="1121">
        <f t="shared" si="71"/>
        <v>31.198387096774194</v>
      </c>
      <c r="Y46" s="1121">
        <f t="shared" si="71"/>
        <v>31.499310344827585</v>
      </c>
      <c r="Z46" s="1122">
        <f t="shared" si="71"/>
        <v>26.848387096774196</v>
      </c>
      <c r="AA46" s="1121">
        <f t="shared" si="71"/>
        <v>21.951388888888893</v>
      </c>
      <c r="AB46" s="1121">
        <f t="shared" si="71"/>
        <v>21.208409090909093</v>
      </c>
      <c r="AC46" s="1121">
        <f t="shared" si="71"/>
        <v>23.832173913043476</v>
      </c>
      <c r="AD46" s="1122">
        <f t="shared" si="71"/>
        <v>19.805555555555557</v>
      </c>
      <c r="AE46" s="1121">
        <f t="shared" si="71"/>
        <v>16.825681818181817</v>
      </c>
      <c r="AF46" s="1121">
        <f t="shared" si="71"/>
        <v>16.068333333333332</v>
      </c>
      <c r="AG46" s="1121">
        <f t="shared" si="71"/>
        <v>22.099565217391302</v>
      </c>
      <c r="AH46" s="1122">
        <f t="shared" si="71"/>
        <v>21.735135135135135</v>
      </c>
      <c r="AI46" s="1121">
        <f t="shared" si="56"/>
        <v>20.877073170731702</v>
      </c>
      <c r="AJ46" s="1121">
        <f t="shared" si="56"/>
        <v>21.894222222222222</v>
      </c>
      <c r="AK46" s="1121">
        <f t="shared" si="56"/>
        <v>23.702653061224492</v>
      </c>
      <c r="AL46" s="1122">
        <f t="shared" si="56"/>
        <v>23.66375</v>
      </c>
      <c r="AM46" s="1121">
        <f t="shared" si="56"/>
        <v>23.66375</v>
      </c>
      <c r="AN46" s="1121">
        <f t="shared" si="56"/>
        <v>21.866666666666664</v>
      </c>
      <c r="AO46" s="1121">
        <f t="shared" si="56"/>
        <v>25.5</v>
      </c>
      <c r="AP46" s="1122">
        <f t="shared" si="56"/>
        <v>21.55</v>
      </c>
      <c r="AQ46" s="1121">
        <f t="shared" si="56"/>
        <v>24.836427915484958</v>
      </c>
      <c r="AR46" s="1121">
        <f t="shared" si="56"/>
        <v>21.765546372753509</v>
      </c>
      <c r="AS46" s="1121">
        <f t="shared" si="56"/>
        <v>25.429054178110412</v>
      </c>
      <c r="AT46" s="1122">
        <f t="shared" si="56"/>
        <v>25.75230486685113</v>
      </c>
      <c r="AU46" s="1121">
        <f t="shared" si="54"/>
        <v>28.091790633507216</v>
      </c>
      <c r="AV46" s="1121">
        <f t="shared" si="54"/>
        <v>24.61840220372709</v>
      </c>
      <c r="AW46" s="1121">
        <f t="shared" si="54"/>
        <v>28.762093663807821</v>
      </c>
      <c r="AX46" s="1122">
        <f t="shared" si="54"/>
        <v>29.127713498557874</v>
      </c>
      <c r="AY46" s="1121">
        <f t="shared" si="51"/>
        <v>30.585169880556695</v>
      </c>
      <c r="AZ46" s="1121">
        <f t="shared" si="51"/>
        <v>26.803489439749491</v>
      </c>
      <c r="BA46" s="1121">
        <f t="shared" si="51"/>
        <v>31.314967860353057</v>
      </c>
      <c r="BB46" s="1122">
        <f t="shared" si="51"/>
        <v>31.713039485740765</v>
      </c>
      <c r="BC46" s="1123"/>
      <c r="BD46" s="1123"/>
      <c r="BE46" s="1254">
        <f t="shared" si="57"/>
        <v>28.335575743200501</v>
      </c>
      <c r="BF46" s="1254">
        <f t="shared" si="58"/>
        <v>21.264773405160874</v>
      </c>
      <c r="BG46" s="1254">
        <f t="shared" si="59"/>
        <v>20.305585188620906</v>
      </c>
      <c r="BH46" s="1254">
        <f t="shared" si="60"/>
        <v>26.959642857142853</v>
      </c>
      <c r="BI46" s="1254">
        <f t="shared" si="61"/>
        <v>31.690572858731926</v>
      </c>
      <c r="BJ46" s="1254">
        <f t="shared" si="62"/>
        <v>21.699381862099255</v>
      </c>
      <c r="BK46" s="1260">
        <f t="shared" si="63"/>
        <v>19.182178876010397</v>
      </c>
      <c r="BL46" s="1260">
        <f t="shared" si="64"/>
        <v>22.534424613544601</v>
      </c>
      <c r="BM46" s="1260">
        <f t="shared" si="65"/>
        <v>23.145104166666666</v>
      </c>
      <c r="BN46" s="1260">
        <f t="shared" si="66"/>
        <v>24.445833333300005</v>
      </c>
      <c r="BO46" s="1260">
        <f t="shared" si="67"/>
        <v>27.649999999899997</v>
      </c>
      <c r="BP46" s="1260">
        <f t="shared" si="68"/>
        <v>30.104166666600005</v>
      </c>
      <c r="BQ46" s="1114"/>
      <c r="BR46" s="1143"/>
      <c r="BS46" s="1144"/>
      <c r="BU46" s="1087"/>
      <c r="BV46" s="1137" t="s">
        <v>281</v>
      </c>
      <c r="BW46" s="1271"/>
      <c r="BX46" s="1271">
        <f>+BP228</f>
        <v>11910.971532855161</v>
      </c>
      <c r="BZ46" s="1511">
        <v>2</v>
      </c>
      <c r="CA46" s="1514" t="s">
        <v>512</v>
      </c>
      <c r="CB46" s="1515">
        <v>0.3</v>
      </c>
      <c r="CC46" s="1515">
        <v>0.3</v>
      </c>
      <c r="CD46" s="1515">
        <v>0.3</v>
      </c>
      <c r="CE46" s="1515">
        <v>0.35</v>
      </c>
      <c r="CF46" s="1515">
        <v>0.35</v>
      </c>
      <c r="CG46" s="1515">
        <v>0.35</v>
      </c>
      <c r="CH46" s="1515">
        <v>0.4</v>
      </c>
      <c r="CI46" s="1515">
        <v>0.4</v>
      </c>
      <c r="CJ46" s="1515">
        <v>0.4</v>
      </c>
      <c r="CK46" s="1515">
        <v>0.45</v>
      </c>
      <c r="CL46" s="1515">
        <v>0.45</v>
      </c>
      <c r="CM46" s="1515">
        <v>0.5</v>
      </c>
      <c r="CN46" s="1515">
        <v>0.5</v>
      </c>
      <c r="CO46" s="1515">
        <v>0.5</v>
      </c>
      <c r="CP46" s="1515">
        <v>0.55000000000000004</v>
      </c>
      <c r="CQ46" s="1515">
        <v>0.6</v>
      </c>
      <c r="CR46" s="1515">
        <v>0.65</v>
      </c>
      <c r="CS46" s="1515">
        <v>0.65</v>
      </c>
      <c r="CT46" s="1515">
        <v>0.65</v>
      </c>
      <c r="CU46" s="1515">
        <v>0.65</v>
      </c>
      <c r="CV46" s="1515">
        <v>0.65</v>
      </c>
      <c r="CW46" s="1515">
        <v>0.65</v>
      </c>
      <c r="CX46" s="1515">
        <v>0.65</v>
      </c>
      <c r="CY46" s="1515">
        <v>0.65</v>
      </c>
      <c r="CZ46" s="1515">
        <v>0.65</v>
      </c>
    </row>
    <row r="47" spans="1:104" ht="12.75" customHeight="1">
      <c r="A47" s="1088"/>
      <c r="B47" s="1089"/>
      <c r="C47" s="1370" t="s">
        <v>552</v>
      </c>
      <c r="D47" s="1370"/>
      <c r="E47" s="1370"/>
      <c r="F47" s="1136"/>
      <c r="G47" s="1388">
        <f t="shared" ref="G47:R47" si="84">IF(ISBLANK(G190),"",G190)</f>
        <v>39.792162207161546</v>
      </c>
      <c r="H47" s="1389">
        <f t="shared" si="84"/>
        <v>18.396992540064101</v>
      </c>
      <c r="I47" s="1389">
        <f t="shared" si="84"/>
        <v>24.471085883152178</v>
      </c>
      <c r="J47" s="1390">
        <f t="shared" si="84"/>
        <v>26.837953423097826</v>
      </c>
      <c r="K47" s="1388">
        <f t="shared" si="84"/>
        <v>18.974865649255229</v>
      </c>
      <c r="L47" s="1389">
        <f t="shared" si="84"/>
        <v>10.592114644001832</v>
      </c>
      <c r="M47" s="1389">
        <f t="shared" si="84"/>
        <v>23.428638822463746</v>
      </c>
      <c r="N47" s="1390">
        <f t="shared" si="84"/>
        <v>24.040611232563403</v>
      </c>
      <c r="O47" s="1388">
        <f t="shared" si="84"/>
        <v>19.574844206780533</v>
      </c>
      <c r="P47" s="1389">
        <f t="shared" si="84"/>
        <v>14.132461858974361</v>
      </c>
      <c r="Q47" s="1389">
        <f t="shared" si="84"/>
        <v>19.690949210824268</v>
      </c>
      <c r="R47" s="1389">
        <f t="shared" si="84"/>
        <v>27.320213811911241</v>
      </c>
      <c r="S47" s="1120">
        <f t="shared" si="71"/>
        <v>34.906394377365146</v>
      </c>
      <c r="T47" s="1121">
        <f t="shared" si="71"/>
        <v>29.51015124084249</v>
      </c>
      <c r="U47" s="1121">
        <f t="shared" si="71"/>
        <v>32.575099427083344</v>
      </c>
      <c r="V47" s="1122">
        <f t="shared" si="71"/>
        <v>37.361519796557985</v>
      </c>
      <c r="W47" s="1121">
        <f t="shared" si="71"/>
        <v>42.627117423409828</v>
      </c>
      <c r="X47" s="1121">
        <f t="shared" si="71"/>
        <v>21.235009505690744</v>
      </c>
      <c r="Y47" s="1121">
        <f t="shared" si="71"/>
        <v>33.125406867559512</v>
      </c>
      <c r="Z47" s="1122">
        <f t="shared" si="71"/>
        <v>32.544144284297367</v>
      </c>
      <c r="AA47" s="1121">
        <f t="shared" si="71"/>
        <v>24.552941132037905</v>
      </c>
      <c r="AB47" s="1121">
        <f t="shared" si="71"/>
        <v>25.405648776654878</v>
      </c>
      <c r="AC47" s="1121">
        <f t="shared" si="71"/>
        <v>28.41391110280798</v>
      </c>
      <c r="AD47" s="1122">
        <f t="shared" si="71"/>
        <v>25.53134713495729</v>
      </c>
      <c r="AE47" s="1121">
        <f t="shared" si="71"/>
        <v>20.780798292565343</v>
      </c>
      <c r="AF47" s="1121">
        <f t="shared" si="71"/>
        <v>18.439791219093404</v>
      </c>
      <c r="AG47" s="1121">
        <f t="shared" si="71"/>
        <v>27.717085095270448</v>
      </c>
      <c r="AH47" s="1122">
        <f t="shared" si="71"/>
        <v>27.225998677746944</v>
      </c>
      <c r="AI47" s="1121">
        <f t="shared" si="56"/>
        <v>23.502615202110384</v>
      </c>
      <c r="AJ47" s="1121">
        <f t="shared" si="56"/>
        <v>22.058978634484564</v>
      </c>
      <c r="AK47" s="1121">
        <f t="shared" si="56"/>
        <v>29.16276689554218</v>
      </c>
      <c r="AL47" s="1122">
        <f t="shared" si="56"/>
        <v>31.166413735261386</v>
      </c>
      <c r="AM47" s="1121">
        <f t="shared" si="56"/>
        <v>27.79077055530394</v>
      </c>
      <c r="AN47" s="1121">
        <f t="shared" si="56"/>
        <v>23.866666666666671</v>
      </c>
      <c r="AO47" s="1121">
        <f t="shared" si="56"/>
        <v>32.4</v>
      </c>
      <c r="AP47" s="1122">
        <f t="shared" si="56"/>
        <v>31.849999999999998</v>
      </c>
      <c r="AQ47" s="1121">
        <f t="shared" si="56"/>
        <v>32.001911923859012</v>
      </c>
      <c r="AR47" s="1121">
        <f t="shared" si="56"/>
        <v>23.464576991634761</v>
      </c>
      <c r="AS47" s="1121">
        <f t="shared" si="56"/>
        <v>31.792406772147991</v>
      </c>
      <c r="AT47" s="1122">
        <f t="shared" si="56"/>
        <v>34.124437645558224</v>
      </c>
      <c r="AU47" s="1121">
        <f t="shared" si="54"/>
        <v>35.011840479141661</v>
      </c>
      <c r="AV47" s="1121">
        <f t="shared" si="54"/>
        <v>25.671529516621057</v>
      </c>
      <c r="AW47" s="1121">
        <f t="shared" si="54"/>
        <v>34.782630394171832</v>
      </c>
      <c r="AX47" s="1122">
        <f t="shared" si="54"/>
        <v>37.333999610065447</v>
      </c>
      <c r="AY47" s="1121">
        <f t="shared" si="54"/>
        <v>36.703552148808996</v>
      </c>
      <c r="AZ47" s="1121">
        <f t="shared" si="54"/>
        <v>26.911933490452423</v>
      </c>
      <c r="BA47" s="1121">
        <f t="shared" si="54"/>
        <v>36.46326702835853</v>
      </c>
      <c r="BB47" s="1122">
        <f t="shared" si="54"/>
        <v>39.137913998780029</v>
      </c>
      <c r="BC47" s="1123"/>
      <c r="BD47" s="1123"/>
      <c r="BE47" s="1254">
        <f t="shared" si="57"/>
        <v>27.374548513368911</v>
      </c>
      <c r="BF47" s="1254">
        <f t="shared" si="58"/>
        <v>19.259057587071052</v>
      </c>
      <c r="BG47" s="1254">
        <f t="shared" si="59"/>
        <v>20.179617272122602</v>
      </c>
      <c r="BH47" s="1254">
        <f t="shared" si="60"/>
        <v>33.588291210462245</v>
      </c>
      <c r="BI47" s="1254">
        <f t="shared" si="61"/>
        <v>32.382919520239362</v>
      </c>
      <c r="BJ47" s="1254">
        <f t="shared" si="62"/>
        <v>25.975962036614511</v>
      </c>
      <c r="BK47" s="1260">
        <f t="shared" si="63"/>
        <v>23.540918321169034</v>
      </c>
      <c r="BL47" s="1260">
        <f t="shared" si="64"/>
        <v>26.472693616849629</v>
      </c>
      <c r="BM47" s="1260">
        <f t="shared" si="65"/>
        <v>28.976859305492653</v>
      </c>
      <c r="BN47" s="1260">
        <f t="shared" si="66"/>
        <v>30.3458333333</v>
      </c>
      <c r="BO47" s="1260">
        <f t="shared" si="67"/>
        <v>33.200000000000003</v>
      </c>
      <c r="BP47" s="1260">
        <f t="shared" si="68"/>
        <v>34.804166666599997</v>
      </c>
      <c r="BQ47" s="1114"/>
      <c r="BR47" s="1143"/>
      <c r="BS47" s="1144"/>
      <c r="BU47" s="1087"/>
      <c r="BV47" s="1137" t="s">
        <v>549</v>
      </c>
      <c r="BW47" s="1271"/>
      <c r="BX47" s="1271">
        <f>+BP229</f>
        <v>10978.293662399825</v>
      </c>
      <c r="BZ47" s="1511">
        <v>3</v>
      </c>
      <c r="CA47" s="1514" t="s">
        <v>703</v>
      </c>
      <c r="CB47" s="1515">
        <v>0.35</v>
      </c>
      <c r="CC47" s="1515">
        <v>0.35</v>
      </c>
      <c r="CD47" s="1515">
        <v>0.35</v>
      </c>
      <c r="CE47" s="1515">
        <v>0.35</v>
      </c>
      <c r="CF47" s="1515">
        <v>0.4</v>
      </c>
      <c r="CG47" s="1515">
        <v>0.45</v>
      </c>
      <c r="CH47" s="1515">
        <v>0.5</v>
      </c>
      <c r="CI47" s="1515">
        <v>0.5</v>
      </c>
      <c r="CJ47" s="1515">
        <v>0.55000000000000004</v>
      </c>
      <c r="CK47" s="1515">
        <v>0.6</v>
      </c>
      <c r="CL47" s="1515">
        <v>0.65</v>
      </c>
      <c r="CM47" s="1515">
        <v>0.65</v>
      </c>
      <c r="CN47" s="1515">
        <v>0.7</v>
      </c>
      <c r="CO47" s="1515">
        <v>0.75</v>
      </c>
      <c r="CP47" s="1515">
        <v>0.75</v>
      </c>
      <c r="CQ47" s="1515">
        <v>0.75</v>
      </c>
      <c r="CR47" s="1515">
        <v>0.75</v>
      </c>
      <c r="CS47" s="1515">
        <v>0.75</v>
      </c>
      <c r="CT47" s="1515">
        <v>0.8</v>
      </c>
      <c r="CU47" s="1515">
        <v>0.8</v>
      </c>
      <c r="CV47" s="1515">
        <v>0.8</v>
      </c>
      <c r="CW47" s="1515">
        <v>0.8</v>
      </c>
      <c r="CX47" s="1515">
        <v>0.8</v>
      </c>
      <c r="CY47" s="1515">
        <v>0.8</v>
      </c>
      <c r="CZ47" s="1515">
        <v>0.8</v>
      </c>
    </row>
    <row r="48" spans="1:104" ht="12.75" customHeight="1">
      <c r="A48" s="1088"/>
      <c r="B48" s="1089"/>
      <c r="C48" s="1370" t="s">
        <v>553</v>
      </c>
      <c r="D48" s="1370"/>
      <c r="E48" s="1370"/>
      <c r="F48" s="1136"/>
      <c r="G48" s="1388">
        <f t="shared" ref="G48:R48" si="85">IF(ISBLANK(G191),"",G191)</f>
        <v>37.117594064527246</v>
      </c>
      <c r="H48" s="1389">
        <f t="shared" si="85"/>
        <v>19.113250432692308</v>
      </c>
      <c r="I48" s="1389">
        <f t="shared" si="85"/>
        <v>25.547545279664849</v>
      </c>
      <c r="J48" s="1390">
        <f t="shared" si="85"/>
        <v>27.749613651449284</v>
      </c>
      <c r="K48" s="1388">
        <f t="shared" si="85"/>
        <v>18.722317882447662</v>
      </c>
      <c r="L48" s="1389">
        <f t="shared" si="85"/>
        <v>9.3984892651098875</v>
      </c>
      <c r="M48" s="1389">
        <f t="shared" si="85"/>
        <v>23.640035421195652</v>
      </c>
      <c r="N48" s="1390">
        <f t="shared" si="85"/>
        <v>25.15623199827899</v>
      </c>
      <c r="O48" s="1388">
        <f t="shared" si="85"/>
        <v>20.248332309583525</v>
      </c>
      <c r="P48" s="1389">
        <f t="shared" si="85"/>
        <v>12.638521983745417</v>
      </c>
      <c r="Q48" s="1389">
        <f t="shared" si="85"/>
        <v>18.538177578124998</v>
      </c>
      <c r="R48" s="1389">
        <f t="shared" si="85"/>
        <v>27.611688596331518</v>
      </c>
      <c r="S48" s="1120">
        <f t="shared" si="71"/>
        <v>32.535625475191225</v>
      </c>
      <c r="T48" s="1121">
        <f t="shared" si="71"/>
        <v>29.389078711080582</v>
      </c>
      <c r="U48" s="1121">
        <f t="shared" si="71"/>
        <v>33.408651492300713</v>
      </c>
      <c r="V48" s="1122">
        <f t="shared" si="71"/>
        <v>39.111093514039872</v>
      </c>
      <c r="W48" s="1121">
        <f t="shared" si="71"/>
        <v>43.573062782256443</v>
      </c>
      <c r="X48" s="1121">
        <f t="shared" si="71"/>
        <v>25.133060753891947</v>
      </c>
      <c r="Y48" s="1121">
        <f t="shared" si="71"/>
        <v>33.672098231107654</v>
      </c>
      <c r="Z48" s="1122">
        <f t="shared" si="71"/>
        <v>32.79430912681805</v>
      </c>
      <c r="AA48" s="1121">
        <f t="shared" si="71"/>
        <v>25.992472138601332</v>
      </c>
      <c r="AB48" s="1121">
        <f t="shared" si="71"/>
        <v>27.16867147632129</v>
      </c>
      <c r="AC48" s="1121">
        <f t="shared" si="71"/>
        <v>27.614825502717384</v>
      </c>
      <c r="AD48" s="1122">
        <f t="shared" si="71"/>
        <v>26.110869571577393</v>
      </c>
      <c r="AE48" s="1121">
        <f t="shared" si="71"/>
        <v>20.11139374158903</v>
      </c>
      <c r="AF48" s="1121">
        <f t="shared" si="71"/>
        <v>21.2270874957483</v>
      </c>
      <c r="AG48" s="1121">
        <f t="shared" si="71"/>
        <v>29.189901377458604</v>
      </c>
      <c r="AH48" s="1122">
        <f t="shared" si="71"/>
        <v>28.44518337338728</v>
      </c>
      <c r="AI48" s="1121">
        <f t="shared" si="56"/>
        <v>24.123383839646465</v>
      </c>
      <c r="AJ48" s="1121">
        <f t="shared" si="56"/>
        <v>20.910626551641812</v>
      </c>
      <c r="AK48" s="1121">
        <f t="shared" si="56"/>
        <v>30.198757360248454</v>
      </c>
      <c r="AL48" s="1122">
        <f t="shared" si="56"/>
        <v>30.953927045121635</v>
      </c>
      <c r="AM48" s="1121">
        <f t="shared" si="56"/>
        <v>29.637675953200478</v>
      </c>
      <c r="AN48" s="1121">
        <f t="shared" si="56"/>
        <v>24.700000000000003</v>
      </c>
      <c r="AO48" s="1121">
        <f t="shared" si="56"/>
        <v>32.199999999999996</v>
      </c>
      <c r="AP48" s="1122">
        <f t="shared" si="56"/>
        <v>32.1</v>
      </c>
      <c r="AQ48" s="1121">
        <f t="shared" si="56"/>
        <v>32.382642291161041</v>
      </c>
      <c r="AR48" s="1121">
        <f t="shared" si="56"/>
        <v>24.129274044874869</v>
      </c>
      <c r="AS48" s="1121">
        <f t="shared" si="56"/>
        <v>32.172365393166494</v>
      </c>
      <c r="AT48" s="1122">
        <f t="shared" si="56"/>
        <v>36.099051603997601</v>
      </c>
      <c r="AU48" s="1121">
        <f t="shared" si="54"/>
        <v>35.345392387291405</v>
      </c>
      <c r="AV48" s="1121">
        <f t="shared" si="54"/>
        <v>26.336907639231747</v>
      </c>
      <c r="AW48" s="1121">
        <f t="shared" si="54"/>
        <v>35.115876852309</v>
      </c>
      <c r="AX48" s="1122">
        <f t="shared" si="54"/>
        <v>39.401823121167837</v>
      </c>
      <c r="AY48" s="1121">
        <f t="shared" si="54"/>
        <v>37.010587696706686</v>
      </c>
      <c r="AZ48" s="1121">
        <f t="shared" si="54"/>
        <v>27.577694403877224</v>
      </c>
      <c r="BA48" s="1121">
        <f t="shared" si="54"/>
        <v>36.770259205169637</v>
      </c>
      <c r="BB48" s="1122">
        <f t="shared" si="54"/>
        <v>41.258125360646446</v>
      </c>
      <c r="BC48" s="1123"/>
      <c r="BD48" s="1123"/>
      <c r="BE48" s="1254">
        <f t="shared" si="57"/>
        <v>27.382000857083419</v>
      </c>
      <c r="BF48" s="1254">
        <f t="shared" si="58"/>
        <v>19.229268641758047</v>
      </c>
      <c r="BG48" s="1254">
        <f t="shared" si="59"/>
        <v>19.759180116946364</v>
      </c>
      <c r="BH48" s="1254">
        <f t="shared" si="60"/>
        <v>33.611112298153103</v>
      </c>
      <c r="BI48" s="1254">
        <f t="shared" si="61"/>
        <v>33.793132723518525</v>
      </c>
      <c r="BJ48" s="1254">
        <f t="shared" si="62"/>
        <v>26.72170967230435</v>
      </c>
      <c r="BK48" s="1260">
        <f t="shared" si="63"/>
        <v>24.743391497045803</v>
      </c>
      <c r="BL48" s="1260">
        <f t="shared" si="64"/>
        <v>26.54667369916459</v>
      </c>
      <c r="BM48" s="1260">
        <f t="shared" si="65"/>
        <v>29.659418988300118</v>
      </c>
      <c r="BN48" s="1260">
        <f t="shared" si="66"/>
        <v>31.195833333300001</v>
      </c>
      <c r="BO48" s="1260">
        <f t="shared" si="67"/>
        <v>34.049999999999997</v>
      </c>
      <c r="BP48" s="1260">
        <f t="shared" si="68"/>
        <v>35.654166666599998</v>
      </c>
      <c r="BQ48" s="1114"/>
      <c r="BR48" s="1143"/>
      <c r="BS48" s="1144"/>
      <c r="BU48" s="1087"/>
      <c r="BV48" s="1086"/>
      <c r="BW48" s="1086"/>
      <c r="BZ48" s="1511">
        <v>4</v>
      </c>
      <c r="CA48" s="1514" t="s">
        <v>532</v>
      </c>
      <c r="CB48" s="1515">
        <v>0.2</v>
      </c>
      <c r="CC48" s="1515">
        <v>0.2</v>
      </c>
      <c r="CD48" s="1515">
        <v>0.2</v>
      </c>
      <c r="CE48" s="1515">
        <v>0.2</v>
      </c>
      <c r="CF48" s="1515">
        <v>0.2</v>
      </c>
      <c r="CG48" s="1515">
        <v>0.2</v>
      </c>
      <c r="CH48" s="1515">
        <v>0.2</v>
      </c>
      <c r="CI48" s="1515">
        <v>0.2</v>
      </c>
      <c r="CJ48" s="1515">
        <v>0.25</v>
      </c>
      <c r="CK48" s="1515">
        <v>0.25</v>
      </c>
      <c r="CL48" s="1515">
        <v>0.25</v>
      </c>
      <c r="CM48" s="1515">
        <v>0.35</v>
      </c>
      <c r="CN48" s="1515">
        <v>0.35</v>
      </c>
      <c r="CO48" s="1515">
        <v>0.4</v>
      </c>
      <c r="CP48" s="1515">
        <v>0.4</v>
      </c>
      <c r="CQ48" s="1515">
        <v>0.45</v>
      </c>
      <c r="CR48" s="1515">
        <v>0.45</v>
      </c>
      <c r="CS48" s="1515">
        <v>0.5</v>
      </c>
      <c r="CT48" s="1515">
        <v>0.5</v>
      </c>
      <c r="CU48" s="1515">
        <v>0.5</v>
      </c>
      <c r="CV48" s="1515">
        <v>0.5</v>
      </c>
      <c r="CW48" s="1515">
        <v>0.55000000000000004</v>
      </c>
      <c r="CX48" s="1515">
        <v>0.55000000000000004</v>
      </c>
      <c r="CY48" s="1515">
        <v>0.55000000000000004</v>
      </c>
      <c r="CZ48" s="1515">
        <v>0.55000000000000004</v>
      </c>
    </row>
    <row r="49" spans="1:104" ht="13.5" customHeight="1">
      <c r="A49" s="1088"/>
      <c r="B49" s="1089"/>
      <c r="C49" s="1370" t="s">
        <v>554</v>
      </c>
      <c r="D49" s="1370"/>
      <c r="E49" s="1370"/>
      <c r="F49" s="1136"/>
      <c r="G49" s="1394">
        <f t="shared" ref="G49:R49" si="86">IF(ISBLANK(G192),"",G192)</f>
        <v>37.893934426229499</v>
      </c>
      <c r="H49" s="1395">
        <f t="shared" si="86"/>
        <v>20.846551724137928</v>
      </c>
      <c r="I49" s="1395">
        <f t="shared" si="86"/>
        <v>25.973666666666677</v>
      </c>
      <c r="J49" s="1396">
        <f t="shared" si="86"/>
        <v>29.371206896551723</v>
      </c>
      <c r="K49" s="1394">
        <f t="shared" si="86"/>
        <v>16.248095238095239</v>
      </c>
      <c r="L49" s="1395">
        <f t="shared" si="86"/>
        <v>8.8706896551724146</v>
      </c>
      <c r="M49" s="1395">
        <f t="shared" si="86"/>
        <v>19.931132075471702</v>
      </c>
      <c r="N49" s="1396">
        <f t="shared" si="86"/>
        <v>27.305689655172419</v>
      </c>
      <c r="O49" s="1394">
        <f t="shared" si="86"/>
        <v>19.371833333333331</v>
      </c>
      <c r="P49" s="1395">
        <f t="shared" si="86"/>
        <v>7.370967741935433E-2</v>
      </c>
      <c r="Q49" s="1395">
        <f t="shared" si="86"/>
        <v>13.051400000000001</v>
      </c>
      <c r="R49" s="1395">
        <f t="shared" si="86"/>
        <v>25.025692307692317</v>
      </c>
      <c r="S49" s="1145">
        <f t="shared" si="71"/>
        <v>26.816410256410261</v>
      </c>
      <c r="T49" s="1146">
        <f t="shared" si="71"/>
        <v>17.528181818181817</v>
      </c>
      <c r="U49" s="1146">
        <f t="shared" si="71"/>
        <v>23.521739130434778</v>
      </c>
      <c r="V49" s="1147">
        <f t="shared" si="71"/>
        <v>37.909999999999997</v>
      </c>
      <c r="W49" s="1146">
        <f t="shared" si="71"/>
        <v>24.855277777777776</v>
      </c>
      <c r="X49" s="1146">
        <f t="shared" si="71"/>
        <v>13.964473684210526</v>
      </c>
      <c r="Y49" s="1146">
        <f t="shared" si="71"/>
        <v>27.640666666666668</v>
      </c>
      <c r="Z49" s="1147">
        <f t="shared" si="71"/>
        <v>27.14555555555555</v>
      </c>
      <c r="AA49" s="1146">
        <f t="shared" si="71"/>
        <v>15.056279069767442</v>
      </c>
      <c r="AB49" s="1146">
        <f t="shared" si="71"/>
        <v>22.67235294117647</v>
      </c>
      <c r="AC49" s="1146">
        <f t="shared" si="71"/>
        <v>22.541666666666668</v>
      </c>
      <c r="AD49" s="1147">
        <f t="shared" si="71"/>
        <v>19.292727272727276</v>
      </c>
      <c r="AE49" s="1146">
        <f t="shared" si="71"/>
        <v>14.811363636363636</v>
      </c>
      <c r="AF49" s="1146">
        <f t="shared" si="71"/>
        <v>10.678222222222219</v>
      </c>
      <c r="AG49" s="1146">
        <f t="shared" si="71"/>
        <v>23.4837037037037</v>
      </c>
      <c r="AH49" s="1147">
        <f t="shared" si="71"/>
        <v>18.550377358490564</v>
      </c>
      <c r="AI49" s="1146">
        <f t="shared" si="56"/>
        <v>17.034905660377362</v>
      </c>
      <c r="AJ49" s="1146">
        <f t="shared" si="56"/>
        <v>3.7259375000000001</v>
      </c>
      <c r="AK49" s="1146">
        <f t="shared" si="56"/>
        <v>23.68</v>
      </c>
      <c r="AL49" s="1147">
        <f t="shared" si="56"/>
        <v>22.81</v>
      </c>
      <c r="AM49" s="1146">
        <f t="shared" si="56"/>
        <v>17.439166666666669</v>
      </c>
      <c r="AN49" s="1146">
        <f t="shared" si="56"/>
        <v>5.3999999999999995</v>
      </c>
      <c r="AO49" s="1146">
        <f t="shared" si="56"/>
        <v>17.400000000000002</v>
      </c>
      <c r="AP49" s="1147">
        <f t="shared" si="56"/>
        <v>20.55</v>
      </c>
      <c r="AQ49" s="1146">
        <f t="shared" si="56"/>
        <v>24.123736367380481</v>
      </c>
      <c r="AR49" s="1146">
        <f t="shared" si="56"/>
        <v>9.8099081391649516</v>
      </c>
      <c r="AS49" s="1146">
        <f t="shared" si="56"/>
        <v>22.519600445252877</v>
      </c>
      <c r="AT49" s="1147">
        <f t="shared" si="56"/>
        <v>19.730088381401686</v>
      </c>
      <c r="AU49" s="1146">
        <f t="shared" si="56"/>
        <v>28.308843114166567</v>
      </c>
      <c r="AV49" s="1146">
        <f t="shared" si="56"/>
        <v>11.511780192205842</v>
      </c>
      <c r="AW49" s="1146">
        <f t="shared" si="56"/>
        <v>26.426413648774417</v>
      </c>
      <c r="AX49" s="1147">
        <f t="shared" si="56"/>
        <v>23.152963044853177</v>
      </c>
      <c r="AY49" s="1146">
        <f t="shared" ref="AY49:BB50" si="87">IF(ISBLANK(AY192),"",AY192)</f>
        <v>30.974011975501607</v>
      </c>
      <c r="AZ49" s="1146">
        <f t="shared" si="87"/>
        <v>12.59557008722444</v>
      </c>
      <c r="BA49" s="1146">
        <f t="shared" si="87"/>
        <v>28.914359005263648</v>
      </c>
      <c r="BB49" s="1147">
        <f t="shared" si="87"/>
        <v>25.332725598410299</v>
      </c>
      <c r="BC49" s="1123"/>
      <c r="BD49" s="1123"/>
      <c r="BE49" s="1254">
        <f t="shared" si="57"/>
        <v>28.521339928396458</v>
      </c>
      <c r="BF49" s="1254">
        <f t="shared" si="58"/>
        <v>18.088901655977942</v>
      </c>
      <c r="BG49" s="1254">
        <f t="shared" si="59"/>
        <v>14.380658829611251</v>
      </c>
      <c r="BH49" s="1254">
        <f t="shared" si="60"/>
        <v>26.444082801256712</v>
      </c>
      <c r="BI49" s="1254">
        <f t="shared" si="61"/>
        <v>23.401493421052628</v>
      </c>
      <c r="BJ49" s="1254">
        <f t="shared" si="62"/>
        <v>19.890756487584465</v>
      </c>
      <c r="BK49" s="1260">
        <f t="shared" si="63"/>
        <v>16.880916730195029</v>
      </c>
      <c r="BL49" s="1260">
        <f t="shared" si="64"/>
        <v>16.812710790094339</v>
      </c>
      <c r="BM49" s="1260">
        <f t="shared" si="65"/>
        <v>15.197291666666668</v>
      </c>
      <c r="BN49" s="1260">
        <f t="shared" si="66"/>
        <v>19.045833333299999</v>
      </c>
      <c r="BO49" s="1260">
        <f t="shared" si="67"/>
        <v>22.35</v>
      </c>
      <c r="BP49" s="1260">
        <f t="shared" si="68"/>
        <v>24.454166666599995</v>
      </c>
      <c r="BQ49" s="1114"/>
      <c r="BR49" s="1143"/>
      <c r="BS49" s="1144"/>
      <c r="BU49" s="1087"/>
      <c r="BV49" s="1129" t="s">
        <v>818</v>
      </c>
      <c r="BW49" s="1129"/>
      <c r="BX49" s="1129">
        <v>2021</v>
      </c>
      <c r="BZ49" s="1511">
        <v>5</v>
      </c>
      <c r="CA49" s="1514" t="s">
        <v>281</v>
      </c>
      <c r="CB49" s="1515">
        <v>0.2</v>
      </c>
      <c r="CC49" s="1515">
        <v>0.2</v>
      </c>
      <c r="CD49" s="1515">
        <v>0.2</v>
      </c>
      <c r="CE49" s="1515">
        <v>0.2</v>
      </c>
      <c r="CF49" s="1515">
        <v>0.2</v>
      </c>
      <c r="CG49" s="1515">
        <v>0.2</v>
      </c>
      <c r="CH49" s="1515">
        <v>0.2</v>
      </c>
      <c r="CI49" s="1515">
        <v>0.2</v>
      </c>
      <c r="CJ49" s="1515">
        <v>0.25</v>
      </c>
      <c r="CK49" s="1515">
        <v>0.25</v>
      </c>
      <c r="CL49" s="1515">
        <v>0.25</v>
      </c>
      <c r="CM49" s="1515">
        <v>0.35</v>
      </c>
      <c r="CN49" s="1515">
        <v>0.35</v>
      </c>
      <c r="CO49" s="1515">
        <v>0.4</v>
      </c>
      <c r="CP49" s="1515">
        <v>0.4</v>
      </c>
      <c r="CQ49" s="1515">
        <v>0.45</v>
      </c>
      <c r="CR49" s="1515">
        <v>0.45</v>
      </c>
      <c r="CS49" s="1515">
        <v>0.5</v>
      </c>
      <c r="CT49" s="1515">
        <v>0.5</v>
      </c>
      <c r="CU49" s="1515">
        <v>0.5</v>
      </c>
      <c r="CV49" s="1515">
        <v>0.5</v>
      </c>
      <c r="CW49" s="1515">
        <v>0.55000000000000004</v>
      </c>
      <c r="CX49" s="1515">
        <v>0.55000000000000004</v>
      </c>
      <c r="CY49" s="1515">
        <v>0.55000000000000004</v>
      </c>
      <c r="CZ49" s="1515">
        <v>0.55000000000000004</v>
      </c>
    </row>
    <row r="50" spans="1:104" ht="13.5" customHeight="1">
      <c r="A50" s="1088"/>
      <c r="B50" s="1089"/>
      <c r="C50" s="1370"/>
      <c r="D50" s="1370"/>
      <c r="E50" s="1370"/>
      <c r="F50" s="1375"/>
      <c r="G50" s="1388">
        <f t="shared" ref="G50:R50" si="88">IF(ISBLANK(G193),"",G193)</f>
        <v>0</v>
      </c>
      <c r="H50" s="1389">
        <f t="shared" si="88"/>
        <v>0</v>
      </c>
      <c r="I50" s="1389">
        <f t="shared" si="88"/>
        <v>0</v>
      </c>
      <c r="J50" s="1390">
        <f t="shared" si="88"/>
        <v>18.965745967741935</v>
      </c>
      <c r="K50" s="1388">
        <f t="shared" si="88"/>
        <v>21.679500452898552</v>
      </c>
      <c r="L50" s="1389">
        <f t="shared" si="88"/>
        <v>15.42058035714286</v>
      </c>
      <c r="M50" s="1389">
        <f t="shared" si="88"/>
        <v>30.891255661231888</v>
      </c>
      <c r="N50" s="1390">
        <f t="shared" si="88"/>
        <v>16.763071376811602</v>
      </c>
      <c r="O50" s="1388">
        <f t="shared" si="88"/>
        <v>13.916985188724318</v>
      </c>
      <c r="P50" s="1389">
        <f t="shared" si="88"/>
        <v>13.258952609890109</v>
      </c>
      <c r="Q50" s="1389">
        <f t="shared" si="88"/>
        <v>19.372339221014496</v>
      </c>
      <c r="R50" s="1389">
        <f t="shared" si="88"/>
        <v>20.709261096014483</v>
      </c>
      <c r="S50" s="1120">
        <f t="shared" si="71"/>
        <v>20.440848782206118</v>
      </c>
      <c r="T50" s="1121">
        <f t="shared" si="71"/>
        <v>23.552954441391933</v>
      </c>
      <c r="U50" s="1121">
        <f t="shared" si="71"/>
        <v>25.64189198369565</v>
      </c>
      <c r="V50" s="1122">
        <f t="shared" si="71"/>
        <v>26.4882361865942</v>
      </c>
      <c r="W50" s="1120">
        <f t="shared" si="71"/>
        <v>32.272174315619957</v>
      </c>
      <c r="X50" s="1121">
        <f t="shared" si="71"/>
        <v>31.134892399267407</v>
      </c>
      <c r="Y50" s="1121">
        <f t="shared" si="71"/>
        <v>28.14129528985508</v>
      </c>
      <c r="Z50" s="1122">
        <f t="shared" si="71"/>
        <v>25.026826811594209</v>
      </c>
      <c r="AA50" s="1120">
        <f t="shared" si="71"/>
        <v>22.267231833735906</v>
      </c>
      <c r="AB50" s="1121">
        <f t="shared" si="71"/>
        <v>19.322938415750922</v>
      </c>
      <c r="AC50" s="1121">
        <f t="shared" si="71"/>
        <v>19.883229166666666</v>
      </c>
      <c r="AD50" s="1122">
        <f t="shared" si="71"/>
        <v>14.538071105072467</v>
      </c>
      <c r="AE50" s="1120">
        <f t="shared" si="71"/>
        <v>13.415166079391629</v>
      </c>
      <c r="AF50" s="1121">
        <f t="shared" si="71"/>
        <v>13.686976877289379</v>
      </c>
      <c r="AG50" s="1121">
        <f t="shared" si="71"/>
        <v>20.563768115942029</v>
      </c>
      <c r="AH50" s="1122">
        <f t="shared" si="71"/>
        <v>17.754754528985508</v>
      </c>
      <c r="AI50" s="1120">
        <f t="shared" ref="AI50:AX50" si="89">IF(ISBLANK(AI193),"",AI193)</f>
        <v>15.114614834943641</v>
      </c>
      <c r="AJ50" s="1121">
        <f t="shared" si="89"/>
        <v>18.580832188644688</v>
      </c>
      <c r="AK50" s="1121">
        <f t="shared" si="89"/>
        <v>21.66212522644927</v>
      </c>
      <c r="AL50" s="1122">
        <f t="shared" si="89"/>
        <v>17.263756521739129</v>
      </c>
      <c r="AM50" s="1120">
        <f t="shared" si="89"/>
        <v>17.088877969001611</v>
      </c>
      <c r="AN50" s="1121">
        <f t="shared" si="89"/>
        <v>18.510540000000002</v>
      </c>
      <c r="AO50" s="1121">
        <f t="shared" si="89"/>
        <v>27.807523333333336</v>
      </c>
      <c r="AP50" s="1122">
        <f t="shared" si="89"/>
        <v>17.338083333333334</v>
      </c>
      <c r="AQ50" s="1120">
        <f t="shared" si="89"/>
        <v>16.957303958202534</v>
      </c>
      <c r="AR50" s="1121">
        <f t="shared" si="89"/>
        <v>14.649290816252094</v>
      </c>
      <c r="AS50" s="1121">
        <f t="shared" si="89"/>
        <v>20.911155316984395</v>
      </c>
      <c r="AT50" s="1122">
        <f t="shared" si="89"/>
        <v>16.626713241760964</v>
      </c>
      <c r="AU50" s="1120">
        <f t="shared" si="89"/>
        <v>16.447007807315547</v>
      </c>
      <c r="AV50" s="1121">
        <f t="shared" si="89"/>
        <v>14.208449705236832</v>
      </c>
      <c r="AW50" s="1121">
        <f t="shared" si="89"/>
        <v>20.281875916487753</v>
      </c>
      <c r="AX50" s="1122">
        <f t="shared" si="89"/>
        <v>16.126365557359861</v>
      </c>
      <c r="AY50" s="1120">
        <f t="shared" si="87"/>
        <v>15.71573988720429</v>
      </c>
      <c r="AZ50" s="1121">
        <f t="shared" si="87"/>
        <v>13.576712699595451</v>
      </c>
      <c r="BA50" s="1121">
        <f t="shared" si="87"/>
        <v>19.380101843588751</v>
      </c>
      <c r="BB50" s="1122">
        <f t="shared" si="87"/>
        <v>15.409354053611498</v>
      </c>
      <c r="BC50" s="1123"/>
      <c r="BD50" s="1123"/>
      <c r="BE50" s="1254"/>
      <c r="BF50" s="1254"/>
      <c r="BG50" s="1254"/>
      <c r="BH50" s="1254"/>
      <c r="BI50" s="1254"/>
      <c r="BJ50" s="1254"/>
      <c r="BK50" s="1254"/>
      <c r="BL50" s="1254"/>
      <c r="BM50" s="1254"/>
      <c r="BN50" s="1254"/>
      <c r="BO50" s="1254"/>
      <c r="BP50" s="1254"/>
      <c r="BQ50" s="1114"/>
      <c r="BR50" s="1115"/>
      <c r="BU50" s="1087"/>
      <c r="BV50" s="1137" t="s">
        <v>512</v>
      </c>
      <c r="BW50" s="1271"/>
      <c r="BX50" s="1271">
        <f>+BX36-BX43</f>
        <v>356.68412859678028</v>
      </c>
      <c r="BZ50" s="1511">
        <v>6</v>
      </c>
      <c r="CA50" s="1514" t="s">
        <v>549</v>
      </c>
      <c r="CB50" s="1515">
        <v>0.2</v>
      </c>
      <c r="CC50" s="1515">
        <v>0.2</v>
      </c>
      <c r="CD50" s="1515">
        <v>0.2</v>
      </c>
      <c r="CE50" s="1515">
        <v>0.2</v>
      </c>
      <c r="CF50" s="1515">
        <v>0.2</v>
      </c>
      <c r="CG50" s="1515">
        <v>0.2</v>
      </c>
      <c r="CH50" s="1515">
        <v>0.2</v>
      </c>
      <c r="CI50" s="1515">
        <v>0.2</v>
      </c>
      <c r="CJ50" s="1515">
        <v>0.25</v>
      </c>
      <c r="CK50" s="1515">
        <v>0.25</v>
      </c>
      <c r="CL50" s="1515">
        <v>0.3</v>
      </c>
      <c r="CM50" s="1515">
        <v>0.3</v>
      </c>
      <c r="CN50" s="1515">
        <v>0.3</v>
      </c>
      <c r="CO50" s="1515">
        <v>0.35</v>
      </c>
      <c r="CP50" s="1515">
        <v>0.35</v>
      </c>
      <c r="CQ50" s="1515">
        <v>0.4</v>
      </c>
      <c r="CR50" s="1515">
        <v>0.4</v>
      </c>
      <c r="CS50" s="1515">
        <v>0.4</v>
      </c>
      <c r="CT50" s="1515">
        <v>0.45</v>
      </c>
      <c r="CU50" s="1515">
        <v>0.5</v>
      </c>
      <c r="CV50" s="1515">
        <v>0.5</v>
      </c>
      <c r="CW50" s="1515">
        <v>0.5</v>
      </c>
      <c r="CX50" s="1515">
        <v>0.5</v>
      </c>
      <c r="CY50" s="1515">
        <v>0.5</v>
      </c>
      <c r="CZ50" s="1515">
        <v>0.5</v>
      </c>
    </row>
    <row r="51" spans="1:104" ht="12.75" customHeight="1">
      <c r="B51" s="1089"/>
      <c r="C51" s="1376" t="s">
        <v>365</v>
      </c>
      <c r="D51" s="1373"/>
      <c r="E51" s="1373"/>
      <c r="F51" s="1374"/>
      <c r="G51" s="1388"/>
      <c r="H51" s="1392"/>
      <c r="I51" s="1392"/>
      <c r="J51" s="1393"/>
      <c r="K51" s="1391"/>
      <c r="L51" s="1392"/>
      <c r="M51" s="1392"/>
      <c r="N51" s="1393"/>
      <c r="O51" s="1391"/>
      <c r="P51" s="1392"/>
      <c r="Q51" s="1392"/>
      <c r="R51" s="1392"/>
      <c r="S51" s="1378"/>
      <c r="T51" s="1131"/>
      <c r="U51" s="1131"/>
      <c r="V51" s="1130"/>
      <c r="W51" s="1131"/>
      <c r="X51" s="1131"/>
      <c r="Y51" s="1131"/>
      <c r="Z51" s="1379"/>
      <c r="AA51" s="1380"/>
      <c r="AB51" s="1380"/>
      <c r="AC51" s="1380"/>
      <c r="AD51" s="1379"/>
      <c r="AE51" s="1380"/>
      <c r="AF51" s="1380"/>
      <c r="AG51" s="1380"/>
      <c r="AH51" s="1379"/>
      <c r="AI51" s="1380"/>
      <c r="AJ51" s="1380"/>
      <c r="AK51" s="1380"/>
      <c r="AL51" s="1379"/>
      <c r="AM51" s="1380"/>
      <c r="AN51" s="1380"/>
      <c r="AO51" s="1380"/>
      <c r="AP51" s="1379"/>
      <c r="AQ51" s="1380"/>
      <c r="AR51" s="1380"/>
      <c r="AS51" s="1380"/>
      <c r="AT51" s="1379"/>
      <c r="AU51" s="1380"/>
      <c r="AV51" s="1380"/>
      <c r="AW51" s="1380"/>
      <c r="AX51" s="1122" t="str">
        <f t="shared" ref="AX51:BB66" si="90">IF(ISBLANK(AX194),"",AX194)</f>
        <v/>
      </c>
      <c r="AY51" s="1380"/>
      <c r="AZ51" s="1380"/>
      <c r="BA51" s="1380"/>
      <c r="BB51" s="1122" t="str">
        <f t="shared" ref="BB51:BB56" si="91">IF(ISBLANK(BB194),"",BB194)</f>
        <v/>
      </c>
      <c r="BC51" s="1123"/>
      <c r="BD51" s="1133"/>
      <c r="BE51" s="1043"/>
      <c r="BF51" s="1043"/>
      <c r="BG51" s="1043"/>
      <c r="BH51" s="1043"/>
      <c r="BI51" s="1043"/>
      <c r="BJ51" s="1043"/>
      <c r="BK51" s="1043"/>
      <c r="BL51" s="1043"/>
      <c r="BM51" s="1348"/>
      <c r="BN51" s="1348"/>
      <c r="BO51" s="1348"/>
      <c r="BP51" s="1348"/>
      <c r="BQ51" s="1114"/>
      <c r="BR51" s="1141"/>
      <c r="BU51" s="1087"/>
      <c r="BV51" s="1137" t="s">
        <v>703</v>
      </c>
      <c r="BW51" s="1271"/>
      <c r="BX51" s="1271">
        <f>+BX37-BX44</f>
        <v>-237.24481941584781</v>
      </c>
    </row>
    <row r="52" spans="1:104" ht="13.5" customHeight="1">
      <c r="A52" s="1088"/>
      <c r="B52" s="1089"/>
      <c r="C52" s="1148" t="s">
        <v>533</v>
      </c>
      <c r="D52" s="1370"/>
      <c r="E52" s="1370"/>
      <c r="F52" s="1375"/>
      <c r="G52" s="1388" t="str">
        <f t="shared" ref="G52:J67" si="92">IF(ISBLANK(G195),"",G195)</f>
        <v/>
      </c>
      <c r="H52" s="1389" t="str">
        <f t="shared" si="92"/>
        <v/>
      </c>
      <c r="I52" s="1389" t="str">
        <f t="shared" si="92"/>
        <v/>
      </c>
      <c r="J52" s="1390" t="str">
        <f t="shared" si="92"/>
        <v/>
      </c>
      <c r="K52" s="1388" t="str">
        <f t="shared" ref="K52:N67" si="93">IF(ISBLANK(K195),"",K195)</f>
        <v/>
      </c>
      <c r="L52" s="1389" t="str">
        <f t="shared" si="93"/>
        <v/>
      </c>
      <c r="M52" s="1389" t="str">
        <f t="shared" si="93"/>
        <v/>
      </c>
      <c r="N52" s="1390" t="str">
        <f t="shared" si="93"/>
        <v/>
      </c>
      <c r="O52" s="1388" t="str">
        <f t="shared" ref="O52:R67" si="94">IF(ISBLANK(O195),"",O195)</f>
        <v/>
      </c>
      <c r="P52" s="1389" t="str">
        <f t="shared" si="94"/>
        <v/>
      </c>
      <c r="Q52" s="1389" t="str">
        <f t="shared" si="94"/>
        <v/>
      </c>
      <c r="R52" s="1389" t="str">
        <f t="shared" si="94"/>
        <v/>
      </c>
      <c r="S52" s="1120" t="str">
        <f t="shared" ref="S52:AW60" si="95">IF(ISBLANK(S195),"",S195)</f>
        <v/>
      </c>
      <c r="T52" s="1121" t="str">
        <f t="shared" si="95"/>
        <v/>
      </c>
      <c r="U52" s="1121" t="str">
        <f t="shared" si="95"/>
        <v/>
      </c>
      <c r="V52" s="1122" t="str">
        <f t="shared" si="95"/>
        <v/>
      </c>
      <c r="W52" s="1121" t="str">
        <f t="shared" si="95"/>
        <v/>
      </c>
      <c r="X52" s="1121" t="str">
        <f t="shared" si="95"/>
        <v/>
      </c>
      <c r="Y52" s="1121" t="str">
        <f t="shared" si="95"/>
        <v/>
      </c>
      <c r="Z52" s="1122" t="str">
        <f t="shared" si="95"/>
        <v/>
      </c>
      <c r="AA52" s="1121" t="str">
        <f t="shared" si="95"/>
        <v/>
      </c>
      <c r="AB52" s="1121" t="str">
        <f t="shared" si="95"/>
        <v/>
      </c>
      <c r="AC52" s="1121" t="str">
        <f t="shared" si="95"/>
        <v/>
      </c>
      <c r="AD52" s="1122" t="str">
        <f t="shared" si="95"/>
        <v/>
      </c>
      <c r="AE52" s="1121" t="str">
        <f t="shared" si="95"/>
        <v/>
      </c>
      <c r="AF52" s="1121" t="str">
        <f t="shared" si="95"/>
        <v/>
      </c>
      <c r="AG52" s="1121" t="str">
        <f t="shared" si="95"/>
        <v/>
      </c>
      <c r="AH52" s="1122" t="str">
        <f t="shared" si="95"/>
        <v/>
      </c>
      <c r="AI52" s="1121" t="str">
        <f t="shared" si="95"/>
        <v/>
      </c>
      <c r="AJ52" s="1121" t="str">
        <f t="shared" si="95"/>
        <v/>
      </c>
      <c r="AK52" s="1121" t="str">
        <f t="shared" si="95"/>
        <v/>
      </c>
      <c r="AL52" s="1122" t="str">
        <f t="shared" si="95"/>
        <v/>
      </c>
      <c r="AM52" s="1121" t="str">
        <f t="shared" si="95"/>
        <v/>
      </c>
      <c r="AN52" s="1121" t="str">
        <f t="shared" si="95"/>
        <v/>
      </c>
      <c r="AO52" s="1121" t="str">
        <f t="shared" si="95"/>
        <v/>
      </c>
      <c r="AP52" s="1122" t="str">
        <f t="shared" si="95"/>
        <v/>
      </c>
      <c r="AQ52" s="1121" t="str">
        <f t="shared" si="95"/>
        <v/>
      </c>
      <c r="AR52" s="1121" t="str">
        <f t="shared" si="95"/>
        <v/>
      </c>
      <c r="AS52" s="1121" t="str">
        <f t="shared" si="95"/>
        <v/>
      </c>
      <c r="AT52" s="1122" t="str">
        <f t="shared" si="95"/>
        <v/>
      </c>
      <c r="AU52" s="1121" t="str">
        <f t="shared" si="95"/>
        <v/>
      </c>
      <c r="AV52" s="1121" t="str">
        <f t="shared" si="95"/>
        <v/>
      </c>
      <c r="AW52" s="1121" t="str">
        <f t="shared" si="95"/>
        <v/>
      </c>
      <c r="AX52" s="1122" t="str">
        <f t="shared" si="90"/>
        <v/>
      </c>
      <c r="AY52" s="1121" t="str">
        <f t="shared" si="90"/>
        <v/>
      </c>
      <c r="AZ52" s="1121" t="str">
        <f t="shared" si="90"/>
        <v/>
      </c>
      <c r="BA52" s="1121" t="str">
        <f t="shared" si="90"/>
        <v/>
      </c>
      <c r="BB52" s="1122" t="str">
        <f t="shared" si="91"/>
        <v/>
      </c>
      <c r="BC52" s="1123"/>
      <c r="BD52" s="1123"/>
      <c r="BE52" s="1254"/>
      <c r="BF52" s="1254"/>
      <c r="BG52" s="1254"/>
      <c r="BH52" s="1260"/>
      <c r="BI52" s="1260"/>
      <c r="BJ52" s="1260"/>
      <c r="BK52" s="1260"/>
      <c r="BL52" s="1260"/>
      <c r="BM52" s="1260"/>
      <c r="BN52" s="1260"/>
      <c r="BO52" s="1260"/>
      <c r="BP52" s="1260"/>
      <c r="BQ52" s="1114"/>
      <c r="BR52" s="1141"/>
      <c r="BU52" s="1087"/>
      <c r="BV52" s="1137" t="s">
        <v>532</v>
      </c>
      <c r="BW52" s="1271"/>
      <c r="BX52" s="1271">
        <f>+BX38-BX45</f>
        <v>2717.1068103108046</v>
      </c>
    </row>
    <row r="53" spans="1:104" ht="13.5" customHeight="1">
      <c r="A53" s="1088"/>
      <c r="B53" s="1089"/>
      <c r="C53" s="1370" t="s">
        <v>803</v>
      </c>
      <c r="D53" s="1370"/>
      <c r="E53" s="1370"/>
      <c r="F53" s="1375"/>
      <c r="G53" s="1388">
        <f t="shared" si="92"/>
        <v>1.3604838709677409</v>
      </c>
      <c r="H53" s="1389">
        <f t="shared" si="92"/>
        <v>0.36958730158730102</v>
      </c>
      <c r="I53" s="1389">
        <f t="shared" si="92"/>
        <v>0.37103124999999881</v>
      </c>
      <c r="J53" s="1390">
        <f t="shared" si="92"/>
        <v>2.0107384615384656</v>
      </c>
      <c r="K53" s="1388">
        <f t="shared" si="93"/>
        <v>2.7836406250000012</v>
      </c>
      <c r="L53" s="1389">
        <f t="shared" si="93"/>
        <v>0.38664062500000007</v>
      </c>
      <c r="M53" s="1389">
        <f t="shared" si="93"/>
        <v>0.58382812500000192</v>
      </c>
      <c r="N53" s="1390">
        <f t="shared" si="93"/>
        <v>0.35206349206349286</v>
      </c>
      <c r="O53" s="1388">
        <f t="shared" si="94"/>
        <v>0.80777777777777793</v>
      </c>
      <c r="P53" s="1389">
        <f t="shared" si="94"/>
        <v>0.20609523809523767</v>
      </c>
      <c r="Q53" s="1389">
        <f t="shared" si="94"/>
        <v>0.18090476190476101</v>
      </c>
      <c r="R53" s="1389">
        <f t="shared" si="94"/>
        <v>0.52926562499999807</v>
      </c>
      <c r="S53" s="1120">
        <f t="shared" si="95"/>
        <v>4.3436166666666658</v>
      </c>
      <c r="T53" s="1121">
        <f t="shared" si="95"/>
        <v>0.30776562499999827</v>
      </c>
      <c r="U53" s="1121">
        <f t="shared" si="95"/>
        <v>0.20923437499999897</v>
      </c>
      <c r="V53" s="1122">
        <f t="shared" si="95"/>
        <v>0.48042187499999889</v>
      </c>
      <c r="W53" s="1121">
        <f t="shared" si="95"/>
        <v>11.865918032786885</v>
      </c>
      <c r="X53" s="1121">
        <f t="shared" si="95"/>
        <v>-0.87728124999999935</v>
      </c>
      <c r="Y53" s="1121">
        <f t="shared" si="95"/>
        <v>-1.3732187500000017</v>
      </c>
      <c r="Z53" s="1122">
        <f t="shared" si="95"/>
        <v>-0.57965624999999754</v>
      </c>
      <c r="AA53" s="1121">
        <f t="shared" si="95"/>
        <v>6.0189193548387117</v>
      </c>
      <c r="AB53" s="1121">
        <f t="shared" si="95"/>
        <v>-0.25368253968253818</v>
      </c>
      <c r="AC53" s="1121">
        <f t="shared" si="95"/>
        <v>-0.4931562499999993</v>
      </c>
      <c r="AD53" s="1122">
        <f t="shared" si="95"/>
        <v>-0.2235238095238099</v>
      </c>
      <c r="AE53" s="1121">
        <f t="shared" si="95"/>
        <v>0.49621311475409802</v>
      </c>
      <c r="AF53" s="1121">
        <f t="shared" si="95"/>
        <v>-0.43893749999999998</v>
      </c>
      <c r="AG53" s="1121">
        <f t="shared" si="95"/>
        <v>-0.95798437499999922</v>
      </c>
      <c r="AH53" s="1122">
        <f t="shared" si="95"/>
        <v>-0.3514999999999997</v>
      </c>
      <c r="AI53" s="1121">
        <f t="shared" si="95"/>
        <v>0.30054838709677556</v>
      </c>
      <c r="AJ53" s="1121">
        <f t="shared" si="95"/>
        <v>-0.38845312499999896</v>
      </c>
      <c r="AK53" s="1121">
        <f t="shared" si="95"/>
        <v>-0.54298412698412557</v>
      </c>
      <c r="AL53" s="1122">
        <f t="shared" si="95"/>
        <v>0.63106451612903358</v>
      </c>
      <c r="AM53" s="1121">
        <f t="shared" si="95"/>
        <v>4.698950819672131</v>
      </c>
      <c r="AN53" s="1121">
        <f t="shared" si="95"/>
        <v>-0.19166666666666643</v>
      </c>
      <c r="AO53" s="1121">
        <f t="shared" si="95"/>
        <v>-0.30999999999999961</v>
      </c>
      <c r="AP53" s="1122">
        <f t="shared" si="95"/>
        <v>0.25666666666666638</v>
      </c>
      <c r="AQ53" s="1121">
        <f t="shared" si="95"/>
        <v>1.637734667576852</v>
      </c>
      <c r="AR53" s="1121">
        <f t="shared" si="95"/>
        <v>-0.69677150590554215</v>
      </c>
      <c r="AS53" s="1121">
        <f t="shared" si="95"/>
        <v>-0.82532002718121711</v>
      </c>
      <c r="AT53" s="1122">
        <f t="shared" si="95"/>
        <v>1.5445568651099078</v>
      </c>
      <c r="AU53" s="1121">
        <f t="shared" si="95"/>
        <v>1.6691288195742207</v>
      </c>
      <c r="AV53" s="1121">
        <f t="shared" si="95"/>
        <v>-0.704374459769459</v>
      </c>
      <c r="AW53" s="1121">
        <f t="shared" si="95"/>
        <v>-0.83498911122825525</v>
      </c>
      <c r="AX53" s="1122">
        <f t="shared" si="90"/>
        <v>1.5745847514234943</v>
      </c>
      <c r="AY53" s="1121">
        <f t="shared" si="90"/>
        <v>1.7632770950378909</v>
      </c>
      <c r="AZ53" s="1121">
        <f t="shared" si="90"/>
        <v>-0.69298925565485447</v>
      </c>
      <c r="BA53" s="1121">
        <f t="shared" si="90"/>
        <v>-0.82743500086795607</v>
      </c>
      <c r="BB53" s="1122">
        <f t="shared" si="91"/>
        <v>1.6671304946849221</v>
      </c>
      <c r="BC53" s="1123"/>
      <c r="BD53" s="1123"/>
      <c r="BE53" s="1254">
        <f t="shared" ref="BE53:BE68" si="96">AVERAGE(G53:J53)</f>
        <v>1.0279602210233767</v>
      </c>
      <c r="BF53" s="1254">
        <f t="shared" ref="BF53:BF68" si="97">AVERAGE(K53:N53)</f>
        <v>1.0265432167658739</v>
      </c>
      <c r="BG53" s="1254">
        <f t="shared" ref="BG53:BG68" si="98">AVERAGE(O53:R53)</f>
        <v>0.43101085069444367</v>
      </c>
      <c r="BH53" s="1260">
        <f t="shared" ref="BH53:BH68" si="99">AVERAGE(S53:V53)</f>
        <v>1.3352596354166657</v>
      </c>
      <c r="BI53" s="1260">
        <f t="shared" ref="BI53:BI68" si="100">AVERAGE(W53:Z53)</f>
        <v>2.2589404456967217</v>
      </c>
      <c r="BJ53" s="1260">
        <f t="shared" ref="BJ53:BJ68" si="101">AVERAGE(AA53:AD53)</f>
        <v>1.2621391889080911</v>
      </c>
      <c r="BK53" s="1260">
        <f t="shared" ref="BK53:BK68" si="102">AVERAGE(AE53:AH53)</f>
        <v>-0.31305219006147522</v>
      </c>
      <c r="BL53" s="1260">
        <f t="shared" ref="BL53:BL68" si="103">AVERAGE(AI53:AL53)</f>
        <v>4.3912810421153914E-5</v>
      </c>
      <c r="BM53" s="1260">
        <f t="shared" ref="BM53:BM68" si="104">AVERAGE(AM53:AP53)</f>
        <v>1.113487704918033</v>
      </c>
      <c r="BN53" s="1260">
        <f t="shared" ref="BN53:BN68" si="105">AVERAGE(AQ53:AT53)</f>
        <v>0.41504999990000013</v>
      </c>
      <c r="BO53" s="1260">
        <f t="shared" ref="BO53:BO68" si="106">AVERAGE(AU53:AX53)</f>
        <v>0.42608750000000017</v>
      </c>
      <c r="BP53" s="1260">
        <f t="shared" ref="BP53:BP68" si="107">AVERAGE(AY53:BB53)</f>
        <v>0.47749583330000062</v>
      </c>
      <c r="BQ53" s="1114"/>
      <c r="BR53" s="1143"/>
      <c r="BS53" s="1144"/>
      <c r="BU53" s="1087"/>
      <c r="BV53" s="1137" t="s">
        <v>281</v>
      </c>
      <c r="BW53" s="1271"/>
      <c r="BX53" s="1271">
        <f>+BX39-BX46</f>
        <v>4539.0284671448426</v>
      </c>
      <c r="BZ53" s="1511">
        <v>1</v>
      </c>
      <c r="CA53" s="1511" t="s">
        <v>959</v>
      </c>
      <c r="CB53" s="1401">
        <f t="shared" ref="CB53:CI53" si="108">CC53-0.25</f>
        <v>0</v>
      </c>
      <c r="CC53" s="1401">
        <f t="shared" si="108"/>
        <v>0.25</v>
      </c>
      <c r="CD53" s="1401">
        <f t="shared" si="108"/>
        <v>0.5</v>
      </c>
      <c r="CE53" s="1401">
        <f t="shared" si="108"/>
        <v>0.75</v>
      </c>
      <c r="CF53" s="1401">
        <f t="shared" si="108"/>
        <v>1</v>
      </c>
      <c r="CG53" s="1401">
        <f t="shared" si="108"/>
        <v>1.25</v>
      </c>
      <c r="CH53" s="1401">
        <f t="shared" si="108"/>
        <v>1.5</v>
      </c>
      <c r="CI53" s="1401">
        <f t="shared" si="108"/>
        <v>1.75</v>
      </c>
      <c r="CJ53" s="1401">
        <v>2</v>
      </c>
      <c r="CK53" s="1401">
        <f t="shared" ref="CK53:CZ53" si="109">CJ53+0.25</f>
        <v>2.25</v>
      </c>
      <c r="CL53" s="1401">
        <f t="shared" si="109"/>
        <v>2.5</v>
      </c>
      <c r="CM53" s="1401">
        <f t="shared" si="109"/>
        <v>2.75</v>
      </c>
      <c r="CN53" s="1401">
        <f t="shared" si="109"/>
        <v>3</v>
      </c>
      <c r="CO53" s="1401">
        <f t="shared" si="109"/>
        <v>3.25</v>
      </c>
      <c r="CP53" s="1401">
        <f t="shared" si="109"/>
        <v>3.5</v>
      </c>
      <c r="CQ53" s="1401">
        <f t="shared" si="109"/>
        <v>3.75</v>
      </c>
      <c r="CR53" s="1401">
        <f t="shared" si="109"/>
        <v>4</v>
      </c>
      <c r="CS53" s="1401">
        <f t="shared" si="109"/>
        <v>4.25</v>
      </c>
      <c r="CT53" s="1401">
        <f t="shared" si="109"/>
        <v>4.5</v>
      </c>
      <c r="CU53" s="1401">
        <f t="shared" si="109"/>
        <v>4.75</v>
      </c>
      <c r="CV53" s="1401">
        <f t="shared" si="109"/>
        <v>5</v>
      </c>
      <c r="CW53" s="1401">
        <f t="shared" si="109"/>
        <v>5.25</v>
      </c>
      <c r="CX53" s="1401">
        <f t="shared" si="109"/>
        <v>5.5</v>
      </c>
      <c r="CY53" s="1401">
        <f t="shared" si="109"/>
        <v>5.75</v>
      </c>
      <c r="CZ53" s="1401">
        <f t="shared" si="109"/>
        <v>6</v>
      </c>
    </row>
    <row r="54" spans="1:104" ht="13.5" customHeight="1">
      <c r="A54" s="1088"/>
      <c r="B54" s="1089"/>
      <c r="C54" s="1370" t="s">
        <v>534</v>
      </c>
      <c r="D54" s="1370"/>
      <c r="E54" s="1370"/>
      <c r="F54" s="1375"/>
      <c r="G54" s="1388">
        <f t="shared" si="92"/>
        <v>0.89172580645161226</v>
      </c>
      <c r="H54" s="1389">
        <f t="shared" si="92"/>
        <v>0.34730158730158944</v>
      </c>
      <c r="I54" s="1389">
        <f t="shared" si="92"/>
        <v>0.35659375000000004</v>
      </c>
      <c r="J54" s="1390">
        <f t="shared" si="92"/>
        <v>1.4691538461538483</v>
      </c>
      <c r="K54" s="1388">
        <f t="shared" si="93"/>
        <v>1.7646250000000014</v>
      </c>
      <c r="L54" s="1389">
        <f t="shared" si="93"/>
        <v>0.28798437500000063</v>
      </c>
      <c r="M54" s="1389">
        <f t="shared" si="93"/>
        <v>0.25414062500000068</v>
      </c>
      <c r="N54" s="1390">
        <f t="shared" si="93"/>
        <v>0.24365079365079412</v>
      </c>
      <c r="O54" s="1388">
        <f t="shared" si="94"/>
        <v>0.31452380952380965</v>
      </c>
      <c r="P54" s="1389">
        <f t="shared" si="94"/>
        <v>0.1599206349206348</v>
      </c>
      <c r="Q54" s="1389">
        <f t="shared" si="94"/>
        <v>0.16882539682539655</v>
      </c>
      <c r="R54" s="1389">
        <f t="shared" si="94"/>
        <v>0.26892187499999887</v>
      </c>
      <c r="S54" s="1120">
        <f t="shared" si="95"/>
        <v>0.819599999999999</v>
      </c>
      <c r="T54" s="1121">
        <f t="shared" si="95"/>
        <v>0.11882812499999851</v>
      </c>
      <c r="U54" s="1121">
        <f t="shared" si="95"/>
        <v>-1.3265625000001169E-2</v>
      </c>
      <c r="V54" s="1122">
        <f t="shared" si="95"/>
        <v>0.14118750000000091</v>
      </c>
      <c r="W54" s="1121">
        <f t="shared" si="95"/>
        <v>7.5181639344262283</v>
      </c>
      <c r="X54" s="1121">
        <f t="shared" si="95"/>
        <v>-0.89420312500000065</v>
      </c>
      <c r="Y54" s="1121">
        <f t="shared" si="95"/>
        <v>-1.4395156250000012</v>
      </c>
      <c r="Z54" s="1122">
        <f t="shared" si="95"/>
        <v>-1.017578125</v>
      </c>
      <c r="AA54" s="1121">
        <f t="shared" si="95"/>
        <v>3.554258064516127</v>
      </c>
      <c r="AB54" s="1121">
        <f t="shared" si="95"/>
        <v>-1.1179206349206339</v>
      </c>
      <c r="AC54" s="1121">
        <f t="shared" si="95"/>
        <v>-1.3916093749999998</v>
      </c>
      <c r="AD54" s="1122">
        <f t="shared" si="95"/>
        <v>-0.84366666666666723</v>
      </c>
      <c r="AE54" s="1121">
        <f t="shared" si="95"/>
        <v>-0.15401639344262286</v>
      </c>
      <c r="AF54" s="1121">
        <f t="shared" si="95"/>
        <v>-0.55339062499999958</v>
      </c>
      <c r="AG54" s="1121">
        <f t="shared" si="95"/>
        <v>-1.5273593749999999</v>
      </c>
      <c r="AH54" s="1122">
        <f t="shared" si="95"/>
        <v>-0.79788709677419334</v>
      </c>
      <c r="AI54" s="1121">
        <f t="shared" si="95"/>
        <v>-1.6838709677418517E-2</v>
      </c>
      <c r="AJ54" s="1121">
        <f t="shared" si="95"/>
        <v>-0.56160937500000019</v>
      </c>
      <c r="AK54" s="1121">
        <f t="shared" si="95"/>
        <v>-1.2109841269841268</v>
      </c>
      <c r="AL54" s="1122">
        <f t="shared" si="95"/>
        <v>-0.13975806451612982</v>
      </c>
      <c r="AM54" s="1121">
        <f t="shared" si="95"/>
        <v>3.4441967213114757</v>
      </c>
      <c r="AN54" s="1121">
        <f t="shared" si="95"/>
        <v>-0.46333333333333293</v>
      </c>
      <c r="AO54" s="1121">
        <f t="shared" si="95"/>
        <v>-0.59499999999999975</v>
      </c>
      <c r="AP54" s="1122">
        <f t="shared" si="95"/>
        <v>-0.21666666666666679</v>
      </c>
      <c r="AQ54" s="1121">
        <f t="shared" si="95"/>
        <v>0.74457975965344758</v>
      </c>
      <c r="AR54" s="1121">
        <f t="shared" si="95"/>
        <v>-0.76430483819771866</v>
      </c>
      <c r="AS54" s="1121">
        <f t="shared" si="95"/>
        <v>-0.78296558457066712</v>
      </c>
      <c r="AT54" s="1122">
        <f t="shared" si="95"/>
        <v>0.8235214539149398</v>
      </c>
      <c r="AU54" s="1121">
        <f t="shared" si="95"/>
        <v>0.64485745238273218</v>
      </c>
      <c r="AV54" s="1121">
        <f t="shared" si="95"/>
        <v>-0.82982612063011629</v>
      </c>
      <c r="AW54" s="1121">
        <f t="shared" si="95"/>
        <v>-0.84922019602346377</v>
      </c>
      <c r="AX54" s="1122">
        <f t="shared" si="90"/>
        <v>0.71921711267084909</v>
      </c>
      <c r="AY54" s="1121">
        <f t="shared" si="90"/>
        <v>0.64402689825038939</v>
      </c>
      <c r="AZ54" s="1121">
        <f t="shared" si="90"/>
        <v>-0.85250267876937125</v>
      </c>
      <c r="BA54" s="1121">
        <f t="shared" si="90"/>
        <v>-0.87232898455971686</v>
      </c>
      <c r="BB54" s="1122">
        <f t="shared" si="91"/>
        <v>0.71913809827870034</v>
      </c>
      <c r="BC54" s="1123"/>
      <c r="BD54" s="1123"/>
      <c r="BE54" s="1254">
        <f t="shared" si="96"/>
        <v>0.7661937474767625</v>
      </c>
      <c r="BF54" s="1254">
        <f t="shared" si="97"/>
        <v>0.63760019841269922</v>
      </c>
      <c r="BG54" s="1254">
        <f t="shared" si="98"/>
        <v>0.22804792906745996</v>
      </c>
      <c r="BH54" s="1260">
        <f t="shared" si="99"/>
        <v>0.26658749999999931</v>
      </c>
      <c r="BI54" s="1260">
        <f t="shared" si="100"/>
        <v>1.0417167648565566</v>
      </c>
      <c r="BJ54" s="1260">
        <f t="shared" si="101"/>
        <v>5.0265346982206582E-2</v>
      </c>
      <c r="BK54" s="1260">
        <f t="shared" si="102"/>
        <v>-0.75816337255420385</v>
      </c>
      <c r="BL54" s="1260">
        <f t="shared" si="103"/>
        <v>-0.48229756904441884</v>
      </c>
      <c r="BM54" s="1260">
        <f t="shared" si="104"/>
        <v>0.54229918032786906</v>
      </c>
      <c r="BN54" s="1260">
        <f t="shared" si="105"/>
        <v>5.2076977000004021E-3</v>
      </c>
      <c r="BO54" s="1260">
        <f t="shared" si="106"/>
        <v>-7.8742937899999699E-2</v>
      </c>
      <c r="BP54" s="1260">
        <f t="shared" si="107"/>
        <v>-9.0416666699999593E-2</v>
      </c>
      <c r="BQ54" s="1114"/>
      <c r="BR54" s="1115"/>
      <c r="BU54" s="1087"/>
      <c r="BV54" s="1137" t="s">
        <v>549</v>
      </c>
      <c r="BW54" s="1271"/>
      <c r="BX54" s="1271">
        <f>+BX40-BX47</f>
        <v>3934.9716437226252</v>
      </c>
      <c r="BZ54" s="1511">
        <v>2</v>
      </c>
      <c r="CA54" s="1514" t="s">
        <v>512</v>
      </c>
      <c r="CB54" s="1516">
        <f>AVERAGE(CB46:$CR46)</f>
        <v>0.43235294117647055</v>
      </c>
      <c r="CC54" s="1516">
        <f>AVERAGE(CC46:$CR46)</f>
        <v>0.44062499999999999</v>
      </c>
      <c r="CD54" s="1516">
        <f>AVERAGE(CD46:$CR46)</f>
        <v>0.45</v>
      </c>
      <c r="CE54" s="1516">
        <f>AVERAGE(CE46:$CR46)</f>
        <v>0.46071428571428574</v>
      </c>
      <c r="CF54" s="1516">
        <f>AVERAGE(CF46:$CR46)</f>
        <v>0.46923076923076928</v>
      </c>
      <c r="CG54" s="1516">
        <f>AVERAGE(CG46:$CR46)</f>
        <v>0.47916666666666669</v>
      </c>
      <c r="CH54" s="1516">
        <f>AVERAGE(CH46:$CR46)</f>
        <v>0.49090909090909096</v>
      </c>
      <c r="CI54" s="1516">
        <f>AVERAGE(CI46:$CR46)</f>
        <v>0.5</v>
      </c>
      <c r="CJ54" s="1516">
        <f>AVERAGE(CJ46:$CR46)</f>
        <v>0.51111111111111107</v>
      </c>
      <c r="CK54" s="1516">
        <f>AVERAGE(CK46:$CR46)</f>
        <v>0.52500000000000002</v>
      </c>
      <c r="CL54" s="1516">
        <f>AVERAGE(CL46:$CR46)</f>
        <v>0.5357142857142857</v>
      </c>
      <c r="CM54" s="1516">
        <f>AVERAGE(CM46:$CR46)</f>
        <v>0.54999999999999993</v>
      </c>
      <c r="CN54" s="1516">
        <f>AVERAGE(CN46:$CR46)</f>
        <v>0.55999999999999994</v>
      </c>
      <c r="CO54" s="1516">
        <f>AVERAGE(CO46:$CR46)</f>
        <v>0.57499999999999996</v>
      </c>
      <c r="CP54" s="1516">
        <f>AVERAGE(CP46:$CR46)</f>
        <v>0.6</v>
      </c>
      <c r="CQ54" s="1516">
        <f>AVERAGE(CQ46:$CR46)</f>
        <v>0.625</v>
      </c>
      <c r="CR54" s="1516">
        <f>AVERAGE(CR46:$CR46)</f>
        <v>0.65</v>
      </c>
      <c r="CS54" s="1516">
        <f>AVERAGE($CR46:CS46)</f>
        <v>0.65</v>
      </c>
      <c r="CT54" s="1516">
        <f>AVERAGE($CR46:CT46)</f>
        <v>0.65</v>
      </c>
      <c r="CU54" s="1516">
        <f>AVERAGE($CR46:CU46)</f>
        <v>0.65</v>
      </c>
      <c r="CV54" s="1516">
        <f>AVERAGE($CR46:CV46)</f>
        <v>0.65</v>
      </c>
      <c r="CW54" s="1516">
        <f>AVERAGE($CR46:CW46)</f>
        <v>0.65</v>
      </c>
      <c r="CX54" s="1516">
        <f>AVERAGE($CR46:CX46)</f>
        <v>0.65</v>
      </c>
      <c r="CY54" s="1516">
        <f>AVERAGE($CR46:CY46)</f>
        <v>0.65</v>
      </c>
      <c r="CZ54" s="1516">
        <f>AVERAGE($CR46:CZ46)</f>
        <v>0.65</v>
      </c>
    </row>
    <row r="55" spans="1:104" ht="12.75" customHeight="1">
      <c r="A55" s="1088"/>
      <c r="B55" s="1089"/>
      <c r="C55" s="1370" t="s">
        <v>736</v>
      </c>
      <c r="D55" s="1370"/>
      <c r="E55" s="1370"/>
      <c r="F55" s="1375"/>
      <c r="G55" s="1388">
        <f t="shared" si="92"/>
        <v>1.3604838709677409</v>
      </c>
      <c r="H55" s="1389">
        <f t="shared" si="92"/>
        <v>0.36958730158730102</v>
      </c>
      <c r="I55" s="1389">
        <f t="shared" si="92"/>
        <v>0.37103124999999881</v>
      </c>
      <c r="J55" s="1390">
        <f t="shared" si="92"/>
        <v>2.0107384615384656</v>
      </c>
      <c r="K55" s="1388">
        <f t="shared" si="93"/>
        <v>2.7836406250000012</v>
      </c>
      <c r="L55" s="1389">
        <f t="shared" si="93"/>
        <v>0.38664062500000007</v>
      </c>
      <c r="M55" s="1389">
        <f t="shared" si="93"/>
        <v>0.58382812500000192</v>
      </c>
      <c r="N55" s="1390">
        <f t="shared" si="93"/>
        <v>0.35206349206349286</v>
      </c>
      <c r="O55" s="1388">
        <f t="shared" si="94"/>
        <v>0.80777777777777793</v>
      </c>
      <c r="P55" s="1389">
        <f t="shared" si="94"/>
        <v>0.20609523809523767</v>
      </c>
      <c r="Q55" s="1389">
        <f t="shared" si="94"/>
        <v>0.18090476190476101</v>
      </c>
      <c r="R55" s="1389">
        <f t="shared" si="94"/>
        <v>0.52926562499999807</v>
      </c>
      <c r="S55" s="1120">
        <f t="shared" si="95"/>
        <v>4.3436166666666658</v>
      </c>
      <c r="T55" s="1121">
        <f t="shared" si="95"/>
        <v>0.30776562499999827</v>
      </c>
      <c r="U55" s="1121">
        <f t="shared" si="95"/>
        <v>0.20923437499999897</v>
      </c>
      <c r="V55" s="1122">
        <f t="shared" si="95"/>
        <v>0.48042187499999889</v>
      </c>
      <c r="W55" s="1121">
        <f t="shared" si="95"/>
        <v>11.865918032786885</v>
      </c>
      <c r="X55" s="1121">
        <f t="shared" si="95"/>
        <v>-0.87728124999999935</v>
      </c>
      <c r="Y55" s="1121">
        <f t="shared" si="95"/>
        <v>-1.3732187500000017</v>
      </c>
      <c r="Z55" s="1122">
        <f t="shared" si="95"/>
        <v>-0.57965624999999754</v>
      </c>
      <c r="AA55" s="1121">
        <f t="shared" si="95"/>
        <v>6.0189193548387117</v>
      </c>
      <c r="AB55" s="1121">
        <f t="shared" si="95"/>
        <v>-0.25368253968253818</v>
      </c>
      <c r="AC55" s="1121">
        <f t="shared" si="95"/>
        <v>-0.4931562499999993</v>
      </c>
      <c r="AD55" s="1122">
        <f t="shared" si="95"/>
        <v>-0.2235238095238099</v>
      </c>
      <c r="AE55" s="1121">
        <f t="shared" si="95"/>
        <v>0.49621311475409802</v>
      </c>
      <c r="AF55" s="1121">
        <f t="shared" si="95"/>
        <v>-0.43893749999999998</v>
      </c>
      <c r="AG55" s="1121">
        <f t="shared" si="95"/>
        <v>-0.95798437499999922</v>
      </c>
      <c r="AH55" s="1122">
        <f t="shared" si="95"/>
        <v>-0.3514999999999997</v>
      </c>
      <c r="AI55" s="1121">
        <f t="shared" si="95"/>
        <v>0.30054838709677556</v>
      </c>
      <c r="AJ55" s="1121">
        <f t="shared" si="95"/>
        <v>-0.38845312499999896</v>
      </c>
      <c r="AK55" s="1121">
        <f t="shared" si="95"/>
        <v>-0.54298412698412557</v>
      </c>
      <c r="AL55" s="1122">
        <f t="shared" si="95"/>
        <v>0.63106451612903358</v>
      </c>
      <c r="AM55" s="1121">
        <f t="shared" si="95"/>
        <v>4.698950819672131</v>
      </c>
      <c r="AN55" s="1121">
        <f t="shared" si="95"/>
        <v>-0.19166666666666643</v>
      </c>
      <c r="AO55" s="1121">
        <f t="shared" si="95"/>
        <v>-0.30999999999999961</v>
      </c>
      <c r="AP55" s="1122">
        <f t="shared" si="95"/>
        <v>0.25666666666666638</v>
      </c>
      <c r="AQ55" s="1121">
        <f t="shared" si="95"/>
        <v>1.637734667576852</v>
      </c>
      <c r="AR55" s="1121">
        <f t="shared" si="95"/>
        <v>-0.69677150590554215</v>
      </c>
      <c r="AS55" s="1121">
        <f t="shared" si="95"/>
        <v>-0.82532002718121711</v>
      </c>
      <c r="AT55" s="1122">
        <f t="shared" si="95"/>
        <v>1.5445568651099078</v>
      </c>
      <c r="AU55" s="1121">
        <f t="shared" si="95"/>
        <v>1.6691288195742207</v>
      </c>
      <c r="AV55" s="1121">
        <f t="shared" si="95"/>
        <v>-0.704374459769459</v>
      </c>
      <c r="AW55" s="1121">
        <f t="shared" si="95"/>
        <v>-0.83498911122825525</v>
      </c>
      <c r="AX55" s="1122">
        <f t="shared" si="90"/>
        <v>1.5745847514234943</v>
      </c>
      <c r="AY55" s="1121">
        <f t="shared" si="90"/>
        <v>1.7632770950378909</v>
      </c>
      <c r="AZ55" s="1121">
        <f t="shared" si="90"/>
        <v>-0.69298925565485447</v>
      </c>
      <c r="BA55" s="1121">
        <f t="shared" si="90"/>
        <v>-0.82743500086795607</v>
      </c>
      <c r="BB55" s="1122">
        <f t="shared" si="91"/>
        <v>1.6671304946849221</v>
      </c>
      <c r="BC55" s="1123"/>
      <c r="BD55" s="1123"/>
      <c r="BE55" s="1254">
        <f t="shared" si="96"/>
        <v>1.0279602210233767</v>
      </c>
      <c r="BF55" s="1254">
        <f t="shared" si="97"/>
        <v>1.0265432167658739</v>
      </c>
      <c r="BG55" s="1254">
        <f t="shared" si="98"/>
        <v>0.43101085069444367</v>
      </c>
      <c r="BH55" s="1260">
        <f t="shared" si="99"/>
        <v>1.3352596354166657</v>
      </c>
      <c r="BI55" s="1260">
        <f t="shared" si="100"/>
        <v>2.2589404456967217</v>
      </c>
      <c r="BJ55" s="1260">
        <f t="shared" si="101"/>
        <v>1.2621391889080911</v>
      </c>
      <c r="BK55" s="1260">
        <f t="shared" si="102"/>
        <v>-0.31305219006147522</v>
      </c>
      <c r="BL55" s="1260">
        <f t="shared" si="103"/>
        <v>4.3912810421153914E-5</v>
      </c>
      <c r="BM55" s="1260">
        <f t="shared" si="104"/>
        <v>1.113487704918033</v>
      </c>
      <c r="BN55" s="1260">
        <f t="shared" si="105"/>
        <v>0.41504999990000013</v>
      </c>
      <c r="BO55" s="1260">
        <f t="shared" si="106"/>
        <v>0.42608750000000017</v>
      </c>
      <c r="BP55" s="1260">
        <f t="shared" si="107"/>
        <v>0.47749583330000062</v>
      </c>
      <c r="BQ55" s="1114"/>
      <c r="BR55" s="1115"/>
      <c r="BU55" s="1087"/>
      <c r="BV55" s="1086"/>
      <c r="BW55" s="1086"/>
      <c r="BX55" s="1086"/>
      <c r="BZ55" s="1511">
        <v>3</v>
      </c>
      <c r="CA55" s="1514" t="s">
        <v>703</v>
      </c>
      <c r="CB55" s="1516">
        <f>AVERAGE(CB47:$CR47)</f>
        <v>0.55294117647058827</v>
      </c>
      <c r="CC55" s="1516">
        <f>AVERAGE(CC47:$CR47)</f>
        <v>0.56562500000000004</v>
      </c>
      <c r="CD55" s="1516">
        <f>AVERAGE(CD47:$CR47)</f>
        <v>0.57999999999999996</v>
      </c>
      <c r="CE55" s="1516">
        <f>AVERAGE(CE47:$CR47)</f>
        <v>0.59642857142857153</v>
      </c>
      <c r="CF55" s="1516">
        <f>AVERAGE(CF47:$CR47)</f>
        <v>0.61538461538461542</v>
      </c>
      <c r="CG55" s="1516">
        <f>AVERAGE(CG47:$CR47)</f>
        <v>0.6333333333333333</v>
      </c>
      <c r="CH55" s="1516">
        <f>AVERAGE(CH47:$CR47)</f>
        <v>0.64999999999999991</v>
      </c>
      <c r="CI55" s="1516">
        <f>AVERAGE(CI47:$CR47)</f>
        <v>0.66499999999999992</v>
      </c>
      <c r="CJ55" s="1516">
        <f>AVERAGE(CJ47:$CR47)</f>
        <v>0.68333333333333324</v>
      </c>
      <c r="CK55" s="1516">
        <f>AVERAGE(CK47:$CR47)</f>
        <v>0.7</v>
      </c>
      <c r="CL55" s="1516">
        <f>AVERAGE(CL47:$CR47)</f>
        <v>0.7142857142857143</v>
      </c>
      <c r="CM55" s="1516">
        <f>AVERAGE(CM47:$CR47)</f>
        <v>0.72499999999999998</v>
      </c>
      <c r="CN55" s="1516">
        <f>AVERAGE(CN47:$CR47)</f>
        <v>0.74</v>
      </c>
      <c r="CO55" s="1516">
        <f>AVERAGE(CO47:$CR47)</f>
        <v>0.75</v>
      </c>
      <c r="CP55" s="1516">
        <f>AVERAGE(CP47:$CR47)</f>
        <v>0.75</v>
      </c>
      <c r="CQ55" s="1516">
        <f>AVERAGE(CQ47:$CR47)</f>
        <v>0.75</v>
      </c>
      <c r="CR55" s="1516">
        <f>AVERAGE(CR47:$CR47)</f>
        <v>0.75</v>
      </c>
      <c r="CS55" s="1516">
        <f>AVERAGE($CR47:CS47)</f>
        <v>0.75</v>
      </c>
      <c r="CT55" s="1516">
        <f>AVERAGE($CR47:CT47)</f>
        <v>0.76666666666666661</v>
      </c>
      <c r="CU55" s="1516">
        <f>AVERAGE($CR47:CU47)</f>
        <v>0.77499999999999991</v>
      </c>
      <c r="CV55" s="1516">
        <f>AVERAGE($CR47:CV47)</f>
        <v>0.77999999999999992</v>
      </c>
      <c r="CW55" s="1516">
        <f>AVERAGE($CR47:CW47)</f>
        <v>0.78333333333333321</v>
      </c>
      <c r="CX55" s="1516">
        <f>AVERAGE($CR47:CX47)</f>
        <v>0.78571428571428559</v>
      </c>
      <c r="CY55" s="1516">
        <f>AVERAGE($CR47:CY47)</f>
        <v>0.78749999999999987</v>
      </c>
      <c r="CZ55" s="1516">
        <f>AVERAGE($CR47:CZ47)</f>
        <v>0.78888888888888875</v>
      </c>
    </row>
    <row r="56" spans="1:104" ht="12.75" customHeight="1">
      <c r="A56" s="1088"/>
      <c r="B56" s="1089"/>
      <c r="C56" s="1370" t="s">
        <v>737</v>
      </c>
      <c r="D56" s="1370"/>
      <c r="E56" s="1370"/>
      <c r="F56" s="1375"/>
      <c r="G56" s="1388">
        <f t="shared" si="92"/>
        <v>1.3604838709677409</v>
      </c>
      <c r="H56" s="1389">
        <f t="shared" si="92"/>
        <v>0.36958730158730102</v>
      </c>
      <c r="I56" s="1389">
        <f t="shared" si="92"/>
        <v>0.37103124999999881</v>
      </c>
      <c r="J56" s="1390">
        <f t="shared" si="92"/>
        <v>2.0107384615384656</v>
      </c>
      <c r="K56" s="1388">
        <f t="shared" si="93"/>
        <v>2.7836406250000012</v>
      </c>
      <c r="L56" s="1389">
        <f t="shared" si="93"/>
        <v>0.38664062500000007</v>
      </c>
      <c r="M56" s="1389">
        <f t="shared" si="93"/>
        <v>0.58382812500000192</v>
      </c>
      <c r="N56" s="1390">
        <f t="shared" si="93"/>
        <v>0.35206349206349286</v>
      </c>
      <c r="O56" s="1388">
        <f t="shared" si="94"/>
        <v>0.80777777777777793</v>
      </c>
      <c r="P56" s="1389">
        <f t="shared" si="94"/>
        <v>0.20609523809523767</v>
      </c>
      <c r="Q56" s="1389">
        <f t="shared" si="94"/>
        <v>0.18090476190476101</v>
      </c>
      <c r="R56" s="1389">
        <f t="shared" si="94"/>
        <v>0.52926562499999807</v>
      </c>
      <c r="S56" s="1120">
        <f t="shared" si="95"/>
        <v>4.3436166666666658</v>
      </c>
      <c r="T56" s="1121">
        <f t="shared" si="95"/>
        <v>0.30776562499999827</v>
      </c>
      <c r="U56" s="1121">
        <f t="shared" si="95"/>
        <v>0.20923437499999897</v>
      </c>
      <c r="V56" s="1122">
        <f t="shared" si="95"/>
        <v>0.48042187499999889</v>
      </c>
      <c r="W56" s="1121">
        <f t="shared" si="95"/>
        <v>11.865918032786885</v>
      </c>
      <c r="X56" s="1121">
        <f t="shared" si="95"/>
        <v>-0.87728124999999935</v>
      </c>
      <c r="Y56" s="1121">
        <f t="shared" si="95"/>
        <v>-1.3732187500000017</v>
      </c>
      <c r="Z56" s="1122">
        <f t="shared" si="95"/>
        <v>-0.57965624999999754</v>
      </c>
      <c r="AA56" s="1121">
        <f t="shared" si="95"/>
        <v>6.0189193548387117</v>
      </c>
      <c r="AB56" s="1121">
        <f t="shared" si="95"/>
        <v>-0.25368253968253818</v>
      </c>
      <c r="AC56" s="1121">
        <f t="shared" si="95"/>
        <v>-0.4931562499999993</v>
      </c>
      <c r="AD56" s="1122">
        <f t="shared" si="95"/>
        <v>-0.2235238095238099</v>
      </c>
      <c r="AE56" s="1121">
        <f t="shared" si="95"/>
        <v>0.49621311475409802</v>
      </c>
      <c r="AF56" s="1121">
        <f t="shared" si="95"/>
        <v>-0.43893749999999998</v>
      </c>
      <c r="AG56" s="1121">
        <f t="shared" si="95"/>
        <v>-0.95798437499999922</v>
      </c>
      <c r="AH56" s="1122">
        <f t="shared" si="95"/>
        <v>-0.3514999999999997</v>
      </c>
      <c r="AI56" s="1121">
        <f t="shared" si="95"/>
        <v>0.30054838709677556</v>
      </c>
      <c r="AJ56" s="1121">
        <f t="shared" si="95"/>
        <v>-0.38845312499999896</v>
      </c>
      <c r="AK56" s="1121">
        <f t="shared" si="95"/>
        <v>-0.54298412698412557</v>
      </c>
      <c r="AL56" s="1122">
        <f t="shared" si="95"/>
        <v>0.63106451612903358</v>
      </c>
      <c r="AM56" s="1121">
        <f t="shared" si="95"/>
        <v>4.698950819672131</v>
      </c>
      <c r="AN56" s="1121">
        <f t="shared" si="95"/>
        <v>-0.19166666666666643</v>
      </c>
      <c r="AO56" s="1121">
        <f t="shared" si="95"/>
        <v>-0.30999999999999961</v>
      </c>
      <c r="AP56" s="1122">
        <f t="shared" si="95"/>
        <v>0.25666666666666638</v>
      </c>
      <c r="AQ56" s="1121">
        <f t="shared" si="95"/>
        <v>1.637734667576852</v>
      </c>
      <c r="AR56" s="1121">
        <f t="shared" si="95"/>
        <v>-0.69677150590554215</v>
      </c>
      <c r="AS56" s="1121">
        <f t="shared" si="95"/>
        <v>-0.82532002718121711</v>
      </c>
      <c r="AT56" s="1122">
        <f t="shared" si="95"/>
        <v>1.5445568651099078</v>
      </c>
      <c r="AU56" s="1121">
        <f t="shared" si="95"/>
        <v>1.6691288195742207</v>
      </c>
      <c r="AV56" s="1121">
        <f t="shared" si="95"/>
        <v>-0.704374459769459</v>
      </c>
      <c r="AW56" s="1121">
        <f t="shared" si="95"/>
        <v>-0.83498911122825525</v>
      </c>
      <c r="AX56" s="1122">
        <f t="shared" si="90"/>
        <v>1.5745847514234943</v>
      </c>
      <c r="AY56" s="1121">
        <f t="shared" si="90"/>
        <v>1.7632770950378909</v>
      </c>
      <c r="AZ56" s="1121">
        <f t="shared" si="90"/>
        <v>-0.69298925565485447</v>
      </c>
      <c r="BA56" s="1121">
        <f t="shared" si="90"/>
        <v>-0.82743500086795607</v>
      </c>
      <c r="BB56" s="1122">
        <f t="shared" si="91"/>
        <v>1.6671304946849221</v>
      </c>
      <c r="BC56" s="1123"/>
      <c r="BD56" s="1123"/>
      <c r="BE56" s="1254">
        <f t="shared" si="96"/>
        <v>1.0279602210233767</v>
      </c>
      <c r="BF56" s="1254">
        <f t="shared" si="97"/>
        <v>1.0265432167658739</v>
      </c>
      <c r="BG56" s="1254">
        <f t="shared" si="98"/>
        <v>0.43101085069444367</v>
      </c>
      <c r="BH56" s="1260">
        <f t="shared" si="99"/>
        <v>1.3352596354166657</v>
      </c>
      <c r="BI56" s="1260">
        <f t="shared" si="100"/>
        <v>2.2589404456967217</v>
      </c>
      <c r="BJ56" s="1260">
        <f t="shared" si="101"/>
        <v>1.2621391889080911</v>
      </c>
      <c r="BK56" s="1260">
        <f t="shared" si="102"/>
        <v>-0.31305219006147522</v>
      </c>
      <c r="BL56" s="1260">
        <f t="shared" si="103"/>
        <v>4.3912810421153914E-5</v>
      </c>
      <c r="BM56" s="1260">
        <f t="shared" si="104"/>
        <v>1.113487704918033</v>
      </c>
      <c r="BN56" s="1260">
        <f t="shared" si="105"/>
        <v>0.41504999990000013</v>
      </c>
      <c r="BO56" s="1260">
        <f t="shared" si="106"/>
        <v>0.42608750000000017</v>
      </c>
      <c r="BP56" s="1260">
        <f t="shared" si="107"/>
        <v>0.47749583330000062</v>
      </c>
      <c r="BQ56" s="1114"/>
      <c r="BR56" s="1115"/>
      <c r="BU56" s="1087"/>
      <c r="BV56" s="1086"/>
      <c r="BW56" s="1086"/>
      <c r="BX56" s="1086"/>
      <c r="BZ56" s="1511">
        <v>4</v>
      </c>
      <c r="CA56" s="1514" t="s">
        <v>532</v>
      </c>
      <c r="CB56" s="1516">
        <f>AVERAGE(CB48:$CR48)</f>
        <v>0.27941176470588236</v>
      </c>
      <c r="CC56" s="1516">
        <f>AVERAGE(CC48:$CR48)</f>
        <v>0.28437499999999999</v>
      </c>
      <c r="CD56" s="1516">
        <f>AVERAGE(CD48:$CR48)</f>
        <v>0.28999999999999998</v>
      </c>
      <c r="CE56" s="1516">
        <f>AVERAGE(CE48:$CR48)</f>
        <v>0.29642857142857143</v>
      </c>
      <c r="CF56" s="1516">
        <f>AVERAGE(CF48:$CR48)</f>
        <v>0.30384615384615388</v>
      </c>
      <c r="CG56" s="1516">
        <f>AVERAGE(CG48:$CR48)</f>
        <v>0.31250000000000006</v>
      </c>
      <c r="CH56" s="1516">
        <f>AVERAGE(CH48:$CR48)</f>
        <v>0.32272727272727275</v>
      </c>
      <c r="CI56" s="1516">
        <f>AVERAGE(CI48:$CR48)</f>
        <v>0.33500000000000002</v>
      </c>
      <c r="CJ56" s="1516">
        <f>AVERAGE(CJ48:$CR48)</f>
        <v>0.35000000000000003</v>
      </c>
      <c r="CK56" s="1516">
        <f>AVERAGE(CK48:$CR48)</f>
        <v>0.36250000000000004</v>
      </c>
      <c r="CL56" s="1516">
        <f>AVERAGE(CL48:$CR48)</f>
        <v>0.37857142857142861</v>
      </c>
      <c r="CM56" s="1516">
        <f>AVERAGE(CM48:$CR48)</f>
        <v>0.39999999999999997</v>
      </c>
      <c r="CN56" s="1516">
        <f>AVERAGE(CN48:$CR48)</f>
        <v>0.41</v>
      </c>
      <c r="CO56" s="1516">
        <f>AVERAGE(CO48:$CR48)</f>
        <v>0.42499999999999999</v>
      </c>
      <c r="CP56" s="1516">
        <f>AVERAGE(CP48:$CR48)</f>
        <v>0.43333333333333335</v>
      </c>
      <c r="CQ56" s="1516">
        <f>AVERAGE(CQ48:$CR48)</f>
        <v>0.45</v>
      </c>
      <c r="CR56" s="1516">
        <f>AVERAGE(CR48:$CR48)</f>
        <v>0.45</v>
      </c>
      <c r="CS56" s="1516">
        <f>AVERAGE($CR48:CS48)</f>
        <v>0.47499999999999998</v>
      </c>
      <c r="CT56" s="1516">
        <f>AVERAGE($CR48:CT48)</f>
        <v>0.48333333333333334</v>
      </c>
      <c r="CU56" s="1516">
        <f>AVERAGE($CR48:CU48)</f>
        <v>0.48749999999999999</v>
      </c>
      <c r="CV56" s="1516">
        <f>AVERAGE($CR48:CV48)</f>
        <v>0.49000000000000005</v>
      </c>
      <c r="CW56" s="1516">
        <f>AVERAGE($CR48:CW48)</f>
        <v>0.5</v>
      </c>
      <c r="CX56" s="1516">
        <f>AVERAGE($CR48:CX48)</f>
        <v>0.50714285714285712</v>
      </c>
      <c r="CY56" s="1516">
        <f>AVERAGE($CR48:CY48)</f>
        <v>0.51249999999999996</v>
      </c>
      <c r="CZ56" s="1516">
        <f>AVERAGE($CR48:CZ48)</f>
        <v>0.51666666666666661</v>
      </c>
    </row>
    <row r="57" spans="1:104" ht="12.75" customHeight="1">
      <c r="A57" s="1088"/>
      <c r="B57" s="1089"/>
      <c r="C57" s="1181" t="s">
        <v>535</v>
      </c>
      <c r="D57" s="1149"/>
      <c r="E57" s="1149"/>
      <c r="F57" s="1275"/>
      <c r="G57" s="1388">
        <f t="shared" si="92"/>
        <v>0.89172580645161226</v>
      </c>
      <c r="H57" s="1389">
        <f t="shared" si="92"/>
        <v>0.34730158730158944</v>
      </c>
      <c r="I57" s="1389">
        <f t="shared" si="92"/>
        <v>0.35659375000000004</v>
      </c>
      <c r="J57" s="1390">
        <f t="shared" si="92"/>
        <v>1.4691538461538483</v>
      </c>
      <c r="K57" s="1388">
        <f t="shared" si="93"/>
        <v>1.7646250000000014</v>
      </c>
      <c r="L57" s="1389">
        <f t="shared" si="93"/>
        <v>0.28798437500000063</v>
      </c>
      <c r="M57" s="1389">
        <f t="shared" si="93"/>
        <v>0.25414062500000068</v>
      </c>
      <c r="N57" s="1390">
        <f t="shared" si="93"/>
        <v>0.24365079365079412</v>
      </c>
      <c r="O57" s="1388">
        <f t="shared" si="94"/>
        <v>0.31452380952380965</v>
      </c>
      <c r="P57" s="1389">
        <f t="shared" si="94"/>
        <v>0.1599206349206348</v>
      </c>
      <c r="Q57" s="1389">
        <f t="shared" si="94"/>
        <v>0.16882539682539655</v>
      </c>
      <c r="R57" s="1389">
        <f t="shared" si="94"/>
        <v>0.26892187499999887</v>
      </c>
      <c r="S57" s="1120">
        <f t="shared" si="95"/>
        <v>0.819599999999999</v>
      </c>
      <c r="T57" s="1121">
        <f t="shared" si="95"/>
        <v>0.11882812499999851</v>
      </c>
      <c r="U57" s="1121">
        <f t="shared" si="95"/>
        <v>-1.3265625000001169E-2</v>
      </c>
      <c r="V57" s="1122">
        <f t="shared" si="95"/>
        <v>0.14118750000000091</v>
      </c>
      <c r="W57" s="1121">
        <f t="shared" si="95"/>
        <v>7.5181639344262283</v>
      </c>
      <c r="X57" s="1121">
        <f t="shared" si="95"/>
        <v>-0.89420312500000065</v>
      </c>
      <c r="Y57" s="1121">
        <f t="shared" si="95"/>
        <v>-1.4395156250000012</v>
      </c>
      <c r="Z57" s="1122">
        <f t="shared" si="95"/>
        <v>-1.017578125</v>
      </c>
      <c r="AA57" s="1121">
        <f t="shared" si="95"/>
        <v>3.554258064516127</v>
      </c>
      <c r="AB57" s="1121">
        <f t="shared" si="95"/>
        <v>-1.1179206349206339</v>
      </c>
      <c r="AC57" s="1121">
        <f t="shared" si="95"/>
        <v>-1.3916093749999998</v>
      </c>
      <c r="AD57" s="1122">
        <f t="shared" si="95"/>
        <v>-0.84366666666666723</v>
      </c>
      <c r="AE57" s="1121">
        <f t="shared" si="95"/>
        <v>-0.15401639344262286</v>
      </c>
      <c r="AF57" s="1121">
        <f t="shared" si="95"/>
        <v>-0.55339062499999958</v>
      </c>
      <c r="AG57" s="1121">
        <f t="shared" si="95"/>
        <v>-1.5273593749999999</v>
      </c>
      <c r="AH57" s="1122">
        <f t="shared" si="95"/>
        <v>-0.79788709677419334</v>
      </c>
      <c r="AI57" s="1121">
        <f t="shared" si="95"/>
        <v>-1.6838709677418517E-2</v>
      </c>
      <c r="AJ57" s="1121">
        <f t="shared" si="95"/>
        <v>-0.56160937500000019</v>
      </c>
      <c r="AK57" s="1121">
        <f t="shared" si="95"/>
        <v>-1.2109841269841268</v>
      </c>
      <c r="AL57" s="1122">
        <f t="shared" si="95"/>
        <v>-0.13975806451612982</v>
      </c>
      <c r="AM57" s="1121">
        <f t="shared" si="95"/>
        <v>3.4441967213114757</v>
      </c>
      <c r="AN57" s="1121">
        <f t="shared" si="95"/>
        <v>-0.46333333333333293</v>
      </c>
      <c r="AO57" s="1121">
        <f t="shared" si="95"/>
        <v>-0.59499999999999975</v>
      </c>
      <c r="AP57" s="1122">
        <f t="shared" si="95"/>
        <v>-0.21666666666666679</v>
      </c>
      <c r="AQ57" s="1121">
        <f t="shared" si="95"/>
        <v>0.74457975965344758</v>
      </c>
      <c r="AR57" s="1121">
        <f t="shared" si="95"/>
        <v>-0.76430483819771866</v>
      </c>
      <c r="AS57" s="1121">
        <f t="shared" si="95"/>
        <v>-0.78296558457066712</v>
      </c>
      <c r="AT57" s="1122">
        <f t="shared" si="95"/>
        <v>0.8235214539149398</v>
      </c>
      <c r="AU57" s="1121">
        <f t="shared" si="95"/>
        <v>0.64485745238273218</v>
      </c>
      <c r="AV57" s="1121">
        <f t="shared" si="95"/>
        <v>-0.82982612063011629</v>
      </c>
      <c r="AW57" s="1121">
        <f t="shared" si="95"/>
        <v>-0.84922019602346377</v>
      </c>
      <c r="AX57" s="1122">
        <f t="shared" si="90"/>
        <v>0.71921711267084909</v>
      </c>
      <c r="AY57" s="1381">
        <f>IF(ISBLANK(AY200),"",IF(Uplift="Yes",$BX58,AY200))</f>
        <v>-0.25</v>
      </c>
      <c r="AZ57" s="1381">
        <f>IF(ISBLANK(AZ200),"",IF(Uplift="Yes",$BX58,AZ200))</f>
        <v>-0.25</v>
      </c>
      <c r="BA57" s="1381">
        <f>IF(ISBLANK(BA200),"",IF(Uplift="Yes",$BX58,BA200))</f>
        <v>-0.25</v>
      </c>
      <c r="BB57" s="1382">
        <f>IF(ISBLANK(BB200),"",IF(Uplift="Yes",$BX58,BB200))</f>
        <v>-0.25</v>
      </c>
      <c r="BC57" s="1123"/>
      <c r="BD57" s="1123"/>
      <c r="BE57" s="1254">
        <f t="shared" si="96"/>
        <v>0.7661937474767625</v>
      </c>
      <c r="BF57" s="1254">
        <f t="shared" si="97"/>
        <v>0.63760019841269922</v>
      </c>
      <c r="BG57" s="1254">
        <f t="shared" si="98"/>
        <v>0.22804792906745996</v>
      </c>
      <c r="BH57" s="1260">
        <f t="shared" si="99"/>
        <v>0.26658749999999931</v>
      </c>
      <c r="BI57" s="1260">
        <f t="shared" si="100"/>
        <v>1.0417167648565566</v>
      </c>
      <c r="BJ57" s="1260">
        <f t="shared" si="101"/>
        <v>5.0265346982206582E-2</v>
      </c>
      <c r="BK57" s="1260">
        <f t="shared" si="102"/>
        <v>-0.75816337255420385</v>
      </c>
      <c r="BL57" s="1260">
        <f t="shared" si="103"/>
        <v>-0.48229756904441884</v>
      </c>
      <c r="BM57" s="1260">
        <f t="shared" si="104"/>
        <v>0.54229918032786906</v>
      </c>
      <c r="BN57" s="1260">
        <f t="shared" si="105"/>
        <v>5.2076977000004021E-3</v>
      </c>
      <c r="BO57" s="1260">
        <f t="shared" si="106"/>
        <v>-7.8742937899999699E-2</v>
      </c>
      <c r="BP57" s="1260">
        <f t="shared" si="107"/>
        <v>-0.25</v>
      </c>
      <c r="BQ57" s="1114"/>
      <c r="BR57" s="1115"/>
      <c r="BU57" s="1087"/>
      <c r="BV57" s="1244" t="s">
        <v>819</v>
      </c>
      <c r="BW57" s="1086"/>
      <c r="BX57" s="1086"/>
      <c r="BZ57" s="1511">
        <v>5</v>
      </c>
      <c r="CA57" s="1514" t="s">
        <v>281</v>
      </c>
      <c r="CB57" s="1516">
        <f>AVERAGE(CB49:$CR49)</f>
        <v>0.27941176470588236</v>
      </c>
      <c r="CC57" s="1516">
        <f>AVERAGE(CC49:$CR49)</f>
        <v>0.28437499999999999</v>
      </c>
      <c r="CD57" s="1516">
        <f>AVERAGE(CD49:$CR49)</f>
        <v>0.28999999999999998</v>
      </c>
      <c r="CE57" s="1516">
        <f>AVERAGE(CE49:$CR49)</f>
        <v>0.29642857142857143</v>
      </c>
      <c r="CF57" s="1516">
        <f>AVERAGE(CF49:$CR49)</f>
        <v>0.30384615384615388</v>
      </c>
      <c r="CG57" s="1516">
        <f>AVERAGE(CG49:$CR49)</f>
        <v>0.31250000000000006</v>
      </c>
      <c r="CH57" s="1516">
        <f>AVERAGE(CH49:$CR49)</f>
        <v>0.32272727272727275</v>
      </c>
      <c r="CI57" s="1516">
        <f>AVERAGE(CI49:$CR49)</f>
        <v>0.33500000000000002</v>
      </c>
      <c r="CJ57" s="1516">
        <f>AVERAGE(CJ49:$CR49)</f>
        <v>0.35000000000000003</v>
      </c>
      <c r="CK57" s="1516">
        <f>AVERAGE(CK49:$CR49)</f>
        <v>0.36250000000000004</v>
      </c>
      <c r="CL57" s="1516">
        <f>AVERAGE(CL49:$CR49)</f>
        <v>0.37857142857142861</v>
      </c>
      <c r="CM57" s="1516">
        <f>AVERAGE(CM49:$CR49)</f>
        <v>0.39999999999999997</v>
      </c>
      <c r="CN57" s="1516">
        <f>AVERAGE(CN49:$CR49)</f>
        <v>0.41</v>
      </c>
      <c r="CO57" s="1516">
        <f>AVERAGE(CO49:$CR49)</f>
        <v>0.42499999999999999</v>
      </c>
      <c r="CP57" s="1516">
        <f>AVERAGE(CP49:$CR49)</f>
        <v>0.43333333333333335</v>
      </c>
      <c r="CQ57" s="1516">
        <f>AVERAGE(CQ49:$CR49)</f>
        <v>0.45</v>
      </c>
      <c r="CR57" s="1516">
        <f>AVERAGE(CR49:$CR49)</f>
        <v>0.45</v>
      </c>
      <c r="CS57" s="1516">
        <f>AVERAGE($CR49:CS49)</f>
        <v>0.47499999999999998</v>
      </c>
      <c r="CT57" s="1516">
        <f>AVERAGE($CR49:CT49)</f>
        <v>0.48333333333333334</v>
      </c>
      <c r="CU57" s="1516">
        <f>AVERAGE($CR49:CU49)</f>
        <v>0.48749999999999999</v>
      </c>
      <c r="CV57" s="1516">
        <f>AVERAGE($CR49:CV49)</f>
        <v>0.49000000000000005</v>
      </c>
      <c r="CW57" s="1516">
        <f>AVERAGE($CR49:CW49)</f>
        <v>0.5</v>
      </c>
      <c r="CX57" s="1516">
        <f>AVERAGE($CR49:CX49)</f>
        <v>0.50714285714285712</v>
      </c>
      <c r="CY57" s="1516">
        <f>AVERAGE($CR49:CY49)</f>
        <v>0.51249999999999996</v>
      </c>
      <c r="CZ57" s="1516">
        <f>AVERAGE($CR49:CZ49)</f>
        <v>0.51666666666666661</v>
      </c>
    </row>
    <row r="58" spans="1:104" ht="12.75" customHeight="1">
      <c r="A58" s="1088"/>
      <c r="B58" s="1089"/>
      <c r="C58" s="1181" t="s">
        <v>804</v>
      </c>
      <c r="D58" s="1149"/>
      <c r="E58" s="1149"/>
      <c r="F58" s="1275"/>
      <c r="G58" s="1388">
        <f t="shared" si="92"/>
        <v>0.89172580645161226</v>
      </c>
      <c r="H58" s="1389">
        <f t="shared" si="92"/>
        <v>0.34730158730158944</v>
      </c>
      <c r="I58" s="1389">
        <f t="shared" si="92"/>
        <v>0.35659375000000004</v>
      </c>
      <c r="J58" s="1390">
        <f t="shared" si="92"/>
        <v>1.4691538461538483</v>
      </c>
      <c r="K58" s="1388">
        <f t="shared" si="93"/>
        <v>1.7646250000000014</v>
      </c>
      <c r="L58" s="1389">
        <f t="shared" si="93"/>
        <v>0.28798437500000063</v>
      </c>
      <c r="M58" s="1389">
        <f t="shared" si="93"/>
        <v>0.25414062500000068</v>
      </c>
      <c r="N58" s="1390">
        <f t="shared" si="93"/>
        <v>0.24365079365079412</v>
      </c>
      <c r="O58" s="1388">
        <f t="shared" si="94"/>
        <v>0.31452380952380965</v>
      </c>
      <c r="P58" s="1389">
        <f t="shared" si="94"/>
        <v>0.1599206349206348</v>
      </c>
      <c r="Q58" s="1389">
        <f t="shared" si="94"/>
        <v>0.16882539682539655</v>
      </c>
      <c r="R58" s="1389">
        <f t="shared" si="94"/>
        <v>0.26892187499999887</v>
      </c>
      <c r="S58" s="1120">
        <f t="shared" si="95"/>
        <v>0.819599999999999</v>
      </c>
      <c r="T58" s="1121">
        <f t="shared" si="95"/>
        <v>0.11882812499999851</v>
      </c>
      <c r="U58" s="1121">
        <f t="shared" si="95"/>
        <v>-1.3265625000001169E-2</v>
      </c>
      <c r="V58" s="1122">
        <f t="shared" si="95"/>
        <v>0.14118750000000091</v>
      </c>
      <c r="W58" s="1121">
        <f t="shared" si="95"/>
        <v>7.5181639344262283</v>
      </c>
      <c r="X58" s="1121">
        <f t="shared" si="95"/>
        <v>-0.89420312500000065</v>
      </c>
      <c r="Y58" s="1121">
        <f t="shared" si="95"/>
        <v>-1.4395156250000012</v>
      </c>
      <c r="Z58" s="1122">
        <f t="shared" si="95"/>
        <v>-1.017578125</v>
      </c>
      <c r="AA58" s="1121">
        <f t="shared" si="95"/>
        <v>3.554258064516127</v>
      </c>
      <c r="AB58" s="1121">
        <f t="shared" si="95"/>
        <v>-1.1179206349206339</v>
      </c>
      <c r="AC58" s="1121">
        <f t="shared" si="95"/>
        <v>-1.3916093749999998</v>
      </c>
      <c r="AD58" s="1122">
        <f t="shared" si="95"/>
        <v>-0.84366666666666723</v>
      </c>
      <c r="AE58" s="1121">
        <f t="shared" si="95"/>
        <v>-0.15401639344262286</v>
      </c>
      <c r="AF58" s="1121">
        <f t="shared" si="95"/>
        <v>-0.55339062499999958</v>
      </c>
      <c r="AG58" s="1121">
        <f t="shared" si="95"/>
        <v>-1.5273593749999999</v>
      </c>
      <c r="AH58" s="1122">
        <f t="shared" si="95"/>
        <v>-0.79788709677419334</v>
      </c>
      <c r="AI58" s="1121">
        <f t="shared" si="95"/>
        <v>-1.6838709677418517E-2</v>
      </c>
      <c r="AJ58" s="1121">
        <f t="shared" si="95"/>
        <v>-0.56160937500000019</v>
      </c>
      <c r="AK58" s="1121">
        <f t="shared" si="95"/>
        <v>-1.2109841269841268</v>
      </c>
      <c r="AL58" s="1122">
        <f t="shared" si="95"/>
        <v>-0.13975806451612982</v>
      </c>
      <c r="AM58" s="1121">
        <f t="shared" si="95"/>
        <v>3.4441967213114757</v>
      </c>
      <c r="AN58" s="1121">
        <f t="shared" si="95"/>
        <v>-0.46333333333333293</v>
      </c>
      <c r="AO58" s="1121">
        <f t="shared" si="95"/>
        <v>-0.59499999999999975</v>
      </c>
      <c r="AP58" s="1122">
        <f t="shared" si="95"/>
        <v>-0.21666666666666679</v>
      </c>
      <c r="AQ58" s="1121">
        <f t="shared" si="95"/>
        <v>0.74457975965344758</v>
      </c>
      <c r="AR58" s="1121">
        <f t="shared" si="95"/>
        <v>-0.76430483819771866</v>
      </c>
      <c r="AS58" s="1121">
        <f t="shared" si="95"/>
        <v>-0.78296558457066712</v>
      </c>
      <c r="AT58" s="1122">
        <f t="shared" si="95"/>
        <v>0.8235214539149398</v>
      </c>
      <c r="AU58" s="1632">
        <f t="shared" si="95"/>
        <v>0.64485745238273218</v>
      </c>
      <c r="AV58" s="1632">
        <f t="shared" si="95"/>
        <v>-0.82982612063011629</v>
      </c>
      <c r="AW58" s="1632">
        <f t="shared" si="95"/>
        <v>-0.84922019602346377</v>
      </c>
      <c r="AX58" s="1633">
        <f t="shared" si="90"/>
        <v>0.71921711267084909</v>
      </c>
      <c r="AY58" s="1521">
        <f>IF(ISBLANK(AY201),"",IF(Uplift="Yes",$BX58,AY201))</f>
        <v>-0.25</v>
      </c>
      <c r="AZ58" s="1521">
        <f>IF(ISBLANK(AZ201),"",IF(Uplift="Yes",$BX58,AZ201))</f>
        <v>-0.25</v>
      </c>
      <c r="BA58" s="1521">
        <f>IF(ISBLANK(BA201),"",IF(Uplift="Yes",$BX58,BA201))</f>
        <v>-0.25</v>
      </c>
      <c r="BB58" s="1522">
        <f>IF(ISBLANK(BB201),"",IF(Uplift="Yes",$BX58,BB201))</f>
        <v>-0.25</v>
      </c>
      <c r="BC58" s="1123"/>
      <c r="BD58" s="1123"/>
      <c r="BE58" s="1254">
        <f t="shared" si="96"/>
        <v>0.7661937474767625</v>
      </c>
      <c r="BF58" s="1254">
        <f t="shared" si="97"/>
        <v>0.63760019841269922</v>
      </c>
      <c r="BG58" s="1254">
        <f t="shared" si="98"/>
        <v>0.22804792906745996</v>
      </c>
      <c r="BH58" s="1260">
        <f t="shared" si="99"/>
        <v>0.26658749999999931</v>
      </c>
      <c r="BI58" s="1260">
        <f t="shared" si="100"/>
        <v>1.0417167648565566</v>
      </c>
      <c r="BJ58" s="1260">
        <f t="shared" si="101"/>
        <v>5.0265346982206582E-2</v>
      </c>
      <c r="BK58" s="1260">
        <f t="shared" si="102"/>
        <v>-0.75816337255420385</v>
      </c>
      <c r="BL58" s="1260">
        <f t="shared" si="103"/>
        <v>-0.48229756904441884</v>
      </c>
      <c r="BM58" s="1260">
        <f t="shared" si="104"/>
        <v>0.54229918032786906</v>
      </c>
      <c r="BN58" s="1260">
        <f t="shared" si="105"/>
        <v>5.2076977000004021E-3</v>
      </c>
      <c r="BO58" s="1260">
        <f t="shared" si="106"/>
        <v>-7.8742937899999699E-2</v>
      </c>
      <c r="BP58" s="1260">
        <f t="shared" si="107"/>
        <v>-0.25</v>
      </c>
      <c r="BQ58" s="1114"/>
      <c r="BR58" s="1115"/>
      <c r="BU58" s="1087"/>
      <c r="BV58" s="1273" t="s">
        <v>820</v>
      </c>
      <c r="BW58" s="1129"/>
      <c r="BX58" s="1274">
        <f>Valuation!$BX$28</f>
        <v>-0.25</v>
      </c>
      <c r="BZ58" s="1511">
        <v>6</v>
      </c>
      <c r="CA58" s="1514" t="s">
        <v>549</v>
      </c>
      <c r="CB58" s="1516">
        <f>AVERAGE(CB50:$CR50)</f>
        <v>0.26470588235294118</v>
      </c>
      <c r="CC58" s="1516">
        <f>AVERAGE(CC50:$CR50)</f>
        <v>0.26874999999999999</v>
      </c>
      <c r="CD58" s="1516">
        <f>AVERAGE(CD50:$CR50)</f>
        <v>0.27333333333333332</v>
      </c>
      <c r="CE58" s="1516">
        <f>AVERAGE(CE50:$CR50)</f>
        <v>0.27857142857142858</v>
      </c>
      <c r="CF58" s="1516">
        <f>AVERAGE(CF50:$CR50)</f>
        <v>0.2846153846153846</v>
      </c>
      <c r="CG58" s="1516">
        <f>AVERAGE(CG50:$CR50)</f>
        <v>0.29166666666666669</v>
      </c>
      <c r="CH58" s="1516">
        <f>AVERAGE(CH50:$CR50)</f>
        <v>0.3</v>
      </c>
      <c r="CI58" s="1516">
        <f>AVERAGE(CI50:$CR50)</f>
        <v>0.31</v>
      </c>
      <c r="CJ58" s="1516">
        <f>AVERAGE(CJ50:$CR50)</f>
        <v>0.32222222222222219</v>
      </c>
      <c r="CK58" s="1516">
        <f>AVERAGE(CK50:$CR50)</f>
        <v>0.33124999999999999</v>
      </c>
      <c r="CL58" s="1516">
        <f>AVERAGE(CL50:$CR50)</f>
        <v>0.34285714285714286</v>
      </c>
      <c r="CM58" s="1516">
        <f>AVERAGE(CM50:$CR50)</f>
        <v>0.34999999999999992</v>
      </c>
      <c r="CN58" s="1516">
        <f>AVERAGE(CN50:$CR50)</f>
        <v>0.36</v>
      </c>
      <c r="CO58" s="1516">
        <f>AVERAGE(CO50:$CR50)</f>
        <v>0.375</v>
      </c>
      <c r="CP58" s="1516">
        <f>AVERAGE(CP50:$CR50)</f>
        <v>0.3833333333333333</v>
      </c>
      <c r="CQ58" s="1516">
        <f>AVERAGE(CQ50:$CR50)</f>
        <v>0.4</v>
      </c>
      <c r="CR58" s="1516">
        <f>AVERAGE(CR50:$CR50)</f>
        <v>0.4</v>
      </c>
      <c r="CS58" s="1516">
        <f>AVERAGE($CR50:CS50)</f>
        <v>0.4</v>
      </c>
      <c r="CT58" s="1516">
        <f>AVERAGE($CR50:CT50)</f>
        <v>0.41666666666666669</v>
      </c>
      <c r="CU58" s="1516">
        <f>AVERAGE($CR50:CU50)</f>
        <v>0.4375</v>
      </c>
      <c r="CV58" s="1516">
        <f>AVERAGE($CR50:CV50)</f>
        <v>0.45</v>
      </c>
      <c r="CW58" s="1516">
        <f>AVERAGE($CR50:CW50)</f>
        <v>0.45833333333333331</v>
      </c>
      <c r="CX58" s="1516">
        <f>AVERAGE($CR50:CX50)</f>
        <v>0.4642857142857143</v>
      </c>
      <c r="CY58" s="1516">
        <f>AVERAGE($CR50:CY50)</f>
        <v>0.46875</v>
      </c>
      <c r="CZ58" s="1516">
        <f>AVERAGE($CR50:CZ50)</f>
        <v>0.47222222222222221</v>
      </c>
    </row>
    <row r="59" spans="1:104" ht="12.75" customHeight="1">
      <c r="A59" s="1088"/>
      <c r="B59" s="1089"/>
      <c r="C59" s="1370" t="s">
        <v>840</v>
      </c>
      <c r="D59" s="1370"/>
      <c r="E59" s="1370"/>
      <c r="F59" s="1375"/>
      <c r="G59" s="1388">
        <f t="shared" si="92"/>
        <v>0.89172580645161226</v>
      </c>
      <c r="H59" s="1389">
        <f t="shared" si="92"/>
        <v>0.34730158730158944</v>
      </c>
      <c r="I59" s="1389">
        <f t="shared" si="92"/>
        <v>0.35659375000000004</v>
      </c>
      <c r="J59" s="1390">
        <f t="shared" si="92"/>
        <v>1.4691538461538483</v>
      </c>
      <c r="K59" s="1388">
        <f t="shared" si="93"/>
        <v>1.7646250000000014</v>
      </c>
      <c r="L59" s="1389">
        <f t="shared" si="93"/>
        <v>0.28798437500000063</v>
      </c>
      <c r="M59" s="1389">
        <f t="shared" si="93"/>
        <v>0.25414062500000068</v>
      </c>
      <c r="N59" s="1390">
        <f t="shared" si="93"/>
        <v>0.24365079365079412</v>
      </c>
      <c r="O59" s="1388">
        <f t="shared" si="94"/>
        <v>0.31452380952380965</v>
      </c>
      <c r="P59" s="1389">
        <f t="shared" si="94"/>
        <v>0.1599206349206348</v>
      </c>
      <c r="Q59" s="1389">
        <f t="shared" si="94"/>
        <v>0.16882539682539655</v>
      </c>
      <c r="R59" s="1389">
        <f t="shared" si="94"/>
        <v>0.26892187499999887</v>
      </c>
      <c r="S59" s="1120">
        <f t="shared" si="95"/>
        <v>0.819599999999999</v>
      </c>
      <c r="T59" s="1121">
        <f t="shared" si="95"/>
        <v>0.11882812499999851</v>
      </c>
      <c r="U59" s="1121">
        <f t="shared" si="95"/>
        <v>-1.3265625000001169E-2</v>
      </c>
      <c r="V59" s="1122">
        <f t="shared" si="95"/>
        <v>0.14118750000000091</v>
      </c>
      <c r="W59" s="1121">
        <f t="shared" si="95"/>
        <v>7.5181639344262283</v>
      </c>
      <c r="X59" s="1121">
        <f t="shared" si="95"/>
        <v>-0.89420312500000065</v>
      </c>
      <c r="Y59" s="1121">
        <f t="shared" si="95"/>
        <v>-1.4395156250000012</v>
      </c>
      <c r="Z59" s="1122">
        <f t="shared" si="95"/>
        <v>-1.017578125</v>
      </c>
      <c r="AA59" s="1121">
        <f t="shared" si="95"/>
        <v>3.554258064516127</v>
      </c>
      <c r="AB59" s="1121">
        <f t="shared" si="95"/>
        <v>-1.1179206349206339</v>
      </c>
      <c r="AC59" s="1121">
        <f t="shared" si="95"/>
        <v>-1.3916093749999998</v>
      </c>
      <c r="AD59" s="1122">
        <f t="shared" si="95"/>
        <v>-0.84366666666666723</v>
      </c>
      <c r="AE59" s="1121">
        <f t="shared" si="95"/>
        <v>-0.15401639344262286</v>
      </c>
      <c r="AF59" s="1121">
        <f t="shared" si="95"/>
        <v>-0.55339062499999958</v>
      </c>
      <c r="AG59" s="1121">
        <f t="shared" si="95"/>
        <v>-1.5273593749999999</v>
      </c>
      <c r="AH59" s="1122">
        <f t="shared" si="95"/>
        <v>-0.79788709677419334</v>
      </c>
      <c r="AI59" s="1121">
        <f t="shared" si="95"/>
        <v>-1.6838709677418517E-2</v>
      </c>
      <c r="AJ59" s="1121">
        <f t="shared" si="95"/>
        <v>-0.56160937500000019</v>
      </c>
      <c r="AK59" s="1121">
        <f t="shared" si="95"/>
        <v>-1.2109841269841268</v>
      </c>
      <c r="AL59" s="1122">
        <f t="shared" si="95"/>
        <v>-0.13975806451612982</v>
      </c>
      <c r="AM59" s="1121">
        <f t="shared" si="95"/>
        <v>3.4441967213114757</v>
      </c>
      <c r="AN59" s="1121">
        <f t="shared" si="95"/>
        <v>0</v>
      </c>
      <c r="AO59" s="1121">
        <f t="shared" si="95"/>
        <v>0</v>
      </c>
      <c r="AP59" s="1122">
        <f t="shared" si="95"/>
        <v>0</v>
      </c>
      <c r="AQ59" s="1121">
        <f t="shared" si="95"/>
        <v>0</v>
      </c>
      <c r="AR59" s="1121">
        <f t="shared" si="95"/>
        <v>0</v>
      </c>
      <c r="AS59" s="1121">
        <f t="shared" si="95"/>
        <v>0</v>
      </c>
      <c r="AT59" s="1122">
        <f t="shared" si="95"/>
        <v>0</v>
      </c>
      <c r="AU59" s="1632">
        <f t="shared" si="95"/>
        <v>0</v>
      </c>
      <c r="AV59" s="1632">
        <f t="shared" si="95"/>
        <v>0</v>
      </c>
      <c r="AW59" s="1632">
        <f t="shared" si="95"/>
        <v>0</v>
      </c>
      <c r="AX59" s="1633">
        <f t="shared" si="90"/>
        <v>0</v>
      </c>
      <c r="AY59" s="1521">
        <f>IF(ISBLANK(AY202),"",IF(Uplift="Yes",$BX58,AY202))</f>
        <v>-0.25</v>
      </c>
      <c r="AZ59" s="1521">
        <f>IF(ISBLANK(AZ202),"",IF(Uplift="Yes",$BX58,AZ202))</f>
        <v>-0.25</v>
      </c>
      <c r="BA59" s="1521">
        <f>IF(ISBLANK(BA202),"",IF(Uplift="Yes",$BX58,BA202))</f>
        <v>-0.25</v>
      </c>
      <c r="BB59" s="1522">
        <f>IF(ISBLANK(BB202),"",IF(Uplift="Yes",$BX58,BB202))</f>
        <v>-0.25</v>
      </c>
      <c r="BC59" s="1123"/>
      <c r="BD59" s="1123"/>
      <c r="BE59" s="1254">
        <f t="shared" si="96"/>
        <v>0.7661937474767625</v>
      </c>
      <c r="BF59" s="1254">
        <f t="shared" si="97"/>
        <v>0.63760019841269922</v>
      </c>
      <c r="BG59" s="1254">
        <f t="shared" si="98"/>
        <v>0.22804792906745996</v>
      </c>
      <c r="BH59" s="1260">
        <f t="shared" si="99"/>
        <v>0.26658749999999931</v>
      </c>
      <c r="BI59" s="1260">
        <f t="shared" si="100"/>
        <v>1.0417167648565566</v>
      </c>
      <c r="BJ59" s="1260">
        <f t="shared" si="101"/>
        <v>5.0265346982206582E-2</v>
      </c>
      <c r="BK59" s="1260">
        <f t="shared" si="102"/>
        <v>-0.75816337255420385</v>
      </c>
      <c r="BL59" s="1260">
        <f t="shared" si="103"/>
        <v>-0.48229756904441884</v>
      </c>
      <c r="BM59" s="1260">
        <f t="shared" si="104"/>
        <v>0.86104918032786892</v>
      </c>
      <c r="BN59" s="1260">
        <f t="shared" si="105"/>
        <v>0</v>
      </c>
      <c r="BO59" s="1260">
        <f t="shared" si="106"/>
        <v>0</v>
      </c>
      <c r="BP59" s="1260">
        <f t="shared" si="107"/>
        <v>-0.25</v>
      </c>
      <c r="BQ59" s="1114"/>
      <c r="BR59" s="1115"/>
      <c r="BU59" s="1087"/>
      <c r="BV59" t="s">
        <v>960</v>
      </c>
      <c r="BW59"/>
      <c r="BX59" s="1517">
        <v>-0.3</v>
      </c>
    </row>
    <row r="60" spans="1:104" ht="12.75" customHeight="1">
      <c r="A60" s="1088"/>
      <c r="B60" s="1089"/>
      <c r="C60" s="1370" t="s">
        <v>727</v>
      </c>
      <c r="D60" s="1370"/>
      <c r="E60" s="1370"/>
      <c r="F60" s="1375"/>
      <c r="G60" s="1388">
        <f t="shared" si="92"/>
        <v>0</v>
      </c>
      <c r="H60" s="1389">
        <f t="shared" si="92"/>
        <v>0</v>
      </c>
      <c r="I60" s="1389">
        <f t="shared" si="92"/>
        <v>0</v>
      </c>
      <c r="J60" s="1390">
        <f t="shared" si="92"/>
        <v>0</v>
      </c>
      <c r="K60" s="1388">
        <f t="shared" si="93"/>
        <v>0</v>
      </c>
      <c r="L60" s="1389">
        <f t="shared" si="93"/>
        <v>0</v>
      </c>
      <c r="M60" s="1389">
        <f t="shared" si="93"/>
        <v>0</v>
      </c>
      <c r="N60" s="1390">
        <f t="shared" si="93"/>
        <v>0</v>
      </c>
      <c r="O60" s="1388">
        <f t="shared" si="94"/>
        <v>0</v>
      </c>
      <c r="P60" s="1389">
        <f t="shared" si="94"/>
        <v>0</v>
      </c>
      <c r="Q60" s="1389">
        <f t="shared" si="94"/>
        <v>0</v>
      </c>
      <c r="R60" s="1389">
        <f t="shared" si="94"/>
        <v>0</v>
      </c>
      <c r="S60" s="1120">
        <f t="shared" si="95"/>
        <v>0</v>
      </c>
      <c r="T60" s="1121">
        <f t="shared" si="95"/>
        <v>0</v>
      </c>
      <c r="U60" s="1121">
        <f t="shared" si="95"/>
        <v>0</v>
      </c>
      <c r="V60" s="1122">
        <f t="shared" si="95"/>
        <v>0</v>
      </c>
      <c r="W60" s="1121">
        <f t="shared" si="95"/>
        <v>0</v>
      </c>
      <c r="X60" s="1121">
        <f t="shared" si="95"/>
        <v>0</v>
      </c>
      <c r="Y60" s="1121">
        <f t="shared" si="95"/>
        <v>0</v>
      </c>
      <c r="Z60" s="1122">
        <f t="shared" ref="S60:AW68" si="110">IF(ISBLANK(Z203),"",Z203)</f>
        <v>0</v>
      </c>
      <c r="AA60" s="1121">
        <f t="shared" si="110"/>
        <v>0</v>
      </c>
      <c r="AB60" s="1121">
        <f t="shared" si="110"/>
        <v>0</v>
      </c>
      <c r="AC60" s="1121">
        <f t="shared" si="110"/>
        <v>0</v>
      </c>
      <c r="AD60" s="1122">
        <f t="shared" si="110"/>
        <v>0</v>
      </c>
      <c r="AE60" s="1121">
        <f t="shared" si="110"/>
        <v>0</v>
      </c>
      <c r="AF60" s="1121">
        <f t="shared" si="110"/>
        <v>0</v>
      </c>
      <c r="AG60" s="1121">
        <f t="shared" si="110"/>
        <v>0</v>
      </c>
      <c r="AH60" s="1122">
        <f t="shared" si="110"/>
        <v>0</v>
      </c>
      <c r="AI60" s="1121">
        <f t="shared" si="110"/>
        <v>0</v>
      </c>
      <c r="AJ60" s="1121">
        <f t="shared" si="110"/>
        <v>0</v>
      </c>
      <c r="AK60" s="1121">
        <f t="shared" si="110"/>
        <v>0</v>
      </c>
      <c r="AL60" s="1122">
        <f t="shared" si="110"/>
        <v>0</v>
      </c>
      <c r="AM60" s="1121">
        <f t="shared" si="110"/>
        <v>0</v>
      </c>
      <c r="AN60" s="1121">
        <f t="shared" si="110"/>
        <v>0</v>
      </c>
      <c r="AO60" s="1121">
        <f t="shared" si="110"/>
        <v>0</v>
      </c>
      <c r="AP60" s="1122">
        <f t="shared" si="110"/>
        <v>0</v>
      </c>
      <c r="AQ60" s="1121">
        <f t="shared" si="110"/>
        <v>0</v>
      </c>
      <c r="AR60" s="1121">
        <f t="shared" si="110"/>
        <v>0</v>
      </c>
      <c r="AS60" s="1121">
        <f t="shared" si="110"/>
        <v>0</v>
      </c>
      <c r="AT60" s="1122">
        <f t="shared" si="110"/>
        <v>0</v>
      </c>
      <c r="AU60" s="1121">
        <f t="shared" si="110"/>
        <v>0</v>
      </c>
      <c r="AV60" s="1121">
        <f t="shared" si="110"/>
        <v>0</v>
      </c>
      <c r="AW60" s="1121">
        <f t="shared" si="110"/>
        <v>0</v>
      </c>
      <c r="AX60" s="1122">
        <f t="shared" si="90"/>
        <v>0</v>
      </c>
      <c r="AY60" s="1121">
        <f t="shared" si="90"/>
        <v>0</v>
      </c>
      <c r="AZ60" s="1121">
        <f t="shared" si="90"/>
        <v>0</v>
      </c>
      <c r="BA60" s="1121">
        <f t="shared" si="90"/>
        <v>0</v>
      </c>
      <c r="BB60" s="1122">
        <f t="shared" si="90"/>
        <v>0</v>
      </c>
      <c r="BC60" s="1123"/>
      <c r="BD60" s="1123"/>
      <c r="BE60" s="1254">
        <f t="shared" si="96"/>
        <v>0</v>
      </c>
      <c r="BF60" s="1254">
        <f t="shared" si="97"/>
        <v>0</v>
      </c>
      <c r="BG60" s="1254">
        <f t="shared" si="98"/>
        <v>0</v>
      </c>
      <c r="BH60" s="1260">
        <f t="shared" si="99"/>
        <v>0</v>
      </c>
      <c r="BI60" s="1260">
        <f t="shared" si="100"/>
        <v>0</v>
      </c>
      <c r="BJ60" s="1260">
        <f t="shared" si="101"/>
        <v>0</v>
      </c>
      <c r="BK60" s="1260">
        <f t="shared" si="102"/>
        <v>0</v>
      </c>
      <c r="BL60" s="1260">
        <f t="shared" si="103"/>
        <v>0</v>
      </c>
      <c r="BM60" s="1260">
        <f t="shared" si="104"/>
        <v>0</v>
      </c>
      <c r="BN60" s="1260">
        <f t="shared" si="105"/>
        <v>0</v>
      </c>
      <c r="BO60" s="1260">
        <f t="shared" si="106"/>
        <v>0</v>
      </c>
      <c r="BP60" s="1260">
        <f t="shared" si="107"/>
        <v>0</v>
      </c>
      <c r="BQ60" s="1114"/>
      <c r="BR60" s="1115"/>
      <c r="BU60" s="1087"/>
      <c r="BV60" s="1321" t="s">
        <v>961</v>
      </c>
      <c r="BW60"/>
      <c r="BX60" s="1517">
        <v>-0.5</v>
      </c>
    </row>
    <row r="61" spans="1:104" ht="12.75" customHeight="1">
      <c r="A61" s="1088"/>
      <c r="B61" s="1089"/>
      <c r="C61" s="1370" t="s">
        <v>728</v>
      </c>
      <c r="D61" s="1370"/>
      <c r="E61" s="1370"/>
      <c r="F61" s="1375"/>
      <c r="G61" s="1388">
        <f t="shared" si="92"/>
        <v>0</v>
      </c>
      <c r="H61" s="1389">
        <f t="shared" si="92"/>
        <v>0</v>
      </c>
      <c r="I61" s="1389">
        <f t="shared" si="92"/>
        <v>0</v>
      </c>
      <c r="J61" s="1390">
        <f t="shared" si="92"/>
        <v>0</v>
      </c>
      <c r="K61" s="1388">
        <f t="shared" si="93"/>
        <v>0</v>
      </c>
      <c r="L61" s="1389">
        <f t="shared" si="93"/>
        <v>0</v>
      </c>
      <c r="M61" s="1389">
        <f t="shared" si="93"/>
        <v>0</v>
      </c>
      <c r="N61" s="1390">
        <f t="shared" si="93"/>
        <v>0</v>
      </c>
      <c r="O61" s="1388">
        <f t="shared" si="94"/>
        <v>0</v>
      </c>
      <c r="P61" s="1389">
        <f t="shared" si="94"/>
        <v>0</v>
      </c>
      <c r="Q61" s="1389">
        <f t="shared" si="94"/>
        <v>0</v>
      </c>
      <c r="R61" s="1389">
        <f t="shared" si="94"/>
        <v>0</v>
      </c>
      <c r="S61" s="1120">
        <f t="shared" si="110"/>
        <v>0</v>
      </c>
      <c r="T61" s="1121">
        <f t="shared" si="110"/>
        <v>0</v>
      </c>
      <c r="U61" s="1121">
        <f t="shared" si="110"/>
        <v>0</v>
      </c>
      <c r="V61" s="1122">
        <f t="shared" si="110"/>
        <v>0</v>
      </c>
      <c r="W61" s="1121">
        <f t="shared" si="110"/>
        <v>0</v>
      </c>
      <c r="X61" s="1121">
        <f t="shared" si="110"/>
        <v>0</v>
      </c>
      <c r="Y61" s="1121">
        <f t="shared" si="110"/>
        <v>0</v>
      </c>
      <c r="Z61" s="1122">
        <f t="shared" si="110"/>
        <v>0</v>
      </c>
      <c r="AA61" s="1121">
        <f t="shared" si="110"/>
        <v>0</v>
      </c>
      <c r="AB61" s="1121">
        <f t="shared" si="110"/>
        <v>0</v>
      </c>
      <c r="AC61" s="1121">
        <f t="shared" si="110"/>
        <v>0</v>
      </c>
      <c r="AD61" s="1122">
        <f t="shared" si="110"/>
        <v>0</v>
      </c>
      <c r="AE61" s="1121">
        <f t="shared" si="110"/>
        <v>0</v>
      </c>
      <c r="AF61" s="1121">
        <f t="shared" si="110"/>
        <v>0</v>
      </c>
      <c r="AG61" s="1121">
        <f t="shared" si="110"/>
        <v>0</v>
      </c>
      <c r="AH61" s="1122">
        <f t="shared" si="110"/>
        <v>0</v>
      </c>
      <c r="AI61" s="1121">
        <f t="shared" si="110"/>
        <v>0</v>
      </c>
      <c r="AJ61" s="1121">
        <f t="shared" si="110"/>
        <v>0</v>
      </c>
      <c r="AK61" s="1121">
        <f t="shared" si="110"/>
        <v>0</v>
      </c>
      <c r="AL61" s="1122">
        <f t="shared" si="110"/>
        <v>0</v>
      </c>
      <c r="AM61" s="1121">
        <f t="shared" si="110"/>
        <v>0</v>
      </c>
      <c r="AN61" s="1121">
        <f t="shared" si="110"/>
        <v>0</v>
      </c>
      <c r="AO61" s="1121">
        <f t="shared" si="110"/>
        <v>0</v>
      </c>
      <c r="AP61" s="1122">
        <f t="shared" si="110"/>
        <v>0</v>
      </c>
      <c r="AQ61" s="1121">
        <f t="shared" si="110"/>
        <v>0</v>
      </c>
      <c r="AR61" s="1121">
        <f t="shared" si="110"/>
        <v>0</v>
      </c>
      <c r="AS61" s="1121">
        <f t="shared" si="110"/>
        <v>0</v>
      </c>
      <c r="AT61" s="1122">
        <f t="shared" si="110"/>
        <v>0</v>
      </c>
      <c r="AU61" s="1121">
        <f t="shared" si="110"/>
        <v>0</v>
      </c>
      <c r="AV61" s="1121">
        <f t="shared" si="110"/>
        <v>0</v>
      </c>
      <c r="AW61" s="1121">
        <f t="shared" si="110"/>
        <v>0</v>
      </c>
      <c r="AX61" s="1122">
        <f t="shared" si="90"/>
        <v>0</v>
      </c>
      <c r="AY61" s="1121">
        <f t="shared" si="90"/>
        <v>0</v>
      </c>
      <c r="AZ61" s="1121">
        <f t="shared" si="90"/>
        <v>0</v>
      </c>
      <c r="BA61" s="1121">
        <f t="shared" si="90"/>
        <v>0</v>
      </c>
      <c r="BB61" s="1122">
        <f t="shared" si="90"/>
        <v>0</v>
      </c>
      <c r="BC61" s="1123"/>
      <c r="BD61" s="1123"/>
      <c r="BE61" s="1254">
        <f t="shared" si="96"/>
        <v>0</v>
      </c>
      <c r="BF61" s="1254">
        <f t="shared" si="97"/>
        <v>0</v>
      </c>
      <c r="BG61" s="1254">
        <f t="shared" si="98"/>
        <v>0</v>
      </c>
      <c r="BH61" s="1260">
        <f t="shared" si="99"/>
        <v>0</v>
      </c>
      <c r="BI61" s="1260">
        <f t="shared" si="100"/>
        <v>0</v>
      </c>
      <c r="BJ61" s="1260">
        <f t="shared" si="101"/>
        <v>0</v>
      </c>
      <c r="BK61" s="1260">
        <f t="shared" si="102"/>
        <v>0</v>
      </c>
      <c r="BL61" s="1260">
        <f t="shared" si="103"/>
        <v>0</v>
      </c>
      <c r="BM61" s="1260">
        <f t="shared" si="104"/>
        <v>0</v>
      </c>
      <c r="BN61" s="1260">
        <f t="shared" si="105"/>
        <v>0</v>
      </c>
      <c r="BO61" s="1260">
        <f t="shared" si="106"/>
        <v>0</v>
      </c>
      <c r="BP61" s="1260">
        <f t="shared" si="107"/>
        <v>0</v>
      </c>
      <c r="BQ61" s="1114"/>
      <c r="BR61" s="1115"/>
      <c r="BU61" s="1087"/>
      <c r="BV61" s="1273" t="s">
        <v>821</v>
      </c>
      <c r="BW61" s="1086"/>
      <c r="BX61" s="1276">
        <f>+BP200</f>
        <v>-9.0416666699999593E-2</v>
      </c>
    </row>
    <row r="62" spans="1:104" ht="12.75" customHeight="1">
      <c r="A62" s="1088"/>
      <c r="B62" s="1089"/>
      <c r="C62" s="1370" t="s">
        <v>729</v>
      </c>
      <c r="D62" s="1370"/>
      <c r="E62" s="1370"/>
      <c r="F62" s="1375"/>
      <c r="G62" s="1388">
        <f t="shared" si="92"/>
        <v>0</v>
      </c>
      <c r="H62" s="1389">
        <f t="shared" si="92"/>
        <v>0</v>
      </c>
      <c r="I62" s="1389">
        <f t="shared" si="92"/>
        <v>0</v>
      </c>
      <c r="J62" s="1390">
        <f t="shared" si="92"/>
        <v>0</v>
      </c>
      <c r="K62" s="1388">
        <f t="shared" si="93"/>
        <v>0</v>
      </c>
      <c r="L62" s="1389">
        <f t="shared" si="93"/>
        <v>0</v>
      </c>
      <c r="M62" s="1389">
        <f t="shared" si="93"/>
        <v>0</v>
      </c>
      <c r="N62" s="1390">
        <f t="shared" si="93"/>
        <v>0</v>
      </c>
      <c r="O62" s="1388">
        <f t="shared" si="94"/>
        <v>0</v>
      </c>
      <c r="P62" s="1389">
        <f t="shared" si="94"/>
        <v>0</v>
      </c>
      <c r="Q62" s="1389">
        <f t="shared" si="94"/>
        <v>0</v>
      </c>
      <c r="R62" s="1389">
        <f t="shared" si="94"/>
        <v>0</v>
      </c>
      <c r="S62" s="1120">
        <f t="shared" si="110"/>
        <v>0</v>
      </c>
      <c r="T62" s="1121">
        <f t="shared" si="110"/>
        <v>0</v>
      </c>
      <c r="U62" s="1121">
        <f t="shared" si="110"/>
        <v>0</v>
      </c>
      <c r="V62" s="1122">
        <f t="shared" si="110"/>
        <v>0</v>
      </c>
      <c r="W62" s="1121">
        <f t="shared" si="110"/>
        <v>0</v>
      </c>
      <c r="X62" s="1121">
        <f t="shared" si="110"/>
        <v>0</v>
      </c>
      <c r="Y62" s="1121">
        <f t="shared" si="110"/>
        <v>0</v>
      </c>
      <c r="Z62" s="1122">
        <f t="shared" si="110"/>
        <v>0</v>
      </c>
      <c r="AA62" s="1121">
        <f t="shared" si="110"/>
        <v>0</v>
      </c>
      <c r="AB62" s="1121">
        <f t="shared" si="110"/>
        <v>0</v>
      </c>
      <c r="AC62" s="1121">
        <f t="shared" si="110"/>
        <v>0</v>
      </c>
      <c r="AD62" s="1122">
        <f t="shared" si="110"/>
        <v>0</v>
      </c>
      <c r="AE62" s="1121">
        <f t="shared" si="110"/>
        <v>0</v>
      </c>
      <c r="AF62" s="1121">
        <f t="shared" si="110"/>
        <v>0</v>
      </c>
      <c r="AG62" s="1121">
        <f t="shared" si="110"/>
        <v>0</v>
      </c>
      <c r="AH62" s="1122">
        <f t="shared" si="110"/>
        <v>0</v>
      </c>
      <c r="AI62" s="1121">
        <f t="shared" si="110"/>
        <v>0</v>
      </c>
      <c r="AJ62" s="1121">
        <f t="shared" si="110"/>
        <v>0</v>
      </c>
      <c r="AK62" s="1121">
        <f t="shared" si="110"/>
        <v>0</v>
      </c>
      <c r="AL62" s="1122">
        <f t="shared" si="110"/>
        <v>0</v>
      </c>
      <c r="AM62" s="1121">
        <f t="shared" si="110"/>
        <v>0</v>
      </c>
      <c r="AN62" s="1121">
        <f t="shared" si="110"/>
        <v>0</v>
      </c>
      <c r="AO62" s="1121">
        <f t="shared" si="110"/>
        <v>0</v>
      </c>
      <c r="AP62" s="1122">
        <f t="shared" si="110"/>
        <v>0</v>
      </c>
      <c r="AQ62" s="1121">
        <f t="shared" si="110"/>
        <v>0</v>
      </c>
      <c r="AR62" s="1121">
        <f t="shared" si="110"/>
        <v>0</v>
      </c>
      <c r="AS62" s="1121">
        <f t="shared" si="110"/>
        <v>0</v>
      </c>
      <c r="AT62" s="1122">
        <f t="shared" si="110"/>
        <v>0</v>
      </c>
      <c r="AU62" s="1121">
        <f t="shared" si="110"/>
        <v>0</v>
      </c>
      <c r="AV62" s="1121">
        <f t="shared" si="110"/>
        <v>0</v>
      </c>
      <c r="AW62" s="1121">
        <f t="shared" si="110"/>
        <v>0</v>
      </c>
      <c r="AX62" s="1122">
        <f t="shared" si="90"/>
        <v>0</v>
      </c>
      <c r="AY62" s="1121">
        <f t="shared" si="90"/>
        <v>0</v>
      </c>
      <c r="AZ62" s="1121">
        <f t="shared" si="90"/>
        <v>0</v>
      </c>
      <c r="BA62" s="1121">
        <f t="shared" si="90"/>
        <v>0</v>
      </c>
      <c r="BB62" s="1122">
        <f t="shared" si="90"/>
        <v>0</v>
      </c>
      <c r="BC62" s="1123"/>
      <c r="BD62" s="1123"/>
      <c r="BE62" s="1254">
        <f t="shared" si="96"/>
        <v>0</v>
      </c>
      <c r="BF62" s="1254">
        <f t="shared" si="97"/>
        <v>0</v>
      </c>
      <c r="BG62" s="1254">
        <f t="shared" si="98"/>
        <v>0</v>
      </c>
      <c r="BH62" s="1260">
        <f t="shared" si="99"/>
        <v>0</v>
      </c>
      <c r="BI62" s="1260">
        <f t="shared" si="100"/>
        <v>0</v>
      </c>
      <c r="BJ62" s="1260">
        <f t="shared" si="101"/>
        <v>0</v>
      </c>
      <c r="BK62" s="1260">
        <f t="shared" si="102"/>
        <v>0</v>
      </c>
      <c r="BL62" s="1260">
        <f t="shared" si="103"/>
        <v>0</v>
      </c>
      <c r="BM62" s="1260">
        <f t="shared" si="104"/>
        <v>0</v>
      </c>
      <c r="BN62" s="1260">
        <f t="shared" si="105"/>
        <v>0</v>
      </c>
      <c r="BO62" s="1260">
        <f t="shared" si="106"/>
        <v>0</v>
      </c>
      <c r="BP62" s="1260">
        <f t="shared" si="107"/>
        <v>0</v>
      </c>
      <c r="BQ62" s="1114"/>
      <c r="BR62" s="1115"/>
      <c r="BU62" s="1087"/>
      <c r="BV62" s="1129" t="s">
        <v>822</v>
      </c>
      <c r="BW62" s="1086"/>
      <c r="BX62" s="1277">
        <f>+BX58-BX61</f>
        <v>-0.15958333330000041</v>
      </c>
    </row>
    <row r="63" spans="1:104" ht="12.75" customHeight="1">
      <c r="A63" s="1088"/>
      <c r="B63" s="1089"/>
      <c r="C63" s="1370" t="s">
        <v>730</v>
      </c>
      <c r="D63" s="1370"/>
      <c r="E63" s="1370"/>
      <c r="F63" s="1375"/>
      <c r="G63" s="1388">
        <f t="shared" si="92"/>
        <v>0</v>
      </c>
      <c r="H63" s="1389">
        <f t="shared" si="92"/>
        <v>0</v>
      </c>
      <c r="I63" s="1389">
        <f t="shared" si="92"/>
        <v>0</v>
      </c>
      <c r="J63" s="1390">
        <f t="shared" si="92"/>
        <v>0</v>
      </c>
      <c r="K63" s="1388">
        <f t="shared" si="93"/>
        <v>0</v>
      </c>
      <c r="L63" s="1389">
        <f t="shared" si="93"/>
        <v>0</v>
      </c>
      <c r="M63" s="1389">
        <f t="shared" si="93"/>
        <v>0</v>
      </c>
      <c r="N63" s="1390">
        <f t="shared" si="93"/>
        <v>0</v>
      </c>
      <c r="O63" s="1388">
        <f t="shared" si="94"/>
        <v>0</v>
      </c>
      <c r="P63" s="1389">
        <f t="shared" si="94"/>
        <v>0</v>
      </c>
      <c r="Q63" s="1389">
        <f t="shared" si="94"/>
        <v>0</v>
      </c>
      <c r="R63" s="1389">
        <f t="shared" si="94"/>
        <v>0</v>
      </c>
      <c r="S63" s="1120">
        <f t="shared" si="110"/>
        <v>0</v>
      </c>
      <c r="T63" s="1121">
        <f t="shared" si="110"/>
        <v>0</v>
      </c>
      <c r="U63" s="1121">
        <f t="shared" si="110"/>
        <v>0</v>
      </c>
      <c r="V63" s="1122">
        <f t="shared" si="110"/>
        <v>0</v>
      </c>
      <c r="W63" s="1121">
        <f t="shared" si="110"/>
        <v>0</v>
      </c>
      <c r="X63" s="1121">
        <f t="shared" si="110"/>
        <v>0</v>
      </c>
      <c r="Y63" s="1121">
        <f t="shared" si="110"/>
        <v>0</v>
      </c>
      <c r="Z63" s="1122">
        <f t="shared" si="110"/>
        <v>0</v>
      </c>
      <c r="AA63" s="1121">
        <f t="shared" si="110"/>
        <v>0</v>
      </c>
      <c r="AB63" s="1121">
        <f t="shared" si="110"/>
        <v>0</v>
      </c>
      <c r="AC63" s="1121">
        <f t="shared" si="110"/>
        <v>0</v>
      </c>
      <c r="AD63" s="1122">
        <f t="shared" si="110"/>
        <v>0</v>
      </c>
      <c r="AE63" s="1121">
        <f t="shared" si="110"/>
        <v>0</v>
      </c>
      <c r="AF63" s="1121">
        <f t="shared" si="110"/>
        <v>0</v>
      </c>
      <c r="AG63" s="1121">
        <f t="shared" si="110"/>
        <v>0</v>
      </c>
      <c r="AH63" s="1122">
        <f t="shared" si="110"/>
        <v>0</v>
      </c>
      <c r="AI63" s="1121">
        <f t="shared" si="110"/>
        <v>0</v>
      </c>
      <c r="AJ63" s="1121">
        <f t="shared" si="110"/>
        <v>0</v>
      </c>
      <c r="AK63" s="1121">
        <f t="shared" si="110"/>
        <v>0</v>
      </c>
      <c r="AL63" s="1122">
        <f t="shared" si="110"/>
        <v>0</v>
      </c>
      <c r="AM63" s="1121">
        <f t="shared" si="110"/>
        <v>0</v>
      </c>
      <c r="AN63" s="1121">
        <f t="shared" si="110"/>
        <v>0</v>
      </c>
      <c r="AO63" s="1121">
        <f t="shared" si="110"/>
        <v>0</v>
      </c>
      <c r="AP63" s="1122">
        <f t="shared" si="110"/>
        <v>0</v>
      </c>
      <c r="AQ63" s="1121">
        <f t="shared" si="110"/>
        <v>0</v>
      </c>
      <c r="AR63" s="1121">
        <f t="shared" si="110"/>
        <v>0</v>
      </c>
      <c r="AS63" s="1121">
        <f t="shared" si="110"/>
        <v>0</v>
      </c>
      <c r="AT63" s="1122">
        <f t="shared" si="110"/>
        <v>0</v>
      </c>
      <c r="AU63" s="1121">
        <f t="shared" si="110"/>
        <v>0</v>
      </c>
      <c r="AV63" s="1121">
        <f t="shared" si="110"/>
        <v>0</v>
      </c>
      <c r="AW63" s="1121">
        <f t="shared" si="110"/>
        <v>0</v>
      </c>
      <c r="AX63" s="1122">
        <f t="shared" si="90"/>
        <v>0</v>
      </c>
      <c r="AY63" s="1121">
        <f t="shared" si="90"/>
        <v>0</v>
      </c>
      <c r="AZ63" s="1121">
        <f t="shared" si="90"/>
        <v>0</v>
      </c>
      <c r="BA63" s="1121">
        <f t="shared" si="90"/>
        <v>0</v>
      </c>
      <c r="BB63" s="1122">
        <f t="shared" si="90"/>
        <v>0</v>
      </c>
      <c r="BC63" s="1123"/>
      <c r="BD63" s="1123"/>
      <c r="BE63" s="1254">
        <f t="shared" si="96"/>
        <v>0</v>
      </c>
      <c r="BF63" s="1254">
        <f t="shared" si="97"/>
        <v>0</v>
      </c>
      <c r="BG63" s="1254">
        <f t="shared" si="98"/>
        <v>0</v>
      </c>
      <c r="BH63" s="1260">
        <f t="shared" si="99"/>
        <v>0</v>
      </c>
      <c r="BI63" s="1260">
        <f t="shared" si="100"/>
        <v>0</v>
      </c>
      <c r="BJ63" s="1260">
        <f t="shared" si="101"/>
        <v>0</v>
      </c>
      <c r="BK63" s="1260">
        <f t="shared" si="102"/>
        <v>0</v>
      </c>
      <c r="BL63" s="1260">
        <f t="shared" si="103"/>
        <v>0</v>
      </c>
      <c r="BM63" s="1260">
        <f t="shared" si="104"/>
        <v>0</v>
      </c>
      <c r="BN63" s="1260">
        <f t="shared" si="105"/>
        <v>0</v>
      </c>
      <c r="BO63" s="1260">
        <f t="shared" si="106"/>
        <v>0</v>
      </c>
      <c r="BP63" s="1260">
        <f t="shared" si="107"/>
        <v>0</v>
      </c>
      <c r="BQ63" s="1114"/>
      <c r="BR63" s="1115"/>
      <c r="BU63" s="1087"/>
      <c r="BV63" s="1086"/>
      <c r="BW63" s="1086"/>
      <c r="BX63" s="1086"/>
    </row>
    <row r="64" spans="1:104" ht="12.75" customHeight="1">
      <c r="A64" s="1088"/>
      <c r="B64" s="1089"/>
      <c r="C64" s="1370" t="s">
        <v>731</v>
      </c>
      <c r="D64" s="1370"/>
      <c r="E64" s="1370"/>
      <c r="F64" s="1375"/>
      <c r="G64" s="1388">
        <f t="shared" si="92"/>
        <v>0</v>
      </c>
      <c r="H64" s="1389">
        <f t="shared" si="92"/>
        <v>0</v>
      </c>
      <c r="I64" s="1389">
        <f t="shared" si="92"/>
        <v>0</v>
      </c>
      <c r="J64" s="1390">
        <f t="shared" si="92"/>
        <v>0</v>
      </c>
      <c r="K64" s="1388">
        <f t="shared" si="93"/>
        <v>0</v>
      </c>
      <c r="L64" s="1389">
        <f t="shared" si="93"/>
        <v>0</v>
      </c>
      <c r="M64" s="1389">
        <f t="shared" si="93"/>
        <v>0</v>
      </c>
      <c r="N64" s="1390">
        <f t="shared" si="93"/>
        <v>0</v>
      </c>
      <c r="O64" s="1388">
        <f t="shared" si="94"/>
        <v>0</v>
      </c>
      <c r="P64" s="1389">
        <f t="shared" si="94"/>
        <v>0</v>
      </c>
      <c r="Q64" s="1389">
        <f t="shared" si="94"/>
        <v>0</v>
      </c>
      <c r="R64" s="1389">
        <f t="shared" si="94"/>
        <v>0</v>
      </c>
      <c r="S64" s="1120">
        <f t="shared" si="110"/>
        <v>0</v>
      </c>
      <c r="T64" s="1121">
        <f t="shared" si="110"/>
        <v>0</v>
      </c>
      <c r="U64" s="1121">
        <f t="shared" si="110"/>
        <v>0</v>
      </c>
      <c r="V64" s="1122">
        <f t="shared" si="110"/>
        <v>0</v>
      </c>
      <c r="W64" s="1121">
        <f t="shared" si="110"/>
        <v>0</v>
      </c>
      <c r="X64" s="1121">
        <f t="shared" si="110"/>
        <v>0</v>
      </c>
      <c r="Y64" s="1121">
        <f t="shared" si="110"/>
        <v>0</v>
      </c>
      <c r="Z64" s="1122">
        <f t="shared" si="110"/>
        <v>0</v>
      </c>
      <c r="AA64" s="1121">
        <f t="shared" si="110"/>
        <v>0</v>
      </c>
      <c r="AB64" s="1121">
        <f t="shared" si="110"/>
        <v>0</v>
      </c>
      <c r="AC64" s="1121">
        <f t="shared" si="110"/>
        <v>0</v>
      </c>
      <c r="AD64" s="1122">
        <f t="shared" si="110"/>
        <v>0</v>
      </c>
      <c r="AE64" s="1121">
        <f t="shared" si="110"/>
        <v>0</v>
      </c>
      <c r="AF64" s="1121">
        <f t="shared" si="110"/>
        <v>0</v>
      </c>
      <c r="AG64" s="1121">
        <f t="shared" si="110"/>
        <v>0</v>
      </c>
      <c r="AH64" s="1122">
        <f t="shared" si="110"/>
        <v>0</v>
      </c>
      <c r="AI64" s="1121">
        <f t="shared" si="110"/>
        <v>0</v>
      </c>
      <c r="AJ64" s="1121">
        <f t="shared" si="110"/>
        <v>0</v>
      </c>
      <c r="AK64" s="1121">
        <f t="shared" si="110"/>
        <v>0</v>
      </c>
      <c r="AL64" s="1122">
        <f t="shared" si="110"/>
        <v>0</v>
      </c>
      <c r="AM64" s="1121">
        <f t="shared" si="110"/>
        <v>0</v>
      </c>
      <c r="AN64" s="1121">
        <f t="shared" si="110"/>
        <v>0</v>
      </c>
      <c r="AO64" s="1121">
        <f t="shared" si="110"/>
        <v>0</v>
      </c>
      <c r="AP64" s="1122">
        <f t="shared" si="110"/>
        <v>0</v>
      </c>
      <c r="AQ64" s="1121">
        <f t="shared" si="110"/>
        <v>0</v>
      </c>
      <c r="AR64" s="1121">
        <f t="shared" si="110"/>
        <v>0</v>
      </c>
      <c r="AS64" s="1121">
        <f t="shared" si="110"/>
        <v>0</v>
      </c>
      <c r="AT64" s="1122">
        <f t="shared" si="110"/>
        <v>0</v>
      </c>
      <c r="AU64" s="1121">
        <f t="shared" si="110"/>
        <v>0</v>
      </c>
      <c r="AV64" s="1121">
        <f t="shared" si="110"/>
        <v>0</v>
      </c>
      <c r="AW64" s="1121">
        <f t="shared" si="110"/>
        <v>0</v>
      </c>
      <c r="AX64" s="1122">
        <f t="shared" si="90"/>
        <v>0</v>
      </c>
      <c r="AY64" s="1121">
        <f t="shared" si="90"/>
        <v>0</v>
      </c>
      <c r="AZ64" s="1121">
        <f t="shared" si="90"/>
        <v>0</v>
      </c>
      <c r="BA64" s="1121">
        <f t="shared" si="90"/>
        <v>0</v>
      </c>
      <c r="BB64" s="1122">
        <f t="shared" si="90"/>
        <v>0</v>
      </c>
      <c r="BC64" s="1123"/>
      <c r="BD64" s="1123"/>
      <c r="BE64" s="1254">
        <f t="shared" si="96"/>
        <v>0</v>
      </c>
      <c r="BF64" s="1254">
        <f t="shared" si="97"/>
        <v>0</v>
      </c>
      <c r="BG64" s="1254">
        <f t="shared" si="98"/>
        <v>0</v>
      </c>
      <c r="BH64" s="1260">
        <f t="shared" si="99"/>
        <v>0</v>
      </c>
      <c r="BI64" s="1260">
        <f t="shared" si="100"/>
        <v>0</v>
      </c>
      <c r="BJ64" s="1260">
        <f t="shared" si="101"/>
        <v>0</v>
      </c>
      <c r="BK64" s="1260">
        <f t="shared" si="102"/>
        <v>0</v>
      </c>
      <c r="BL64" s="1260">
        <f t="shared" si="103"/>
        <v>0</v>
      </c>
      <c r="BM64" s="1260">
        <f t="shared" si="104"/>
        <v>0</v>
      </c>
      <c r="BN64" s="1260">
        <f t="shared" si="105"/>
        <v>0</v>
      </c>
      <c r="BO64" s="1260">
        <f t="shared" si="106"/>
        <v>0</v>
      </c>
      <c r="BP64" s="1260">
        <f t="shared" si="107"/>
        <v>0</v>
      </c>
      <c r="BQ64" s="1114"/>
      <c r="BR64" s="1115"/>
      <c r="BU64" s="1087"/>
      <c r="BV64" s="1273" t="s">
        <v>823</v>
      </c>
      <c r="BW64" s="1086"/>
      <c r="BX64" s="1276">
        <f>+BP202</f>
        <v>0</v>
      </c>
    </row>
    <row r="65" spans="1:77" ht="12.75" customHeight="1">
      <c r="A65" s="1088"/>
      <c r="B65" s="1089"/>
      <c r="C65" s="1370" t="s">
        <v>732</v>
      </c>
      <c r="D65" s="1370"/>
      <c r="E65" s="1370"/>
      <c r="F65" s="1375"/>
      <c r="G65" s="1388">
        <f t="shared" si="92"/>
        <v>-5.9550084889643529E-3</v>
      </c>
      <c r="H65" s="1389">
        <f t="shared" si="92"/>
        <v>-0.1638730158730155</v>
      </c>
      <c r="I65" s="1389">
        <f t="shared" si="92"/>
        <v>-0.31553124999999982</v>
      </c>
      <c r="J65" s="1390">
        <f t="shared" si="92"/>
        <v>2.7430769230770924E-2</v>
      </c>
      <c r="K65" s="1388">
        <f t="shared" si="93"/>
        <v>-4.0562500000001833E-2</v>
      </c>
      <c r="L65" s="1389">
        <f t="shared" si="93"/>
        <v>2.5078125000001172E-2</v>
      </c>
      <c r="M65" s="1389">
        <f t="shared" si="93"/>
        <v>0.14203125000000227</v>
      </c>
      <c r="N65" s="1390">
        <f t="shared" si="93"/>
        <v>0.29906349206349114</v>
      </c>
      <c r="O65" s="1388">
        <f t="shared" si="94"/>
        <v>0.31830158730158775</v>
      </c>
      <c r="P65" s="1389">
        <f t="shared" si="94"/>
        <v>0.28319047619047666</v>
      </c>
      <c r="Q65" s="1389">
        <f t="shared" si="94"/>
        <v>0.20952380952380834</v>
      </c>
      <c r="R65" s="1389">
        <f t="shared" si="94"/>
        <v>0.32709374999999907</v>
      </c>
      <c r="S65" s="1120">
        <f t="shared" si="110"/>
        <v>0.26973333333333294</v>
      </c>
      <c r="T65" s="1121">
        <f t="shared" si="110"/>
        <v>0.15754687499999775</v>
      </c>
      <c r="U65" s="1121">
        <f t="shared" si="110"/>
        <v>0.23087499999999972</v>
      </c>
      <c r="V65" s="1122">
        <f t="shared" si="110"/>
        <v>0.29959375000000188</v>
      </c>
      <c r="W65" s="1121">
        <f t="shared" si="110"/>
        <v>0.30404918032786998</v>
      </c>
      <c r="X65" s="1121">
        <f t="shared" si="110"/>
        <v>0.30642187499999984</v>
      </c>
      <c r="Y65" s="1121">
        <f t="shared" si="110"/>
        <v>0.50754687499999829</v>
      </c>
      <c r="Z65" s="1122">
        <f t="shared" si="110"/>
        <v>0.25204687500000134</v>
      </c>
      <c r="AA65" s="1121">
        <f t="shared" si="110"/>
        <v>-3.7548387096775215E-2</v>
      </c>
      <c r="AB65" s="1121">
        <f t="shared" si="110"/>
        <v>6.8507936507938183E-2</v>
      </c>
      <c r="AC65" s="1121">
        <f t="shared" si="110"/>
        <v>0.26343749999999932</v>
      </c>
      <c r="AD65" s="1122">
        <f t="shared" si="110"/>
        <v>0.35907936507936444</v>
      </c>
      <c r="AE65" s="1121">
        <f t="shared" si="110"/>
        <v>0.10468852459016342</v>
      </c>
      <c r="AF65" s="1121">
        <f t="shared" si="110"/>
        <v>7.9562500000000203E-2</v>
      </c>
      <c r="AG65" s="1121">
        <f t="shared" si="110"/>
        <v>3.6515625000000718E-2</v>
      </c>
      <c r="AH65" s="1122">
        <f t="shared" si="110"/>
        <v>4.9693548387096609E-2</v>
      </c>
      <c r="AI65" s="1121">
        <f t="shared" si="110"/>
        <v>0.15672580645161371</v>
      </c>
      <c r="AJ65" s="1121">
        <f t="shared" si="110"/>
        <v>0.10859375000000027</v>
      </c>
      <c r="AK65" s="1121">
        <f t="shared" si="110"/>
        <v>0.25880952380952404</v>
      </c>
      <c r="AL65" s="1122">
        <f t="shared" si="110"/>
        <v>1.4901290322580647</v>
      </c>
      <c r="AM65" s="1121">
        <f t="shared" si="110"/>
        <v>0.7802950819672132</v>
      </c>
      <c r="AN65" s="1121">
        <f t="shared" si="110"/>
        <v>-0.66499999999999959</v>
      </c>
      <c r="AO65" s="1121">
        <f t="shared" si="110"/>
        <v>-0.37199999999999989</v>
      </c>
      <c r="AP65" s="1122">
        <f t="shared" si="110"/>
        <v>-0.49500000000000055</v>
      </c>
      <c r="AQ65" s="1121">
        <f t="shared" si="110"/>
        <v>-0.30713417480557936</v>
      </c>
      <c r="AR65" s="1121">
        <f t="shared" si="110"/>
        <v>-0.75064523540322092</v>
      </c>
      <c r="AS65" s="1121">
        <f t="shared" si="110"/>
        <v>-0.53237727470099783</v>
      </c>
      <c r="AT65" s="1122">
        <f t="shared" si="110"/>
        <v>-0.20050998189020053</v>
      </c>
      <c r="AU65" s="1121">
        <f t="shared" si="110"/>
        <v>-0.26491667997570767</v>
      </c>
      <c r="AV65" s="1121">
        <f t="shared" si="110"/>
        <v>-0.72952134616272168</v>
      </c>
      <c r="AW65" s="1121">
        <f t="shared" si="110"/>
        <v>-0.50344822491097485</v>
      </c>
      <c r="AX65" s="1122">
        <f t="shared" si="90"/>
        <v>-0.15278041575059387</v>
      </c>
      <c r="AY65" s="1121">
        <f t="shared" si="90"/>
        <v>-0.18976284925876685</v>
      </c>
      <c r="AZ65" s="1121">
        <f t="shared" si="90"/>
        <v>-0.6882236801665047</v>
      </c>
      <c r="BA65" s="1121">
        <f t="shared" si="90"/>
        <v>-0.44995803943269674</v>
      </c>
      <c r="BB65" s="1122">
        <f t="shared" si="90"/>
        <v>-6.8722097942030214E-2</v>
      </c>
      <c r="BC65" s="1123"/>
      <c r="BD65" s="1123"/>
      <c r="BE65" s="1254">
        <f t="shared" si="96"/>
        <v>-0.11448212628280219</v>
      </c>
      <c r="BF65" s="1254">
        <f t="shared" si="97"/>
        <v>0.10640259176587319</v>
      </c>
      <c r="BG65" s="1254">
        <f t="shared" si="98"/>
        <v>0.28452740575396795</v>
      </c>
      <c r="BH65" s="1260">
        <f t="shared" si="99"/>
        <v>0.23943723958333307</v>
      </c>
      <c r="BI65" s="1260">
        <f t="shared" si="100"/>
        <v>0.34251620133196736</v>
      </c>
      <c r="BJ65" s="1260">
        <f t="shared" si="101"/>
        <v>0.16336910362263168</v>
      </c>
      <c r="BK65" s="1260">
        <f t="shared" si="102"/>
        <v>6.7615049494315238E-2</v>
      </c>
      <c r="BL65" s="1260">
        <f t="shared" si="103"/>
        <v>0.50356452812980068</v>
      </c>
      <c r="BM65" s="1260">
        <f t="shared" si="104"/>
        <v>-0.18792622950819671</v>
      </c>
      <c r="BN65" s="1260">
        <f t="shared" si="105"/>
        <v>-0.44766666669999966</v>
      </c>
      <c r="BO65" s="1260">
        <f t="shared" si="106"/>
        <v>-0.41266666669999952</v>
      </c>
      <c r="BP65" s="1260">
        <f t="shared" si="107"/>
        <v>-0.34916666669999963</v>
      </c>
      <c r="BQ65" s="1114"/>
      <c r="BR65" s="1115"/>
      <c r="BU65" s="1087"/>
      <c r="BV65" s="1129" t="s">
        <v>824</v>
      </c>
      <c r="BW65" s="1086"/>
      <c r="BX65" s="1277">
        <f>+BX58-BX64</f>
        <v>-0.25</v>
      </c>
    </row>
    <row r="66" spans="1:77" ht="12.75" customHeight="1">
      <c r="A66" s="1088"/>
      <c r="B66" s="1089"/>
      <c r="C66" s="1370" t="s">
        <v>733</v>
      </c>
      <c r="D66" s="1370"/>
      <c r="E66" s="1370"/>
      <c r="F66" s="1375"/>
      <c r="G66" s="1388">
        <f t="shared" si="92"/>
        <v>-5.9550084889643529E-3</v>
      </c>
      <c r="H66" s="1389">
        <f t="shared" si="92"/>
        <v>-0.1638730158730155</v>
      </c>
      <c r="I66" s="1389">
        <f t="shared" si="92"/>
        <v>-0.31553124999999982</v>
      </c>
      <c r="J66" s="1390">
        <f t="shared" si="92"/>
        <v>2.7430769230770924E-2</v>
      </c>
      <c r="K66" s="1388">
        <f t="shared" si="93"/>
        <v>-4.0562500000001833E-2</v>
      </c>
      <c r="L66" s="1389">
        <f t="shared" si="93"/>
        <v>2.5078125000001172E-2</v>
      </c>
      <c r="M66" s="1389">
        <f t="shared" si="93"/>
        <v>0.14203125000000227</v>
      </c>
      <c r="N66" s="1390">
        <f t="shared" si="93"/>
        <v>0.29906349206349114</v>
      </c>
      <c r="O66" s="1388">
        <f t="shared" si="94"/>
        <v>0.31830158730158775</v>
      </c>
      <c r="P66" s="1389">
        <f t="shared" si="94"/>
        <v>0.28319047619047666</v>
      </c>
      <c r="Q66" s="1389">
        <f t="shared" si="94"/>
        <v>0.20952380952380834</v>
      </c>
      <c r="R66" s="1389">
        <f t="shared" si="94"/>
        <v>0.32709374999999907</v>
      </c>
      <c r="S66" s="1120">
        <f t="shared" si="110"/>
        <v>0.26973333333333294</v>
      </c>
      <c r="T66" s="1121">
        <f t="shared" si="110"/>
        <v>0.15754687499999775</v>
      </c>
      <c r="U66" s="1121">
        <f t="shared" si="110"/>
        <v>0.23087499999999972</v>
      </c>
      <c r="V66" s="1122">
        <f t="shared" si="110"/>
        <v>0.29959375000000188</v>
      </c>
      <c r="W66" s="1121">
        <f t="shared" si="110"/>
        <v>0.30404918032786998</v>
      </c>
      <c r="X66" s="1121">
        <f t="shared" si="110"/>
        <v>0.30642187499999984</v>
      </c>
      <c r="Y66" s="1121">
        <f t="shared" si="110"/>
        <v>0.50754687499999829</v>
      </c>
      <c r="Z66" s="1122">
        <f t="shared" si="110"/>
        <v>0.25204687500000134</v>
      </c>
      <c r="AA66" s="1121">
        <f t="shared" si="110"/>
        <v>-3.7548387096775215E-2</v>
      </c>
      <c r="AB66" s="1121">
        <f t="shared" si="110"/>
        <v>6.8507936507938183E-2</v>
      </c>
      <c r="AC66" s="1121">
        <f t="shared" si="110"/>
        <v>0.26343749999999932</v>
      </c>
      <c r="AD66" s="1122">
        <f t="shared" si="110"/>
        <v>0.35907936507936444</v>
      </c>
      <c r="AE66" s="1121">
        <f t="shared" si="110"/>
        <v>0.10468852459016342</v>
      </c>
      <c r="AF66" s="1121">
        <f t="shared" si="110"/>
        <v>7.9562500000000203E-2</v>
      </c>
      <c r="AG66" s="1121">
        <f t="shared" si="110"/>
        <v>3.6515625000000718E-2</v>
      </c>
      <c r="AH66" s="1122">
        <f t="shared" si="110"/>
        <v>4.9693548387096609E-2</v>
      </c>
      <c r="AI66" s="1121">
        <f t="shared" si="110"/>
        <v>0.15672580645161371</v>
      </c>
      <c r="AJ66" s="1121">
        <f t="shared" si="110"/>
        <v>0.10859375000000027</v>
      </c>
      <c r="AK66" s="1121">
        <f t="shared" si="110"/>
        <v>0.25880952380952404</v>
      </c>
      <c r="AL66" s="1122">
        <f t="shared" si="110"/>
        <v>1.4901290322580647</v>
      </c>
      <c r="AM66" s="1121">
        <f t="shared" si="110"/>
        <v>0.7802950819672132</v>
      </c>
      <c r="AN66" s="1121">
        <f t="shared" si="110"/>
        <v>-0.66499999999999959</v>
      </c>
      <c r="AO66" s="1121">
        <f t="shared" si="110"/>
        <v>-0.37199999999999989</v>
      </c>
      <c r="AP66" s="1122">
        <f t="shared" si="110"/>
        <v>-0.49500000000000055</v>
      </c>
      <c r="AQ66" s="1121">
        <f t="shared" si="110"/>
        <v>-0.30713417480557936</v>
      </c>
      <c r="AR66" s="1121">
        <f t="shared" si="110"/>
        <v>-0.75064523540322092</v>
      </c>
      <c r="AS66" s="1121">
        <f t="shared" si="110"/>
        <v>-0.53237727470099783</v>
      </c>
      <c r="AT66" s="1122">
        <f t="shared" si="110"/>
        <v>-0.20050998189020053</v>
      </c>
      <c r="AU66" s="1121">
        <f t="shared" si="110"/>
        <v>-0.26491667997570767</v>
      </c>
      <c r="AV66" s="1121">
        <f t="shared" si="110"/>
        <v>-0.72952134616272168</v>
      </c>
      <c r="AW66" s="1121">
        <f t="shared" si="110"/>
        <v>-0.50344822491097485</v>
      </c>
      <c r="AX66" s="1122">
        <f t="shared" ref="AX66:BB81" si="111">IF(ISBLANK(AX209),"",AX209)</f>
        <v>-0.15278041575059387</v>
      </c>
      <c r="AY66" s="1121">
        <f t="shared" si="90"/>
        <v>-0.18976284925876685</v>
      </c>
      <c r="AZ66" s="1121">
        <f t="shared" si="90"/>
        <v>-0.6882236801665047</v>
      </c>
      <c r="BA66" s="1121">
        <f t="shared" si="90"/>
        <v>-0.44995803943269674</v>
      </c>
      <c r="BB66" s="1122">
        <f t="shared" si="90"/>
        <v>-6.8722097942030214E-2</v>
      </c>
      <c r="BC66" s="1123"/>
      <c r="BD66" s="1123"/>
      <c r="BE66" s="1254">
        <f t="shared" si="96"/>
        <v>-0.11448212628280219</v>
      </c>
      <c r="BF66" s="1254">
        <f t="shared" si="97"/>
        <v>0.10640259176587319</v>
      </c>
      <c r="BG66" s="1254">
        <f t="shared" si="98"/>
        <v>0.28452740575396795</v>
      </c>
      <c r="BH66" s="1260">
        <f t="shared" si="99"/>
        <v>0.23943723958333307</v>
      </c>
      <c r="BI66" s="1260">
        <f t="shared" si="100"/>
        <v>0.34251620133196736</v>
      </c>
      <c r="BJ66" s="1260">
        <f t="shared" si="101"/>
        <v>0.16336910362263168</v>
      </c>
      <c r="BK66" s="1260">
        <f t="shared" si="102"/>
        <v>6.7615049494315238E-2</v>
      </c>
      <c r="BL66" s="1260">
        <f t="shared" si="103"/>
        <v>0.50356452812980068</v>
      </c>
      <c r="BM66" s="1260">
        <f t="shared" si="104"/>
        <v>-0.18792622950819671</v>
      </c>
      <c r="BN66" s="1260">
        <f t="shared" si="105"/>
        <v>-0.44766666669999966</v>
      </c>
      <c r="BO66" s="1260">
        <f t="shared" si="106"/>
        <v>-0.41266666669999952</v>
      </c>
      <c r="BP66" s="1260">
        <f t="shared" si="107"/>
        <v>-0.34916666669999963</v>
      </c>
      <c r="BQ66" s="1114"/>
      <c r="BR66" s="1115"/>
      <c r="BU66" s="1087"/>
    </row>
    <row r="67" spans="1:77" ht="12.75" customHeight="1">
      <c r="A67" s="1088"/>
      <c r="B67" s="1089"/>
      <c r="C67" s="1370" t="s">
        <v>734</v>
      </c>
      <c r="D67" s="1370"/>
      <c r="E67" s="1370"/>
      <c r="F67" s="1375"/>
      <c r="G67" s="1388">
        <f t="shared" si="92"/>
        <v>-5.9550084889643529E-3</v>
      </c>
      <c r="H67" s="1389">
        <f t="shared" si="92"/>
        <v>-0.1638730158730155</v>
      </c>
      <c r="I67" s="1389">
        <f t="shared" si="92"/>
        <v>-0.31553124999999982</v>
      </c>
      <c r="J67" s="1390">
        <f t="shared" si="92"/>
        <v>2.7430769230770924E-2</v>
      </c>
      <c r="K67" s="1388">
        <f t="shared" si="93"/>
        <v>-4.0562500000001833E-2</v>
      </c>
      <c r="L67" s="1389">
        <f t="shared" si="93"/>
        <v>2.5078125000001172E-2</v>
      </c>
      <c r="M67" s="1389">
        <f t="shared" si="93"/>
        <v>0.14203125000000227</v>
      </c>
      <c r="N67" s="1390">
        <f t="shared" si="93"/>
        <v>0.29906349206349114</v>
      </c>
      <c r="O67" s="1388">
        <f t="shared" si="94"/>
        <v>0.31830158730158775</v>
      </c>
      <c r="P67" s="1389">
        <f t="shared" si="94"/>
        <v>0.28319047619047666</v>
      </c>
      <c r="Q67" s="1389">
        <f t="shared" si="94"/>
        <v>0.20952380952380834</v>
      </c>
      <c r="R67" s="1389">
        <f t="shared" si="94"/>
        <v>0.32709374999999907</v>
      </c>
      <c r="S67" s="1120">
        <f t="shared" si="110"/>
        <v>0.26973333333333294</v>
      </c>
      <c r="T67" s="1121">
        <f t="shared" si="110"/>
        <v>0.15754687499999775</v>
      </c>
      <c r="U67" s="1121">
        <f t="shared" si="110"/>
        <v>0.23087499999999972</v>
      </c>
      <c r="V67" s="1122">
        <f t="shared" si="110"/>
        <v>0.29959375000000188</v>
      </c>
      <c r="W67" s="1121">
        <f t="shared" si="110"/>
        <v>0.30404918032786998</v>
      </c>
      <c r="X67" s="1121">
        <f t="shared" si="110"/>
        <v>0.30642187499999984</v>
      </c>
      <c r="Y67" s="1121">
        <f t="shared" si="110"/>
        <v>0.50754687499999829</v>
      </c>
      <c r="Z67" s="1122">
        <f t="shared" si="110"/>
        <v>0.25204687500000134</v>
      </c>
      <c r="AA67" s="1121">
        <f t="shared" si="110"/>
        <v>-3.7548387096775215E-2</v>
      </c>
      <c r="AB67" s="1121">
        <f t="shared" si="110"/>
        <v>6.8507936507938183E-2</v>
      </c>
      <c r="AC67" s="1121">
        <f t="shared" si="110"/>
        <v>0.26343749999999932</v>
      </c>
      <c r="AD67" s="1122">
        <f t="shared" si="110"/>
        <v>0.35907936507936444</v>
      </c>
      <c r="AE67" s="1121">
        <f t="shared" si="110"/>
        <v>0.10468852459016342</v>
      </c>
      <c r="AF67" s="1121">
        <f t="shared" si="110"/>
        <v>7.9562500000000203E-2</v>
      </c>
      <c r="AG67" s="1121">
        <f t="shared" si="110"/>
        <v>3.6515625000000718E-2</v>
      </c>
      <c r="AH67" s="1122">
        <f t="shared" si="110"/>
        <v>4.9693548387096609E-2</v>
      </c>
      <c r="AI67" s="1121">
        <f t="shared" si="110"/>
        <v>0.15672580645161371</v>
      </c>
      <c r="AJ67" s="1121">
        <f t="shared" si="110"/>
        <v>0.10859375000000027</v>
      </c>
      <c r="AK67" s="1121">
        <f t="shared" si="110"/>
        <v>0.25880952380952404</v>
      </c>
      <c r="AL67" s="1122">
        <f t="shared" si="110"/>
        <v>1.4901290322580647</v>
      </c>
      <c r="AM67" s="1121">
        <f t="shared" si="110"/>
        <v>0.7802950819672132</v>
      </c>
      <c r="AN67" s="1121">
        <f t="shared" si="110"/>
        <v>-0.66499999999999959</v>
      </c>
      <c r="AO67" s="1121">
        <f t="shared" si="110"/>
        <v>-0.37199999999999989</v>
      </c>
      <c r="AP67" s="1122">
        <f t="shared" si="110"/>
        <v>-0.49500000000000055</v>
      </c>
      <c r="AQ67" s="1121">
        <f t="shared" si="110"/>
        <v>-0.30713417480557936</v>
      </c>
      <c r="AR67" s="1121">
        <f t="shared" si="110"/>
        <v>-0.75064523540322092</v>
      </c>
      <c r="AS67" s="1121">
        <f t="shared" si="110"/>
        <v>-0.53237727470099783</v>
      </c>
      <c r="AT67" s="1122">
        <f t="shared" si="110"/>
        <v>-0.20050998189020053</v>
      </c>
      <c r="AU67" s="1121">
        <f t="shared" si="110"/>
        <v>-0.26491667997570767</v>
      </c>
      <c r="AV67" s="1121">
        <f t="shared" si="110"/>
        <v>-0.72952134616272168</v>
      </c>
      <c r="AW67" s="1121">
        <f t="shared" si="110"/>
        <v>-0.50344822491097485</v>
      </c>
      <c r="AX67" s="1122">
        <f t="shared" si="111"/>
        <v>-0.15278041575059387</v>
      </c>
      <c r="AY67" s="1121">
        <f t="shared" si="111"/>
        <v>-0.18976284925876685</v>
      </c>
      <c r="AZ67" s="1121">
        <f t="shared" si="111"/>
        <v>-0.6882236801665047</v>
      </c>
      <c r="BA67" s="1121">
        <f t="shared" si="111"/>
        <v>-0.44995803943269674</v>
      </c>
      <c r="BB67" s="1122">
        <f t="shared" si="111"/>
        <v>-6.8722097942030214E-2</v>
      </c>
      <c r="BC67" s="1123"/>
      <c r="BD67" s="1123"/>
      <c r="BE67" s="1254">
        <f t="shared" si="96"/>
        <v>-0.11448212628280219</v>
      </c>
      <c r="BF67" s="1254">
        <f t="shared" si="97"/>
        <v>0.10640259176587319</v>
      </c>
      <c r="BG67" s="1254">
        <f t="shared" si="98"/>
        <v>0.28452740575396795</v>
      </c>
      <c r="BH67" s="1260">
        <f t="shared" si="99"/>
        <v>0.23943723958333307</v>
      </c>
      <c r="BI67" s="1260">
        <f t="shared" si="100"/>
        <v>0.34251620133196736</v>
      </c>
      <c r="BJ67" s="1260">
        <f t="shared" si="101"/>
        <v>0.16336910362263168</v>
      </c>
      <c r="BK67" s="1260">
        <f t="shared" si="102"/>
        <v>6.7615049494315238E-2</v>
      </c>
      <c r="BL67" s="1260">
        <f t="shared" si="103"/>
        <v>0.50356452812980068</v>
      </c>
      <c r="BM67" s="1260">
        <f t="shared" si="104"/>
        <v>-0.18792622950819671</v>
      </c>
      <c r="BN67" s="1260">
        <f t="shared" si="105"/>
        <v>-0.44766666669999966</v>
      </c>
      <c r="BO67" s="1260">
        <f t="shared" si="106"/>
        <v>-0.41266666669999952</v>
      </c>
      <c r="BP67" s="1260">
        <f t="shared" si="107"/>
        <v>-0.34916666669999963</v>
      </c>
      <c r="BQ67" s="1114"/>
      <c r="BR67" s="1115"/>
      <c r="BU67" s="1087"/>
      <c r="BV67" s="1086"/>
      <c r="BW67" s="1086"/>
      <c r="BX67" s="1086"/>
    </row>
    <row r="68" spans="1:77" ht="12.75" customHeight="1">
      <c r="A68" s="1088"/>
      <c r="B68" s="1089"/>
      <c r="C68" s="1370" t="s">
        <v>735</v>
      </c>
      <c r="D68" s="1370"/>
      <c r="E68" s="1370"/>
      <c r="F68" s="1375"/>
      <c r="G68" s="1388">
        <f t="shared" ref="G68:J83" si="112">IF(ISBLANK(G211),"",G211)</f>
        <v>-5.9550084889643529E-3</v>
      </c>
      <c r="H68" s="1389">
        <f t="shared" si="112"/>
        <v>-0.1638730158730155</v>
      </c>
      <c r="I68" s="1389">
        <f t="shared" si="112"/>
        <v>-0.31553124999999982</v>
      </c>
      <c r="J68" s="1390">
        <f t="shared" si="112"/>
        <v>2.7430769230770924E-2</v>
      </c>
      <c r="K68" s="1388">
        <f t="shared" ref="K68:N83" si="113">IF(ISBLANK(K211),"",K211)</f>
        <v>-4.0562500000001833E-2</v>
      </c>
      <c r="L68" s="1389">
        <f t="shared" si="113"/>
        <v>2.5078125000001172E-2</v>
      </c>
      <c r="M68" s="1389">
        <f t="shared" si="113"/>
        <v>0.14203125000000227</v>
      </c>
      <c r="N68" s="1390">
        <f t="shared" si="113"/>
        <v>0.29906349206349114</v>
      </c>
      <c r="O68" s="1388">
        <f t="shared" ref="O68:R83" si="114">IF(ISBLANK(O211),"",O211)</f>
        <v>0.31830158730158775</v>
      </c>
      <c r="P68" s="1389">
        <f t="shared" si="114"/>
        <v>0.28319047619047666</v>
      </c>
      <c r="Q68" s="1389">
        <f t="shared" si="114"/>
        <v>0.20952380952380834</v>
      </c>
      <c r="R68" s="1389">
        <f t="shared" si="114"/>
        <v>0.32709374999999907</v>
      </c>
      <c r="S68" s="1120">
        <f t="shared" si="110"/>
        <v>0.26973333333333294</v>
      </c>
      <c r="T68" s="1121">
        <f t="shared" si="110"/>
        <v>0.15754687499999775</v>
      </c>
      <c r="U68" s="1121">
        <f t="shared" si="110"/>
        <v>0.23087499999999972</v>
      </c>
      <c r="V68" s="1122">
        <f t="shared" si="110"/>
        <v>0.29959375000000188</v>
      </c>
      <c r="W68" s="1121">
        <f t="shared" si="110"/>
        <v>0.30404918032786998</v>
      </c>
      <c r="X68" s="1121">
        <f t="shared" si="110"/>
        <v>0.30642187499999984</v>
      </c>
      <c r="Y68" s="1121">
        <f t="shared" si="110"/>
        <v>0.50754687499999829</v>
      </c>
      <c r="Z68" s="1122">
        <f t="shared" si="110"/>
        <v>0.25204687500000134</v>
      </c>
      <c r="AA68" s="1121">
        <f t="shared" si="110"/>
        <v>-3.7548387096775215E-2</v>
      </c>
      <c r="AB68" s="1121">
        <f t="shared" si="110"/>
        <v>6.8507936507938183E-2</v>
      </c>
      <c r="AC68" s="1121">
        <f t="shared" si="110"/>
        <v>0.26343749999999932</v>
      </c>
      <c r="AD68" s="1122">
        <f t="shared" si="110"/>
        <v>0.35907936507936444</v>
      </c>
      <c r="AE68" s="1121">
        <f t="shared" si="110"/>
        <v>0.10468852459016342</v>
      </c>
      <c r="AF68" s="1121">
        <f t="shared" si="110"/>
        <v>7.9562500000000203E-2</v>
      </c>
      <c r="AG68" s="1121">
        <f t="shared" ref="S68:AW77" si="115">IF(ISBLANK(AG211),"",AG211)</f>
        <v>3.6515625000000718E-2</v>
      </c>
      <c r="AH68" s="1122">
        <f t="shared" si="115"/>
        <v>4.9693548387096609E-2</v>
      </c>
      <c r="AI68" s="1121">
        <f t="shared" si="115"/>
        <v>0.15672580645161371</v>
      </c>
      <c r="AJ68" s="1121">
        <f t="shared" si="115"/>
        <v>0.10859375000000027</v>
      </c>
      <c r="AK68" s="1121">
        <f t="shared" si="115"/>
        <v>0.25880952380952404</v>
      </c>
      <c r="AL68" s="1122">
        <f t="shared" si="115"/>
        <v>1.4901290322580647</v>
      </c>
      <c r="AM68" s="1121">
        <f t="shared" si="115"/>
        <v>0.7802950819672132</v>
      </c>
      <c r="AN68" s="1121">
        <f t="shared" si="115"/>
        <v>-0.66499999999999959</v>
      </c>
      <c r="AO68" s="1121">
        <f t="shared" si="115"/>
        <v>-0.37199999999999989</v>
      </c>
      <c r="AP68" s="1122">
        <f t="shared" si="115"/>
        <v>-0.49500000000000055</v>
      </c>
      <c r="AQ68" s="1121">
        <f t="shared" si="115"/>
        <v>-0.30713417480557936</v>
      </c>
      <c r="AR68" s="1121">
        <f t="shared" si="115"/>
        <v>-0.75064523540322092</v>
      </c>
      <c r="AS68" s="1121">
        <f t="shared" si="115"/>
        <v>-0.53237727470099783</v>
      </c>
      <c r="AT68" s="1122">
        <f t="shared" si="115"/>
        <v>-0.20050998189020053</v>
      </c>
      <c r="AU68" s="1121">
        <f t="shared" si="115"/>
        <v>-0.26491667997570767</v>
      </c>
      <c r="AV68" s="1121">
        <f t="shared" si="115"/>
        <v>-0.72952134616272168</v>
      </c>
      <c r="AW68" s="1121">
        <f t="shared" si="115"/>
        <v>-0.50344822491097485</v>
      </c>
      <c r="AX68" s="1122">
        <f t="shared" si="111"/>
        <v>-0.15278041575059387</v>
      </c>
      <c r="AY68" s="1121">
        <f t="shared" si="111"/>
        <v>-0.18976284925876685</v>
      </c>
      <c r="AZ68" s="1121">
        <f t="shared" si="111"/>
        <v>-0.6882236801665047</v>
      </c>
      <c r="BA68" s="1121">
        <f t="shared" si="111"/>
        <v>-0.44995803943269674</v>
      </c>
      <c r="BB68" s="1122">
        <f t="shared" si="111"/>
        <v>-6.8722097942030214E-2</v>
      </c>
      <c r="BC68" s="1123"/>
      <c r="BD68" s="1123"/>
      <c r="BE68" s="1254">
        <f t="shared" si="96"/>
        <v>-0.11448212628280219</v>
      </c>
      <c r="BF68" s="1254">
        <f t="shared" si="97"/>
        <v>0.10640259176587319</v>
      </c>
      <c r="BG68" s="1254">
        <f t="shared" si="98"/>
        <v>0.28452740575396795</v>
      </c>
      <c r="BH68" s="1260">
        <f t="shared" si="99"/>
        <v>0.23943723958333307</v>
      </c>
      <c r="BI68" s="1260">
        <f t="shared" si="100"/>
        <v>0.34251620133196736</v>
      </c>
      <c r="BJ68" s="1260">
        <f t="shared" si="101"/>
        <v>0.16336910362263168</v>
      </c>
      <c r="BK68" s="1260">
        <f t="shared" si="102"/>
        <v>6.7615049494315238E-2</v>
      </c>
      <c r="BL68" s="1260">
        <f t="shared" si="103"/>
        <v>0.50356452812980068</v>
      </c>
      <c r="BM68" s="1260">
        <f t="shared" si="104"/>
        <v>-0.18792622950819671</v>
      </c>
      <c r="BN68" s="1260">
        <f t="shared" si="105"/>
        <v>-0.44766666669999966</v>
      </c>
      <c r="BO68" s="1260">
        <f t="shared" si="106"/>
        <v>-0.41266666669999952</v>
      </c>
      <c r="BP68" s="1260">
        <f t="shared" si="107"/>
        <v>-0.34916666669999963</v>
      </c>
      <c r="BQ68" s="1114"/>
      <c r="BR68" s="1115"/>
      <c r="BU68" s="1087"/>
      <c r="BV68" s="1244" t="s">
        <v>95</v>
      </c>
      <c r="BW68" s="1278" t="s">
        <v>572</v>
      </c>
      <c r="BX68" s="1278" t="s">
        <v>825</v>
      </c>
      <c r="BY68" s="1278" t="s">
        <v>826</v>
      </c>
    </row>
    <row r="69" spans="1:77" ht="12.75" customHeight="1">
      <c r="A69" s="1088"/>
      <c r="B69" s="1089"/>
      <c r="C69" s="1370"/>
      <c r="D69" s="1370"/>
      <c r="E69" s="1370"/>
      <c r="F69" s="1369"/>
      <c r="G69" s="1388">
        <f t="shared" si="112"/>
        <v>-8.7661290322580854E-2</v>
      </c>
      <c r="H69" s="1389">
        <f t="shared" si="112"/>
        <v>-0.16344444444444317</v>
      </c>
      <c r="I69" s="1389">
        <f t="shared" si="112"/>
        <v>-0.26625000000000032</v>
      </c>
      <c r="J69" s="1390">
        <f t="shared" si="112"/>
        <v>-0.10644615384615275</v>
      </c>
      <c r="K69" s="1388">
        <f t="shared" si="113"/>
        <v>-3.8796875000000064E-2</v>
      </c>
      <c r="L69" s="1389">
        <f t="shared" si="113"/>
        <v>-0.11246874999999878</v>
      </c>
      <c r="M69" s="1389">
        <f t="shared" si="113"/>
        <v>-8.0437500000000384E-2</v>
      </c>
      <c r="N69" s="1390">
        <f t="shared" si="113"/>
        <v>-7.6968253968253908E-2</v>
      </c>
      <c r="O69" s="1388">
        <f t="shared" si="114"/>
        <v>-6.4174603174603106E-2</v>
      </c>
      <c r="P69" s="1389">
        <f t="shared" si="114"/>
        <v>-5.0873015873015071E-2</v>
      </c>
      <c r="Q69" s="1389">
        <f t="shared" si="114"/>
        <v>-6.5730158730158195E-2</v>
      </c>
      <c r="R69" s="1389">
        <f t="shared" si="114"/>
        <v>-7.0828125000001574E-2</v>
      </c>
      <c r="S69" s="1120">
        <f t="shared" si="115"/>
        <v>-6.5516666666667334E-2</v>
      </c>
      <c r="T69" s="1121">
        <f t="shared" si="115"/>
        <v>-0.10400000000000054</v>
      </c>
      <c r="U69" s="1121">
        <f t="shared" si="115"/>
        <v>-6.8781250000001126E-2</v>
      </c>
      <c r="V69" s="1122">
        <f t="shared" si="115"/>
        <v>-4.9484375000000469E-2</v>
      </c>
      <c r="W69" s="1121">
        <f t="shared" si="115"/>
        <v>0.13100000000000023</v>
      </c>
      <c r="X69" s="1121">
        <f t="shared" si="115"/>
        <v>-0.1406093749999977</v>
      </c>
      <c r="Y69" s="1121">
        <f t="shared" si="115"/>
        <v>-8.2046874999999631E-2</v>
      </c>
      <c r="Z69" s="1122">
        <f t="shared" si="115"/>
        <v>-0.13220312499999887</v>
      </c>
      <c r="AA69" s="1121">
        <f t="shared" si="115"/>
        <v>-0.18638709677419296</v>
      </c>
      <c r="AB69" s="1121">
        <f t="shared" si="115"/>
        <v>-0.1698571428571416</v>
      </c>
      <c r="AC69" s="1121">
        <f t="shared" si="115"/>
        <v>-9.4734374999999815E-2</v>
      </c>
      <c r="AD69" s="1122">
        <f t="shared" si="115"/>
        <v>-7.3825396825397682E-2</v>
      </c>
      <c r="AE69" s="1121">
        <f t="shared" si="115"/>
        <v>-0.13737704918032856</v>
      </c>
      <c r="AF69" s="1121">
        <f t="shared" si="115"/>
        <v>-0.15981249999999947</v>
      </c>
      <c r="AG69" s="1121">
        <f t="shared" si="115"/>
        <v>-0.16378125000000088</v>
      </c>
      <c r="AH69" s="1122">
        <f t="shared" si="115"/>
        <v>-0.1974516129032251</v>
      </c>
      <c r="AI69" s="1121">
        <f t="shared" si="115"/>
        <v>-0.2175806451612905</v>
      </c>
      <c r="AJ69" s="1121">
        <f t="shared" si="115"/>
        <v>-0.31395312499999983</v>
      </c>
      <c r="AK69" s="1121">
        <f t="shared" si="115"/>
        <v>-0.23814285714285521</v>
      </c>
      <c r="AL69" s="1122">
        <f t="shared" si="115"/>
        <v>-0.332435483870968</v>
      </c>
      <c r="AM69" s="1121">
        <f t="shared" si="115"/>
        <v>-0.44990163934426253</v>
      </c>
      <c r="AN69" s="1121">
        <f t="shared" si="115"/>
        <v>-0.37966666666666615</v>
      </c>
      <c r="AO69" s="1121">
        <f t="shared" si="115"/>
        <v>-0.39166666666666661</v>
      </c>
      <c r="AP69" s="1122">
        <f t="shared" si="115"/>
        <v>-0.37166666666666703</v>
      </c>
      <c r="AQ69" s="1121">
        <f t="shared" si="115"/>
        <v>-0.19602769763382533</v>
      </c>
      <c r="AR69" s="1121">
        <f t="shared" si="115"/>
        <v>-0.300845626465994</v>
      </c>
      <c r="AS69" s="1121">
        <f t="shared" si="115"/>
        <v>-0.18112311230464595</v>
      </c>
      <c r="AT69" s="1122">
        <f t="shared" si="115"/>
        <v>-0.4933368969288674</v>
      </c>
      <c r="AU69" s="1121">
        <f t="shared" si="115"/>
        <v>-0.21941821857145705</v>
      </c>
      <c r="AV69" s="1121">
        <f t="shared" si="115"/>
        <v>-0.28887692999624326</v>
      </c>
      <c r="AW69" s="1121">
        <f t="shared" si="115"/>
        <v>-0.1563235091335029</v>
      </c>
      <c r="AX69" s="1122">
        <f t="shared" si="111"/>
        <v>-0.48504800896546163</v>
      </c>
      <c r="AY69" s="1121">
        <f t="shared" si="111"/>
        <v>-0.2167463007799646</v>
      </c>
      <c r="AZ69" s="1121">
        <f t="shared" si="111"/>
        <v>-0.28245768253923886</v>
      </c>
      <c r="BA69" s="1121">
        <f t="shared" si="111"/>
        <v>-0.14056807383264047</v>
      </c>
      <c r="BB69" s="1122">
        <f t="shared" si="111"/>
        <v>-0.47456127618148791</v>
      </c>
      <c r="BC69" s="1123"/>
      <c r="BD69" s="1123"/>
      <c r="BE69" s="1254"/>
      <c r="BF69" s="1254"/>
      <c r="BG69" s="1254"/>
      <c r="BH69" s="1260"/>
      <c r="BI69" s="1260"/>
      <c r="BJ69" s="1260"/>
      <c r="BK69" s="1260"/>
      <c r="BL69" s="1260"/>
      <c r="BM69" s="1260"/>
      <c r="BN69" s="1260"/>
      <c r="BO69" s="1260"/>
      <c r="BP69" s="1260"/>
      <c r="BQ69" s="1114"/>
      <c r="BR69" s="1141"/>
      <c r="BU69" s="1087"/>
      <c r="BV69" s="1273" t="str">
        <f t="shared" ref="BV69:BV76" si="116">+C82</f>
        <v>PJM West</v>
      </c>
      <c r="BW69" s="1271">
        <f t="shared" ref="BW69:BW76" si="117">+BP82</f>
        <v>14319.999999999998</v>
      </c>
      <c r="BX69" s="1279">
        <f>+BW36</f>
        <v>14319.999999999998</v>
      </c>
      <c r="BY69" s="1279">
        <f t="shared" ref="BY69:BY76" si="118">+BW69-BX69</f>
        <v>0</v>
      </c>
    </row>
    <row r="70" spans="1:77" ht="12.75" customHeight="1">
      <c r="A70" s="1088"/>
      <c r="B70" s="1089"/>
      <c r="C70" s="1370"/>
      <c r="D70" s="1370"/>
      <c r="E70" s="1370"/>
      <c r="F70" s="1369"/>
      <c r="G70" s="1388" t="str">
        <f t="shared" si="112"/>
        <v/>
      </c>
      <c r="H70" s="1389" t="str">
        <f t="shared" si="112"/>
        <v/>
      </c>
      <c r="I70" s="1389" t="str">
        <f t="shared" si="112"/>
        <v/>
      </c>
      <c r="J70" s="1390" t="str">
        <f t="shared" si="112"/>
        <v/>
      </c>
      <c r="K70" s="1388" t="str">
        <f t="shared" si="113"/>
        <v/>
      </c>
      <c r="L70" s="1389" t="str">
        <f t="shared" si="113"/>
        <v/>
      </c>
      <c r="M70" s="1389" t="str">
        <f t="shared" si="113"/>
        <v/>
      </c>
      <c r="N70" s="1390" t="str">
        <f t="shared" si="113"/>
        <v/>
      </c>
      <c r="O70" s="1388" t="str">
        <f t="shared" si="114"/>
        <v/>
      </c>
      <c r="P70" s="1389" t="str">
        <f t="shared" si="114"/>
        <v/>
      </c>
      <c r="Q70" s="1389" t="str">
        <f t="shared" si="114"/>
        <v/>
      </c>
      <c r="R70" s="1389" t="str">
        <f t="shared" si="114"/>
        <v/>
      </c>
      <c r="S70" s="1120" t="str">
        <f t="shared" si="115"/>
        <v/>
      </c>
      <c r="T70" s="1121" t="str">
        <f t="shared" si="115"/>
        <v/>
      </c>
      <c r="U70" s="1121" t="str">
        <f t="shared" si="115"/>
        <v/>
      </c>
      <c r="V70" s="1122" t="str">
        <f t="shared" si="115"/>
        <v/>
      </c>
      <c r="W70" s="1121" t="str">
        <f t="shared" si="115"/>
        <v/>
      </c>
      <c r="X70" s="1121" t="str">
        <f t="shared" si="115"/>
        <v/>
      </c>
      <c r="Y70" s="1121" t="str">
        <f t="shared" si="115"/>
        <v/>
      </c>
      <c r="Z70" s="1122" t="str">
        <f t="shared" si="115"/>
        <v/>
      </c>
      <c r="AA70" s="1121" t="str">
        <f t="shared" si="115"/>
        <v/>
      </c>
      <c r="AB70" s="1121" t="str">
        <f t="shared" si="115"/>
        <v/>
      </c>
      <c r="AC70" s="1121" t="str">
        <f t="shared" si="115"/>
        <v/>
      </c>
      <c r="AD70" s="1122" t="str">
        <f t="shared" si="115"/>
        <v/>
      </c>
      <c r="AE70" s="1121" t="str">
        <f t="shared" si="115"/>
        <v/>
      </c>
      <c r="AF70" s="1121" t="str">
        <f t="shared" si="115"/>
        <v/>
      </c>
      <c r="AG70" s="1121" t="str">
        <f t="shared" si="115"/>
        <v/>
      </c>
      <c r="AH70" s="1122" t="str">
        <f t="shared" si="115"/>
        <v/>
      </c>
      <c r="AI70" s="1121" t="str">
        <f t="shared" si="115"/>
        <v/>
      </c>
      <c r="AJ70" s="1121" t="str">
        <f t="shared" si="115"/>
        <v/>
      </c>
      <c r="AK70" s="1121" t="str">
        <f t="shared" si="115"/>
        <v/>
      </c>
      <c r="AL70" s="1122" t="str">
        <f t="shared" si="115"/>
        <v/>
      </c>
      <c r="AM70" s="1121" t="str">
        <f t="shared" si="115"/>
        <v/>
      </c>
      <c r="AN70" s="1121" t="str">
        <f t="shared" si="115"/>
        <v/>
      </c>
      <c r="AO70" s="1121" t="str">
        <f t="shared" si="115"/>
        <v/>
      </c>
      <c r="AP70" s="1122" t="str">
        <f t="shared" si="115"/>
        <v/>
      </c>
      <c r="AQ70" s="1121" t="str">
        <f t="shared" si="115"/>
        <v/>
      </c>
      <c r="AR70" s="1121" t="str">
        <f t="shared" si="115"/>
        <v/>
      </c>
      <c r="AS70" s="1121" t="str">
        <f t="shared" si="115"/>
        <v/>
      </c>
      <c r="AT70" s="1122" t="str">
        <f t="shared" si="115"/>
        <v/>
      </c>
      <c r="AU70" s="1121" t="str">
        <f t="shared" ref="AU70:AW81" si="119">IF(ISBLANK(AU213),"",AU213)</f>
        <v/>
      </c>
      <c r="AV70" s="1121" t="str">
        <f t="shared" si="119"/>
        <v/>
      </c>
      <c r="AW70" s="1121" t="str">
        <f t="shared" si="119"/>
        <v/>
      </c>
      <c r="AX70" s="1122" t="str">
        <f t="shared" si="111"/>
        <v/>
      </c>
      <c r="AY70" s="1121" t="str">
        <f t="shared" si="111"/>
        <v/>
      </c>
      <c r="AZ70" s="1121" t="str">
        <f t="shared" si="111"/>
        <v/>
      </c>
      <c r="BA70" s="1121" t="str">
        <f t="shared" si="111"/>
        <v/>
      </c>
      <c r="BB70" s="1122" t="str">
        <f t="shared" si="111"/>
        <v/>
      </c>
      <c r="BC70" s="1123"/>
      <c r="BD70" s="1123"/>
      <c r="BE70" s="1254"/>
      <c r="BF70" s="1254"/>
      <c r="BG70" s="1254"/>
      <c r="BH70" s="1260"/>
      <c r="BI70" s="1260"/>
      <c r="BJ70" s="1260"/>
      <c r="BK70" s="1260"/>
      <c r="BL70" s="1260"/>
      <c r="BM70" s="1260"/>
      <c r="BN70" s="1260"/>
      <c r="BO70" s="1260"/>
      <c r="BP70" s="1260"/>
      <c r="BQ70" s="1114"/>
      <c r="BR70" s="1115"/>
      <c r="BU70" s="1087"/>
      <c r="BV70" s="1273" t="str">
        <f t="shared" si="116"/>
        <v>PJM East</v>
      </c>
      <c r="BW70" s="1271">
        <f t="shared" si="117"/>
        <v>14408.571428571429</v>
      </c>
      <c r="BX70" s="1279">
        <f>+BW37</f>
        <v>14408.571428571429</v>
      </c>
      <c r="BY70" s="1279">
        <f t="shared" si="118"/>
        <v>0</v>
      </c>
    </row>
    <row r="71" spans="1:77" ht="12.75" customHeight="1">
      <c r="A71" s="1088"/>
      <c r="B71" s="1089"/>
      <c r="C71" s="1372" t="s">
        <v>619</v>
      </c>
      <c r="D71" s="1377"/>
      <c r="E71" s="1377"/>
      <c r="F71" s="1272"/>
      <c r="G71" s="1388" t="str">
        <f t="shared" si="112"/>
        <v/>
      </c>
      <c r="H71" s="1389" t="str">
        <f t="shared" si="112"/>
        <v/>
      </c>
      <c r="I71" s="1389" t="str">
        <f t="shared" si="112"/>
        <v/>
      </c>
      <c r="J71" s="1390" t="str">
        <f t="shared" si="112"/>
        <v/>
      </c>
      <c r="K71" s="1388" t="str">
        <f t="shared" si="113"/>
        <v/>
      </c>
      <c r="L71" s="1389" t="str">
        <f t="shared" si="113"/>
        <v/>
      </c>
      <c r="M71" s="1389" t="str">
        <f t="shared" si="113"/>
        <v/>
      </c>
      <c r="N71" s="1390" t="str">
        <f t="shared" si="113"/>
        <v/>
      </c>
      <c r="O71" s="1388" t="str">
        <f t="shared" si="114"/>
        <v/>
      </c>
      <c r="P71" s="1389" t="str">
        <f t="shared" si="114"/>
        <v/>
      </c>
      <c r="Q71" s="1389" t="str">
        <f t="shared" si="114"/>
        <v/>
      </c>
      <c r="R71" s="1389" t="str">
        <f t="shared" si="114"/>
        <v/>
      </c>
      <c r="S71" s="1120" t="str">
        <f t="shared" si="115"/>
        <v/>
      </c>
      <c r="T71" s="1121" t="str">
        <f t="shared" si="115"/>
        <v/>
      </c>
      <c r="U71" s="1121" t="str">
        <f t="shared" si="115"/>
        <v/>
      </c>
      <c r="V71" s="1122" t="str">
        <f t="shared" si="115"/>
        <v/>
      </c>
      <c r="W71" s="1121" t="str">
        <f t="shared" si="115"/>
        <v/>
      </c>
      <c r="X71" s="1121" t="str">
        <f t="shared" si="115"/>
        <v/>
      </c>
      <c r="Y71" s="1121" t="str">
        <f t="shared" si="115"/>
        <v/>
      </c>
      <c r="Z71" s="1122" t="str">
        <f t="shared" si="115"/>
        <v/>
      </c>
      <c r="AA71" s="1121" t="str">
        <f t="shared" si="115"/>
        <v/>
      </c>
      <c r="AB71" s="1121" t="str">
        <f t="shared" si="115"/>
        <v/>
      </c>
      <c r="AC71" s="1121" t="str">
        <f t="shared" si="115"/>
        <v/>
      </c>
      <c r="AD71" s="1122" t="str">
        <f t="shared" si="115"/>
        <v/>
      </c>
      <c r="AE71" s="1121" t="str">
        <f t="shared" si="115"/>
        <v/>
      </c>
      <c r="AF71" s="1121" t="str">
        <f t="shared" si="115"/>
        <v/>
      </c>
      <c r="AG71" s="1121" t="str">
        <f t="shared" si="115"/>
        <v/>
      </c>
      <c r="AH71" s="1122" t="str">
        <f t="shared" si="115"/>
        <v/>
      </c>
      <c r="AI71" s="1121" t="str">
        <f t="shared" si="115"/>
        <v/>
      </c>
      <c r="AJ71" s="1121" t="str">
        <f t="shared" si="115"/>
        <v/>
      </c>
      <c r="AK71" s="1121" t="str">
        <f t="shared" si="115"/>
        <v/>
      </c>
      <c r="AL71" s="1122" t="str">
        <f t="shared" si="115"/>
        <v/>
      </c>
      <c r="AM71" s="1121" t="str">
        <f t="shared" si="115"/>
        <v/>
      </c>
      <c r="AN71" s="1121" t="str">
        <f t="shared" si="115"/>
        <v/>
      </c>
      <c r="AO71" s="1121" t="str">
        <f t="shared" si="115"/>
        <v/>
      </c>
      <c r="AP71" s="1122" t="str">
        <f t="shared" si="115"/>
        <v/>
      </c>
      <c r="AQ71" s="1121" t="str">
        <f t="shared" si="115"/>
        <v/>
      </c>
      <c r="AR71" s="1121" t="str">
        <f t="shared" si="115"/>
        <v/>
      </c>
      <c r="AS71" s="1121" t="str">
        <f t="shared" si="115"/>
        <v/>
      </c>
      <c r="AT71" s="1122" t="str">
        <f t="shared" si="115"/>
        <v/>
      </c>
      <c r="AU71" s="1121" t="str">
        <f t="shared" si="119"/>
        <v/>
      </c>
      <c r="AV71" s="1121" t="str">
        <f t="shared" si="119"/>
        <v/>
      </c>
      <c r="AW71" s="1121" t="str">
        <f t="shared" si="119"/>
        <v/>
      </c>
      <c r="AX71" s="1122" t="str">
        <f t="shared" si="111"/>
        <v/>
      </c>
      <c r="AY71" s="1121" t="str">
        <f t="shared" si="111"/>
        <v/>
      </c>
      <c r="AZ71" s="1121" t="str">
        <f t="shared" si="111"/>
        <v/>
      </c>
      <c r="BA71" s="1121" t="str">
        <f t="shared" si="111"/>
        <v/>
      </c>
      <c r="BB71" s="1122" t="str">
        <f t="shared" si="111"/>
        <v/>
      </c>
      <c r="BC71" s="1123"/>
      <c r="BD71" s="1123"/>
      <c r="BE71" s="1254"/>
      <c r="BF71" s="1254"/>
      <c r="BG71" s="1254"/>
      <c r="BH71" s="1254"/>
      <c r="BI71" s="1254"/>
      <c r="BJ71" s="1254"/>
      <c r="BK71" s="1254"/>
      <c r="BL71" s="1254"/>
      <c r="BM71" s="1254"/>
      <c r="BN71" s="1254"/>
      <c r="BO71" s="1254"/>
      <c r="BP71" s="1254"/>
      <c r="BQ71" s="1114"/>
      <c r="BR71" s="1115"/>
      <c r="BU71" s="1087"/>
      <c r="BV71" s="1273" t="str">
        <f t="shared" si="116"/>
        <v>AEP Dayton</v>
      </c>
      <c r="BW71" s="1271">
        <f t="shared" si="117"/>
        <v>14758.214285714284</v>
      </c>
      <c r="BX71" s="1279">
        <f>+BW38</f>
        <v>14758.214285714284</v>
      </c>
      <c r="BY71" s="1279">
        <f t="shared" si="118"/>
        <v>0</v>
      </c>
    </row>
    <row r="72" spans="1:77" ht="12.75" customHeight="1">
      <c r="A72" s="1088"/>
      <c r="B72" s="1089"/>
      <c r="C72" s="1370" t="s">
        <v>704</v>
      </c>
      <c r="D72" s="1370"/>
      <c r="E72" s="1370"/>
      <c r="F72" s="1369"/>
      <c r="G72" s="1120">
        <f t="shared" si="112"/>
        <v>5</v>
      </c>
      <c r="H72" s="1121">
        <f t="shared" si="112"/>
        <v>5</v>
      </c>
      <c r="I72" s="1121">
        <f t="shared" si="112"/>
        <v>5</v>
      </c>
      <c r="J72" s="1122">
        <f t="shared" si="112"/>
        <v>5</v>
      </c>
      <c r="K72" s="1120">
        <f t="shared" si="113"/>
        <v>5</v>
      </c>
      <c r="L72" s="1121">
        <f t="shared" si="113"/>
        <v>5</v>
      </c>
      <c r="M72" s="1121">
        <f t="shared" si="113"/>
        <v>5</v>
      </c>
      <c r="N72" s="1122">
        <f t="shared" si="113"/>
        <v>5</v>
      </c>
      <c r="O72" s="1120">
        <f t="shared" si="114"/>
        <v>5</v>
      </c>
      <c r="P72" s="1121">
        <f t="shared" si="114"/>
        <v>5</v>
      </c>
      <c r="Q72" s="1121">
        <f t="shared" si="114"/>
        <v>5</v>
      </c>
      <c r="R72" s="1121">
        <f t="shared" si="114"/>
        <v>5</v>
      </c>
      <c r="S72" s="1120">
        <f t="shared" si="115"/>
        <v>5</v>
      </c>
      <c r="T72" s="1121">
        <f t="shared" si="115"/>
        <v>5</v>
      </c>
      <c r="U72" s="1121">
        <f t="shared" si="115"/>
        <v>5</v>
      </c>
      <c r="V72" s="1122">
        <f t="shared" si="115"/>
        <v>5</v>
      </c>
      <c r="W72" s="1121">
        <f t="shared" si="115"/>
        <v>5</v>
      </c>
      <c r="X72" s="1121">
        <f t="shared" si="115"/>
        <v>5</v>
      </c>
      <c r="Y72" s="1121">
        <f t="shared" si="115"/>
        <v>5</v>
      </c>
      <c r="Z72" s="1122">
        <f t="shared" si="115"/>
        <v>5</v>
      </c>
      <c r="AA72" s="1121">
        <f t="shared" si="115"/>
        <v>5</v>
      </c>
      <c r="AB72" s="1121">
        <f t="shared" si="115"/>
        <v>5</v>
      </c>
      <c r="AC72" s="1121">
        <f t="shared" si="115"/>
        <v>5</v>
      </c>
      <c r="AD72" s="1122">
        <f t="shared" si="115"/>
        <v>5</v>
      </c>
      <c r="AE72" s="1121">
        <f t="shared" si="115"/>
        <v>5</v>
      </c>
      <c r="AF72" s="1121">
        <f t="shared" si="115"/>
        <v>5</v>
      </c>
      <c r="AG72" s="1121">
        <f t="shared" si="115"/>
        <v>5</v>
      </c>
      <c r="AH72" s="1122">
        <f t="shared" si="115"/>
        <v>5</v>
      </c>
      <c r="AI72" s="1121">
        <f t="shared" si="115"/>
        <v>5</v>
      </c>
      <c r="AJ72" s="1121">
        <f t="shared" si="115"/>
        <v>5</v>
      </c>
      <c r="AK72" s="1121">
        <f t="shared" si="115"/>
        <v>5</v>
      </c>
      <c r="AL72" s="1122">
        <f t="shared" si="115"/>
        <v>5</v>
      </c>
      <c r="AM72" s="1121">
        <f t="shared" si="115"/>
        <v>5</v>
      </c>
      <c r="AN72" s="1121">
        <f t="shared" si="115"/>
        <v>5</v>
      </c>
      <c r="AO72" s="1121">
        <f t="shared" si="115"/>
        <v>5</v>
      </c>
      <c r="AP72" s="1122">
        <f t="shared" si="115"/>
        <v>5</v>
      </c>
      <c r="AQ72" s="1121">
        <f t="shared" si="115"/>
        <v>5</v>
      </c>
      <c r="AR72" s="1121">
        <f t="shared" si="115"/>
        <v>5</v>
      </c>
      <c r="AS72" s="1121">
        <f t="shared" si="115"/>
        <v>5</v>
      </c>
      <c r="AT72" s="1122">
        <f t="shared" si="115"/>
        <v>5</v>
      </c>
      <c r="AU72" s="1121">
        <f t="shared" si="119"/>
        <v>5</v>
      </c>
      <c r="AV72" s="1121">
        <f t="shared" si="119"/>
        <v>5</v>
      </c>
      <c r="AW72" s="1121">
        <f t="shared" si="119"/>
        <v>5</v>
      </c>
      <c r="AX72" s="1122">
        <f t="shared" si="111"/>
        <v>5</v>
      </c>
      <c r="AY72" s="1121">
        <f t="shared" si="111"/>
        <v>5</v>
      </c>
      <c r="AZ72" s="1121">
        <f t="shared" si="111"/>
        <v>5</v>
      </c>
      <c r="BA72" s="1121">
        <f t="shared" si="111"/>
        <v>5</v>
      </c>
      <c r="BB72" s="1122">
        <f t="shared" si="111"/>
        <v>5</v>
      </c>
      <c r="BC72" s="1123"/>
      <c r="BD72" s="1123"/>
      <c r="BE72" s="1254">
        <f>AVERAGE(G72:J72)</f>
        <v>5</v>
      </c>
      <c r="BF72" s="1254">
        <f>AVERAGE(K72:N72)</f>
        <v>5</v>
      </c>
      <c r="BG72" s="1254">
        <f>AVERAGE(O72:R72)</f>
        <v>5</v>
      </c>
      <c r="BH72" s="1254">
        <f>AVERAGE(S72:V72)</f>
        <v>5</v>
      </c>
      <c r="BI72" s="1254">
        <f>AVERAGE(W72:Z72)</f>
        <v>5</v>
      </c>
      <c r="BJ72" s="1254">
        <f>AVERAGE(AA72:AD72)</f>
        <v>5</v>
      </c>
      <c r="BK72" s="1254">
        <f>AVERAGE(AE72:AH72)</f>
        <v>5</v>
      </c>
      <c r="BL72" s="1254">
        <f>AVERAGE(AI72:AL72)</f>
        <v>5</v>
      </c>
      <c r="BM72" s="1254">
        <f>AVERAGE(AM72:AP72)</f>
        <v>5</v>
      </c>
      <c r="BN72" s="1254">
        <f>AVERAGE(AQ72:AT72)</f>
        <v>5</v>
      </c>
      <c r="BO72" s="1254">
        <f>AVERAGE(AU72:AX72)</f>
        <v>5</v>
      </c>
      <c r="BP72" s="1254">
        <f>AVERAGE(AY72:BB72)</f>
        <v>5</v>
      </c>
      <c r="BQ72" s="1114"/>
      <c r="BR72" s="1115"/>
      <c r="BU72" s="1087"/>
      <c r="BV72" s="1273" t="str">
        <f t="shared" si="116"/>
        <v>Cinergy</v>
      </c>
      <c r="BW72" s="1271">
        <f t="shared" si="117"/>
        <v>16450.000000000004</v>
      </c>
      <c r="BX72" s="1279">
        <f>+BW39</f>
        <v>16450.000000000004</v>
      </c>
      <c r="BY72" s="1279">
        <f t="shared" si="118"/>
        <v>0</v>
      </c>
    </row>
    <row r="73" spans="1:77" ht="12.75" customHeight="1">
      <c r="A73" s="1088"/>
      <c r="B73" s="1089"/>
      <c r="C73" s="1370" t="s">
        <v>536</v>
      </c>
      <c r="D73" s="1370"/>
      <c r="E73" s="1370"/>
      <c r="F73" s="1369"/>
      <c r="G73" s="1120">
        <f t="shared" si="112"/>
        <v>15</v>
      </c>
      <c r="H73" s="1121">
        <f t="shared" si="112"/>
        <v>15</v>
      </c>
      <c r="I73" s="1121">
        <f t="shared" si="112"/>
        <v>15</v>
      </c>
      <c r="J73" s="1122">
        <f t="shared" si="112"/>
        <v>15</v>
      </c>
      <c r="K73" s="1120">
        <f t="shared" si="113"/>
        <v>15</v>
      </c>
      <c r="L73" s="1121">
        <f t="shared" si="113"/>
        <v>15</v>
      </c>
      <c r="M73" s="1121">
        <f t="shared" si="113"/>
        <v>15</v>
      </c>
      <c r="N73" s="1122">
        <f t="shared" si="113"/>
        <v>15</v>
      </c>
      <c r="O73" s="1120">
        <f t="shared" si="114"/>
        <v>15</v>
      </c>
      <c r="P73" s="1121">
        <f t="shared" si="114"/>
        <v>15</v>
      </c>
      <c r="Q73" s="1121">
        <f t="shared" si="114"/>
        <v>15</v>
      </c>
      <c r="R73" s="1121">
        <f t="shared" si="114"/>
        <v>15</v>
      </c>
      <c r="S73" s="1120">
        <f t="shared" si="115"/>
        <v>15</v>
      </c>
      <c r="T73" s="1121">
        <f t="shared" si="115"/>
        <v>15</v>
      </c>
      <c r="U73" s="1121">
        <f t="shared" si="115"/>
        <v>15</v>
      </c>
      <c r="V73" s="1122">
        <f t="shared" si="115"/>
        <v>15</v>
      </c>
      <c r="W73" s="1121">
        <f t="shared" si="115"/>
        <v>15</v>
      </c>
      <c r="X73" s="1121">
        <f t="shared" si="115"/>
        <v>15</v>
      </c>
      <c r="Y73" s="1121">
        <f t="shared" si="115"/>
        <v>15</v>
      </c>
      <c r="Z73" s="1122">
        <f t="shared" si="115"/>
        <v>15</v>
      </c>
      <c r="AA73" s="1121">
        <f t="shared" si="115"/>
        <v>15</v>
      </c>
      <c r="AB73" s="1121">
        <f t="shared" si="115"/>
        <v>15</v>
      </c>
      <c r="AC73" s="1121">
        <f t="shared" si="115"/>
        <v>15</v>
      </c>
      <c r="AD73" s="1122">
        <f t="shared" si="115"/>
        <v>15</v>
      </c>
      <c r="AE73" s="1121">
        <f t="shared" si="115"/>
        <v>15</v>
      </c>
      <c r="AF73" s="1121">
        <f t="shared" si="115"/>
        <v>15</v>
      </c>
      <c r="AG73" s="1121">
        <f t="shared" si="115"/>
        <v>15</v>
      </c>
      <c r="AH73" s="1122">
        <f t="shared" si="115"/>
        <v>15</v>
      </c>
      <c r="AI73" s="1121">
        <f t="shared" si="115"/>
        <v>15</v>
      </c>
      <c r="AJ73" s="1121">
        <f t="shared" si="115"/>
        <v>15</v>
      </c>
      <c r="AK73" s="1121">
        <f t="shared" si="115"/>
        <v>15</v>
      </c>
      <c r="AL73" s="1122">
        <f t="shared" si="115"/>
        <v>15</v>
      </c>
      <c r="AM73" s="1121">
        <f t="shared" si="115"/>
        <v>15</v>
      </c>
      <c r="AN73" s="1121">
        <f t="shared" si="115"/>
        <v>15</v>
      </c>
      <c r="AO73" s="1121">
        <f t="shared" si="115"/>
        <v>15</v>
      </c>
      <c r="AP73" s="1122">
        <f t="shared" si="115"/>
        <v>15</v>
      </c>
      <c r="AQ73" s="1121">
        <f t="shared" si="115"/>
        <v>15</v>
      </c>
      <c r="AR73" s="1121">
        <f t="shared" si="115"/>
        <v>15</v>
      </c>
      <c r="AS73" s="1121">
        <f t="shared" si="115"/>
        <v>15</v>
      </c>
      <c r="AT73" s="1122">
        <f t="shared" si="115"/>
        <v>15</v>
      </c>
      <c r="AU73" s="1121">
        <f t="shared" si="119"/>
        <v>15</v>
      </c>
      <c r="AV73" s="1121">
        <f t="shared" si="119"/>
        <v>15</v>
      </c>
      <c r="AW73" s="1121">
        <f t="shared" si="119"/>
        <v>15</v>
      </c>
      <c r="AX73" s="1122">
        <f t="shared" si="111"/>
        <v>15</v>
      </c>
      <c r="AY73" s="1121">
        <f t="shared" si="111"/>
        <v>15</v>
      </c>
      <c r="AZ73" s="1121">
        <f t="shared" si="111"/>
        <v>15</v>
      </c>
      <c r="BA73" s="1121">
        <f t="shared" si="111"/>
        <v>15</v>
      </c>
      <c r="BB73" s="1122">
        <f t="shared" si="111"/>
        <v>15</v>
      </c>
      <c r="BC73" s="1123"/>
      <c r="BD73" s="1123"/>
      <c r="BE73" s="1254">
        <f>AVERAGE(G73:J73)</f>
        <v>15</v>
      </c>
      <c r="BF73" s="1254">
        <f>AVERAGE(K73:N73)</f>
        <v>15</v>
      </c>
      <c r="BG73" s="1254">
        <f>AVERAGE(O73:R73)</f>
        <v>15</v>
      </c>
      <c r="BH73" s="1254">
        <f>AVERAGE(S73:V73)</f>
        <v>15</v>
      </c>
      <c r="BI73" s="1254">
        <f>AVERAGE(W73:Z73)</f>
        <v>15</v>
      </c>
      <c r="BJ73" s="1254">
        <f>AVERAGE(AA73:AD73)</f>
        <v>15</v>
      </c>
      <c r="BK73" s="1254">
        <f>AVERAGE(AE73:AH73)</f>
        <v>15</v>
      </c>
      <c r="BL73" s="1254">
        <f>AVERAGE(AI73:AL73)</f>
        <v>15</v>
      </c>
      <c r="BM73" s="1254">
        <f>AVERAGE(AM73:AP73)</f>
        <v>15</v>
      </c>
      <c r="BN73" s="1254">
        <f>AVERAGE(AQ73:AT73)</f>
        <v>15</v>
      </c>
      <c r="BO73" s="1254">
        <f>AVERAGE(AU73:AX73)</f>
        <v>15</v>
      </c>
      <c r="BP73" s="1254">
        <f>AVERAGE(AY73:BB73)</f>
        <v>15</v>
      </c>
      <c r="BQ73" s="1114"/>
      <c r="BR73" s="1115"/>
      <c r="BU73" s="1087"/>
      <c r="BV73" s="1273" t="str">
        <f t="shared" si="116"/>
        <v>NI Hub</v>
      </c>
      <c r="BW73" s="1271">
        <f t="shared" si="117"/>
        <v>14913.26530612245</v>
      </c>
      <c r="BX73" s="1279">
        <f>+BW40</f>
        <v>14913.26530612245</v>
      </c>
      <c r="BY73" s="1279">
        <f t="shared" si="118"/>
        <v>0</v>
      </c>
    </row>
    <row r="74" spans="1:77" ht="12.75" customHeight="1">
      <c r="A74" s="1088"/>
      <c r="B74" s="1089"/>
      <c r="C74" s="1370" t="s">
        <v>537</v>
      </c>
      <c r="D74" s="1370"/>
      <c r="E74" s="1370"/>
      <c r="F74" s="1369"/>
      <c r="G74" s="1120">
        <f t="shared" si="112"/>
        <v>25</v>
      </c>
      <c r="H74" s="1121">
        <f t="shared" si="112"/>
        <v>25</v>
      </c>
      <c r="I74" s="1121">
        <f t="shared" si="112"/>
        <v>25</v>
      </c>
      <c r="J74" s="1122">
        <f t="shared" si="112"/>
        <v>25</v>
      </c>
      <c r="K74" s="1120">
        <f t="shared" si="113"/>
        <v>25</v>
      </c>
      <c r="L74" s="1121">
        <f t="shared" si="113"/>
        <v>25</v>
      </c>
      <c r="M74" s="1121">
        <f t="shared" si="113"/>
        <v>25</v>
      </c>
      <c r="N74" s="1122">
        <f t="shared" si="113"/>
        <v>25</v>
      </c>
      <c r="O74" s="1120">
        <f t="shared" si="114"/>
        <v>25</v>
      </c>
      <c r="P74" s="1121">
        <f t="shared" si="114"/>
        <v>25</v>
      </c>
      <c r="Q74" s="1121">
        <f t="shared" si="114"/>
        <v>25</v>
      </c>
      <c r="R74" s="1121">
        <f t="shared" si="114"/>
        <v>25</v>
      </c>
      <c r="S74" s="1120">
        <f t="shared" si="115"/>
        <v>25</v>
      </c>
      <c r="T74" s="1121">
        <f t="shared" si="115"/>
        <v>25</v>
      </c>
      <c r="U74" s="1121">
        <f t="shared" si="115"/>
        <v>25</v>
      </c>
      <c r="V74" s="1122">
        <f t="shared" si="115"/>
        <v>25</v>
      </c>
      <c r="W74" s="1121">
        <f t="shared" si="115"/>
        <v>25</v>
      </c>
      <c r="X74" s="1121">
        <f t="shared" si="115"/>
        <v>25</v>
      </c>
      <c r="Y74" s="1121">
        <f t="shared" si="115"/>
        <v>25</v>
      </c>
      <c r="Z74" s="1122">
        <f t="shared" si="115"/>
        <v>25</v>
      </c>
      <c r="AA74" s="1121">
        <f t="shared" si="115"/>
        <v>25</v>
      </c>
      <c r="AB74" s="1121">
        <f t="shared" si="115"/>
        <v>25</v>
      </c>
      <c r="AC74" s="1121">
        <f t="shared" si="115"/>
        <v>25</v>
      </c>
      <c r="AD74" s="1122">
        <f t="shared" si="115"/>
        <v>25</v>
      </c>
      <c r="AE74" s="1121">
        <f t="shared" si="115"/>
        <v>25</v>
      </c>
      <c r="AF74" s="1121">
        <f t="shared" si="115"/>
        <v>25</v>
      </c>
      <c r="AG74" s="1121">
        <f t="shared" si="115"/>
        <v>25</v>
      </c>
      <c r="AH74" s="1122">
        <f t="shared" si="115"/>
        <v>25</v>
      </c>
      <c r="AI74" s="1121">
        <f t="shared" si="115"/>
        <v>25</v>
      </c>
      <c r="AJ74" s="1121">
        <f t="shared" si="115"/>
        <v>25</v>
      </c>
      <c r="AK74" s="1121">
        <f t="shared" si="115"/>
        <v>25</v>
      </c>
      <c r="AL74" s="1122">
        <f t="shared" si="115"/>
        <v>25</v>
      </c>
      <c r="AM74" s="1121">
        <f t="shared" si="115"/>
        <v>25</v>
      </c>
      <c r="AN74" s="1121">
        <f t="shared" si="115"/>
        <v>25</v>
      </c>
      <c r="AO74" s="1121">
        <f t="shared" si="115"/>
        <v>25</v>
      </c>
      <c r="AP74" s="1122">
        <f t="shared" si="115"/>
        <v>25</v>
      </c>
      <c r="AQ74" s="1121">
        <f t="shared" si="115"/>
        <v>25</v>
      </c>
      <c r="AR74" s="1121">
        <f t="shared" si="115"/>
        <v>25</v>
      </c>
      <c r="AS74" s="1121">
        <f t="shared" si="115"/>
        <v>25</v>
      </c>
      <c r="AT74" s="1122">
        <f t="shared" si="115"/>
        <v>25</v>
      </c>
      <c r="AU74" s="1121">
        <f t="shared" si="119"/>
        <v>25</v>
      </c>
      <c r="AV74" s="1121">
        <f t="shared" si="119"/>
        <v>25</v>
      </c>
      <c r="AW74" s="1121">
        <f t="shared" si="119"/>
        <v>25</v>
      </c>
      <c r="AX74" s="1122">
        <f t="shared" si="111"/>
        <v>25</v>
      </c>
      <c r="AY74" s="1121">
        <f t="shared" si="111"/>
        <v>25</v>
      </c>
      <c r="AZ74" s="1121">
        <f t="shared" si="111"/>
        <v>25</v>
      </c>
      <c r="BA74" s="1121">
        <f t="shared" si="111"/>
        <v>25</v>
      </c>
      <c r="BB74" s="1122">
        <f t="shared" si="111"/>
        <v>25</v>
      </c>
      <c r="BC74" s="1123"/>
      <c r="BD74" s="1123"/>
      <c r="BE74" s="1254">
        <f>AVERAGE(G74:J74)</f>
        <v>25</v>
      </c>
      <c r="BF74" s="1254">
        <f>AVERAGE(K74:N74)</f>
        <v>25</v>
      </c>
      <c r="BG74" s="1254">
        <f>AVERAGE(O74:R74)</f>
        <v>25</v>
      </c>
      <c r="BH74" s="1254">
        <f>AVERAGE(S74:V74)</f>
        <v>25</v>
      </c>
      <c r="BI74" s="1254">
        <f>AVERAGE(W74:Z74)</f>
        <v>25</v>
      </c>
      <c r="BJ74" s="1254">
        <f>AVERAGE(AA74:AD74)</f>
        <v>25</v>
      </c>
      <c r="BK74" s="1254">
        <f>AVERAGE(AE74:AH74)</f>
        <v>25</v>
      </c>
      <c r="BL74" s="1254">
        <f>AVERAGE(AI74:AL74)</f>
        <v>25</v>
      </c>
      <c r="BM74" s="1254">
        <f>AVERAGE(AM74:AP74)</f>
        <v>25</v>
      </c>
      <c r="BN74" s="1254">
        <f>AVERAGE(AQ74:AT74)</f>
        <v>25</v>
      </c>
      <c r="BO74" s="1254">
        <f>AVERAGE(AU74:AX74)</f>
        <v>25</v>
      </c>
      <c r="BP74" s="1254">
        <f>AVERAGE(AY74:BB74)</f>
        <v>25</v>
      </c>
      <c r="BQ74" s="1114"/>
      <c r="BR74" s="1115"/>
      <c r="BU74" s="1087"/>
      <c r="BV74" s="1273" t="str">
        <f t="shared" si="116"/>
        <v>ERCOT Houston</v>
      </c>
      <c r="BW74" s="1271">
        <f t="shared" si="117"/>
        <v>13059.517736879347</v>
      </c>
      <c r="BX74" s="1279">
        <f>+BX15</f>
        <v>14924.180004952612</v>
      </c>
      <c r="BY74" s="1279">
        <f>+BW74-BX74</f>
        <v>-1864.6622680732653</v>
      </c>
    </row>
    <row r="75" spans="1:77" ht="12.75" customHeight="1">
      <c r="A75" s="1088"/>
      <c r="B75" s="1089"/>
      <c r="C75" s="1370"/>
      <c r="D75" s="1370"/>
      <c r="E75" s="1370"/>
      <c r="F75" s="1369"/>
      <c r="G75" s="1388" t="str">
        <f t="shared" si="112"/>
        <v/>
      </c>
      <c r="H75" s="1389" t="str">
        <f t="shared" si="112"/>
        <v/>
      </c>
      <c r="I75" s="1389" t="str">
        <f t="shared" si="112"/>
        <v/>
      </c>
      <c r="J75" s="1390" t="str">
        <f t="shared" si="112"/>
        <v/>
      </c>
      <c r="K75" s="1388" t="str">
        <f t="shared" si="113"/>
        <v/>
      </c>
      <c r="L75" s="1389" t="str">
        <f t="shared" si="113"/>
        <v/>
      </c>
      <c r="M75" s="1389" t="str">
        <f t="shared" si="113"/>
        <v/>
      </c>
      <c r="N75" s="1390" t="str">
        <f t="shared" si="113"/>
        <v/>
      </c>
      <c r="O75" s="1388" t="str">
        <f t="shared" si="114"/>
        <v/>
      </c>
      <c r="P75" s="1389" t="str">
        <f t="shared" si="114"/>
        <v/>
      </c>
      <c r="Q75" s="1389" t="str">
        <f t="shared" si="114"/>
        <v/>
      </c>
      <c r="R75" s="1389" t="str">
        <f t="shared" si="114"/>
        <v/>
      </c>
      <c r="S75" s="1120" t="str">
        <f t="shared" si="115"/>
        <v/>
      </c>
      <c r="T75" s="1121" t="str">
        <f t="shared" si="115"/>
        <v/>
      </c>
      <c r="U75" s="1121" t="str">
        <f t="shared" si="115"/>
        <v/>
      </c>
      <c r="V75" s="1122" t="str">
        <f t="shared" si="115"/>
        <v/>
      </c>
      <c r="W75" s="1121" t="str">
        <f t="shared" si="115"/>
        <v/>
      </c>
      <c r="X75" s="1121" t="str">
        <f t="shared" si="115"/>
        <v/>
      </c>
      <c r="Y75" s="1121" t="str">
        <f t="shared" si="115"/>
        <v/>
      </c>
      <c r="Z75" s="1122" t="str">
        <f t="shared" si="115"/>
        <v/>
      </c>
      <c r="AA75" s="1121" t="str">
        <f t="shared" si="115"/>
        <v/>
      </c>
      <c r="AB75" s="1121" t="str">
        <f t="shared" si="115"/>
        <v/>
      </c>
      <c r="AC75" s="1121" t="str">
        <f t="shared" si="115"/>
        <v/>
      </c>
      <c r="AD75" s="1122" t="str">
        <f t="shared" si="115"/>
        <v/>
      </c>
      <c r="AE75" s="1121" t="str">
        <f t="shared" si="115"/>
        <v/>
      </c>
      <c r="AF75" s="1121" t="str">
        <f t="shared" si="115"/>
        <v/>
      </c>
      <c r="AG75" s="1121" t="str">
        <f t="shared" si="115"/>
        <v/>
      </c>
      <c r="AH75" s="1122" t="str">
        <f t="shared" si="115"/>
        <v/>
      </c>
      <c r="AI75" s="1121" t="str">
        <f t="shared" si="115"/>
        <v/>
      </c>
      <c r="AJ75" s="1121" t="str">
        <f t="shared" si="115"/>
        <v/>
      </c>
      <c r="AK75" s="1121" t="str">
        <f t="shared" si="115"/>
        <v/>
      </c>
      <c r="AL75" s="1122" t="str">
        <f t="shared" si="115"/>
        <v/>
      </c>
      <c r="AM75" s="1121" t="str">
        <f t="shared" si="115"/>
        <v/>
      </c>
      <c r="AN75" s="1121" t="str">
        <f t="shared" si="115"/>
        <v/>
      </c>
      <c r="AO75" s="1121" t="str">
        <f t="shared" si="115"/>
        <v/>
      </c>
      <c r="AP75" s="1122" t="str">
        <f t="shared" si="115"/>
        <v/>
      </c>
      <c r="AQ75" s="1121" t="str">
        <f t="shared" si="115"/>
        <v/>
      </c>
      <c r="AR75" s="1121" t="str">
        <f t="shared" si="115"/>
        <v/>
      </c>
      <c r="AS75" s="1121" t="str">
        <f t="shared" si="115"/>
        <v/>
      </c>
      <c r="AT75" s="1122" t="str">
        <f t="shared" si="115"/>
        <v/>
      </c>
      <c r="AU75" s="1121" t="str">
        <f t="shared" si="119"/>
        <v/>
      </c>
      <c r="AV75" s="1121" t="str">
        <f t="shared" si="119"/>
        <v/>
      </c>
      <c r="AW75" s="1121" t="str">
        <f t="shared" si="119"/>
        <v/>
      </c>
      <c r="AX75" s="1122" t="str">
        <f t="shared" si="111"/>
        <v/>
      </c>
      <c r="AY75" s="1121" t="str">
        <f t="shared" si="111"/>
        <v/>
      </c>
      <c r="AZ75" s="1121" t="str">
        <f t="shared" si="111"/>
        <v/>
      </c>
      <c r="BA75" s="1121" t="str">
        <f t="shared" si="111"/>
        <v/>
      </c>
      <c r="BB75" s="1122" t="str">
        <f t="shared" si="111"/>
        <v/>
      </c>
      <c r="BC75" s="1123"/>
      <c r="BD75" s="1123"/>
      <c r="BE75" s="1254"/>
      <c r="BF75" s="1254"/>
      <c r="BG75" s="1254"/>
      <c r="BH75" s="1260"/>
      <c r="BI75" s="1260"/>
      <c r="BJ75" s="1260"/>
      <c r="BK75" s="1260"/>
      <c r="BL75" s="1260"/>
      <c r="BM75" s="1260"/>
      <c r="BN75" s="1260"/>
      <c r="BO75" s="1260"/>
      <c r="BP75" s="1260"/>
      <c r="BQ75" s="1114"/>
      <c r="BR75" s="1141"/>
      <c r="BU75" s="1087"/>
      <c r="BV75" s="1273" t="str">
        <f t="shared" si="116"/>
        <v>ERCOT North</v>
      </c>
      <c r="BW75" s="1271">
        <f t="shared" si="117"/>
        <v>12303.36322926092</v>
      </c>
      <c r="BX75" s="1279">
        <f>+BX23</f>
        <v>14924.180004952612</v>
      </c>
      <c r="BY75" s="1279">
        <f>+BW75-BX75</f>
        <v>-2620.8167756916919</v>
      </c>
    </row>
    <row r="76" spans="1:77" ht="12.75" customHeight="1">
      <c r="A76" s="1088"/>
      <c r="B76" s="1089"/>
      <c r="C76" s="1370"/>
      <c r="D76" s="1370"/>
      <c r="E76" s="1370"/>
      <c r="F76" s="1369"/>
      <c r="G76" s="1391" t="str">
        <f t="shared" si="112"/>
        <v/>
      </c>
      <c r="H76" s="1392" t="str">
        <f t="shared" si="112"/>
        <v/>
      </c>
      <c r="I76" s="1392" t="str">
        <f t="shared" si="112"/>
        <v/>
      </c>
      <c r="J76" s="1393" t="str">
        <f t="shared" si="112"/>
        <v/>
      </c>
      <c r="K76" s="1391" t="str">
        <f t="shared" si="113"/>
        <v/>
      </c>
      <c r="L76" s="1392" t="str">
        <f t="shared" si="113"/>
        <v/>
      </c>
      <c r="M76" s="1392" t="str">
        <f t="shared" si="113"/>
        <v/>
      </c>
      <c r="N76" s="1393" t="str">
        <f t="shared" si="113"/>
        <v/>
      </c>
      <c r="O76" s="1391" t="str">
        <f t="shared" si="114"/>
        <v/>
      </c>
      <c r="P76" s="1392" t="str">
        <f t="shared" si="114"/>
        <v/>
      </c>
      <c r="Q76" s="1392" t="str">
        <f t="shared" si="114"/>
        <v/>
      </c>
      <c r="R76" s="1392" t="str">
        <f t="shared" si="114"/>
        <v/>
      </c>
      <c r="S76" s="1378" t="str">
        <f t="shared" si="115"/>
        <v/>
      </c>
      <c r="T76" s="1131" t="str">
        <f t="shared" si="115"/>
        <v/>
      </c>
      <c r="U76" s="1131" t="str">
        <f t="shared" si="115"/>
        <v/>
      </c>
      <c r="V76" s="1130" t="str">
        <f t="shared" si="115"/>
        <v/>
      </c>
      <c r="W76" s="1131" t="str">
        <f t="shared" si="115"/>
        <v/>
      </c>
      <c r="X76" s="1131" t="str">
        <f t="shared" si="115"/>
        <v/>
      </c>
      <c r="Y76" s="1131" t="str">
        <f t="shared" si="115"/>
        <v/>
      </c>
      <c r="Z76" s="1379" t="str">
        <f t="shared" si="115"/>
        <v/>
      </c>
      <c r="AA76" s="1380" t="str">
        <f t="shared" si="115"/>
        <v/>
      </c>
      <c r="AB76" s="1380" t="str">
        <f t="shared" si="115"/>
        <v/>
      </c>
      <c r="AC76" s="1380" t="str">
        <f t="shared" si="115"/>
        <v/>
      </c>
      <c r="AD76" s="1379" t="str">
        <f t="shared" si="115"/>
        <v/>
      </c>
      <c r="AE76" s="1380" t="str">
        <f t="shared" si="115"/>
        <v/>
      </c>
      <c r="AF76" s="1380" t="str">
        <f t="shared" si="115"/>
        <v/>
      </c>
      <c r="AG76" s="1380" t="str">
        <f t="shared" si="115"/>
        <v/>
      </c>
      <c r="AH76" s="1379" t="str">
        <f t="shared" si="115"/>
        <v/>
      </c>
      <c r="AI76" s="1380" t="str">
        <f t="shared" si="115"/>
        <v/>
      </c>
      <c r="AJ76" s="1380" t="str">
        <f t="shared" si="115"/>
        <v/>
      </c>
      <c r="AK76" s="1380" t="str">
        <f t="shared" si="115"/>
        <v/>
      </c>
      <c r="AL76" s="1379" t="str">
        <f t="shared" si="115"/>
        <v/>
      </c>
      <c r="AM76" s="1380" t="str">
        <f t="shared" si="115"/>
        <v/>
      </c>
      <c r="AN76" s="1380" t="str">
        <f t="shared" si="115"/>
        <v/>
      </c>
      <c r="AO76" s="1380" t="str">
        <f t="shared" si="115"/>
        <v/>
      </c>
      <c r="AP76" s="1379" t="str">
        <f t="shared" si="115"/>
        <v/>
      </c>
      <c r="AQ76" s="1380" t="str">
        <f t="shared" si="115"/>
        <v/>
      </c>
      <c r="AR76" s="1380" t="str">
        <f t="shared" si="115"/>
        <v/>
      </c>
      <c r="AS76" s="1380" t="str">
        <f t="shared" si="115"/>
        <v/>
      </c>
      <c r="AT76" s="1379" t="str">
        <f t="shared" si="115"/>
        <v/>
      </c>
      <c r="AU76" s="1380" t="str">
        <f t="shared" si="119"/>
        <v/>
      </c>
      <c r="AV76" s="1380" t="str">
        <f t="shared" si="119"/>
        <v/>
      </c>
      <c r="AW76" s="1380" t="str">
        <f t="shared" si="119"/>
        <v/>
      </c>
      <c r="AX76" s="1379" t="str">
        <f t="shared" si="111"/>
        <v/>
      </c>
      <c r="AY76" s="1380" t="str">
        <f t="shared" si="111"/>
        <v/>
      </c>
      <c r="AZ76" s="1380" t="str">
        <f t="shared" si="111"/>
        <v/>
      </c>
      <c r="BA76" s="1380" t="str">
        <f t="shared" si="111"/>
        <v/>
      </c>
      <c r="BB76" s="1379" t="str">
        <f t="shared" si="111"/>
        <v/>
      </c>
      <c r="BC76" s="1132"/>
      <c r="BD76" s="1133"/>
      <c r="BE76" s="1256"/>
      <c r="BF76" s="1256"/>
      <c r="BG76" s="1256"/>
      <c r="BH76" s="1256"/>
      <c r="BI76" s="1256"/>
      <c r="BJ76" s="1256"/>
      <c r="BK76" s="1256"/>
      <c r="BL76" s="1256"/>
      <c r="BM76" s="1256"/>
      <c r="BN76" s="1256"/>
      <c r="BO76" s="1256"/>
      <c r="BP76" s="1256"/>
      <c r="BQ76" s="1114"/>
      <c r="BR76" s="1141"/>
      <c r="BU76" s="1087"/>
      <c r="BV76" s="1273" t="str">
        <f t="shared" si="116"/>
        <v>ERCOT South</v>
      </c>
      <c r="BW76" s="1271">
        <f t="shared" si="117"/>
        <v>13048.805132456902</v>
      </c>
      <c r="BX76" s="1279">
        <f>+BX29</f>
        <v>14924.180004952612</v>
      </c>
      <c r="BY76" s="1279">
        <f t="shared" si="118"/>
        <v>-1875.3748724957095</v>
      </c>
    </row>
    <row r="77" spans="1:77" ht="12.75" customHeight="1">
      <c r="A77" s="1088"/>
      <c r="B77" s="1089"/>
      <c r="C77" s="1372" t="s">
        <v>620</v>
      </c>
      <c r="D77" s="1373"/>
      <c r="E77" s="1373"/>
      <c r="F77" s="1374"/>
      <c r="G77" s="1388" t="str">
        <f t="shared" si="112"/>
        <v/>
      </c>
      <c r="H77" s="1389" t="str">
        <f t="shared" si="112"/>
        <v/>
      </c>
      <c r="I77" s="1389" t="str">
        <f t="shared" si="112"/>
        <v/>
      </c>
      <c r="J77" s="1390" t="str">
        <f t="shared" si="112"/>
        <v/>
      </c>
      <c r="K77" s="1388" t="str">
        <f t="shared" si="113"/>
        <v/>
      </c>
      <c r="L77" s="1389" t="str">
        <f t="shared" si="113"/>
        <v/>
      </c>
      <c r="M77" s="1389" t="str">
        <f t="shared" si="113"/>
        <v/>
      </c>
      <c r="N77" s="1390" t="str">
        <f t="shared" si="113"/>
        <v/>
      </c>
      <c r="O77" s="1388" t="str">
        <f t="shared" si="114"/>
        <v/>
      </c>
      <c r="P77" s="1389" t="str">
        <f t="shared" si="114"/>
        <v/>
      </c>
      <c r="Q77" s="1389" t="str">
        <f t="shared" si="114"/>
        <v/>
      </c>
      <c r="R77" s="1389" t="str">
        <f t="shared" si="114"/>
        <v/>
      </c>
      <c r="S77" s="1120" t="str">
        <f t="shared" si="115"/>
        <v/>
      </c>
      <c r="T77" s="1121" t="str">
        <f t="shared" si="115"/>
        <v/>
      </c>
      <c r="U77" s="1121" t="str">
        <f t="shared" si="115"/>
        <v/>
      </c>
      <c r="V77" s="1122" t="str">
        <f t="shared" si="115"/>
        <v/>
      </c>
      <c r="W77" s="1121" t="str">
        <f t="shared" si="115"/>
        <v/>
      </c>
      <c r="X77" s="1121" t="str">
        <f t="shared" si="115"/>
        <v/>
      </c>
      <c r="Y77" s="1121" t="str">
        <f t="shared" si="115"/>
        <v/>
      </c>
      <c r="Z77" s="1122" t="str">
        <f t="shared" si="115"/>
        <v/>
      </c>
      <c r="AA77" s="1121" t="str">
        <f t="shared" si="115"/>
        <v/>
      </c>
      <c r="AB77" s="1121" t="str">
        <f t="shared" si="115"/>
        <v/>
      </c>
      <c r="AC77" s="1121" t="str">
        <f t="shared" si="115"/>
        <v/>
      </c>
      <c r="AD77" s="1122" t="str">
        <f t="shared" ref="S77:AT86" si="120">IF(ISBLANK(AD220),"",AD220)</f>
        <v/>
      </c>
      <c r="AE77" s="1121" t="str">
        <f t="shared" si="120"/>
        <v/>
      </c>
      <c r="AF77" s="1121" t="str">
        <f t="shared" si="120"/>
        <v/>
      </c>
      <c r="AG77" s="1121" t="str">
        <f t="shared" si="120"/>
        <v/>
      </c>
      <c r="AH77" s="1122" t="str">
        <f t="shared" si="120"/>
        <v/>
      </c>
      <c r="AI77" s="1121" t="str">
        <f t="shared" si="120"/>
        <v/>
      </c>
      <c r="AJ77" s="1121" t="str">
        <f t="shared" si="120"/>
        <v/>
      </c>
      <c r="AK77" s="1121" t="str">
        <f t="shared" si="120"/>
        <v/>
      </c>
      <c r="AL77" s="1122" t="str">
        <f t="shared" si="120"/>
        <v/>
      </c>
      <c r="AM77" s="1121" t="str">
        <f t="shared" si="120"/>
        <v/>
      </c>
      <c r="AN77" s="1121" t="str">
        <f t="shared" si="120"/>
        <v/>
      </c>
      <c r="AO77" s="1121" t="str">
        <f t="shared" si="120"/>
        <v/>
      </c>
      <c r="AP77" s="1122" t="str">
        <f t="shared" si="120"/>
        <v/>
      </c>
      <c r="AQ77" s="1121" t="str">
        <f t="shared" si="120"/>
        <v/>
      </c>
      <c r="AR77" s="1121" t="str">
        <f t="shared" si="120"/>
        <v/>
      </c>
      <c r="AS77" s="1121" t="str">
        <f t="shared" si="120"/>
        <v/>
      </c>
      <c r="AT77" s="1122" t="str">
        <f t="shared" si="120"/>
        <v/>
      </c>
      <c r="AU77" s="1121" t="str">
        <f t="shared" si="119"/>
        <v/>
      </c>
      <c r="AV77" s="1121" t="str">
        <f t="shared" si="119"/>
        <v/>
      </c>
      <c r="AW77" s="1121" t="str">
        <f t="shared" si="119"/>
        <v/>
      </c>
      <c r="AX77" s="1122" t="str">
        <f t="shared" si="111"/>
        <v/>
      </c>
      <c r="AY77" s="1121" t="str">
        <f t="shared" si="111"/>
        <v/>
      </c>
      <c r="AZ77" s="1121" t="str">
        <f t="shared" si="111"/>
        <v/>
      </c>
      <c r="BA77" s="1121" t="str">
        <f t="shared" si="111"/>
        <v/>
      </c>
      <c r="BB77" s="1122" t="str">
        <f t="shared" si="111"/>
        <v/>
      </c>
      <c r="BC77" s="1123"/>
      <c r="BD77" s="1123"/>
      <c r="BE77" s="1254"/>
      <c r="BF77" s="1254"/>
      <c r="BG77" s="1254"/>
      <c r="BH77" s="1254"/>
      <c r="BI77" s="1254"/>
      <c r="BJ77" s="1254"/>
      <c r="BK77" s="1254"/>
      <c r="BL77" s="1254"/>
      <c r="BM77" s="1254"/>
      <c r="BN77" s="1254"/>
      <c r="BO77" s="1254"/>
      <c r="BP77" s="1254"/>
      <c r="BQ77" s="1114"/>
      <c r="BR77" s="1141"/>
      <c r="BU77" s="1087"/>
      <c r="BV77" s="1086"/>
      <c r="BW77" s="1086"/>
      <c r="BX77" s="1086"/>
    </row>
    <row r="78" spans="1:77" ht="12.75" customHeight="1">
      <c r="A78" s="1088"/>
      <c r="B78" s="1089"/>
      <c r="C78" s="1370" t="s">
        <v>611</v>
      </c>
      <c r="D78" s="1370"/>
      <c r="E78" s="1370"/>
      <c r="F78" s="1369"/>
      <c r="G78" s="1397">
        <f t="shared" si="112"/>
        <v>8528.0969298430045</v>
      </c>
      <c r="H78" s="1385">
        <f t="shared" si="112"/>
        <v>10939.694023823055</v>
      </c>
      <c r="I78" s="1385">
        <f t="shared" si="112"/>
        <v>14421.989330928911</v>
      </c>
      <c r="J78" s="1398">
        <f t="shared" si="112"/>
        <v>8861.0131998359921</v>
      </c>
      <c r="K78" s="1397">
        <f t="shared" si="113"/>
        <v>9167.0595922106477</v>
      </c>
      <c r="L78" s="1385">
        <f t="shared" si="113"/>
        <v>10189.12960248709</v>
      </c>
      <c r="M78" s="1385">
        <f t="shared" si="113"/>
        <v>11710.045508691945</v>
      </c>
      <c r="N78" s="1398">
        <f t="shared" si="113"/>
        <v>11336.882768537926</v>
      </c>
      <c r="O78" s="1397">
        <f t="shared" si="114"/>
        <v>10207.718317800258</v>
      </c>
      <c r="P78" s="1385">
        <f t="shared" si="114"/>
        <v>13937.121379905617</v>
      </c>
      <c r="Q78" s="1385">
        <f t="shared" si="114"/>
        <v>15132.551384701612</v>
      </c>
      <c r="R78" s="1385">
        <f t="shared" si="114"/>
        <v>12963.880511989042</v>
      </c>
      <c r="S78" s="1153">
        <f t="shared" si="120"/>
        <v>11474.979818138521</v>
      </c>
      <c r="T78" s="1154">
        <f t="shared" si="120"/>
        <v>10402.131258701407</v>
      </c>
      <c r="U78" s="1154">
        <f t="shared" si="120"/>
        <v>14595.99188276675</v>
      </c>
      <c r="V78" s="1155">
        <f t="shared" si="120"/>
        <v>15599.608908418337</v>
      </c>
      <c r="W78" s="1154">
        <f t="shared" si="120"/>
        <v>9818.857351275652</v>
      </c>
      <c r="X78" s="1154">
        <f t="shared" si="120"/>
        <v>11887.120339338082</v>
      </c>
      <c r="Y78" s="1154">
        <f t="shared" si="120"/>
        <v>15922.771678283798</v>
      </c>
      <c r="Z78" s="1155">
        <f t="shared" si="120"/>
        <v>15026.318812665288</v>
      </c>
      <c r="AA78" s="1154">
        <f t="shared" si="120"/>
        <v>9835.9779023649571</v>
      </c>
      <c r="AB78" s="1154">
        <f t="shared" si="120"/>
        <v>11407.233144218615</v>
      </c>
      <c r="AC78" s="1154">
        <f t="shared" si="120"/>
        <v>18666.071155473397</v>
      </c>
      <c r="AD78" s="1155">
        <f t="shared" si="120"/>
        <v>17315.33127145606</v>
      </c>
      <c r="AE78" s="1154">
        <f t="shared" si="120"/>
        <v>12206.386279703562</v>
      </c>
      <c r="AF78" s="1154">
        <f t="shared" si="120"/>
        <v>16621.31367909328</v>
      </c>
      <c r="AG78" s="1154">
        <f t="shared" si="120"/>
        <v>22288.404958475618</v>
      </c>
      <c r="AH78" s="1155">
        <f t="shared" si="120"/>
        <v>14434.588536316558</v>
      </c>
      <c r="AI78" s="1154">
        <f t="shared" si="120"/>
        <v>10264.218099859183</v>
      </c>
      <c r="AJ78" s="1154">
        <f t="shared" si="120"/>
        <v>12389.285901147583</v>
      </c>
      <c r="AK78" s="1154">
        <f t="shared" si="120"/>
        <v>13153.218506204936</v>
      </c>
      <c r="AL78" s="1155">
        <f t="shared" si="120"/>
        <v>14925.254225358662</v>
      </c>
      <c r="AM78" s="1154">
        <f t="shared" si="120"/>
        <v>7994.7887216424933</v>
      </c>
      <c r="AN78" s="1154">
        <f t="shared" si="120"/>
        <v>13122.990353697749</v>
      </c>
      <c r="AO78" s="1154">
        <f t="shared" si="120"/>
        <v>14125.083166999331</v>
      </c>
      <c r="AP78" s="1155">
        <f t="shared" si="120"/>
        <v>13408.970976253298</v>
      </c>
      <c r="AQ78" s="1154">
        <f t="shared" si="120"/>
        <v>16121.702235183328</v>
      </c>
      <c r="AR78" s="1154">
        <f t="shared" si="120"/>
        <v>17104.044129356756</v>
      </c>
      <c r="AS78" s="1154">
        <f t="shared" si="120"/>
        <v>21029.097168692006</v>
      </c>
      <c r="AT78" s="1155">
        <f t="shared" si="120"/>
        <v>8461.414086437906</v>
      </c>
      <c r="AU78" s="1154">
        <f t="shared" si="119"/>
        <v>15860.467045238278</v>
      </c>
      <c r="AV78" s="1154">
        <f t="shared" si="119"/>
        <v>16826.891124557431</v>
      </c>
      <c r="AW78" s="1154">
        <f t="shared" si="119"/>
        <v>20688.34281700529</v>
      </c>
      <c r="AX78" s="1155">
        <f t="shared" si="111"/>
        <v>8324.3057908107585</v>
      </c>
      <c r="AY78" s="1154">
        <f t="shared" si="111"/>
        <v>15390.53594374832</v>
      </c>
      <c r="AZ78" s="1154">
        <f t="shared" si="111"/>
        <v>16328.325763382341</v>
      </c>
      <c r="BA78" s="1154">
        <f t="shared" si="111"/>
        <v>20075.366181432888</v>
      </c>
      <c r="BB78" s="1155">
        <f t="shared" si="111"/>
        <v>8077.6642399499096</v>
      </c>
      <c r="BC78" s="1156"/>
      <c r="BD78" s="1156"/>
      <c r="BE78" s="1280">
        <f t="shared" ref="BE78:BE93" si="121">AVERAGE(G78:J78)</f>
        <v>10687.698371107741</v>
      </c>
      <c r="BF78" s="1280">
        <f t="shared" ref="BF78:BF93" si="122">AVERAGE(K78:N78)</f>
        <v>10600.779367981901</v>
      </c>
      <c r="BG78" s="1280">
        <f t="shared" ref="BG78:BG93" si="123">AVERAGE(O78:R78)</f>
        <v>13060.317898599133</v>
      </c>
      <c r="BH78" s="1280">
        <f t="shared" ref="BH78:BH93" si="124">AVERAGE(S78:V78)</f>
        <v>13018.177967006253</v>
      </c>
      <c r="BI78" s="1280">
        <f t="shared" ref="BI78:BI93" si="125">AVERAGE(W78:Z78)</f>
        <v>13163.767045390705</v>
      </c>
      <c r="BJ78" s="1280">
        <f t="shared" ref="BJ78:BJ93" si="126">AVERAGE(AA78:AD78)</f>
        <v>14306.153368378258</v>
      </c>
      <c r="BK78" s="1280">
        <f t="shared" ref="BK78:BK93" si="127">AVERAGE(AE78:AH78)</f>
        <v>16387.673363397254</v>
      </c>
      <c r="BL78" s="1280">
        <f t="shared" ref="BL78:BL93" si="128">AVERAGE(AI78:AL78)</f>
        <v>12682.994183142589</v>
      </c>
      <c r="BM78" s="1280">
        <f t="shared" ref="BM78:BM93" si="129">AVERAGE(AM78:AP78)</f>
        <v>12162.958304648218</v>
      </c>
      <c r="BN78" s="1280">
        <f t="shared" ref="BN78:BN93" si="130">AVERAGE(AQ78:AT78)</f>
        <v>15679.064404917501</v>
      </c>
      <c r="BO78" s="1280">
        <f t="shared" ref="BO78:BO93" si="131">AVERAGE(AU78:AX78)</f>
        <v>15425.001694402939</v>
      </c>
      <c r="BP78" s="1280">
        <f t="shared" ref="BP78:BP93" si="132">AVERAGE(AY78:BB78)</f>
        <v>14967.973032128364</v>
      </c>
      <c r="BQ78" s="1114"/>
      <c r="BR78" s="1157"/>
      <c r="BU78" s="1087"/>
      <c r="BV78" s="1273" t="str">
        <f>C57</f>
        <v>PJM West / Tetco M3</v>
      </c>
      <c r="BW78" s="1276">
        <f>BP57</f>
        <v>-0.25</v>
      </c>
      <c r="BX78" s="1276">
        <f>$BX$58</f>
        <v>-0.25</v>
      </c>
      <c r="BY78" s="1279">
        <f>+BW78-BX78</f>
        <v>0</v>
      </c>
    </row>
    <row r="79" spans="1:77" ht="12.75" customHeight="1">
      <c r="A79" s="1088"/>
      <c r="B79" s="1089"/>
      <c r="C79" s="1370" t="s">
        <v>517</v>
      </c>
      <c r="D79" s="1370"/>
      <c r="E79" s="1370"/>
      <c r="F79" s="1369"/>
      <c r="G79" s="1397">
        <f t="shared" si="112"/>
        <v>6354.9851186486494</v>
      </c>
      <c r="H79" s="1385">
        <f t="shared" si="112"/>
        <v>9234.2721012697057</v>
      </c>
      <c r="I79" s="1385">
        <f t="shared" si="112"/>
        <v>11593.947010070106</v>
      </c>
      <c r="J79" s="1398">
        <f t="shared" si="112"/>
        <v>7986.3843661035107</v>
      </c>
      <c r="K79" s="1397">
        <f t="shared" si="113"/>
        <v>6840.1396780303039</v>
      </c>
      <c r="L79" s="1385">
        <f t="shared" si="113"/>
        <v>9130.7265133667552</v>
      </c>
      <c r="M79" s="1385">
        <f t="shared" si="113"/>
        <v>10816.593582639658</v>
      </c>
      <c r="N79" s="1398">
        <f t="shared" si="113"/>
        <v>10282.027240426369</v>
      </c>
      <c r="O79" s="1397">
        <f t="shared" si="114"/>
        <v>11040.263568617833</v>
      </c>
      <c r="P79" s="1385">
        <f t="shared" si="114"/>
        <v>14052.827281024129</v>
      </c>
      <c r="Q79" s="1385">
        <f t="shared" si="114"/>
        <v>13593.795584312746</v>
      </c>
      <c r="R79" s="1385">
        <f t="shared" si="114"/>
        <v>10650.641750476832</v>
      </c>
      <c r="S79" s="1153">
        <f t="shared" si="120"/>
        <v>10613.332343739214</v>
      </c>
      <c r="T79" s="1154">
        <f t="shared" si="120"/>
        <v>9814.6604717116315</v>
      </c>
      <c r="U79" s="1154">
        <f t="shared" si="120"/>
        <v>15217.027511328975</v>
      </c>
      <c r="V79" s="1155">
        <f t="shared" si="120"/>
        <v>11622.060695219723</v>
      </c>
      <c r="W79" s="1154">
        <f t="shared" si="120"/>
        <v>8339.8677320762581</v>
      </c>
      <c r="X79" s="1154">
        <f t="shared" si="120"/>
        <v>12089.696865123291</v>
      </c>
      <c r="Y79" s="1154">
        <f t="shared" si="120"/>
        <v>17008.913404698229</v>
      </c>
      <c r="Z79" s="1155">
        <f t="shared" si="120"/>
        <v>14242.244323975263</v>
      </c>
      <c r="AA79" s="1154">
        <f t="shared" si="120"/>
        <v>8245.126379457306</v>
      </c>
      <c r="AB79" s="1154">
        <f t="shared" si="120"/>
        <v>23636.495062483507</v>
      </c>
      <c r="AC79" s="1154">
        <f t="shared" si="120"/>
        <v>29559.964278835214</v>
      </c>
      <c r="AD79" s="1155">
        <f t="shared" si="120"/>
        <v>26840.274598772085</v>
      </c>
      <c r="AE79" s="1154">
        <f t="shared" si="120"/>
        <v>16770.720038090938</v>
      </c>
      <c r="AF79" s="1154">
        <f t="shared" si="120"/>
        <v>22601.852674604575</v>
      </c>
      <c r="AG79" s="1154">
        <f t="shared" si="120"/>
        <v>34191.352496551095</v>
      </c>
      <c r="AH79" s="1155">
        <f t="shared" si="120"/>
        <v>12233.948471734455</v>
      </c>
      <c r="AI79" s="1154">
        <f t="shared" si="120"/>
        <v>9237.5699548947559</v>
      </c>
      <c r="AJ79" s="1154">
        <f t="shared" si="120"/>
        <v>13374.181331245492</v>
      </c>
      <c r="AK79" s="1154">
        <f t="shared" si="120"/>
        <v>19942.594548815701</v>
      </c>
      <c r="AL79" s="1155">
        <f t="shared" si="120"/>
        <v>12811.212946664498</v>
      </c>
      <c r="AM79" s="1154">
        <f t="shared" si="120"/>
        <v>5561.1264063691815</v>
      </c>
      <c r="AN79" s="1154">
        <f t="shared" si="120"/>
        <v>16904.797713941942</v>
      </c>
      <c r="AO79" s="1154">
        <f t="shared" si="120"/>
        <v>15195.195195195192</v>
      </c>
      <c r="AP79" s="1155">
        <f t="shared" si="120"/>
        <v>14065.797641216635</v>
      </c>
      <c r="AQ79" s="1154">
        <f t="shared" si="120"/>
        <v>14527.253857531297</v>
      </c>
      <c r="AR79" s="1154">
        <f t="shared" si="120"/>
        <v>19603.903225075555</v>
      </c>
      <c r="AS79" s="1154">
        <f t="shared" si="120"/>
        <v>17640.554959788038</v>
      </c>
      <c r="AT79" s="1155">
        <f t="shared" si="120"/>
        <v>7417.7739790369633</v>
      </c>
      <c r="AU79" s="1154">
        <f t="shared" si="119"/>
        <v>14642.155761170308</v>
      </c>
      <c r="AV79" s="1154">
        <f t="shared" si="119"/>
        <v>19758.958393891811</v>
      </c>
      <c r="AW79" s="1154">
        <f t="shared" si="119"/>
        <v>17780.081216161496</v>
      </c>
      <c r="AX79" s="1155">
        <f t="shared" si="111"/>
        <v>7476.4441419813102</v>
      </c>
      <c r="AY79" s="1154">
        <f t="shared" si="111"/>
        <v>14513.506709443927</v>
      </c>
      <c r="AZ79" s="1154">
        <f t="shared" si="111"/>
        <v>19585.352040979196</v>
      </c>
      <c r="BA79" s="1154">
        <f t="shared" si="111"/>
        <v>17623.861693204144</v>
      </c>
      <c r="BB79" s="1155">
        <f t="shared" si="111"/>
        <v>7410.7545355572447</v>
      </c>
      <c r="BC79" s="1156"/>
      <c r="BD79" s="1156"/>
      <c r="BE79" s="1280">
        <f t="shared" si="121"/>
        <v>8792.3971490229942</v>
      </c>
      <c r="BF79" s="1280">
        <f t="shared" si="122"/>
        <v>9267.371753615771</v>
      </c>
      <c r="BG79" s="1280">
        <f t="shared" si="123"/>
        <v>12334.382046107885</v>
      </c>
      <c r="BH79" s="1280">
        <f t="shared" si="124"/>
        <v>11816.770255499887</v>
      </c>
      <c r="BI79" s="1280">
        <f t="shared" si="125"/>
        <v>12920.180581468259</v>
      </c>
      <c r="BJ79" s="1280">
        <f t="shared" si="126"/>
        <v>22070.465079887028</v>
      </c>
      <c r="BK79" s="1280">
        <f t="shared" si="127"/>
        <v>21449.468420245266</v>
      </c>
      <c r="BL79" s="1280">
        <f t="shared" si="128"/>
        <v>13841.389695405112</v>
      </c>
      <c r="BM79" s="1280">
        <f t="shared" si="129"/>
        <v>12931.729239180739</v>
      </c>
      <c r="BN79" s="1280">
        <f t="shared" si="130"/>
        <v>14797.371505357962</v>
      </c>
      <c r="BO79" s="1280">
        <f t="shared" si="131"/>
        <v>14914.40987830123</v>
      </c>
      <c r="BP79" s="1280">
        <f t="shared" si="132"/>
        <v>14783.368744796129</v>
      </c>
      <c r="BQ79" s="1114"/>
      <c r="BR79" s="1115"/>
      <c r="BU79" s="1087"/>
      <c r="BV79" s="1273" t="str">
        <f>C58</f>
        <v>PJM East / Tetco M3</v>
      </c>
      <c r="BW79" s="1276">
        <f>BP58</f>
        <v>-0.25</v>
      </c>
      <c r="BX79" s="1276">
        <f>$BX$58</f>
        <v>-0.25</v>
      </c>
      <c r="BY79" s="1279">
        <f>+BW79-BX79</f>
        <v>0</v>
      </c>
    </row>
    <row r="80" spans="1:77" ht="12.75" customHeight="1">
      <c r="A80" s="1088"/>
      <c r="B80" s="1089"/>
      <c r="C80" s="1370" t="s">
        <v>515</v>
      </c>
      <c r="D80" s="1370"/>
      <c r="E80" s="1370"/>
      <c r="F80" s="1369"/>
      <c r="G80" s="1397">
        <f t="shared" si="112"/>
        <v>8543.6664872269102</v>
      </c>
      <c r="H80" s="1385">
        <f t="shared" si="112"/>
        <v>11733.472288175466</v>
      </c>
      <c r="I80" s="1385">
        <f t="shared" si="112"/>
        <v>15567.424976285371</v>
      </c>
      <c r="J80" s="1398">
        <f t="shared" si="112"/>
        <v>9467.1210998981551</v>
      </c>
      <c r="K80" s="1397">
        <f t="shared" si="113"/>
        <v>8811.5559963805918</v>
      </c>
      <c r="L80" s="1385">
        <f t="shared" si="113"/>
        <v>11833.163129494042</v>
      </c>
      <c r="M80" s="1385">
        <f t="shared" si="113"/>
        <v>13749.375769400505</v>
      </c>
      <c r="N80" s="1398">
        <f t="shared" si="113"/>
        <v>11401.789212415018</v>
      </c>
      <c r="O80" s="1397">
        <f t="shared" si="114"/>
        <v>10858.411061353236</v>
      </c>
      <c r="P80" s="1385">
        <f t="shared" si="114"/>
        <v>17096.327622236855</v>
      </c>
      <c r="Q80" s="1385">
        <f t="shared" si="114"/>
        <v>16321.388541509912</v>
      </c>
      <c r="R80" s="1385">
        <f t="shared" si="114"/>
        <v>11936.102955529621</v>
      </c>
      <c r="S80" s="1153">
        <f t="shared" si="120"/>
        <v>9200.0602031750641</v>
      </c>
      <c r="T80" s="1154">
        <f t="shared" si="120"/>
        <v>10943.30469533352</v>
      </c>
      <c r="U80" s="1154">
        <f t="shared" si="120"/>
        <v>16839.305638511436</v>
      </c>
      <c r="V80" s="1155">
        <f t="shared" si="120"/>
        <v>11507.281614895146</v>
      </c>
      <c r="W80" s="1154">
        <f t="shared" si="120"/>
        <v>8513.2984461369888</v>
      </c>
      <c r="X80" s="1154">
        <f t="shared" si="120"/>
        <v>12214.306661080853</v>
      </c>
      <c r="Y80" s="1154">
        <f t="shared" si="120"/>
        <v>15533.074957564382</v>
      </c>
      <c r="Z80" s="1155">
        <f t="shared" si="120"/>
        <v>13169.174296902111</v>
      </c>
      <c r="AA80" s="1154">
        <f t="shared" si="120"/>
        <v>8752.0153850948955</v>
      </c>
      <c r="AB80" s="1154">
        <f t="shared" si="120"/>
        <v>13044.571585464208</v>
      </c>
      <c r="AC80" s="1154">
        <f t="shared" si="120"/>
        <v>16897.690788927091</v>
      </c>
      <c r="AD80" s="1155">
        <f t="shared" si="120"/>
        <v>14276.849559241589</v>
      </c>
      <c r="AE80" s="1154">
        <f t="shared" si="120"/>
        <v>12408.032404772037</v>
      </c>
      <c r="AF80" s="1154">
        <f t="shared" si="120"/>
        <v>16600.643581221062</v>
      </c>
      <c r="AG80" s="1154">
        <f t="shared" si="120"/>
        <v>20653.382464404767</v>
      </c>
      <c r="AH80" s="1155">
        <f>IF(ISBLANK(AH223),"",AH223)</f>
        <v>13059.678246218231</v>
      </c>
      <c r="AI80" s="1154">
        <f>IF(ISBLANK(AI223),"",AI223)</f>
        <v>10564.639678870024</v>
      </c>
      <c r="AJ80" s="1154">
        <f>IF(ISBLANK(AJ223),"",AJ223)</f>
        <v>12417.855523387629</v>
      </c>
      <c r="AK80" s="1154">
        <f>IF(ISBLANK(AK223),"",AK223)</f>
        <v>13595.184996214484</v>
      </c>
      <c r="AL80" s="1155">
        <f t="shared" si="120"/>
        <v>11881.520868816107</v>
      </c>
      <c r="AM80" s="1154">
        <f t="shared" si="120"/>
        <v>6442.6306762573604</v>
      </c>
      <c r="AN80" s="1154">
        <f t="shared" si="120"/>
        <v>14924.97320471597</v>
      </c>
      <c r="AO80" s="1154">
        <f t="shared" si="120"/>
        <v>11663.33998669328</v>
      </c>
      <c r="AP80" s="1155">
        <f t="shared" si="120"/>
        <v>13240.105540897099</v>
      </c>
      <c r="AQ80" s="1154">
        <f t="shared" si="120"/>
        <v>15902.941350771327</v>
      </c>
      <c r="AR80" s="1154">
        <f t="shared" si="120"/>
        <v>19127.171748689459</v>
      </c>
      <c r="AS80" s="1154">
        <f t="shared" si="120"/>
        <v>16072.965189791517</v>
      </c>
      <c r="AT80" s="1155">
        <f t="shared" si="120"/>
        <v>6473.9168195960674</v>
      </c>
      <c r="AU80" s="1154">
        <f t="shared" si="119"/>
        <v>15877.25457081885</v>
      </c>
      <c r="AV80" s="1154">
        <f t="shared" si="119"/>
        <v>19096.277121023737</v>
      </c>
      <c r="AW80" s="1154">
        <f t="shared" si="119"/>
        <v>16047.003783602089</v>
      </c>
      <c r="AX80" s="1155">
        <f t="shared" si="111"/>
        <v>6463.460007041228</v>
      </c>
      <c r="AY80" s="1154">
        <f t="shared" si="111"/>
        <v>15501.066136796249</v>
      </c>
      <c r="AZ80" s="1154">
        <f t="shared" si="111"/>
        <v>18643.818633709263</v>
      </c>
      <c r="BA80" s="1154">
        <f t="shared" si="111"/>
        <v>15666.79338909201</v>
      </c>
      <c r="BB80" s="1155">
        <f t="shared" si="111"/>
        <v>6310.3177312421476</v>
      </c>
      <c r="BC80" s="1156"/>
      <c r="BD80" s="1156"/>
      <c r="BE80" s="1280">
        <f t="shared" si="121"/>
        <v>11327.921212896475</v>
      </c>
      <c r="BF80" s="1280">
        <f t="shared" si="122"/>
        <v>11448.971026922538</v>
      </c>
      <c r="BG80" s="1280">
        <f t="shared" si="123"/>
        <v>14053.057545157406</v>
      </c>
      <c r="BH80" s="1280">
        <f t="shared" si="124"/>
        <v>12122.488037978792</v>
      </c>
      <c r="BI80" s="1280">
        <f t="shared" si="125"/>
        <v>12357.463590421085</v>
      </c>
      <c r="BJ80" s="1280">
        <f t="shared" si="126"/>
        <v>13242.781829681946</v>
      </c>
      <c r="BK80" s="1280">
        <f t="shared" si="127"/>
        <v>15680.434174154023</v>
      </c>
      <c r="BL80" s="1280">
        <f t="shared" si="128"/>
        <v>12114.800266822062</v>
      </c>
      <c r="BM80" s="1280">
        <f t="shared" si="129"/>
        <v>11567.762352140928</v>
      </c>
      <c r="BN80" s="1280">
        <f t="shared" si="130"/>
        <v>14394.248777212093</v>
      </c>
      <c r="BO80" s="1280">
        <f t="shared" si="131"/>
        <v>14370.998870621475</v>
      </c>
      <c r="BP80" s="1280">
        <f t="shared" si="132"/>
        <v>14030.498972709916</v>
      </c>
      <c r="BQ80" s="1114"/>
      <c r="BR80" s="1115"/>
      <c r="BU80" s="1087"/>
      <c r="BV80" s="1273" t="str">
        <f>C59</f>
        <v>AEP-Dayton / Tetco M3</v>
      </c>
      <c r="BW80" s="1276">
        <f>BP59</f>
        <v>-0.25</v>
      </c>
      <c r="BX80" s="1276">
        <f>$BX$58</f>
        <v>-0.25</v>
      </c>
      <c r="BY80" s="1279">
        <f>+BW80-BX80</f>
        <v>0</v>
      </c>
    </row>
    <row r="81" spans="1:100" ht="12.75" customHeight="1">
      <c r="A81" s="1088"/>
      <c r="B81" s="1089"/>
      <c r="C81" s="1370" t="s">
        <v>516</v>
      </c>
      <c r="D81" s="1370"/>
      <c r="E81" s="1370"/>
      <c r="F81" s="1369"/>
      <c r="G81" s="1397">
        <f t="shared" si="112"/>
        <v>9392.5798896790966</v>
      </c>
      <c r="H81" s="1385">
        <f t="shared" si="112"/>
        <v>13697.35313631684</v>
      </c>
      <c r="I81" s="1385">
        <f t="shared" si="112"/>
        <v>17284.703810095227</v>
      </c>
      <c r="J81" s="1398">
        <f t="shared" si="112"/>
        <v>10274.047045908441</v>
      </c>
      <c r="K81" s="1397">
        <f t="shared" si="113"/>
        <v>10183.447113344422</v>
      </c>
      <c r="L81" s="1385">
        <f t="shared" si="113"/>
        <v>13001.009310136313</v>
      </c>
      <c r="M81" s="1385">
        <f t="shared" si="113"/>
        <v>14568.584070796462</v>
      </c>
      <c r="N81" s="1398">
        <f t="shared" si="113"/>
        <v>12436.247938794573</v>
      </c>
      <c r="O81" s="1397">
        <f t="shared" si="114"/>
        <v>12425.14553153737</v>
      </c>
      <c r="P81" s="1385">
        <f t="shared" si="114"/>
        <v>18031.971093165863</v>
      </c>
      <c r="Q81" s="1385">
        <f t="shared" si="114"/>
        <v>17146.378293109447</v>
      </c>
      <c r="R81" s="1385">
        <f t="shared" si="114"/>
        <v>12431.863270403677</v>
      </c>
      <c r="S81" s="1153">
        <f t="shared" si="120"/>
        <v>10578.39992459892</v>
      </c>
      <c r="T81" s="1154">
        <f t="shared" si="120"/>
        <v>11999.78855129232</v>
      </c>
      <c r="U81" s="1154">
        <f t="shared" si="120"/>
        <v>17812.227801005432</v>
      </c>
      <c r="V81" s="1155">
        <f t="shared" si="120"/>
        <v>11729.179938323001</v>
      </c>
      <c r="W81" s="1154">
        <f t="shared" si="120"/>
        <v>9203.1098350249158</v>
      </c>
      <c r="X81" s="1154">
        <f t="shared" si="120"/>
        <v>12626.733347297857</v>
      </c>
      <c r="Y81" s="1154">
        <f t="shared" si="120"/>
        <v>15897.562359300329</v>
      </c>
      <c r="Z81" s="1155">
        <f t="shared" si="120"/>
        <v>13240.978153002308</v>
      </c>
      <c r="AA81" s="1154">
        <f t="shared" si="120"/>
        <v>9018.8976375690818</v>
      </c>
      <c r="AB81" s="1154">
        <f t="shared" si="120"/>
        <v>13894.286417546622</v>
      </c>
      <c r="AC81" s="1154">
        <f t="shared" si="120"/>
        <v>18107.995319874713</v>
      </c>
      <c r="AD81" s="1155">
        <f t="shared" si="120"/>
        <v>14745.056501394383</v>
      </c>
      <c r="AE81" s="1154">
        <f t="shared" si="120"/>
        <v>13209.269974318235</v>
      </c>
      <c r="AF81" s="1154">
        <f t="shared" si="120"/>
        <v>17254.346935393285</v>
      </c>
      <c r="AG81" s="1154">
        <f t="shared" si="120"/>
        <v>22217.55576655066</v>
      </c>
      <c r="AH81" s="1155">
        <f t="shared" si="120"/>
        <v>13392.414325610831</v>
      </c>
      <c r="AI81" s="1154">
        <f t="shared" si="120"/>
        <v>10821.778932940791</v>
      </c>
      <c r="AJ81" s="1154">
        <f t="shared" si="120"/>
        <v>14506.809765484199</v>
      </c>
      <c r="AK81" s="1154">
        <f t="shared" si="120"/>
        <v>14815.14368478225</v>
      </c>
      <c r="AL81" s="1155">
        <f t="shared" si="120"/>
        <v>12173.228816928658</v>
      </c>
      <c r="AM81" s="1154">
        <f t="shared" si="120"/>
        <v>7815.56322828876</v>
      </c>
      <c r="AN81" s="1154">
        <f t="shared" si="120"/>
        <v>16606.377277599146</v>
      </c>
      <c r="AO81" s="1154">
        <f t="shared" si="120"/>
        <v>13626.081170991349</v>
      </c>
      <c r="AP81" s="1155">
        <f t="shared" si="120"/>
        <v>14369.39313984169</v>
      </c>
      <c r="AQ81" s="1154">
        <f t="shared" si="120"/>
        <v>16741.315089166317</v>
      </c>
      <c r="AR81" s="1154">
        <f t="shared" si="120"/>
        <v>20687.340048570692</v>
      </c>
      <c r="AS81" s="1154">
        <f t="shared" si="120"/>
        <v>18591.892964046394</v>
      </c>
      <c r="AT81" s="1155">
        <f t="shared" si="120"/>
        <v>8151.6242564083632</v>
      </c>
      <c r="AU81" s="1154">
        <f t="shared" si="119"/>
        <v>16761.003464683836</v>
      </c>
      <c r="AV81" s="1154">
        <f t="shared" si="119"/>
        <v>20711.669088264731</v>
      </c>
      <c r="AW81" s="1154">
        <f t="shared" si="119"/>
        <v>18613.757684249551</v>
      </c>
      <c r="AX81" s="1155">
        <f t="shared" si="111"/>
        <v>8161.210853314461</v>
      </c>
      <c r="AY81" s="1154">
        <f t="shared" si="111"/>
        <v>16419.071657976107</v>
      </c>
      <c r="AZ81" s="1154">
        <f t="shared" si="111"/>
        <v>20289.14197369161</v>
      </c>
      <c r="BA81" s="1154">
        <f t="shared" si="111"/>
        <v>18234.028880541242</v>
      </c>
      <c r="BB81" s="1155">
        <f t="shared" si="111"/>
        <v>7994.7185798729333</v>
      </c>
      <c r="BC81" s="1156"/>
      <c r="BD81" s="1156"/>
      <c r="BE81" s="1280">
        <f t="shared" si="121"/>
        <v>12662.170970499901</v>
      </c>
      <c r="BF81" s="1280">
        <f t="shared" si="122"/>
        <v>12547.322108267941</v>
      </c>
      <c r="BG81" s="1280">
        <f t="shared" si="123"/>
        <v>15008.839547054089</v>
      </c>
      <c r="BH81" s="1280">
        <f t="shared" si="124"/>
        <v>13029.89905380492</v>
      </c>
      <c r="BI81" s="1280">
        <f t="shared" si="125"/>
        <v>12742.095923656352</v>
      </c>
      <c r="BJ81" s="1280">
        <f t="shared" si="126"/>
        <v>13941.558969096201</v>
      </c>
      <c r="BK81" s="1280">
        <f t="shared" si="127"/>
        <v>16518.396750468255</v>
      </c>
      <c r="BL81" s="1280">
        <f t="shared" si="128"/>
        <v>13079.240300033973</v>
      </c>
      <c r="BM81" s="1280">
        <f t="shared" si="129"/>
        <v>13104.353704180236</v>
      </c>
      <c r="BN81" s="1280">
        <f t="shared" si="130"/>
        <v>16043.04308954794</v>
      </c>
      <c r="BO81" s="1280">
        <f t="shared" si="131"/>
        <v>16061.910272628145</v>
      </c>
      <c r="BP81" s="1280">
        <f t="shared" si="132"/>
        <v>15734.240273020474</v>
      </c>
      <c r="BQ81" s="1114"/>
      <c r="BR81" s="1115"/>
      <c r="BU81" s="1087"/>
      <c r="BV81" s="1086"/>
      <c r="BW81" s="1086"/>
      <c r="BX81" s="1086"/>
    </row>
    <row r="82" spans="1:100" ht="12.75" customHeight="1">
      <c r="A82" s="1088"/>
      <c r="B82" s="1089"/>
      <c r="C82" s="1370" t="s">
        <v>512</v>
      </c>
      <c r="D82" s="1370"/>
      <c r="E82" s="1370"/>
      <c r="F82" s="1369"/>
      <c r="G82" s="1397">
        <f t="shared" si="112"/>
        <v>7982.4119503554102</v>
      </c>
      <c r="H82" s="1385">
        <f t="shared" si="112"/>
        <v>11041.103779988538</v>
      </c>
      <c r="I82" s="1385">
        <f t="shared" si="112"/>
        <v>14228.587132037725</v>
      </c>
      <c r="J82" s="1398">
        <f t="shared" si="112"/>
        <v>9383.2805134876544</v>
      </c>
      <c r="K82" s="1397">
        <f t="shared" si="113"/>
        <v>8427.5939587936628</v>
      </c>
      <c r="L82" s="1385">
        <f t="shared" si="113"/>
        <v>12841.345055255759</v>
      </c>
      <c r="M82" s="1385">
        <f t="shared" si="113"/>
        <v>13053.181206760597</v>
      </c>
      <c r="N82" s="1398">
        <f t="shared" si="113"/>
        <v>10988.427298979313</v>
      </c>
      <c r="O82" s="1397">
        <f t="shared" si="114"/>
        <v>12399.269052277541</v>
      </c>
      <c r="P82" s="1385">
        <f t="shared" si="114"/>
        <v>15811.917941469588</v>
      </c>
      <c r="Q82" s="1385">
        <f t="shared" si="114"/>
        <v>16066.421494696588</v>
      </c>
      <c r="R82" s="1385">
        <f t="shared" si="114"/>
        <v>11326.798880136883</v>
      </c>
      <c r="S82" s="1153">
        <f t="shared" si="120"/>
        <v>9769.8876086014934</v>
      </c>
      <c r="T82" s="1154">
        <f t="shared" si="120"/>
        <v>10989.280048611789</v>
      </c>
      <c r="U82" s="1154">
        <f t="shared" si="120"/>
        <v>13580.3682962901</v>
      </c>
      <c r="V82" s="1155">
        <f t="shared" si="120"/>
        <v>10104.935635805112</v>
      </c>
      <c r="W82" s="1154">
        <f t="shared" si="120"/>
        <v>8947.0994834564881</v>
      </c>
      <c r="X82" s="1154">
        <f t="shared" si="120"/>
        <v>13598.639044134061</v>
      </c>
      <c r="Y82" s="1154">
        <f t="shared" si="120"/>
        <v>16362.499285784888</v>
      </c>
      <c r="Z82" s="1155">
        <f t="shared" si="120"/>
        <v>14636.185295017334</v>
      </c>
      <c r="AA82" s="1154">
        <f t="shared" si="120"/>
        <v>8819.9510291713868</v>
      </c>
      <c r="AB82" s="1154">
        <f t="shared" si="120"/>
        <v>24123.141529550368</v>
      </c>
      <c r="AC82" s="1154">
        <f t="shared" si="120"/>
        <v>28747.430408517044</v>
      </c>
      <c r="AD82" s="1155">
        <f t="shared" si="120"/>
        <v>24735.597244755765</v>
      </c>
      <c r="AE82" s="1154">
        <f t="shared" si="120"/>
        <v>16416.865442427312</v>
      </c>
      <c r="AF82" s="1154">
        <f t="shared" si="120"/>
        <v>20663.424419465664</v>
      </c>
      <c r="AG82" s="1154">
        <f t="shared" si="120"/>
        <v>28889.206582791372</v>
      </c>
      <c r="AH82" s="1155">
        <f t="shared" si="120"/>
        <v>14896.780177793647</v>
      </c>
      <c r="AI82" s="1154">
        <f t="shared" si="120"/>
        <v>10739.7501298603</v>
      </c>
      <c r="AJ82" s="1154">
        <f t="shared" si="120"/>
        <v>13045.335901964805</v>
      </c>
      <c r="AK82" s="1154">
        <f t="shared" si="120"/>
        <v>20361.658997618648</v>
      </c>
      <c r="AL82" s="1155">
        <f t="shared" si="120"/>
        <v>13616.365420376185</v>
      </c>
      <c r="AM82" s="1154">
        <f t="shared" si="120"/>
        <v>7345.4940065431902</v>
      </c>
      <c r="AN82" s="1154">
        <f t="shared" si="120"/>
        <v>15566.250563994585</v>
      </c>
      <c r="AO82" s="1154">
        <f t="shared" si="120"/>
        <v>16621.62162162162</v>
      </c>
      <c r="AP82" s="1155">
        <f t="shared" si="120"/>
        <v>12917.442582247049</v>
      </c>
      <c r="AQ82" s="1154">
        <f t="shared" si="120"/>
        <v>11104.548723888633</v>
      </c>
      <c r="AR82" s="1154">
        <f t="shared" si="120"/>
        <v>16674.490418195121</v>
      </c>
      <c r="AS82" s="1154">
        <f t="shared" si="120"/>
        <v>17885.095700846545</v>
      </c>
      <c r="AT82" s="1155">
        <f t="shared" si="120"/>
        <v>10165.322792411107</v>
      </c>
      <c r="AU82" s="1154">
        <f t="shared" ref="AU82:BB97" si="133">IF(ISBLANK(AU225),"",AU225)</f>
        <v>11252.137629199777</v>
      </c>
      <c r="AV82" s="1154">
        <f t="shared" si="133"/>
        <v>16896.108590048279</v>
      </c>
      <c r="AW82" s="1154">
        <f t="shared" si="133"/>
        <v>18122.803847436458</v>
      </c>
      <c r="AX82" s="1155">
        <f t="shared" si="133"/>
        <v>10300.428585574848</v>
      </c>
      <c r="AY82" s="1383">
        <f t="shared" ref="AY82:BB86" si="134">IF(ISBLANK(AY225),"",IF(Uplift="Yes",$BW36,AY225))</f>
        <v>14319.999999999998</v>
      </c>
      <c r="AZ82" s="1383">
        <f t="shared" si="134"/>
        <v>14319.999999999998</v>
      </c>
      <c r="BA82" s="1383">
        <f t="shared" si="134"/>
        <v>14319.999999999998</v>
      </c>
      <c r="BB82" s="1384">
        <f t="shared" si="134"/>
        <v>14319.999999999998</v>
      </c>
      <c r="BC82" s="1156"/>
      <c r="BD82" s="1156"/>
      <c r="BE82" s="1280">
        <f t="shared" si="121"/>
        <v>10658.845843967332</v>
      </c>
      <c r="BF82" s="1280">
        <f t="shared" si="122"/>
        <v>11327.636879947331</v>
      </c>
      <c r="BG82" s="1280">
        <f t="shared" si="123"/>
        <v>13901.10184214515</v>
      </c>
      <c r="BH82" s="1280">
        <f t="shared" si="124"/>
        <v>11111.117897327124</v>
      </c>
      <c r="BI82" s="1280">
        <f t="shared" si="125"/>
        <v>13386.105777098193</v>
      </c>
      <c r="BJ82" s="1280">
        <f t="shared" si="126"/>
        <v>21606.530052998642</v>
      </c>
      <c r="BK82" s="1280">
        <f t="shared" si="127"/>
        <v>20216.569155619502</v>
      </c>
      <c r="BL82" s="1280">
        <f t="shared" si="128"/>
        <v>14440.777612454986</v>
      </c>
      <c r="BM82" s="1280">
        <f t="shared" si="129"/>
        <v>13112.702193601612</v>
      </c>
      <c r="BN82" s="1280">
        <f t="shared" si="130"/>
        <v>13957.364408835352</v>
      </c>
      <c r="BO82" s="1280">
        <f t="shared" si="131"/>
        <v>14142.869663064841</v>
      </c>
      <c r="BP82" s="1280">
        <f t="shared" si="132"/>
        <v>14319.999999999998</v>
      </c>
      <c r="BQ82" s="1114"/>
      <c r="BR82" s="1115"/>
      <c r="BU82" s="1087"/>
      <c r="BV82" s="1086"/>
      <c r="BW82" s="1086"/>
      <c r="BX82" s="1086"/>
    </row>
    <row r="83" spans="1:100" ht="12.75" customHeight="1">
      <c r="A83" s="1088"/>
      <c r="B83" s="1089"/>
      <c r="C83" s="1370" t="s">
        <v>703</v>
      </c>
      <c r="D83" s="1370"/>
      <c r="E83" s="1370"/>
      <c r="F83" s="1369"/>
      <c r="G83" s="1397">
        <f t="shared" si="112"/>
        <v>8711.9060675020501</v>
      </c>
      <c r="H83" s="1385">
        <f t="shared" si="112"/>
        <v>12152.629284719847</v>
      </c>
      <c r="I83" s="1385">
        <f t="shared" si="112"/>
        <v>17173.13306743103</v>
      </c>
      <c r="J83" s="1398">
        <f t="shared" si="112"/>
        <v>10120.881701897726</v>
      </c>
      <c r="K83" s="1397">
        <f t="shared" si="113"/>
        <v>9486.4861275515559</v>
      </c>
      <c r="L83" s="1385">
        <f t="shared" si="113"/>
        <v>14083.274067213015</v>
      </c>
      <c r="M83" s="1385">
        <f t="shared" si="113"/>
        <v>15184.902828423206</v>
      </c>
      <c r="N83" s="1398">
        <f t="shared" si="113"/>
        <v>11452.068410464995</v>
      </c>
      <c r="O83" s="1397">
        <f t="shared" si="114"/>
        <v>13882.378537887873</v>
      </c>
      <c r="P83" s="1385">
        <f t="shared" si="114"/>
        <v>15168.285590046735</v>
      </c>
      <c r="Q83" s="1385">
        <f t="shared" si="114"/>
        <v>18341.98697135222</v>
      </c>
      <c r="R83" s="1385">
        <f t="shared" si="114"/>
        <v>12596.345207299488</v>
      </c>
      <c r="S83" s="1153">
        <f t="shared" si="120"/>
        <v>9911.8076792134689</v>
      </c>
      <c r="T83" s="1154">
        <f t="shared" si="120"/>
        <v>11384.147247720264</v>
      </c>
      <c r="U83" s="1154">
        <f t="shared" si="120"/>
        <v>15573.185234756584</v>
      </c>
      <c r="V83" s="1155">
        <f t="shared" si="120"/>
        <v>10607.460008072527</v>
      </c>
      <c r="W83" s="1154">
        <f t="shared" si="120"/>
        <v>10425.452124530333</v>
      </c>
      <c r="X83" s="1154">
        <f t="shared" si="120"/>
        <v>14513.982866861383</v>
      </c>
      <c r="Y83" s="1154">
        <f t="shared" si="120"/>
        <v>17923.159637116962</v>
      </c>
      <c r="Z83" s="1155">
        <f t="shared" si="120"/>
        <v>17808.177795314739</v>
      </c>
      <c r="AA83" s="1154">
        <f t="shared" si="120"/>
        <v>10435.739406819961</v>
      </c>
      <c r="AB83" s="1154">
        <f t="shared" si="120"/>
        <v>22688.465601410513</v>
      </c>
      <c r="AC83" s="1154">
        <f t="shared" si="120"/>
        <v>29063.334258348081</v>
      </c>
      <c r="AD83" s="1155">
        <f t="shared" si="120"/>
        <v>23298.162468780309</v>
      </c>
      <c r="AE83" s="1154">
        <f t="shared" si="120"/>
        <v>17051.205582715174</v>
      </c>
      <c r="AF83" s="1154">
        <f t="shared" si="120"/>
        <v>18139.264256659353</v>
      </c>
      <c r="AG83" s="1154">
        <f t="shared" si="120"/>
        <v>30127.615946596885</v>
      </c>
      <c r="AH83" s="1155">
        <f t="shared" si="120"/>
        <v>12908.049102170644</v>
      </c>
      <c r="AI83" s="1154">
        <f t="shared" si="120"/>
        <v>11111.448318537523</v>
      </c>
      <c r="AJ83" s="1154">
        <f t="shared" si="120"/>
        <v>12879.867308086643</v>
      </c>
      <c r="AK83" s="1154">
        <f t="shared" si="120"/>
        <v>19709.573082387014</v>
      </c>
      <c r="AL83" s="1155">
        <f t="shared" si="120"/>
        <v>14197.025620468919</v>
      </c>
      <c r="AM83" s="1154">
        <f t="shared" si="120"/>
        <v>7552.144985638347</v>
      </c>
      <c r="AN83" s="1154">
        <f t="shared" si="120"/>
        <v>15508.196721311475</v>
      </c>
      <c r="AO83" s="1154">
        <f t="shared" si="120"/>
        <v>17145.420420420422</v>
      </c>
      <c r="AP83" s="1155">
        <f t="shared" si="120"/>
        <v>12891.744258224702</v>
      </c>
      <c r="AQ83" s="1154">
        <f t="shared" si="120"/>
        <v>12752.248157113403</v>
      </c>
      <c r="AR83" s="1154">
        <f t="shared" si="120"/>
        <v>17021.585855808447</v>
      </c>
      <c r="AS83" s="1154">
        <f t="shared" si="120"/>
        <v>18914.044155281495</v>
      </c>
      <c r="AT83" s="1155">
        <f t="shared" si="120"/>
        <v>9489.5496195419528</v>
      </c>
      <c r="AU83" s="1154">
        <f t="shared" si="133"/>
        <v>12943.493840954505</v>
      </c>
      <c r="AV83" s="1154">
        <f t="shared" si="133"/>
        <v>17276.858870177937</v>
      </c>
      <c r="AW83" s="1154">
        <f t="shared" si="133"/>
        <v>19197.698399153764</v>
      </c>
      <c r="AX83" s="1155">
        <f t="shared" si="133"/>
        <v>9631.864557580624</v>
      </c>
      <c r="AY83" s="1383">
        <f t="shared" si="134"/>
        <v>14408.571428571429</v>
      </c>
      <c r="AZ83" s="1383">
        <f t="shared" si="134"/>
        <v>14408.571428571429</v>
      </c>
      <c r="BA83" s="1383">
        <f t="shared" si="134"/>
        <v>14408.571428571429</v>
      </c>
      <c r="BB83" s="1384">
        <f t="shared" si="134"/>
        <v>14408.571428571429</v>
      </c>
      <c r="BC83" s="1156"/>
      <c r="BD83" s="1156"/>
      <c r="BE83" s="1280">
        <f t="shared" si="121"/>
        <v>12039.637530387663</v>
      </c>
      <c r="BF83" s="1280">
        <f t="shared" si="122"/>
        <v>12551.682858413194</v>
      </c>
      <c r="BG83" s="1280">
        <f t="shared" si="123"/>
        <v>14997.249076646578</v>
      </c>
      <c r="BH83" s="1280">
        <f t="shared" si="124"/>
        <v>11869.150042440711</v>
      </c>
      <c r="BI83" s="1280">
        <f t="shared" si="125"/>
        <v>15167.693105955856</v>
      </c>
      <c r="BJ83" s="1280">
        <f t="shared" si="126"/>
        <v>21371.425433839719</v>
      </c>
      <c r="BK83" s="1280">
        <f t="shared" si="127"/>
        <v>19556.533722035514</v>
      </c>
      <c r="BL83" s="1280">
        <f t="shared" si="128"/>
        <v>14474.478582370026</v>
      </c>
      <c r="BM83" s="1280">
        <f t="shared" si="129"/>
        <v>13274.376596398735</v>
      </c>
      <c r="BN83" s="1280">
        <f t="shared" si="130"/>
        <v>14544.356946936325</v>
      </c>
      <c r="BO83" s="1280">
        <f t="shared" si="131"/>
        <v>14762.478916966707</v>
      </c>
      <c r="BP83" s="1280">
        <f t="shared" si="132"/>
        <v>14408.571428571429</v>
      </c>
      <c r="BQ83" s="1114"/>
      <c r="BR83" s="1115"/>
      <c r="BU83" s="1087"/>
    </row>
    <row r="84" spans="1:100" ht="12.75" customHeight="1">
      <c r="A84" s="1088"/>
      <c r="B84" s="1089"/>
      <c r="C84" s="1370" t="s">
        <v>532</v>
      </c>
      <c r="D84" s="1370"/>
      <c r="E84" s="1370"/>
      <c r="F84" s="1369"/>
      <c r="G84" s="1397">
        <f t="shared" ref="G84:J99" si="135">IF(ISBLANK(G227),"",G227)</f>
        <v>7034.5564560522225</v>
      </c>
      <c r="H84" s="1385">
        <f t="shared" si="135"/>
        <v>9219.5630628076833</v>
      </c>
      <c r="I84" s="1385">
        <f t="shared" si="135"/>
        <v>11045.187830976916</v>
      </c>
      <c r="J84" s="1398">
        <f t="shared" si="135"/>
        <v>7381.5895861529834</v>
      </c>
      <c r="K84" s="1397">
        <f t="shared" ref="K84:N99" si="136">IF(ISBLANK(K227),"",K227)</f>
        <v>6978.2974668560619</v>
      </c>
      <c r="L84" s="1385">
        <f t="shared" si="136"/>
        <v>10974.737677781584</v>
      </c>
      <c r="M84" s="1385">
        <f t="shared" si="136"/>
        <v>11488.370939644137</v>
      </c>
      <c r="N84" s="1398">
        <f t="shared" si="136"/>
        <v>10454.753259779891</v>
      </c>
      <c r="O84" s="1397">
        <f t="shared" ref="O84:R99" si="137">IF(ISBLANK(O227),"",O227)</f>
        <v>11590.193568861898</v>
      </c>
      <c r="P84" s="1385">
        <f t="shared" si="137"/>
        <v>14239.168969349786</v>
      </c>
      <c r="Q84" s="1385">
        <f t="shared" si="137"/>
        <v>14649.640167203261</v>
      </c>
      <c r="R84" s="1385">
        <f t="shared" si="137"/>
        <v>10401.683528262198</v>
      </c>
      <c r="S84" s="1153">
        <f t="shared" si="120"/>
        <v>8843.8741816001238</v>
      </c>
      <c r="T84" s="1154">
        <f t="shared" si="120"/>
        <v>10090.605702834497</v>
      </c>
      <c r="U84" s="1154">
        <f t="shared" si="120"/>
        <v>11784.929103005486</v>
      </c>
      <c r="V84" s="1155">
        <f t="shared" si="120"/>
        <v>9055.3075246398785</v>
      </c>
      <c r="W84" s="1154">
        <f t="shared" si="120"/>
        <v>6250.8834115149521</v>
      </c>
      <c r="X84" s="1154">
        <f t="shared" si="120"/>
        <v>13598.445413206973</v>
      </c>
      <c r="Y84" s="1154">
        <f t="shared" si="120"/>
        <v>15115.206481521522</v>
      </c>
      <c r="Z84" s="1155">
        <f t="shared" si="120"/>
        <v>14526.341739741243</v>
      </c>
      <c r="AA84" s="1154">
        <f t="shared" si="120"/>
        <v>6685.8777350899572</v>
      </c>
      <c r="AB84" s="1154">
        <f t="shared" si="120"/>
        <v>22536.074157139941</v>
      </c>
      <c r="AC84" s="1154">
        <f t="shared" si="120"/>
        <v>26155.148246335953</v>
      </c>
      <c r="AD84" s="1155">
        <f t="shared" si="120"/>
        <v>23909.989823722273</v>
      </c>
      <c r="AE84" s="1154">
        <f t="shared" si="120"/>
        <v>14978.836309235272</v>
      </c>
      <c r="AF84" s="1154">
        <f t="shared" si="120"/>
        <v>19797.287168266088</v>
      </c>
      <c r="AG84" s="1154">
        <f t="shared" si="120"/>
        <v>28019.254671976272</v>
      </c>
      <c r="AH84" s="1155">
        <f t="shared" si="120"/>
        <v>14526.175995021027</v>
      </c>
      <c r="AI84" s="1154">
        <f t="shared" si="120"/>
        <v>10353.203493698842</v>
      </c>
      <c r="AJ84" s="1154">
        <f t="shared" si="120"/>
        <v>13146.418491195038</v>
      </c>
      <c r="AK84" s="1154">
        <f t="shared" si="120"/>
        <v>20992.620308985443</v>
      </c>
      <c r="AL84" s="1155">
        <f t="shared" si="120"/>
        <v>11673.338698911291</v>
      </c>
      <c r="AM84" s="1154">
        <f t="shared" si="120"/>
        <v>6038.4727262704982</v>
      </c>
      <c r="AN84" s="1154">
        <f t="shared" si="120"/>
        <v>13216.818012190572</v>
      </c>
      <c r="AO84" s="1154">
        <f t="shared" si="120"/>
        <v>13392.53996447602</v>
      </c>
      <c r="AP84" s="1155">
        <f t="shared" si="120"/>
        <v>11740.379092475589</v>
      </c>
      <c r="AQ84" s="1154">
        <f t="shared" si="120"/>
        <v>12782.858661912423</v>
      </c>
      <c r="AR84" s="1154">
        <f t="shared" si="120"/>
        <v>12270.005904552587</v>
      </c>
      <c r="AS84" s="1154">
        <f t="shared" si="120"/>
        <v>13129.877577825491</v>
      </c>
      <c r="AT84" s="1155">
        <f t="shared" si="120"/>
        <v>11979.669391553554</v>
      </c>
      <c r="AU84" s="1154">
        <f t="shared" si="133"/>
        <v>12476.88178267494</v>
      </c>
      <c r="AV84" s="1154">
        <f t="shared" si="133"/>
        <v>11976.304924654652</v>
      </c>
      <c r="AW84" s="1154">
        <f t="shared" si="133"/>
        <v>12815.594280772109</v>
      </c>
      <c r="AX84" s="1155">
        <f t="shared" si="133"/>
        <v>11692.918051210097</v>
      </c>
      <c r="AY84" s="1383">
        <f t="shared" si="134"/>
        <v>14758.214285714284</v>
      </c>
      <c r="AZ84" s="1383">
        <f t="shared" si="134"/>
        <v>14758.214285714284</v>
      </c>
      <c r="BA84" s="1383">
        <f t="shared" si="134"/>
        <v>14758.214285714284</v>
      </c>
      <c r="BB84" s="1384">
        <f t="shared" si="134"/>
        <v>14758.214285714284</v>
      </c>
      <c r="BC84" s="1156"/>
      <c r="BD84" s="1156"/>
      <c r="BE84" s="1280">
        <f t="shared" si="121"/>
        <v>8670.2242339974509</v>
      </c>
      <c r="BF84" s="1280">
        <f t="shared" si="122"/>
        <v>9974.0398360154177</v>
      </c>
      <c r="BG84" s="1280">
        <f t="shared" si="123"/>
        <v>12720.171558419286</v>
      </c>
      <c r="BH84" s="1280">
        <f t="shared" si="124"/>
        <v>9943.6791280199977</v>
      </c>
      <c r="BI84" s="1280">
        <f t="shared" si="125"/>
        <v>12372.719261496171</v>
      </c>
      <c r="BJ84" s="1280">
        <f t="shared" si="126"/>
        <v>19821.772490572032</v>
      </c>
      <c r="BK84" s="1280">
        <f t="shared" si="127"/>
        <v>19330.388536124665</v>
      </c>
      <c r="BL84" s="1280">
        <f t="shared" si="128"/>
        <v>14041.395248197652</v>
      </c>
      <c r="BM84" s="1280">
        <f t="shared" si="129"/>
        <v>11097.05244885317</v>
      </c>
      <c r="BN84" s="1280">
        <f t="shared" si="130"/>
        <v>12540.602883961015</v>
      </c>
      <c r="BO84" s="1280">
        <f t="shared" si="131"/>
        <v>12240.424759827951</v>
      </c>
      <c r="BP84" s="1280">
        <f t="shared" si="132"/>
        <v>14758.214285714284</v>
      </c>
      <c r="BQ84" s="1114"/>
      <c r="BR84" s="1115"/>
      <c r="BU84" s="1087"/>
    </row>
    <row r="85" spans="1:100" ht="12.75" customHeight="1">
      <c r="A85" s="1088"/>
      <c r="B85" s="1089"/>
      <c r="C85" s="1370" t="s">
        <v>281</v>
      </c>
      <c r="D85" s="1370"/>
      <c r="E85" s="1370"/>
      <c r="F85" s="1369"/>
      <c r="G85" s="1397">
        <f t="shared" si="135"/>
        <v>8259.8996262013297</v>
      </c>
      <c r="H85" s="1385">
        <f t="shared" si="135"/>
        <v>10003.549383125364</v>
      </c>
      <c r="I85" s="1385">
        <f t="shared" si="135"/>
        <v>12028.047815312115</v>
      </c>
      <c r="J85" s="1398">
        <f t="shared" si="135"/>
        <v>10227.868758263019</v>
      </c>
      <c r="K85" s="1397">
        <f t="shared" si="136"/>
        <v>9936.5439224208931</v>
      </c>
      <c r="L85" s="1385">
        <f t="shared" si="136"/>
        <v>11672.791950011986</v>
      </c>
      <c r="M85" s="1385">
        <f t="shared" si="136"/>
        <v>12186.105777662253</v>
      </c>
      <c r="N85" s="1398">
        <f t="shared" si="136"/>
        <v>11252.850685073325</v>
      </c>
      <c r="O85" s="1397">
        <f t="shared" si="137"/>
        <v>13099.854320578041</v>
      </c>
      <c r="P85" s="1385">
        <f t="shared" si="137"/>
        <v>15290.619466270606</v>
      </c>
      <c r="Q85" s="1385">
        <f t="shared" si="137"/>
        <v>15612.213249244409</v>
      </c>
      <c r="R85" s="1385">
        <f t="shared" si="137"/>
        <v>11258.478019599537</v>
      </c>
      <c r="S85" s="1153">
        <f t="shared" si="120"/>
        <v>10840.629181716851</v>
      </c>
      <c r="T85" s="1154">
        <f t="shared" si="120"/>
        <v>10433.524268414367</v>
      </c>
      <c r="U85" s="1154">
        <f t="shared" si="120"/>
        <v>11783.624476286885</v>
      </c>
      <c r="V85" s="1155">
        <f t="shared" si="120"/>
        <v>9410.7450433957438</v>
      </c>
      <c r="W85" s="1154">
        <f t="shared" si="120"/>
        <v>15318.186620328099</v>
      </c>
      <c r="X85" s="1154">
        <f t="shared" si="120"/>
        <v>10985.588769221897</v>
      </c>
      <c r="Y85" s="1154">
        <f t="shared" si="120"/>
        <v>9630.6910356468015</v>
      </c>
      <c r="Z85" s="1155">
        <f t="shared" si="120"/>
        <v>10341.789794005559</v>
      </c>
      <c r="AA85" s="1154">
        <f t="shared" si="120"/>
        <v>14856.332241024871</v>
      </c>
      <c r="AB85" s="1154">
        <f t="shared" si="120"/>
        <v>12927.939921820258</v>
      </c>
      <c r="AC85" s="1154">
        <f t="shared" si="120"/>
        <v>12745.79802165131</v>
      </c>
      <c r="AD85" s="1155">
        <f t="shared" si="120"/>
        <v>14436.141757625302</v>
      </c>
      <c r="AE85" s="1154">
        <f t="shared" si="120"/>
        <v>13712.372915511156</v>
      </c>
      <c r="AF85" s="1154">
        <f t="shared" si="120"/>
        <v>14788.269551509478</v>
      </c>
      <c r="AG85" s="1154">
        <f t="shared" si="120"/>
        <v>13349.72491644476</v>
      </c>
      <c r="AH85" s="1155">
        <f t="shared" si="120"/>
        <v>10706.4109123743</v>
      </c>
      <c r="AI85" s="1154">
        <f t="shared" si="120"/>
        <v>10324.076252256546</v>
      </c>
      <c r="AJ85" s="1154">
        <f t="shared" si="120"/>
        <v>10803.742971428574</v>
      </c>
      <c r="AK85" s="1154">
        <f t="shared" si="120"/>
        <v>12479.580188793305</v>
      </c>
      <c r="AL85" s="1155">
        <f t="shared" si="120"/>
        <v>11085.597339180495</v>
      </c>
      <c r="AM85" s="1154">
        <f t="shared" si="120"/>
        <v>12354.403745497164</v>
      </c>
      <c r="AN85" s="1154">
        <f t="shared" si="120"/>
        <v>12625.948501057348</v>
      </c>
      <c r="AO85" s="1154">
        <f t="shared" si="120"/>
        <v>12901.124925991713</v>
      </c>
      <c r="AP85" s="1155">
        <f t="shared" si="120"/>
        <v>11585.295807007466</v>
      </c>
      <c r="AQ85" s="1154">
        <f t="shared" si="120"/>
        <v>11887.424379313399</v>
      </c>
      <c r="AR85" s="1154">
        <f t="shared" si="120"/>
        <v>11870.343784498289</v>
      </c>
      <c r="AS85" s="1154">
        <f t="shared" si="120"/>
        <v>12919.05721085627</v>
      </c>
      <c r="AT85" s="1155">
        <f t="shared" si="120"/>
        <v>12181.915144547824</v>
      </c>
      <c r="AU85" s="1154">
        <f t="shared" si="133"/>
        <v>11741.640116388797</v>
      </c>
      <c r="AV85" s="1154">
        <f t="shared" si="133"/>
        <v>11724.768993520336</v>
      </c>
      <c r="AW85" s="1154">
        <f t="shared" si="133"/>
        <v>12760.621272753231</v>
      </c>
      <c r="AX85" s="1155">
        <f t="shared" si="133"/>
        <v>12032.519323915016</v>
      </c>
      <c r="AY85" s="1383">
        <f t="shared" si="134"/>
        <v>16450.000000000004</v>
      </c>
      <c r="AZ85" s="1383">
        <f t="shared" si="134"/>
        <v>16450.000000000004</v>
      </c>
      <c r="BA85" s="1383">
        <f t="shared" si="134"/>
        <v>16450.000000000004</v>
      </c>
      <c r="BB85" s="1384">
        <f t="shared" si="134"/>
        <v>16450.000000000004</v>
      </c>
      <c r="BC85" s="1156"/>
      <c r="BD85" s="1156"/>
      <c r="BE85" s="1280">
        <f t="shared" si="121"/>
        <v>10129.841395725456</v>
      </c>
      <c r="BF85" s="1280">
        <f t="shared" si="122"/>
        <v>11262.073083792115</v>
      </c>
      <c r="BG85" s="1280">
        <f t="shared" si="123"/>
        <v>13815.291263923147</v>
      </c>
      <c r="BH85" s="1280">
        <f t="shared" si="124"/>
        <v>10617.130742453461</v>
      </c>
      <c r="BI85" s="1280">
        <f t="shared" si="125"/>
        <v>11569.06405480059</v>
      </c>
      <c r="BJ85" s="1280">
        <f t="shared" si="126"/>
        <v>13741.552985530434</v>
      </c>
      <c r="BK85" s="1280">
        <f t="shared" si="127"/>
        <v>13139.194573959921</v>
      </c>
      <c r="BL85" s="1280">
        <f t="shared" si="128"/>
        <v>11173.249187914729</v>
      </c>
      <c r="BM85" s="1280">
        <f t="shared" si="129"/>
        <v>12366.693244888422</v>
      </c>
      <c r="BN85" s="1280">
        <f t="shared" si="130"/>
        <v>12214.685129803944</v>
      </c>
      <c r="BO85" s="1280">
        <f t="shared" si="131"/>
        <v>12064.887426644345</v>
      </c>
      <c r="BP85" s="1280">
        <f t="shared" si="132"/>
        <v>16450.000000000004</v>
      </c>
      <c r="BQ85" s="1114"/>
      <c r="BR85" s="1115"/>
      <c r="BU85" s="1087"/>
      <c r="BV85" s="1518" t="s">
        <v>962</v>
      </c>
      <c r="BW85" s="1519"/>
      <c r="BX85" s="1519"/>
      <c r="BY85" s="1511"/>
      <c r="BZ85" s="1511"/>
      <c r="CA85" s="1511"/>
      <c r="CB85" s="1511"/>
      <c r="CC85" s="1511"/>
    </row>
    <row r="86" spans="1:100" ht="12.75" customHeight="1">
      <c r="A86" s="1088"/>
      <c r="B86" s="1089"/>
      <c r="C86" s="1370" t="s">
        <v>549</v>
      </c>
      <c r="D86" s="1370"/>
      <c r="E86" s="1370"/>
      <c r="F86" s="1369"/>
      <c r="G86" s="1397">
        <f t="shared" si="135"/>
        <v>7879.0781844521443</v>
      </c>
      <c r="H86" s="1385">
        <f t="shared" si="135"/>
        <v>9492.1346187852487</v>
      </c>
      <c r="I86" s="1385">
        <f t="shared" si="135"/>
        <v>11670.518647143224</v>
      </c>
      <c r="J86" s="1398">
        <f t="shared" si="135"/>
        <v>9043.648694139978</v>
      </c>
      <c r="K86" s="1397">
        <f t="shared" si="136"/>
        <v>9487.2668594512506</v>
      </c>
      <c r="L86" s="1385">
        <f t="shared" si="136"/>
        <v>10409.06834561809</v>
      </c>
      <c r="M86" s="1385">
        <f t="shared" si="136"/>
        <v>11468.42132683538</v>
      </c>
      <c r="N86" s="1398">
        <f t="shared" si="136"/>
        <v>9514.2850054382216</v>
      </c>
      <c r="O86" s="1397">
        <f t="shared" si="137"/>
        <v>12376.233457669894</v>
      </c>
      <c r="P86" s="1385">
        <f t="shared" si="137"/>
        <v>14387.401369304029</v>
      </c>
      <c r="Q86" s="1385">
        <f t="shared" si="137"/>
        <v>15593.259988776501</v>
      </c>
      <c r="R86" s="1385">
        <f t="shared" si="137"/>
        <v>10321.248406616682</v>
      </c>
      <c r="S86" s="1153">
        <f t="shared" si="120"/>
        <v>10013.535130755854</v>
      </c>
      <c r="T86" s="1154">
        <f t="shared" si="120"/>
        <v>9797.5059785309622</v>
      </c>
      <c r="U86" s="1154">
        <f t="shared" si="120"/>
        <v>11556.783290642117</v>
      </c>
      <c r="V86" s="1155">
        <f t="shared" si="120"/>
        <v>8955.14579243558</v>
      </c>
      <c r="W86" s="1154">
        <f t="shared" si="120"/>
        <v>14102.021173316958</v>
      </c>
      <c r="X86" s="1154">
        <f t="shared" si="120"/>
        <v>10515.051888952205</v>
      </c>
      <c r="Y86" s="1154">
        <f t="shared" si="120"/>
        <v>9329.8105397704876</v>
      </c>
      <c r="Z86" s="1155">
        <f t="shared" si="120"/>
        <v>10242.15556320529</v>
      </c>
      <c r="AA86" s="1154">
        <f t="shared" si="120"/>
        <v>13812.6485828859</v>
      </c>
      <c r="AB86" s="1154">
        <f t="shared" si="120"/>
        <v>11166.919578014331</v>
      </c>
      <c r="AC86" s="1154">
        <f t="shared" si="120"/>
        <v>12281.123997010438</v>
      </c>
      <c r="AD86" s="1155">
        <f t="shared" si="120"/>
        <v>14039.404430911989</v>
      </c>
      <c r="AE86" s="1154">
        <f t="shared" si="120"/>
        <v>13452.093034820135</v>
      </c>
      <c r="AF86" s="1154">
        <f t="shared" si="120"/>
        <v>13851.754927196182</v>
      </c>
      <c r="AG86" s="1154">
        <f t="shared" si="120"/>
        <v>13069.487986386619</v>
      </c>
      <c r="AH86" s="1155">
        <f t="shared" si="120"/>
        <v>10415.320938137747</v>
      </c>
      <c r="AI86" s="1154">
        <f t="shared" si="120"/>
        <v>9752.8895345008495</v>
      </c>
      <c r="AJ86" s="1154">
        <f t="shared" si="120"/>
        <v>10932.723139999998</v>
      </c>
      <c r="AK86" s="1154">
        <f t="shared" ref="AI86:AX101" si="138">IF(ISBLANK(AK229),"",AK229)</f>
        <v>11696.829462716889</v>
      </c>
      <c r="AL86" s="1155">
        <f t="shared" si="138"/>
        <v>10483.05478949106</v>
      </c>
      <c r="AM86" s="1154">
        <f t="shared" si="138"/>
        <v>10268.572478822029</v>
      </c>
      <c r="AN86" s="1154">
        <f t="shared" si="138"/>
        <v>11220.301032466725</v>
      </c>
      <c r="AO86" s="1154">
        <f t="shared" si="138"/>
        <v>12291.296625222027</v>
      </c>
      <c r="AP86" s="1155">
        <f t="shared" si="138"/>
        <v>10396.323951751867</v>
      </c>
      <c r="AQ86" s="1154">
        <f t="shared" si="138"/>
        <v>11688.854504578794</v>
      </c>
      <c r="AR86" s="1154">
        <f t="shared" si="138"/>
        <v>11265.073570860448</v>
      </c>
      <c r="AS86" s="1154">
        <f t="shared" si="138"/>
        <v>12554.63520359593</v>
      </c>
      <c r="AT86" s="1155">
        <f t="shared" si="138"/>
        <v>9606.3783866369322</v>
      </c>
      <c r="AU86" s="1154">
        <f t="shared" si="133"/>
        <v>11517.869933034026</v>
      </c>
      <c r="AV86" s="1154">
        <f t="shared" si="133"/>
        <v>11100.28806709878</v>
      </c>
      <c r="AW86" s="1154">
        <f t="shared" si="133"/>
        <v>12370.985991404368</v>
      </c>
      <c r="AX86" s="1155">
        <f t="shared" si="133"/>
        <v>9465.8562771442867</v>
      </c>
      <c r="AY86" s="1383">
        <f t="shared" si="134"/>
        <v>14913.26530612245</v>
      </c>
      <c r="AZ86" s="1383">
        <f t="shared" si="134"/>
        <v>14913.26530612245</v>
      </c>
      <c r="BA86" s="1383">
        <f t="shared" si="134"/>
        <v>14913.26530612245</v>
      </c>
      <c r="BB86" s="1384">
        <f t="shared" si="134"/>
        <v>14913.26530612245</v>
      </c>
      <c r="BC86" s="1156"/>
      <c r="BD86" s="1156"/>
      <c r="BE86" s="1280">
        <f t="shared" si="121"/>
        <v>9521.3450361301493</v>
      </c>
      <c r="BF86" s="1280">
        <f t="shared" si="122"/>
        <v>10219.760384335736</v>
      </c>
      <c r="BG86" s="1280">
        <f t="shared" si="123"/>
        <v>13169.535805591777</v>
      </c>
      <c r="BH86" s="1280">
        <f t="shared" si="124"/>
        <v>10080.742548091128</v>
      </c>
      <c r="BI86" s="1280">
        <f t="shared" si="125"/>
        <v>11047.259791311235</v>
      </c>
      <c r="BJ86" s="1280">
        <f t="shared" si="126"/>
        <v>12825.024147205666</v>
      </c>
      <c r="BK86" s="1280">
        <f t="shared" si="127"/>
        <v>12697.16422163517</v>
      </c>
      <c r="BL86" s="1280">
        <f t="shared" si="128"/>
        <v>10716.3742316772</v>
      </c>
      <c r="BM86" s="1280">
        <f t="shared" si="129"/>
        <v>11044.123522065662</v>
      </c>
      <c r="BN86" s="1280">
        <f t="shared" si="130"/>
        <v>11278.735416418027</v>
      </c>
      <c r="BO86" s="1280">
        <f t="shared" si="131"/>
        <v>11113.750067170366</v>
      </c>
      <c r="BP86" s="1280">
        <f t="shared" si="132"/>
        <v>14913.26530612245</v>
      </c>
      <c r="BQ86" s="1114"/>
      <c r="BR86" s="1115"/>
      <c r="BU86" s="1087"/>
      <c r="BV86" s="1399" t="s">
        <v>816</v>
      </c>
      <c r="BW86" s="1399" t="s">
        <v>976</v>
      </c>
      <c r="BX86" s="1399">
        <v>2021</v>
      </c>
      <c r="BY86" s="1399" t="s">
        <v>895</v>
      </c>
      <c r="BZ86" s="1399" t="s">
        <v>814</v>
      </c>
      <c r="CA86" s="1399" t="s">
        <v>897</v>
      </c>
      <c r="CB86" s="1399" t="s">
        <v>898</v>
      </c>
      <c r="CC86" s="1399" t="s">
        <v>742</v>
      </c>
    </row>
    <row r="87" spans="1:100" ht="12.75" customHeight="1">
      <c r="A87" s="1088"/>
      <c r="B87" s="1089"/>
      <c r="C87" s="1370" t="s">
        <v>518</v>
      </c>
      <c r="D87" s="1370"/>
      <c r="E87" s="1370"/>
      <c r="F87" s="1369"/>
      <c r="G87" s="1397">
        <f t="shared" si="135"/>
        <v>8067.5859433413843</v>
      </c>
      <c r="H87" s="1385">
        <f t="shared" si="135"/>
        <v>9108.0848492485366</v>
      </c>
      <c r="I87" s="1385">
        <f t="shared" si="135"/>
        <v>11390.781083275977</v>
      </c>
      <c r="J87" s="1398">
        <f t="shared" si="135"/>
        <v>8539.6099607496708</v>
      </c>
      <c r="K87" s="1397">
        <f t="shared" si="136"/>
        <v>11901.725588831843</v>
      </c>
      <c r="L87" s="1385">
        <f t="shared" si="136"/>
        <v>9599.6827009411682</v>
      </c>
      <c r="M87" s="1385">
        <f t="shared" si="136"/>
        <v>26908.502434603772</v>
      </c>
      <c r="N87" s="1398">
        <f t="shared" si="136"/>
        <v>8859.7893372745511</v>
      </c>
      <c r="O87" s="1397">
        <f t="shared" si="137"/>
        <v>10308.713276672239</v>
      </c>
      <c r="P87" s="1385">
        <f t="shared" si="137"/>
        <v>13533.712435401714</v>
      </c>
      <c r="Q87" s="1385">
        <f t="shared" si="137"/>
        <v>10986.165899589667</v>
      </c>
      <c r="R87" s="1385">
        <f t="shared" si="137"/>
        <v>8231.0646137657277</v>
      </c>
      <c r="S87" s="1153">
        <f t="shared" ref="S87:AH102" si="139">IF(ISBLANK(S230),"",S230)</f>
        <v>8288.1335792918544</v>
      </c>
      <c r="T87" s="1154">
        <f t="shared" si="139"/>
        <v>9101.2420308902474</v>
      </c>
      <c r="U87" s="1154">
        <f t="shared" si="139"/>
        <v>12127.883029718798</v>
      </c>
      <c r="V87" s="1155">
        <f t="shared" si="139"/>
        <v>9584.0310133954554</v>
      </c>
      <c r="W87" s="1154">
        <f t="shared" si="139"/>
        <v>11152.119574375303</v>
      </c>
      <c r="X87" s="1154">
        <f t="shared" si="139"/>
        <v>9729.5722809534491</v>
      </c>
      <c r="Y87" s="1154">
        <f t="shared" si="139"/>
        <v>9717.3949147704898</v>
      </c>
      <c r="Z87" s="1155">
        <f t="shared" si="139"/>
        <v>8918.234962157112</v>
      </c>
      <c r="AA87" s="1154">
        <f t="shared" si="139"/>
        <v>9169.9242686486396</v>
      </c>
      <c r="AB87" s="1154">
        <f t="shared" si="139"/>
        <v>10170.713295240166</v>
      </c>
      <c r="AC87" s="1154">
        <f t="shared" si="139"/>
        <v>12578.254164458334</v>
      </c>
      <c r="AD87" s="1155">
        <f t="shared" si="139"/>
        <v>10933.409709833057</v>
      </c>
      <c r="AE87" s="1154">
        <f t="shared" si="139"/>
        <v>10328.87726941304</v>
      </c>
      <c r="AF87" s="1154">
        <f t="shared" si="139"/>
        <v>11427.537023693696</v>
      </c>
      <c r="AG87" s="1154">
        <f t="shared" si="139"/>
        <v>11549.861420574975</v>
      </c>
      <c r="AH87" s="1155">
        <f t="shared" si="139"/>
        <v>9815.8983124706374</v>
      </c>
      <c r="AI87" s="1154">
        <f t="shared" si="138"/>
        <v>9203.2418044317055</v>
      </c>
      <c r="AJ87" s="1154">
        <f t="shared" si="138"/>
        <v>15003.296031746037</v>
      </c>
      <c r="AK87" s="1154">
        <f t="shared" si="138"/>
        <v>11185.979672546924</v>
      </c>
      <c r="AL87" s="1155">
        <f t="shared" si="138"/>
        <v>10103.434985375012</v>
      </c>
      <c r="AM87" s="1154">
        <f t="shared" si="138"/>
        <v>10702.474722563386</v>
      </c>
      <c r="AN87" s="1154">
        <f t="shared" si="138"/>
        <v>13950.242567483521</v>
      </c>
      <c r="AO87" s="1154">
        <f t="shared" si="138"/>
        <v>42227.750148016574</v>
      </c>
      <c r="AP87" s="1155">
        <f t="shared" si="138"/>
        <v>9375.9103963239504</v>
      </c>
      <c r="AQ87" s="1154">
        <f t="shared" si="138"/>
        <v>8449.0783547043502</v>
      </c>
      <c r="AR87" s="1154">
        <f t="shared" si="138"/>
        <v>10350.829814619823</v>
      </c>
      <c r="AS87" s="1154">
        <f t="shared" si="138"/>
        <v>27931.411143747304</v>
      </c>
      <c r="AT87" s="1155">
        <f t="shared" si="138"/>
        <v>15077.400848592317</v>
      </c>
      <c r="AU87" s="1154">
        <f t="shared" si="133"/>
        <v>7649.6148048687883</v>
      </c>
      <c r="AV87" s="1154">
        <f t="shared" si="133"/>
        <v>9371.419895580284</v>
      </c>
      <c r="AW87" s="1154">
        <f t="shared" si="133"/>
        <v>25288.502158004081</v>
      </c>
      <c r="AX87" s="1155">
        <f t="shared" si="133"/>
        <v>13650.756201842432</v>
      </c>
      <c r="AY87" s="1154">
        <f t="shared" si="133"/>
        <v>7140.7975020316026</v>
      </c>
      <c r="AZ87" s="1154">
        <f t="shared" si="133"/>
        <v>8748.076012697582</v>
      </c>
      <c r="BA87" s="1154">
        <f t="shared" si="133"/>
        <v>23606.426943885024</v>
      </c>
      <c r="BB87" s="1155">
        <f t="shared" si="133"/>
        <v>12742.770488903179</v>
      </c>
      <c r="BC87" s="1156"/>
      <c r="BD87" s="1156"/>
      <c r="BE87" s="1280">
        <f t="shared" si="121"/>
        <v>9276.5154591538922</v>
      </c>
      <c r="BF87" s="1280">
        <f t="shared" si="122"/>
        <v>14317.425015412833</v>
      </c>
      <c r="BG87" s="1280">
        <f t="shared" si="123"/>
        <v>10764.914056357338</v>
      </c>
      <c r="BH87" s="1280">
        <f t="shared" si="124"/>
        <v>9775.3224133240892</v>
      </c>
      <c r="BI87" s="1280">
        <f t="shared" si="125"/>
        <v>9879.3304330640894</v>
      </c>
      <c r="BJ87" s="1280">
        <f t="shared" si="126"/>
        <v>10713.075359545048</v>
      </c>
      <c r="BK87" s="1280">
        <f t="shared" si="127"/>
        <v>10780.543506538086</v>
      </c>
      <c r="BL87" s="1280">
        <f t="shared" si="128"/>
        <v>11373.988123524918</v>
      </c>
      <c r="BM87" s="1280">
        <f t="shared" si="129"/>
        <v>19064.094458596857</v>
      </c>
      <c r="BN87" s="1280">
        <f t="shared" si="130"/>
        <v>15452.180040415949</v>
      </c>
      <c r="BO87" s="1280">
        <f t="shared" si="131"/>
        <v>13990.073265073897</v>
      </c>
      <c r="BP87" s="1280">
        <f t="shared" si="132"/>
        <v>13059.517736879347</v>
      </c>
      <c r="BQ87" s="1114"/>
      <c r="BR87" s="1115"/>
      <c r="BU87" s="1087"/>
      <c r="BV87" s="1514" t="s">
        <v>512</v>
      </c>
      <c r="BW87" s="1400">
        <f>BX87+BZ115</f>
        <v>10475.535039141012</v>
      </c>
      <c r="BX87" s="1400">
        <f>((BZ87*($BP$8+BP200)/1000)+CB87)/CA87*1000</f>
        <v>10475.535039141012</v>
      </c>
      <c r="BY87" s="1515">
        <f>HLOOKUP(CA87,$CB$53:$CZ$58,BZ54,TRUE)</f>
        <v>0.5357142857142857</v>
      </c>
      <c r="BZ87" s="1400">
        <f>BP243</f>
        <v>9984.4657329060592</v>
      </c>
      <c r="CA87" s="1401">
        <f>$BW$8+$BX$58</f>
        <v>2.5</v>
      </c>
      <c r="CB87" s="1634">
        <f>BY87*(CA87-($BP$8+BP200))*BZ87/1000</f>
        <v>-1.4165460756777526</v>
      </c>
      <c r="CC87" s="1401">
        <f>(BX87*CA87-($BP$8+BP200)*BZ87)/1000</f>
        <v>-1.4165460756777575</v>
      </c>
    </row>
    <row r="88" spans="1:100" ht="12.75" customHeight="1">
      <c r="A88" s="1088"/>
      <c r="B88" s="1089"/>
      <c r="C88" s="1370" t="s">
        <v>550</v>
      </c>
      <c r="D88" s="1370"/>
      <c r="E88" s="1370"/>
      <c r="F88" s="1369"/>
      <c r="G88" s="1397">
        <f t="shared" si="135"/>
        <v>8091.7737343918488</v>
      </c>
      <c r="H88" s="1385">
        <f t="shared" si="135"/>
        <v>9071.6445094720693</v>
      </c>
      <c r="I88" s="1385">
        <f t="shared" si="135"/>
        <v>11366.418321843603</v>
      </c>
      <c r="J88" s="1398">
        <f t="shared" si="135"/>
        <v>8613.7018460944528</v>
      </c>
      <c r="K88" s="1397">
        <f t="shared" si="136"/>
        <v>12155.959864196333</v>
      </c>
      <c r="L88" s="1385">
        <f t="shared" si="136"/>
        <v>9203.9559760970442</v>
      </c>
      <c r="M88" s="1385">
        <f t="shared" si="136"/>
        <v>25900.934188048766</v>
      </c>
      <c r="N88" s="1398">
        <f t="shared" si="136"/>
        <v>8685.0849291008017</v>
      </c>
      <c r="O88" s="1397">
        <f t="shared" si="137"/>
        <v>10275.170594208994</v>
      </c>
      <c r="P88" s="1385">
        <f t="shared" si="137"/>
        <v>13744.748394706701</v>
      </c>
      <c r="Q88" s="1385">
        <f t="shared" si="137"/>
        <v>11197.401049824619</v>
      </c>
      <c r="R88" s="1385">
        <f t="shared" si="137"/>
        <v>8328.7852639674329</v>
      </c>
      <c r="S88" s="1153">
        <f t="shared" si="139"/>
        <v>8348.2723136297336</v>
      </c>
      <c r="T88" s="1154">
        <f t="shared" si="139"/>
        <v>8745.2844176240596</v>
      </c>
      <c r="U88" s="1154">
        <f t="shared" si="139"/>
        <v>10802.091476322017</v>
      </c>
      <c r="V88" s="1155">
        <f t="shared" si="139"/>
        <v>9346.0347165938329</v>
      </c>
      <c r="W88" s="1154">
        <f t="shared" si="139"/>
        <v>11627.729500479627</v>
      </c>
      <c r="X88" s="1154">
        <f t="shared" si="139"/>
        <v>8807.1484775102963</v>
      </c>
      <c r="Y88" s="1154">
        <f t="shared" si="139"/>
        <v>9558.6137410440133</v>
      </c>
      <c r="Z88" s="1155">
        <f t="shared" si="139"/>
        <v>9127.0058129911431</v>
      </c>
      <c r="AA88" s="1154">
        <f t="shared" si="139"/>
        <v>9202.2654654879479</v>
      </c>
      <c r="AB88" s="1154">
        <f t="shared" si="139"/>
        <v>10105.637756293225</v>
      </c>
      <c r="AC88" s="1154">
        <f t="shared" si="139"/>
        <v>12701.782913818659</v>
      </c>
      <c r="AD88" s="1155">
        <f t="shared" si="139"/>
        <v>9778.5805528245146</v>
      </c>
      <c r="AE88" s="1154">
        <f t="shared" si="139"/>
        <v>9897.4409429729876</v>
      </c>
      <c r="AF88" s="1154">
        <f t="shared" si="139"/>
        <v>10464.020312282828</v>
      </c>
      <c r="AG88" s="1154">
        <f t="shared" si="139"/>
        <v>10646.473017770773</v>
      </c>
      <c r="AH88" s="1155">
        <f t="shared" si="139"/>
        <v>8485.0446654235948</v>
      </c>
      <c r="AI88" s="1154">
        <f t="shared" si="138"/>
        <v>7557.3594798727981</v>
      </c>
      <c r="AJ88" s="1154">
        <f t="shared" si="138"/>
        <v>9066.5579365079357</v>
      </c>
      <c r="AK88" s="1154">
        <f t="shared" si="138"/>
        <v>9959.2555936766203</v>
      </c>
      <c r="AL88" s="1155">
        <f t="shared" si="138"/>
        <v>8152.0371878580636</v>
      </c>
      <c r="AM88" s="1154">
        <f t="shared" si="138"/>
        <v>10217.942265440148</v>
      </c>
      <c r="AN88" s="1154">
        <f t="shared" si="138"/>
        <v>13185.222042542606</v>
      </c>
      <c r="AO88" s="1154">
        <f t="shared" si="138"/>
        <v>42121.178211959741</v>
      </c>
      <c r="AP88" s="1155">
        <f t="shared" si="138"/>
        <v>9054.2561746122919</v>
      </c>
      <c r="AQ88" s="1154">
        <f t="shared" si="138"/>
        <v>8124.4846766764404</v>
      </c>
      <c r="AR88" s="1154">
        <f t="shared" si="138"/>
        <v>9664.2180564318169</v>
      </c>
      <c r="AS88" s="1154">
        <f t="shared" si="138"/>
        <v>27348.703499911488</v>
      </c>
      <c r="AT88" s="1155">
        <f t="shared" si="138"/>
        <v>14449.467045874115</v>
      </c>
      <c r="AU88" s="1154">
        <f t="shared" si="133"/>
        <v>7249.1447994286054</v>
      </c>
      <c r="AV88" s="1154">
        <f t="shared" si="133"/>
        <v>8622.9858080039758</v>
      </c>
      <c r="AW88" s="1154">
        <f t="shared" si="133"/>
        <v>24402.127597906943</v>
      </c>
      <c r="AX88" s="1155">
        <f t="shared" si="133"/>
        <v>12892.66741936461</v>
      </c>
      <c r="AY88" s="1154">
        <f t="shared" si="133"/>
        <v>6710.1011029636156</v>
      </c>
      <c r="AZ88" s="1154">
        <f t="shared" si="133"/>
        <v>7981.783807889703</v>
      </c>
      <c r="BA88" s="1154">
        <f t="shared" si="133"/>
        <v>22587.594514911703</v>
      </c>
      <c r="BB88" s="1155">
        <f t="shared" si="133"/>
        <v>11933.973491278659</v>
      </c>
      <c r="BC88" s="1156"/>
      <c r="BD88" s="1156"/>
      <c r="BE88" s="1280">
        <f t="shared" si="121"/>
        <v>9285.884602950493</v>
      </c>
      <c r="BF88" s="1280">
        <f t="shared" si="122"/>
        <v>13986.483739360738</v>
      </c>
      <c r="BG88" s="1280">
        <f t="shared" si="123"/>
        <v>10886.526325676936</v>
      </c>
      <c r="BH88" s="1280">
        <f t="shared" si="124"/>
        <v>9310.4207310424099</v>
      </c>
      <c r="BI88" s="1280">
        <f t="shared" si="125"/>
        <v>9780.1243830062704</v>
      </c>
      <c r="BJ88" s="1280">
        <f t="shared" si="126"/>
        <v>10447.066672106088</v>
      </c>
      <c r="BK88" s="1280">
        <f t="shared" si="127"/>
        <v>9873.2447346125464</v>
      </c>
      <c r="BL88" s="1280">
        <f t="shared" si="128"/>
        <v>8683.8025494788544</v>
      </c>
      <c r="BM88" s="1280">
        <f t="shared" si="129"/>
        <v>18644.649673638698</v>
      </c>
      <c r="BN88" s="1280">
        <f t="shared" si="130"/>
        <v>14896.718319723466</v>
      </c>
      <c r="BO88" s="1280">
        <f t="shared" si="131"/>
        <v>13291.731406176033</v>
      </c>
      <c r="BP88" s="1280">
        <f t="shared" si="132"/>
        <v>12303.36322926092</v>
      </c>
      <c r="BQ88" s="1114"/>
      <c r="BR88" s="1115"/>
      <c r="BU88" s="1087"/>
      <c r="BV88" s="1514" t="s">
        <v>703</v>
      </c>
      <c r="BW88" s="1400">
        <f>BX88+BZ116</f>
        <v>10764.111330967613</v>
      </c>
      <c r="BX88" s="1400">
        <f>((BZ88*($BP$8+BP201)/1000)+CB88)/CA88*1000</f>
        <v>10764.111330967613</v>
      </c>
      <c r="BY88" s="1515">
        <f>HLOOKUP(CA88,$CB$53:$CZ$58,BZ55,TRUE)</f>
        <v>0.7142857142857143</v>
      </c>
      <c r="BZ88" s="1400">
        <f>BP244</f>
        <v>10447.888570280264</v>
      </c>
      <c r="CA88" s="1401">
        <f>$BW$8+$BX$58</f>
        <v>2.5</v>
      </c>
      <c r="CB88" s="1634">
        <f>BY88*(CA88-($BP$8+BP201))*BZ88/1000</f>
        <v>-1.9763922542959234</v>
      </c>
      <c r="CC88" s="1401">
        <f>(BX88*CA88-($BP$8+BP201)*BZ88)/1000</f>
        <v>-1.9763922542959189</v>
      </c>
    </row>
    <row r="89" spans="1:100" ht="12.75" customHeight="1">
      <c r="A89" s="1088"/>
      <c r="B89" s="1089"/>
      <c r="C89" s="1370" t="s">
        <v>519</v>
      </c>
      <c r="D89" s="1370"/>
      <c r="E89" s="1370"/>
      <c r="F89" s="1369"/>
      <c r="G89" s="1397">
        <f t="shared" si="135"/>
        <v>8041.7960553910534</v>
      </c>
      <c r="H89" s="1385">
        <f t="shared" si="135"/>
        <v>9062.2667008499466</v>
      </c>
      <c r="I89" s="1385">
        <f t="shared" si="135"/>
        <v>11356.87806590117</v>
      </c>
      <c r="J89" s="1398">
        <f t="shared" si="135"/>
        <v>8347.9637882575953</v>
      </c>
      <c r="K89" s="1397">
        <f t="shared" si="136"/>
        <v>13250.060693463165</v>
      </c>
      <c r="L89" s="1385">
        <f t="shared" si="136"/>
        <v>9071.8879562291859</v>
      </c>
      <c r="M89" s="1385">
        <f t="shared" si="136"/>
        <v>25893.818464353088</v>
      </c>
      <c r="N89" s="1398">
        <f t="shared" si="136"/>
        <v>8802.8017856887855</v>
      </c>
      <c r="O89" s="1397">
        <f t="shared" si="137"/>
        <v>10427.411930587574</v>
      </c>
      <c r="P89" s="1385">
        <f t="shared" si="137"/>
        <v>13149.847473997354</v>
      </c>
      <c r="Q89" s="1385">
        <f t="shared" si="137"/>
        <v>10844.312381422489</v>
      </c>
      <c r="R89" s="1385">
        <f t="shared" si="137"/>
        <v>8425.2985003315698</v>
      </c>
      <c r="S89" s="1153">
        <f t="shared" si="139"/>
        <v>8251.6765077448854</v>
      </c>
      <c r="T89" s="1154">
        <f t="shared" si="139"/>
        <v>9002.9603883800482</v>
      </c>
      <c r="U89" s="1154">
        <f t="shared" si="139"/>
        <v>11341.851539958103</v>
      </c>
      <c r="V89" s="1155">
        <f t="shared" si="139"/>
        <v>9463.0903276979279</v>
      </c>
      <c r="W89" s="1154">
        <f t="shared" si="139"/>
        <v>11411.501790347942</v>
      </c>
      <c r="X89" s="1154">
        <f t="shared" si="139"/>
        <v>9045.8599574014897</v>
      </c>
      <c r="Y89" s="1154">
        <f t="shared" si="139"/>
        <v>9605.4610611369171</v>
      </c>
      <c r="Z89" s="1155">
        <f t="shared" si="139"/>
        <v>9120.4883109117491</v>
      </c>
      <c r="AA89" s="1154">
        <f t="shared" si="139"/>
        <v>9136.8775797345152</v>
      </c>
      <c r="AB89" s="1154">
        <f t="shared" si="139"/>
        <v>10167.155492757694</v>
      </c>
      <c r="AC89" s="1154">
        <f t="shared" si="139"/>
        <v>12511.457613677228</v>
      </c>
      <c r="AD89" s="1155">
        <f t="shared" si="139"/>
        <v>10876.683448674665</v>
      </c>
      <c r="AE89" s="1154">
        <f t="shared" si="139"/>
        <v>10196.657106772524</v>
      </c>
      <c r="AF89" s="1154">
        <f t="shared" si="139"/>
        <v>10689.109099653992</v>
      </c>
      <c r="AG89" s="1154">
        <f t="shared" si="139"/>
        <v>10773.277437367538</v>
      </c>
      <c r="AH89" s="1155">
        <f t="shared" si="139"/>
        <v>9535.7355641636423</v>
      </c>
      <c r="AI89" s="1154">
        <f t="shared" si="138"/>
        <v>8034.3920235132791</v>
      </c>
      <c r="AJ89" s="1154">
        <f t="shared" si="138"/>
        <v>11540.407142857141</v>
      </c>
      <c r="AK89" s="1154">
        <f t="shared" si="138"/>
        <v>10385.636582967496</v>
      </c>
      <c r="AL89" s="1155">
        <f t="shared" si="138"/>
        <v>9183.4832108958926</v>
      </c>
      <c r="AM89" s="1154">
        <f t="shared" si="138"/>
        <v>10634.225607691036</v>
      </c>
      <c r="AN89" s="1154">
        <f t="shared" si="138"/>
        <v>14236.347804453289</v>
      </c>
      <c r="AO89" s="1154">
        <f t="shared" si="138"/>
        <v>42547.465956187094</v>
      </c>
      <c r="AP89" s="1155">
        <f t="shared" si="138"/>
        <v>9496.5307294658251</v>
      </c>
      <c r="AQ89" s="1154">
        <f t="shared" si="138"/>
        <v>8720.1192578699338</v>
      </c>
      <c r="AR89" s="1154">
        <f t="shared" si="138"/>
        <v>10430.226716582347</v>
      </c>
      <c r="AS89" s="1154">
        <f t="shared" si="138"/>
        <v>28181.026283720643</v>
      </c>
      <c r="AT89" s="1155">
        <f t="shared" si="138"/>
        <v>14900.784624033387</v>
      </c>
      <c r="AU89" s="1154">
        <f t="shared" si="133"/>
        <v>7855.5760409850509</v>
      </c>
      <c r="AV89" s="1154">
        <f t="shared" si="133"/>
        <v>9396.1374465010304</v>
      </c>
      <c r="AW89" s="1154">
        <f t="shared" si="133"/>
        <v>25387.06046766177</v>
      </c>
      <c r="AX89" s="1155">
        <f t="shared" si="133"/>
        <v>13423.468558505469</v>
      </c>
      <c r="AY89" s="1154">
        <f t="shared" si="133"/>
        <v>7313.7196348895295</v>
      </c>
      <c r="AZ89" s="1154">
        <f t="shared" si="133"/>
        <v>8748.0172779255663</v>
      </c>
      <c r="BA89" s="1154">
        <f t="shared" si="133"/>
        <v>23635.929643573669</v>
      </c>
      <c r="BB89" s="1155">
        <f t="shared" si="133"/>
        <v>12497.553973438842</v>
      </c>
      <c r="BC89" s="1156"/>
      <c r="BD89" s="1156"/>
      <c r="BE89" s="1280">
        <f t="shared" si="121"/>
        <v>9202.226152599942</v>
      </c>
      <c r="BF89" s="1280">
        <f t="shared" si="122"/>
        <v>14254.642224933556</v>
      </c>
      <c r="BG89" s="1280">
        <f t="shared" si="123"/>
        <v>10711.717571584746</v>
      </c>
      <c r="BH89" s="1280">
        <f t="shared" si="124"/>
        <v>9514.8946909452407</v>
      </c>
      <c r="BI89" s="1280">
        <f t="shared" si="125"/>
        <v>9795.8277799495245</v>
      </c>
      <c r="BJ89" s="1280">
        <f t="shared" si="126"/>
        <v>10673.043533711027</v>
      </c>
      <c r="BK89" s="1280">
        <f t="shared" si="127"/>
        <v>10298.694801989424</v>
      </c>
      <c r="BL89" s="1280">
        <f t="shared" si="128"/>
        <v>9785.9797400584521</v>
      </c>
      <c r="BM89" s="1280">
        <f t="shared" si="129"/>
        <v>19228.642524449311</v>
      </c>
      <c r="BN89" s="1280">
        <f t="shared" si="130"/>
        <v>15558.039220551578</v>
      </c>
      <c r="BO89" s="1280">
        <f t="shared" si="131"/>
        <v>14015.56062841333</v>
      </c>
      <c r="BP89" s="1280">
        <f t="shared" si="132"/>
        <v>13048.805132456902</v>
      </c>
      <c r="BQ89" s="1114"/>
      <c r="BR89" s="1115"/>
      <c r="BU89" s="1087"/>
      <c r="BV89" s="1514" t="s">
        <v>532</v>
      </c>
      <c r="BW89" s="1400">
        <f>BX89+BZ117</f>
        <v>9555.9918808413258</v>
      </c>
      <c r="BX89" s="1400">
        <f>((BZ89*($BP$8+BP202)/1000)+CB89)/CA89*1000</f>
        <v>9555.9918808413258</v>
      </c>
      <c r="BY89" s="1515">
        <f>HLOOKUP(CA89,$CB$53:$CZ$58,BZ56,TRUE)</f>
        <v>0.37857142857142861</v>
      </c>
      <c r="BZ89" s="1400">
        <f>BP245</f>
        <v>8780.6192940777873</v>
      </c>
      <c r="CA89" s="1401">
        <f>$BW$8+$BX$58</f>
        <v>2.5</v>
      </c>
      <c r="CB89" s="1634">
        <f>BY89*(CA89-($BP$8+BP202))*BZ89/1000</f>
        <v>-1.1808835373122846</v>
      </c>
      <c r="CC89" s="1401">
        <f>(BX89*CA89-($BP$8+BP202)*BZ89)/1000</f>
        <v>-1.1808835373122819</v>
      </c>
    </row>
    <row r="90" spans="1:100" ht="12.75" customHeight="1">
      <c r="A90" s="1088"/>
      <c r="B90" s="1089"/>
      <c r="C90" s="1370" t="s">
        <v>551</v>
      </c>
      <c r="D90" s="1370"/>
      <c r="E90" s="1370"/>
      <c r="F90" s="1369"/>
      <c r="G90" s="1397">
        <f t="shared" si="135"/>
        <v>8775.1623905256511</v>
      </c>
      <c r="H90" s="1385">
        <f t="shared" si="135"/>
        <v>8621.9499063828898</v>
      </c>
      <c r="I90" s="1385">
        <f t="shared" si="135"/>
        <v>10207.705218967056</v>
      </c>
      <c r="J90" s="1398">
        <f t="shared" si="135"/>
        <v>8941.757526174677</v>
      </c>
      <c r="K90" s="1397">
        <f t="shared" si="136"/>
        <v>7843.2743322702108</v>
      </c>
      <c r="L90" s="1385">
        <f t="shared" si="136"/>
        <v>8392.0085932164784</v>
      </c>
      <c r="M90" s="1385">
        <f t="shared" si="136"/>
        <v>10046.833347980197</v>
      </c>
      <c r="N90" s="1398">
        <f t="shared" si="136"/>
        <v>9235.6105140044056</v>
      </c>
      <c r="O90" s="1397">
        <f t="shared" si="137"/>
        <v>9126.4511339092878</v>
      </c>
      <c r="P90" s="1385">
        <f t="shared" si="137"/>
        <v>10134.401783568745</v>
      </c>
      <c r="Q90" s="1385">
        <f t="shared" si="137"/>
        <v>11754.765674803102</v>
      </c>
      <c r="R90" s="1385">
        <f t="shared" si="137"/>
        <v>8337.2335194144489</v>
      </c>
      <c r="S90" s="1153">
        <f t="shared" si="139"/>
        <v>8672.5647979371352</v>
      </c>
      <c r="T90" s="1154">
        <f t="shared" si="139"/>
        <v>9118.2506926640854</v>
      </c>
      <c r="U90" s="1154">
        <f t="shared" si="139"/>
        <v>11096.928780874063</v>
      </c>
      <c r="V90" s="1155">
        <f t="shared" si="139"/>
        <v>9096.6925445307006</v>
      </c>
      <c r="W90" s="1154">
        <f t="shared" si="139"/>
        <v>8683.9376258463581</v>
      </c>
      <c r="X90" s="1154">
        <f t="shared" si="139"/>
        <v>8703.3115203962152</v>
      </c>
      <c r="Y90" s="1154">
        <f t="shared" si="139"/>
        <v>9652.6653325011466</v>
      </c>
      <c r="Z90" s="1155">
        <f t="shared" si="139"/>
        <v>8969.1141558179552</v>
      </c>
      <c r="AA90" s="1154">
        <f t="shared" si="139"/>
        <v>8901.1780605231725</v>
      </c>
      <c r="AB90" s="1154">
        <f t="shared" si="139"/>
        <v>9551.0277881366437</v>
      </c>
      <c r="AC90" s="1154">
        <f t="shared" si="139"/>
        <v>10951.734672288083</v>
      </c>
      <c r="AD90" s="1155">
        <f t="shared" si="139"/>
        <v>9622.1211658004722</v>
      </c>
      <c r="AE90" s="1154">
        <f t="shared" si="139"/>
        <v>9084.1070239354394</v>
      </c>
      <c r="AF90" s="1154">
        <f t="shared" si="139"/>
        <v>10170.034204309035</v>
      </c>
      <c r="AG90" s="1154">
        <f t="shared" si="139"/>
        <v>11984.899139776866</v>
      </c>
      <c r="AH90" s="1155">
        <f t="shared" si="139"/>
        <v>8184.3072380613366</v>
      </c>
      <c r="AI90" s="1154">
        <f t="shared" si="138"/>
        <v>7389.8139328772922</v>
      </c>
      <c r="AJ90" s="1154">
        <f t="shared" si="138"/>
        <v>10342.646878449652</v>
      </c>
      <c r="AK90" s="1154">
        <f t="shared" si="138"/>
        <v>13770.107900873485</v>
      </c>
      <c r="AL90" s="1155">
        <f t="shared" si="138"/>
        <v>7056.5902948086296</v>
      </c>
      <c r="AM90" s="1154">
        <f t="shared" si="138"/>
        <v>6781.1777196375069</v>
      </c>
      <c r="AN90" s="1154">
        <f t="shared" si="138"/>
        <v>13492.720052945069</v>
      </c>
      <c r="AO90" s="1154">
        <f t="shared" si="138"/>
        <v>17437.576749897667</v>
      </c>
      <c r="AP90" s="1155">
        <f t="shared" si="138"/>
        <v>10429.362880886429</v>
      </c>
      <c r="AQ90" s="1154">
        <f t="shared" si="138"/>
        <v>10014.399767955705</v>
      </c>
      <c r="AR90" s="1154">
        <f t="shared" si="138"/>
        <v>14267.477999292238</v>
      </c>
      <c r="AS90" s="1154">
        <f t="shared" si="138"/>
        <v>19740.487786195776</v>
      </c>
      <c r="AT90" s="1155">
        <f t="shared" si="138"/>
        <v>10827.913239907981</v>
      </c>
      <c r="AU90" s="1154">
        <f t="shared" si="133"/>
        <v>10617.254547706931</v>
      </c>
      <c r="AV90" s="1154">
        <f t="shared" si="133"/>
        <v>15126.362955572005</v>
      </c>
      <c r="AW90" s="1154">
        <f t="shared" si="133"/>
        <v>20928.841326325935</v>
      </c>
      <c r="AX90" s="1155">
        <f t="shared" si="133"/>
        <v>11479.740548849391</v>
      </c>
      <c r="AY90" s="1154">
        <f t="shared" si="133"/>
        <v>10827.965041019528</v>
      </c>
      <c r="AZ90" s="1154">
        <f t="shared" si="133"/>
        <v>15426.561409520005</v>
      </c>
      <c r="BA90" s="1154">
        <f t="shared" si="133"/>
        <v>21344.196017175243</v>
      </c>
      <c r="BB90" s="1155">
        <f t="shared" si="133"/>
        <v>11707.567976672637</v>
      </c>
      <c r="BC90" s="1156"/>
      <c r="BD90" s="1156"/>
      <c r="BE90" s="1280">
        <f t="shared" si="121"/>
        <v>9136.6437605125684</v>
      </c>
      <c r="BF90" s="1280">
        <f t="shared" si="122"/>
        <v>8879.4316968678213</v>
      </c>
      <c r="BG90" s="1280">
        <f t="shared" si="123"/>
        <v>9838.2130279238954</v>
      </c>
      <c r="BH90" s="1280">
        <f t="shared" si="124"/>
        <v>9496.1092040014955</v>
      </c>
      <c r="BI90" s="1280">
        <f t="shared" si="125"/>
        <v>9002.2571586404192</v>
      </c>
      <c r="BJ90" s="1280">
        <f t="shared" si="126"/>
        <v>9756.5154216870942</v>
      </c>
      <c r="BK90" s="1280">
        <f t="shared" si="127"/>
        <v>9855.8369015206681</v>
      </c>
      <c r="BL90" s="1280">
        <f t="shared" si="128"/>
        <v>9639.7897517522651</v>
      </c>
      <c r="BM90" s="1280">
        <f t="shared" si="129"/>
        <v>12035.209350841669</v>
      </c>
      <c r="BN90" s="1280">
        <f t="shared" si="130"/>
        <v>13712.569698337924</v>
      </c>
      <c r="BO90" s="1280">
        <f t="shared" si="131"/>
        <v>14538.049844613566</v>
      </c>
      <c r="BP90" s="1280">
        <f t="shared" si="132"/>
        <v>14826.572611096854</v>
      </c>
      <c r="BQ90" s="1114"/>
      <c r="BR90" s="1115"/>
      <c r="BU90" s="1087"/>
      <c r="BV90" s="1514" t="s">
        <v>281</v>
      </c>
      <c r="BW90" s="1400">
        <f>BX90+BZ118</f>
        <v>9943.436368836914</v>
      </c>
      <c r="BX90" s="1400">
        <f>((BZ90*($BP$8+BP203)/1000)+CB90)/CA90*1000</f>
        <v>9943.436368836914</v>
      </c>
      <c r="BY90" s="1515">
        <f>HLOOKUP(CA90,$CB$53:$CZ$58,BZ57,TRUE)</f>
        <v>0.36250000000000004</v>
      </c>
      <c r="BZ90" s="1400">
        <f>BP246</f>
        <v>8487.8723578671688</v>
      </c>
      <c r="CA90" s="1401">
        <f>$BW$8+$BX$60</f>
        <v>2.25</v>
      </c>
      <c r="CB90" s="1634">
        <f>BY90*(CA90-($BP$8+BP203))*BZ90/1000</f>
        <v>-1.8622657199171735</v>
      </c>
      <c r="CC90" s="1401">
        <f>(BX90*CA90-($BP$8+BP203)*BZ90)/1000</f>
        <v>-1.8622657199171699</v>
      </c>
    </row>
    <row r="91" spans="1:100" ht="12.75" customHeight="1">
      <c r="A91" s="1088"/>
      <c r="B91" s="1089"/>
      <c r="C91" s="1370" t="s">
        <v>552</v>
      </c>
      <c r="D91" s="1370"/>
      <c r="E91" s="1370"/>
      <c r="F91" s="1369"/>
      <c r="G91" s="1397">
        <f t="shared" si="135"/>
        <v>11748.084932868991</v>
      </c>
      <c r="H91" s="1385">
        <f t="shared" si="135"/>
        <v>7677.8064845469125</v>
      </c>
      <c r="I91" s="1385">
        <f t="shared" si="135"/>
        <v>9417.3479567810555</v>
      </c>
      <c r="J91" s="1398">
        <f t="shared" si="135"/>
        <v>8861.4285224737796</v>
      </c>
      <c r="K91" s="1397">
        <f t="shared" si="136"/>
        <v>7380.0484170231503</v>
      </c>
      <c r="L91" s="1385">
        <f t="shared" si="136"/>
        <v>7514.6167798312563</v>
      </c>
      <c r="M91" s="1385">
        <f t="shared" si="136"/>
        <v>9858.7607644940235</v>
      </c>
      <c r="N91" s="1398">
        <f t="shared" si="136"/>
        <v>9067.8163253889288</v>
      </c>
      <c r="O91" s="1397">
        <f t="shared" si="137"/>
        <v>9110.09482114807</v>
      </c>
      <c r="P91" s="1385">
        <f t="shared" si="137"/>
        <v>8904.2289277994641</v>
      </c>
      <c r="Q91" s="1385">
        <f t="shared" si="137"/>
        <v>11626.092314450982</v>
      </c>
      <c r="R91" s="1385">
        <f t="shared" si="137"/>
        <v>11418.003440809496</v>
      </c>
      <c r="S91" s="1153">
        <f t="shared" si="139"/>
        <v>11446.755519845941</v>
      </c>
      <c r="T91" s="1154">
        <f t="shared" si="139"/>
        <v>10899.370648108434</v>
      </c>
      <c r="U91" s="1154">
        <f t="shared" si="139"/>
        <v>12691.456396801643</v>
      </c>
      <c r="V91" s="1155">
        <f t="shared" si="139"/>
        <v>10961.734784397329</v>
      </c>
      <c r="W91" s="1154">
        <f t="shared" si="139"/>
        <v>9780.5118738082929</v>
      </c>
      <c r="X91" s="1154">
        <f t="shared" si="139"/>
        <v>8324.2136157281893</v>
      </c>
      <c r="Y91" s="1154">
        <f t="shared" si="139"/>
        <v>10316.639645621897</v>
      </c>
      <c r="Z91" s="1155">
        <f t="shared" si="139"/>
        <v>10289.620298252388</v>
      </c>
      <c r="AA91" s="1154">
        <f t="shared" si="139"/>
        <v>10095.511697752157</v>
      </c>
      <c r="AB91" s="1154">
        <f t="shared" si="139"/>
        <v>10336.636771049025</v>
      </c>
      <c r="AC91" s="1154">
        <f t="shared" si="139"/>
        <v>11870.802114159645</v>
      </c>
      <c r="AD91" s="1155">
        <f t="shared" si="139"/>
        <v>12988.979109047015</v>
      </c>
      <c r="AE91" s="1154">
        <f t="shared" si="139"/>
        <v>10470.96990745581</v>
      </c>
      <c r="AF91" s="1154">
        <f t="shared" si="139"/>
        <v>9544.9231897338559</v>
      </c>
      <c r="AG91" s="1154">
        <f t="shared" si="139"/>
        <v>12095.15192624512</v>
      </c>
      <c r="AH91" s="1155">
        <f t="shared" si="139"/>
        <v>10647.652335388861</v>
      </c>
      <c r="AI91" s="1154">
        <f t="shared" si="138"/>
        <v>8571.6422127332826</v>
      </c>
      <c r="AJ91" s="1154">
        <f t="shared" si="138"/>
        <v>10073.898611437213</v>
      </c>
      <c r="AK91" s="1154">
        <f t="shared" si="138"/>
        <v>13498.819391065657</v>
      </c>
      <c r="AL91" s="1155">
        <f t="shared" si="138"/>
        <v>11005.243762763848</v>
      </c>
      <c r="AM91" s="1154">
        <f t="shared" si="138"/>
        <v>8859.7525685270448</v>
      </c>
      <c r="AN91" s="1154">
        <f t="shared" si="138"/>
        <v>13716.08206485771</v>
      </c>
      <c r="AO91" s="1154">
        <f t="shared" si="138"/>
        <v>18972.574703233728</v>
      </c>
      <c r="AP91" s="1155">
        <f t="shared" si="138"/>
        <v>16516.620498614961</v>
      </c>
      <c r="AQ91" s="1154">
        <f t="shared" si="138"/>
        <v>13499.713741880851</v>
      </c>
      <c r="AR91" s="1154">
        <f t="shared" si="138"/>
        <v>14061.965375588867</v>
      </c>
      <c r="AS91" s="1154">
        <f t="shared" si="138"/>
        <v>19672.051621639861</v>
      </c>
      <c r="AT91" s="1155">
        <f t="shared" si="138"/>
        <v>15045.105469581529</v>
      </c>
      <c r="AU91" s="1154">
        <f t="shared" si="133"/>
        <v>14061.523642976674</v>
      </c>
      <c r="AV91" s="1154">
        <f t="shared" si="133"/>
        <v>14647.174182821826</v>
      </c>
      <c r="AW91" s="1154">
        <f t="shared" si="133"/>
        <v>20490.732194222554</v>
      </c>
      <c r="AX91" s="1155">
        <f t="shared" si="133"/>
        <v>15671.229058381727</v>
      </c>
      <c r="AY91" s="1154">
        <f t="shared" si="133"/>
        <v>13906.632702001074</v>
      </c>
      <c r="AZ91" s="1154">
        <f t="shared" si="133"/>
        <v>14485.832165454884</v>
      </c>
      <c r="BA91" s="1154">
        <f t="shared" si="133"/>
        <v>20265.02203141047</v>
      </c>
      <c r="BB91" s="1155">
        <f t="shared" si="133"/>
        <v>15498.606839287475</v>
      </c>
      <c r="BC91" s="1156"/>
      <c r="BD91" s="1156"/>
      <c r="BE91" s="1280">
        <f t="shared" si="121"/>
        <v>9426.1669741676851</v>
      </c>
      <c r="BF91" s="1280">
        <f t="shared" si="122"/>
        <v>8455.3105716843402</v>
      </c>
      <c r="BG91" s="1280">
        <f t="shared" si="123"/>
        <v>10264.604876052003</v>
      </c>
      <c r="BH91" s="1280">
        <f t="shared" si="124"/>
        <v>11499.829337288338</v>
      </c>
      <c r="BI91" s="1280">
        <f t="shared" si="125"/>
        <v>9677.7463583526915</v>
      </c>
      <c r="BJ91" s="1280">
        <f t="shared" si="126"/>
        <v>11322.982423001962</v>
      </c>
      <c r="BK91" s="1280">
        <f t="shared" si="127"/>
        <v>10689.674339705913</v>
      </c>
      <c r="BL91" s="1280">
        <f t="shared" si="128"/>
        <v>10787.4009945</v>
      </c>
      <c r="BM91" s="1280">
        <f t="shared" si="129"/>
        <v>14516.257458808361</v>
      </c>
      <c r="BN91" s="1280">
        <f t="shared" si="130"/>
        <v>15569.709052172777</v>
      </c>
      <c r="BO91" s="1280">
        <f t="shared" si="131"/>
        <v>16217.664769600695</v>
      </c>
      <c r="BP91" s="1280">
        <f t="shared" si="132"/>
        <v>16039.023434538474</v>
      </c>
      <c r="BQ91" s="1114"/>
      <c r="BR91" s="1115"/>
      <c r="BU91" s="1087"/>
      <c r="BV91" s="1514" t="s">
        <v>549</v>
      </c>
      <c r="BW91" s="1400">
        <f>BX91+BZ119</f>
        <v>8572.6751150947875</v>
      </c>
      <c r="BX91" s="1400">
        <f>((BZ91*($BP$8+BP204)/1000)+CB91)/CA91*1000</f>
        <v>8572.6751150947875</v>
      </c>
      <c r="BY91" s="1515">
        <f>HLOOKUP(CA91,$CB$53:$CZ$58,BZ58,TRUE)</f>
        <v>0.33124999999999999</v>
      </c>
      <c r="BZ91" s="1400">
        <f>BP247</f>
        <v>7718.8421929973347</v>
      </c>
      <c r="CA91" s="1401">
        <f>$BW$8+$BX$59</f>
        <v>2.4500000000000002</v>
      </c>
      <c r="CB91" s="1634">
        <f>BY91*(CA91-($BP$8+BP204))*BZ91/1000</f>
        <v>-1.0361701395734042</v>
      </c>
      <c r="CC91" s="1401">
        <f>(BX91*CA91-($BP$8+BP204)*BZ91)/1000</f>
        <v>-1.0361701395734018</v>
      </c>
    </row>
    <row r="92" spans="1:100" ht="12.75" customHeight="1">
      <c r="A92" s="1088"/>
      <c r="B92" s="1089"/>
      <c r="C92" s="1370" t="s">
        <v>553</v>
      </c>
      <c r="D92" s="1370"/>
      <c r="E92" s="1370"/>
      <c r="F92" s="1369"/>
      <c r="G92" s="1397">
        <f t="shared" si="135"/>
        <v>8818.9270982303533</v>
      </c>
      <c r="H92" s="1385">
        <f t="shared" si="135"/>
        <v>7516.769717405763</v>
      </c>
      <c r="I92" s="1385">
        <f t="shared" si="135"/>
        <v>9030.4493391427277</v>
      </c>
      <c r="J92" s="1398">
        <f t="shared" si="135"/>
        <v>8952.3408360904396</v>
      </c>
      <c r="K92" s="1397">
        <f t="shared" si="136"/>
        <v>7313.7886058323793</v>
      </c>
      <c r="L92" s="1385">
        <f t="shared" si="136"/>
        <v>7216.4963764112617</v>
      </c>
      <c r="M92" s="1385">
        <f t="shared" si="136"/>
        <v>9638.9175401523808</v>
      </c>
      <c r="N92" s="1398">
        <f t="shared" si="136"/>
        <v>9023.6993277436741</v>
      </c>
      <c r="O92" s="1397">
        <f t="shared" si="137"/>
        <v>9302.9595264683994</v>
      </c>
      <c r="P92" s="1385">
        <f t="shared" si="137"/>
        <v>10497.69497247698</v>
      </c>
      <c r="Q92" s="1385">
        <f t="shared" si="137"/>
        <v>10394.090269805383</v>
      </c>
      <c r="R92" s="1385">
        <f t="shared" si="137"/>
        <v>9503.8147240986618</v>
      </c>
      <c r="S92" s="1153">
        <f t="shared" si="139"/>
        <v>10227.558514001141</v>
      </c>
      <c r="T92" s="1154">
        <f t="shared" si="139"/>
        <v>12726.79042355791</v>
      </c>
      <c r="U92" s="1154">
        <f t="shared" si="139"/>
        <v>11380.821957728594</v>
      </c>
      <c r="V92" s="1155">
        <f t="shared" si="139"/>
        <v>11365.162652273772</v>
      </c>
      <c r="W92" s="1154">
        <f t="shared" si="139"/>
        <v>9936.1125151956894</v>
      </c>
      <c r="X92" s="1154">
        <f t="shared" si="139"/>
        <v>8914.437491759827</v>
      </c>
      <c r="Y92" s="1154">
        <f t="shared" si="139"/>
        <v>10324.753615972111</v>
      </c>
      <c r="Z92" s="1155">
        <f t="shared" si="139"/>
        <v>10613.533213405261</v>
      </c>
      <c r="AA92" s="1154">
        <f t="shared" si="139"/>
        <v>10794.686554329206</v>
      </c>
      <c r="AB92" s="1154">
        <f t="shared" si="139"/>
        <v>13050.491884183193</v>
      </c>
      <c r="AC92" s="1154">
        <f t="shared" si="139"/>
        <v>11947.399352794859</v>
      </c>
      <c r="AD92" s="1155">
        <f t="shared" si="139"/>
        <v>12563.163583983367</v>
      </c>
      <c r="AE92" s="1154">
        <f t="shared" si="139"/>
        <v>11106.232529645211</v>
      </c>
      <c r="AF92" s="1154">
        <f t="shared" si="139"/>
        <v>11716.347808318487</v>
      </c>
      <c r="AG92" s="1154">
        <f t="shared" si="139"/>
        <v>12357.27579637696</v>
      </c>
      <c r="AH92" s="1155">
        <f t="shared" si="139"/>
        <v>11990.682866775438</v>
      </c>
      <c r="AI92" s="1154">
        <f t="shared" si="138"/>
        <v>9449.9884488374046</v>
      </c>
      <c r="AJ92" s="1154">
        <f t="shared" si="138"/>
        <v>11403.16250934641</v>
      </c>
      <c r="AK92" s="1154">
        <f t="shared" si="138"/>
        <v>14923.468157166129</v>
      </c>
      <c r="AL92" s="1155">
        <f t="shared" si="138"/>
        <v>11110.096130842672</v>
      </c>
      <c r="AM92" s="1154">
        <f t="shared" si="138"/>
        <v>8835.3985409444631</v>
      </c>
      <c r="AN92" s="1154">
        <f t="shared" si="138"/>
        <v>14377.895433487756</v>
      </c>
      <c r="AO92" s="1154">
        <f t="shared" si="138"/>
        <v>18051.575931232092</v>
      </c>
      <c r="AP92" s="1155">
        <f t="shared" si="138"/>
        <v>16724.376731301942</v>
      </c>
      <c r="AQ92" s="1154">
        <f t="shared" si="138"/>
        <v>14738.837139255675</v>
      </c>
      <c r="AR92" s="1154">
        <f t="shared" si="138"/>
        <v>16182.133515390124</v>
      </c>
      <c r="AS92" s="1154">
        <f t="shared" si="138"/>
        <v>20299.089540990994</v>
      </c>
      <c r="AT92" s="1155">
        <f t="shared" si="138"/>
        <v>14937.966413316562</v>
      </c>
      <c r="AU92" s="1154">
        <f t="shared" si="133"/>
        <v>15408.24352602746</v>
      </c>
      <c r="AV92" s="1154">
        <f t="shared" si="133"/>
        <v>16917.091329527619</v>
      </c>
      <c r="AW92" s="1154">
        <f t="shared" si="133"/>
        <v>21221.030672167504</v>
      </c>
      <c r="AX92" s="1155">
        <f t="shared" si="133"/>
        <v>15616.416824836715</v>
      </c>
      <c r="AY92" s="1154">
        <f t="shared" si="133"/>
        <v>15207.123389084334</v>
      </c>
      <c r="AZ92" s="1154">
        <f t="shared" si="133"/>
        <v>16696.27656117802</v>
      </c>
      <c r="BA92" s="1154">
        <f t="shared" si="133"/>
        <v>20944.037607536149</v>
      </c>
      <c r="BB92" s="1155">
        <f t="shared" si="133"/>
        <v>15412.579451351106</v>
      </c>
      <c r="BC92" s="1156"/>
      <c r="BD92" s="1156"/>
      <c r="BE92" s="1280">
        <f t="shared" si="121"/>
        <v>8579.6217477173195</v>
      </c>
      <c r="BF92" s="1280">
        <f t="shared" si="122"/>
        <v>8298.2254625349233</v>
      </c>
      <c r="BG92" s="1280">
        <f t="shared" si="123"/>
        <v>9924.6398732123562</v>
      </c>
      <c r="BH92" s="1280">
        <f t="shared" si="124"/>
        <v>11425.083386890354</v>
      </c>
      <c r="BI92" s="1280">
        <f t="shared" si="125"/>
        <v>9947.2092090832211</v>
      </c>
      <c r="BJ92" s="1280">
        <f t="shared" si="126"/>
        <v>12088.935343822655</v>
      </c>
      <c r="BK92" s="1280">
        <f t="shared" si="127"/>
        <v>11792.634750279025</v>
      </c>
      <c r="BL92" s="1280">
        <f t="shared" si="128"/>
        <v>11721.678811548154</v>
      </c>
      <c r="BM92" s="1280">
        <f t="shared" si="129"/>
        <v>14497.311659241563</v>
      </c>
      <c r="BN92" s="1280">
        <f t="shared" si="130"/>
        <v>16539.506652238339</v>
      </c>
      <c r="BO92" s="1280">
        <f t="shared" si="131"/>
        <v>17290.695588139824</v>
      </c>
      <c r="BP92" s="1280">
        <f t="shared" si="132"/>
        <v>17065.004252287403</v>
      </c>
      <c r="BQ92" s="1114"/>
      <c r="BR92" s="1115"/>
      <c r="BU92" s="1087"/>
    </row>
    <row r="93" spans="1:100" ht="12.75" customHeight="1">
      <c r="A93" s="1088"/>
      <c r="B93" s="1089"/>
      <c r="C93" s="1370" t="s">
        <v>554</v>
      </c>
      <c r="D93" s="1370"/>
      <c r="E93" s="1370"/>
      <c r="F93" s="1369"/>
      <c r="G93" s="1397">
        <f t="shared" si="135"/>
        <v>8563.562822424461</v>
      </c>
      <c r="H93" s="1385">
        <f t="shared" si="135"/>
        <v>6860.4941925393041</v>
      </c>
      <c r="I93" s="1385">
        <f t="shared" si="135"/>
        <v>9589.8568783682331</v>
      </c>
      <c r="J93" s="1398">
        <f t="shared" si="135"/>
        <v>8761.3924824907463</v>
      </c>
      <c r="K93" s="1397">
        <f t="shared" si="136"/>
        <v>6370.4143174569617</v>
      </c>
      <c r="L93" s="1385">
        <f t="shared" si="136"/>
        <v>6211.3020714773484</v>
      </c>
      <c r="M93" s="1385">
        <f t="shared" si="136"/>
        <v>7826.6983038931385</v>
      </c>
      <c r="N93" s="1398">
        <f t="shared" si="136"/>
        <v>8505.2239404965749</v>
      </c>
      <c r="O93" s="1397">
        <f t="shared" si="137"/>
        <v>8361.8498020158422</v>
      </c>
      <c r="P93" s="1385">
        <f t="shared" si="137"/>
        <v>4692.7816196299354</v>
      </c>
      <c r="Q93" s="1385">
        <f t="shared" si="137"/>
        <v>8714.24458656358</v>
      </c>
      <c r="R93" s="1385">
        <f t="shared" si="137"/>
        <v>7915.5249031846197</v>
      </c>
      <c r="S93" s="1153">
        <f t="shared" si="139"/>
        <v>8087.8495531943299</v>
      </c>
      <c r="T93" s="1154">
        <f t="shared" si="139"/>
        <v>7996.3027258199882</v>
      </c>
      <c r="U93" s="1154">
        <f t="shared" si="139"/>
        <v>11211.620071182011</v>
      </c>
      <c r="V93" s="1155">
        <f t="shared" si="139"/>
        <v>10542.452919287505</v>
      </c>
      <c r="W93" s="1154">
        <f t="shared" si="139"/>
        <v>8657.5971567442921</v>
      </c>
      <c r="X93" s="1154">
        <f t="shared" si="139"/>
        <v>6886.9565387563089</v>
      </c>
      <c r="Y93" s="1154">
        <f t="shared" si="139"/>
        <v>9018.6289233419629</v>
      </c>
      <c r="Z93" s="1155">
        <f t="shared" si="139"/>
        <v>8128.1906062345806</v>
      </c>
      <c r="AA93" s="1154">
        <f t="shared" si="139"/>
        <v>7254.6062172011279</v>
      </c>
      <c r="AB93" s="1154">
        <f t="shared" si="139"/>
        <v>10198.607768021606</v>
      </c>
      <c r="AC93" s="1154">
        <f t="shared" si="139"/>
        <v>11012.575922552551</v>
      </c>
      <c r="AD93" s="1155">
        <f t="shared" si="139"/>
        <v>8791.3991643737936</v>
      </c>
      <c r="AE93" s="1154">
        <f t="shared" si="139"/>
        <v>8374.7404708739778</v>
      </c>
      <c r="AF93" s="1154">
        <f t="shared" si="139"/>
        <v>7523.2554039282049</v>
      </c>
      <c r="AG93" s="1154">
        <f t="shared" si="139"/>
        <v>10999.855109017048</v>
      </c>
      <c r="AH93" s="1155">
        <f>IF(ISBLANK(AH236),"",AH236)</f>
        <v>8339.4758609136315</v>
      </c>
      <c r="AI93" s="1154">
        <f t="shared" si="138"/>
        <v>7363.9896702949682</v>
      </c>
      <c r="AJ93" s="1154">
        <f t="shared" si="138"/>
        <v>5110.2170980007359</v>
      </c>
      <c r="AK93" s="1154">
        <f t="shared" si="138"/>
        <v>11913.659539148653</v>
      </c>
      <c r="AL93" s="1155">
        <f t="shared" si="138"/>
        <v>6198.0513024458141</v>
      </c>
      <c r="AM93" s="1154">
        <f t="shared" si="138"/>
        <v>5605.4382217503589</v>
      </c>
      <c r="AN93" s="1154">
        <f t="shared" si="138"/>
        <v>6543.6796823295826</v>
      </c>
      <c r="AO93" s="1154">
        <f t="shared" si="138"/>
        <v>11727.384363487512</v>
      </c>
      <c r="AP93" s="1155">
        <f t="shared" si="138"/>
        <v>9868.4210526315801</v>
      </c>
      <c r="AQ93" s="1154">
        <f t="shared" si="138"/>
        <v>10559.234578577465</v>
      </c>
      <c r="AR93" s="1154">
        <f t="shared" si="138"/>
        <v>10219.421198025182</v>
      </c>
      <c r="AS93" s="1154">
        <f t="shared" si="138"/>
        <v>15787.035019442665</v>
      </c>
      <c r="AT93" s="1155">
        <f t="shared" si="138"/>
        <v>7959.8436172566526</v>
      </c>
      <c r="AU93" s="1154">
        <f t="shared" si="133"/>
        <v>11509.813054563114</v>
      </c>
      <c r="AV93" s="1154">
        <f t="shared" si="133"/>
        <v>11139.408509187173</v>
      </c>
      <c r="AW93" s="1154">
        <f t="shared" si="133"/>
        <v>17208.238003185412</v>
      </c>
      <c r="AX93" s="1155">
        <f t="shared" si="133"/>
        <v>8676.4160125822291</v>
      </c>
      <c r="AY93" s="1154">
        <f t="shared" si="133"/>
        <v>11745.513775169822</v>
      </c>
      <c r="AZ93" s="1154">
        <f t="shared" si="133"/>
        <v>11367.523996406751</v>
      </c>
      <c r="BA93" s="1154">
        <f t="shared" si="133"/>
        <v>17560.632440740112</v>
      </c>
      <c r="BB93" s="1155">
        <f t="shared" si="133"/>
        <v>8854.0937469428645</v>
      </c>
      <c r="BC93" s="1156"/>
      <c r="BD93" s="1156"/>
      <c r="BE93" s="1280">
        <f t="shared" si="121"/>
        <v>8443.8265939556859</v>
      </c>
      <c r="BF93" s="1280">
        <f t="shared" si="122"/>
        <v>7228.4096583310056</v>
      </c>
      <c r="BG93" s="1280">
        <f t="shared" si="123"/>
        <v>7421.1002278484939</v>
      </c>
      <c r="BH93" s="1280">
        <f t="shared" si="124"/>
        <v>9459.5563173709579</v>
      </c>
      <c r="BI93" s="1280">
        <f t="shared" si="125"/>
        <v>8172.8433062692857</v>
      </c>
      <c r="BJ93" s="1280">
        <f t="shared" si="126"/>
        <v>9314.2972680372695</v>
      </c>
      <c r="BK93" s="1280">
        <f t="shared" si="127"/>
        <v>8809.3317111832148</v>
      </c>
      <c r="BL93" s="1280">
        <f t="shared" si="128"/>
        <v>7646.4794024725434</v>
      </c>
      <c r="BM93" s="1280">
        <f t="shared" si="129"/>
        <v>8436.2308300497589</v>
      </c>
      <c r="BN93" s="1280">
        <f t="shared" si="130"/>
        <v>11131.38360332549</v>
      </c>
      <c r="BO93" s="1280">
        <f t="shared" si="131"/>
        <v>12133.468894879483</v>
      </c>
      <c r="BP93" s="1280">
        <f t="shared" si="132"/>
        <v>12381.940989814888</v>
      </c>
      <c r="BQ93" s="1114"/>
      <c r="BR93" s="1115"/>
      <c r="BU93" s="1087"/>
    </row>
    <row r="94" spans="1:100" ht="12.75" customHeight="1">
      <c r="A94" s="1088"/>
      <c r="B94" s="1089"/>
      <c r="C94" s="1370"/>
      <c r="D94" s="1370"/>
      <c r="E94" s="1370"/>
      <c r="F94" s="1369"/>
      <c r="G94" s="1397">
        <f t="shared" si="135"/>
        <v>0</v>
      </c>
      <c r="H94" s="1385">
        <f t="shared" si="135"/>
        <v>0</v>
      </c>
      <c r="I94" s="1385">
        <f t="shared" si="135"/>
        <v>0</v>
      </c>
      <c r="J94" s="1398">
        <f t="shared" si="135"/>
        <v>7045.0118387558323</v>
      </c>
      <c r="K94" s="1391">
        <f t="shared" si="136"/>
        <v>10647.814160821332</v>
      </c>
      <c r="L94" s="1385">
        <f t="shared" si="136"/>
        <v>7643.6811086143116</v>
      </c>
      <c r="M94" s="1385">
        <f t="shared" si="136"/>
        <v>26701.729930116137</v>
      </c>
      <c r="N94" s="1398">
        <f t="shared" si="136"/>
        <v>7717.4624704002181</v>
      </c>
      <c r="O94" s="1397">
        <f t="shared" si="137"/>
        <v>9345.1720004820509</v>
      </c>
      <c r="P94" s="1385">
        <f t="shared" si="137"/>
        <v>13807.306134001437</v>
      </c>
      <c r="Q94" s="1385">
        <f t="shared" si="137"/>
        <v>11418.664456046279</v>
      </c>
      <c r="R94" s="1385">
        <f t="shared" si="137"/>
        <v>8673.5340286433238</v>
      </c>
      <c r="S94" s="1153">
        <f t="shared" si="139"/>
        <v>7845.0122816990479</v>
      </c>
      <c r="T94" s="1154">
        <f t="shared" si="139"/>
        <v>8620.1610645234541</v>
      </c>
      <c r="U94" s="1154">
        <f t="shared" si="139"/>
        <v>11174.409787997261</v>
      </c>
      <c r="V94" s="1155">
        <f t="shared" si="139"/>
        <v>9641.3794179416109</v>
      </c>
      <c r="W94" s="1154">
        <f t="shared" si="139"/>
        <v>11434.96156525798</v>
      </c>
      <c r="X94" s="1154">
        <f t="shared" si="139"/>
        <v>9116.0759733353843</v>
      </c>
      <c r="Y94" s="1154">
        <f t="shared" si="139"/>
        <v>9563.9321770397437</v>
      </c>
      <c r="Z94" s="1155">
        <f t="shared" si="139"/>
        <v>9368.9160620250805</v>
      </c>
      <c r="AA94" s="1154">
        <f t="shared" si="139"/>
        <v>9823.1629948743193</v>
      </c>
      <c r="AB94" s="1154">
        <f t="shared" si="139"/>
        <v>10996.392826599309</v>
      </c>
      <c r="AC94" s="1154">
        <f t="shared" si="139"/>
        <v>13165.051909345491</v>
      </c>
      <c r="AD94" s="1155">
        <f t="shared" si="139"/>
        <v>9966.0748691142107</v>
      </c>
      <c r="AE94" s="1154">
        <f t="shared" si="139"/>
        <v>10081.840893466653</v>
      </c>
      <c r="AF94" s="1154">
        <f t="shared" si="139"/>
        <v>10532.235866772089</v>
      </c>
      <c r="AG94" s="1154">
        <f t="shared" si="139"/>
        <v>11115.580950912827</v>
      </c>
      <c r="AH94" s="1155">
        <f t="shared" si="139"/>
        <v>9206.0011555017081</v>
      </c>
      <c r="AI94" s="1154">
        <f t="shared" si="138"/>
        <v>7599.395244266987</v>
      </c>
      <c r="AJ94" s="1154">
        <f t="shared" si="138"/>
        <v>9658.4255255059925</v>
      </c>
      <c r="AK94" s="1154">
        <f t="shared" si="138"/>
        <v>10542.679719462296</v>
      </c>
      <c r="AL94" s="1155">
        <f t="shared" si="138"/>
        <v>9173.459524044767</v>
      </c>
      <c r="AM94" s="1154">
        <f t="shared" si="138"/>
        <v>11552.579721769785</v>
      </c>
      <c r="AN94" s="1154">
        <f t="shared" si="138"/>
        <v>14542.898550724636</v>
      </c>
      <c r="AO94" s="1154">
        <f t="shared" si="138"/>
        <v>48571.299862448417</v>
      </c>
      <c r="AP94" s="1155">
        <f t="shared" si="138"/>
        <v>9541.1462450592899</v>
      </c>
      <c r="AQ94" s="1154">
        <f t="shared" si="138"/>
        <v>8001.7503919318342</v>
      </c>
      <c r="AR94" s="1154">
        <f t="shared" si="138"/>
        <v>10020.549611895432</v>
      </c>
      <c r="AS94" s="1154">
        <f t="shared" si="138"/>
        <v>28583.139290052815</v>
      </c>
      <c r="AT94" s="1155">
        <f t="shared" si="138"/>
        <v>16581.596089097558</v>
      </c>
      <c r="AU94" s="1154">
        <f t="shared" si="133"/>
        <v>7062.8307008244701</v>
      </c>
      <c r="AV94" s="1154">
        <f t="shared" si="133"/>
        <v>8715.8398035065438</v>
      </c>
      <c r="AW94" s="1154">
        <f t="shared" si="133"/>
        <v>24761.304736514343</v>
      </c>
      <c r="AX94" s="1155">
        <f t="shared" si="133"/>
        <v>14438.494039488984</v>
      </c>
      <c r="AY94" s="1154">
        <f t="shared" si="133"/>
        <v>6423.7196260689134</v>
      </c>
      <c r="AZ94" s="1154">
        <f t="shared" si="133"/>
        <v>7906.2276542927948</v>
      </c>
      <c r="BA94" s="1154">
        <f t="shared" si="133"/>
        <v>22408.946307746035</v>
      </c>
      <c r="BB94" s="1155">
        <f t="shared" si="133"/>
        <v>13065.522005420524</v>
      </c>
      <c r="BC94" s="1156"/>
      <c r="BD94" s="1156"/>
      <c r="BE94" s="1280"/>
      <c r="BF94" s="1280"/>
      <c r="BG94" s="1280"/>
      <c r="BH94" s="1280"/>
      <c r="BI94" s="1280"/>
      <c r="BJ94" s="1280"/>
      <c r="BK94" s="1280"/>
      <c r="BL94" s="1280"/>
      <c r="BM94" s="1280"/>
      <c r="BN94" s="1280"/>
      <c r="BO94" s="1280"/>
      <c r="BP94" s="1280"/>
      <c r="BQ94" s="1114"/>
      <c r="BR94" s="1115"/>
      <c r="BU94" s="1087"/>
      <c r="BV94" s="1511"/>
      <c r="BW94" s="1533" t="s">
        <v>967</v>
      </c>
      <c r="BX94" s="1511"/>
      <c r="BY94" s="1511"/>
      <c r="BZ94" s="1511"/>
      <c r="CA94" s="1511"/>
      <c r="CB94" s="1511"/>
      <c r="CC94" s="1511"/>
      <c r="CD94" s="1511"/>
      <c r="CE94" s="1511"/>
      <c r="CF94" s="1511"/>
      <c r="CG94" s="1511"/>
      <c r="CH94" s="1511"/>
      <c r="CI94" s="1511"/>
      <c r="CJ94" s="1511"/>
      <c r="CK94" s="1511"/>
      <c r="CL94" s="1511"/>
      <c r="CM94" s="1511"/>
      <c r="CN94" s="1511"/>
      <c r="CO94" s="1511"/>
      <c r="CP94" s="1511"/>
      <c r="CQ94" s="1511"/>
      <c r="CR94" s="1511"/>
      <c r="CS94" s="1511"/>
      <c r="CT94" s="1511"/>
      <c r="CU94" s="1511"/>
      <c r="CV94" s="1511"/>
    </row>
    <row r="95" spans="1:100" ht="12.75" customHeight="1">
      <c r="A95" s="1088"/>
      <c r="B95" s="1089"/>
      <c r="C95" s="1376" t="s">
        <v>621</v>
      </c>
      <c r="D95" s="1142"/>
      <c r="E95" s="1142"/>
      <c r="F95" s="1269"/>
      <c r="G95" s="1391" t="str">
        <f t="shared" si="135"/>
        <v/>
      </c>
      <c r="H95" s="1392" t="str">
        <f t="shared" si="135"/>
        <v/>
      </c>
      <c r="I95" s="1392" t="str">
        <f t="shared" si="135"/>
        <v/>
      </c>
      <c r="J95" s="1393" t="str">
        <f t="shared" si="135"/>
        <v/>
      </c>
      <c r="K95" s="1397" t="str">
        <f t="shared" si="136"/>
        <v/>
      </c>
      <c r="L95" s="1392" t="str">
        <f t="shared" si="136"/>
        <v/>
      </c>
      <c r="M95" s="1392" t="str">
        <f t="shared" si="136"/>
        <v/>
      </c>
      <c r="N95" s="1393" t="str">
        <f t="shared" si="136"/>
        <v/>
      </c>
      <c r="O95" s="1391" t="str">
        <f t="shared" si="137"/>
        <v/>
      </c>
      <c r="P95" s="1392" t="str">
        <f t="shared" si="137"/>
        <v/>
      </c>
      <c r="Q95" s="1392" t="str">
        <f t="shared" si="137"/>
        <v/>
      </c>
      <c r="R95" s="1392" t="str">
        <f t="shared" si="137"/>
        <v/>
      </c>
      <c r="S95" s="1378" t="str">
        <f t="shared" si="139"/>
        <v/>
      </c>
      <c r="T95" s="1131" t="str">
        <f t="shared" si="139"/>
        <v/>
      </c>
      <c r="U95" s="1131" t="str">
        <f t="shared" si="139"/>
        <v/>
      </c>
      <c r="V95" s="1130" t="str">
        <f t="shared" si="139"/>
        <v/>
      </c>
      <c r="W95" s="1131" t="str">
        <f t="shared" si="139"/>
        <v/>
      </c>
      <c r="X95" s="1131" t="str">
        <f t="shared" si="139"/>
        <v/>
      </c>
      <c r="Y95" s="1131" t="str">
        <f t="shared" si="139"/>
        <v/>
      </c>
      <c r="Z95" s="1379" t="str">
        <f t="shared" si="139"/>
        <v/>
      </c>
      <c r="AA95" s="1380" t="str">
        <f t="shared" si="139"/>
        <v/>
      </c>
      <c r="AB95" s="1380" t="str">
        <f t="shared" si="139"/>
        <v/>
      </c>
      <c r="AC95" s="1380" t="str">
        <f t="shared" si="139"/>
        <v/>
      </c>
      <c r="AD95" s="1379" t="str">
        <f t="shared" si="139"/>
        <v/>
      </c>
      <c r="AE95" s="1380" t="str">
        <f t="shared" si="139"/>
        <v/>
      </c>
      <c r="AF95" s="1380" t="str">
        <f t="shared" si="139"/>
        <v/>
      </c>
      <c r="AG95" s="1380" t="str">
        <f t="shared" si="139"/>
        <v/>
      </c>
      <c r="AH95" s="1379" t="str">
        <f t="shared" si="139"/>
        <v/>
      </c>
      <c r="AI95" s="1380" t="str">
        <f t="shared" si="138"/>
        <v/>
      </c>
      <c r="AJ95" s="1380" t="str">
        <f t="shared" si="138"/>
        <v/>
      </c>
      <c r="AK95" s="1380" t="str">
        <f t="shared" si="138"/>
        <v/>
      </c>
      <c r="AL95" s="1379" t="str">
        <f t="shared" si="138"/>
        <v/>
      </c>
      <c r="AM95" s="1380" t="str">
        <f t="shared" si="138"/>
        <v/>
      </c>
      <c r="AN95" s="1380" t="str">
        <f t="shared" si="138"/>
        <v/>
      </c>
      <c r="AO95" s="1380" t="str">
        <f t="shared" si="138"/>
        <v/>
      </c>
      <c r="AP95" s="1379" t="str">
        <f t="shared" si="138"/>
        <v/>
      </c>
      <c r="AQ95" s="1380" t="str">
        <f t="shared" si="138"/>
        <v/>
      </c>
      <c r="AR95" s="1380" t="str">
        <f t="shared" si="138"/>
        <v/>
      </c>
      <c r="AS95" s="1380" t="str">
        <f t="shared" si="138"/>
        <v/>
      </c>
      <c r="AT95" s="1379" t="str">
        <f t="shared" si="138"/>
        <v/>
      </c>
      <c r="AU95" s="1380" t="str">
        <f t="shared" si="133"/>
        <v/>
      </c>
      <c r="AV95" s="1380" t="str">
        <f t="shared" si="133"/>
        <v/>
      </c>
      <c r="AW95" s="1380" t="str">
        <f t="shared" si="133"/>
        <v/>
      </c>
      <c r="AX95" s="1379" t="str">
        <f t="shared" si="133"/>
        <v/>
      </c>
      <c r="AY95" s="1380" t="str">
        <f t="shared" si="133"/>
        <v/>
      </c>
      <c r="AZ95" s="1380" t="str">
        <f t="shared" si="133"/>
        <v/>
      </c>
      <c r="BA95" s="1380" t="str">
        <f t="shared" si="133"/>
        <v/>
      </c>
      <c r="BB95" s="1379" t="str">
        <f t="shared" si="133"/>
        <v/>
      </c>
      <c r="BC95" s="1132"/>
      <c r="BD95" s="1133"/>
      <c r="BE95" s="1256"/>
      <c r="BF95" s="1256"/>
      <c r="BG95" s="1256"/>
      <c r="BH95" s="1256"/>
      <c r="BI95" s="1256"/>
      <c r="BJ95" s="1256"/>
      <c r="BK95" s="1256"/>
      <c r="BL95" s="1256"/>
      <c r="BM95" s="1256"/>
      <c r="BN95" s="1256"/>
      <c r="BO95" s="1256"/>
      <c r="BP95" s="1256"/>
      <c r="BQ95" s="1114"/>
      <c r="BR95" s="1115"/>
      <c r="BU95" s="1087"/>
      <c r="BV95" s="1511"/>
      <c r="BW95" s="1534" t="s">
        <v>968</v>
      </c>
      <c r="BX95" s="1535">
        <f>Valuation!BX34</f>
        <v>0</v>
      </c>
      <c r="BY95" s="1511"/>
      <c r="BZ95" s="1511"/>
      <c r="CA95" s="1511"/>
      <c r="CB95" s="1511"/>
      <c r="CC95" s="1511"/>
      <c r="CD95" s="1511"/>
      <c r="CE95" s="1511"/>
      <c r="CF95" s="1511"/>
      <c r="CG95" s="1511"/>
      <c r="CH95" s="1511"/>
      <c r="CI95" s="1511"/>
      <c r="CJ95" s="1511"/>
      <c r="CK95" s="1511"/>
      <c r="CL95" s="1511"/>
      <c r="CM95" s="1511"/>
      <c r="CN95" s="1511"/>
      <c r="CO95" s="1511"/>
      <c r="CP95" s="1511"/>
      <c r="CQ95" s="1511"/>
      <c r="CR95" s="1511"/>
      <c r="CS95" s="1511"/>
      <c r="CT95" s="1511"/>
      <c r="CU95" s="1511"/>
      <c r="CV95" s="1511"/>
    </row>
    <row r="96" spans="1:100" ht="12.75" customHeight="1">
      <c r="A96" s="1088"/>
      <c r="B96" s="1089"/>
      <c r="C96" s="1370" t="s">
        <v>611</v>
      </c>
      <c r="D96" s="1370"/>
      <c r="E96" s="1370"/>
      <c r="F96" s="1369"/>
      <c r="G96" s="1397">
        <f t="shared" si="135"/>
        <v>6909.3096327633702</v>
      </c>
      <c r="H96" s="1385">
        <f t="shared" si="135"/>
        <v>8182.0786967062631</v>
      </c>
      <c r="I96" s="1385">
        <f t="shared" si="135"/>
        <v>8843.0635104283465</v>
      </c>
      <c r="J96" s="1398">
        <f t="shared" si="135"/>
        <v>7237.1775828593409</v>
      </c>
      <c r="K96" s="1397">
        <f t="shared" si="136"/>
        <v>7371.9217492476137</v>
      </c>
      <c r="L96" s="1385">
        <f t="shared" si="136"/>
        <v>7960.8997122438159</v>
      </c>
      <c r="M96" s="1385">
        <f t="shared" si="136"/>
        <v>8379.919228064944</v>
      </c>
      <c r="N96" s="1398">
        <f t="shared" si="136"/>
        <v>8819.7944279269213</v>
      </c>
      <c r="O96" s="1397">
        <f t="shared" si="137"/>
        <v>8447.2140034917284</v>
      </c>
      <c r="P96" s="1385">
        <f t="shared" si="137"/>
        <v>9230.5387992588858</v>
      </c>
      <c r="Q96" s="1385">
        <f t="shared" si="137"/>
        <v>10110.347551066592</v>
      </c>
      <c r="R96" s="1385">
        <f t="shared" si="137"/>
        <v>9797.5546476884065</v>
      </c>
      <c r="S96" s="1153">
        <f t="shared" si="139"/>
        <v>9282.9445192863459</v>
      </c>
      <c r="T96" s="1154">
        <f t="shared" si="139"/>
        <v>7879.1357555234736</v>
      </c>
      <c r="U96" s="1154">
        <f t="shared" si="139"/>
        <v>8084.3226123072382</v>
      </c>
      <c r="V96" s="1155">
        <f t="shared" si="139"/>
        <v>11842.479560862408</v>
      </c>
      <c r="W96" s="1154">
        <f t="shared" si="139"/>
        <v>7345.0633802143266</v>
      </c>
      <c r="X96" s="1154">
        <f t="shared" si="139"/>
        <v>8666.8096880078447</v>
      </c>
      <c r="Y96" s="1154">
        <f t="shared" si="139"/>
        <v>10315.050379273025</v>
      </c>
      <c r="Z96" s="1155">
        <f t="shared" si="139"/>
        <v>9714.574534358846</v>
      </c>
      <c r="AA96" s="1154">
        <f t="shared" si="139"/>
        <v>8382.8453222230091</v>
      </c>
      <c r="AB96" s="1154">
        <f t="shared" si="139"/>
        <v>7537.8738784383268</v>
      </c>
      <c r="AC96" s="1154">
        <f t="shared" si="139"/>
        <v>9837.7064039165271</v>
      </c>
      <c r="AD96" s="1155">
        <f t="shared" si="139"/>
        <v>10577.262881497305</v>
      </c>
      <c r="AE96" s="1154">
        <f t="shared" si="139"/>
        <v>9019.4014549612002</v>
      </c>
      <c r="AF96" s="1154">
        <f t="shared" si="139"/>
        <v>10967.114786064982</v>
      </c>
      <c r="AG96" s="1154">
        <f t="shared" si="139"/>
        <v>11335.823461467095</v>
      </c>
      <c r="AH96" s="1155">
        <f t="shared" si="139"/>
        <v>10726.933653066462</v>
      </c>
      <c r="AI96" s="1154">
        <f t="shared" si="138"/>
        <v>9142.7185751590077</v>
      </c>
      <c r="AJ96" s="1154">
        <f t="shared" si="138"/>
        <v>8545.6610120881614</v>
      </c>
      <c r="AK96" s="1154">
        <f t="shared" si="138"/>
        <v>8055.4469835426908</v>
      </c>
      <c r="AL96" s="1155">
        <f t="shared" si="138"/>
        <v>11859.057936160812</v>
      </c>
      <c r="AM96" s="1154">
        <f t="shared" si="138"/>
        <v>7106.0534420152553</v>
      </c>
      <c r="AN96" s="1154">
        <f t="shared" si="138"/>
        <v>9713.2904608788867</v>
      </c>
      <c r="AO96" s="1154">
        <f t="shared" si="138"/>
        <v>9301.3972055888225</v>
      </c>
      <c r="AP96" s="1155">
        <f t="shared" si="138"/>
        <v>10670.184696569921</v>
      </c>
      <c r="AQ96" s="1154">
        <f t="shared" si="138"/>
        <v>12523.856192309457</v>
      </c>
      <c r="AR96" s="1154">
        <f t="shared" si="138"/>
        <v>12126.37627431892</v>
      </c>
      <c r="AS96" s="1154">
        <f t="shared" si="138"/>
        <v>13524.643202910216</v>
      </c>
      <c r="AT96" s="1155">
        <f t="shared" si="138"/>
        <v>7225.3549785020023</v>
      </c>
      <c r="AU96" s="1154">
        <f t="shared" si="133"/>
        <v>12284.65865189438</v>
      </c>
      <c r="AV96" s="1154">
        <f t="shared" si="133"/>
        <v>11894.770342853019</v>
      </c>
      <c r="AW96" s="1154">
        <f t="shared" si="133"/>
        <v>13266.331278894815</v>
      </c>
      <c r="AX96" s="1155">
        <f t="shared" si="133"/>
        <v>7087.3553789421785</v>
      </c>
      <c r="AY96" s="1154">
        <f t="shared" si="133"/>
        <v>11964.479552774072</v>
      </c>
      <c r="AZ96" s="1154">
        <f t="shared" si="133"/>
        <v>11584.75303097351</v>
      </c>
      <c r="BA96" s="1154">
        <f t="shared" si="133"/>
        <v>12920.56652320475</v>
      </c>
      <c r="BB96" s="1155">
        <f t="shared" si="133"/>
        <v>6902.6353045243814</v>
      </c>
      <c r="BC96" s="1156"/>
      <c r="BD96" s="1156"/>
      <c r="BE96" s="1280">
        <f t="shared" ref="BE96:BE111" si="140">AVERAGE(G96:J96)</f>
        <v>7792.90735568933</v>
      </c>
      <c r="BF96" s="1280">
        <f t="shared" ref="BF96:BF111" si="141">AVERAGE(K96:N96)</f>
        <v>8133.1337793708235</v>
      </c>
      <c r="BG96" s="1280">
        <f t="shared" ref="BG96:BG111" si="142">AVERAGE(O96:R96)</f>
        <v>9396.4137503764032</v>
      </c>
      <c r="BH96" s="1280">
        <f t="shared" ref="BH96:BH111" si="143">AVERAGE(S96:V96)</f>
        <v>9272.2206119948678</v>
      </c>
      <c r="BI96" s="1280">
        <f t="shared" ref="BI96:BI111" si="144">AVERAGE(W96:Z96)</f>
        <v>9010.3744954635113</v>
      </c>
      <c r="BJ96" s="1280">
        <f t="shared" ref="BJ96:BJ111" si="145">AVERAGE(AA96:AD96)</f>
        <v>9083.9221215187918</v>
      </c>
      <c r="BK96" s="1280">
        <f t="shared" ref="BK96:BK111" si="146">AVERAGE(AE96:AH96)</f>
        <v>10512.318338889934</v>
      </c>
      <c r="BL96" s="1280">
        <f t="shared" ref="BL96:BL111" si="147">AVERAGE(AI96:AL96)</f>
        <v>9400.7211267376679</v>
      </c>
      <c r="BM96" s="1280">
        <f t="shared" ref="BM96:BM111" si="148">AVERAGE(AM96:AP96)</f>
        <v>9197.731451263222</v>
      </c>
      <c r="BN96" s="1280">
        <f t="shared" ref="BN96:BN111" si="149">AVERAGE(AQ96:AT96)</f>
        <v>11350.057662010147</v>
      </c>
      <c r="BO96" s="1280">
        <f t="shared" ref="BO96:BO111" si="150">AVERAGE(AU96:AX96)</f>
        <v>11133.278913146098</v>
      </c>
      <c r="BP96" s="1280">
        <f t="shared" ref="BP96:BP111" si="151">AVERAGE(AY96:BB96)</f>
        <v>10843.108602869177</v>
      </c>
      <c r="BQ96" s="1114"/>
      <c r="BR96" s="1115"/>
      <c r="BU96" s="1087"/>
      <c r="BV96" s="1511"/>
      <c r="BW96" s="1534" t="s">
        <v>969</v>
      </c>
      <c r="BX96" s="1536">
        <v>1.1000000000000001</v>
      </c>
      <c r="BY96" s="1401">
        <f>BX95*BX96</f>
        <v>0</v>
      </c>
      <c r="BZ96" s="1511"/>
      <c r="CA96" s="1511"/>
      <c r="CB96" s="1511"/>
      <c r="CC96" s="1511"/>
      <c r="CD96" s="1511"/>
      <c r="CE96" s="1511"/>
      <c r="CF96" s="1511"/>
      <c r="CG96" s="1511"/>
      <c r="CH96" s="1511"/>
      <c r="CI96" s="1511"/>
      <c r="CJ96" s="1511"/>
      <c r="CK96" s="1511"/>
      <c r="CL96" s="1511"/>
      <c r="CM96" s="1511"/>
      <c r="CN96" s="1511"/>
      <c r="CO96" s="1511"/>
      <c r="CP96" s="1511"/>
      <c r="CQ96" s="1511"/>
      <c r="CR96" s="1511"/>
      <c r="CS96" s="1511"/>
      <c r="CT96" s="1511"/>
      <c r="CU96" s="1511"/>
      <c r="CV96" s="1511"/>
    </row>
    <row r="97" spans="1:100" ht="12.75" customHeight="1">
      <c r="A97" s="1088"/>
      <c r="B97" s="1089"/>
      <c r="C97" s="1370" t="s">
        <v>517</v>
      </c>
      <c r="D97" s="1370"/>
      <c r="E97" s="1370"/>
      <c r="F97" s="1369"/>
      <c r="G97" s="1397">
        <f t="shared" si="135"/>
        <v>5088.54736817501</v>
      </c>
      <c r="H97" s="1385">
        <f t="shared" si="135"/>
        <v>7028.1794383085698</v>
      </c>
      <c r="I97" s="1385">
        <f t="shared" si="135"/>
        <v>8292.7749177879778</v>
      </c>
      <c r="J97" s="1398">
        <f t="shared" si="135"/>
        <v>6485.8213553112255</v>
      </c>
      <c r="K97" s="1397">
        <f t="shared" si="136"/>
        <v>6023.4534353193767</v>
      </c>
      <c r="L97" s="1385">
        <f t="shared" si="136"/>
        <v>6697.9018560678951</v>
      </c>
      <c r="M97" s="1385">
        <f t="shared" si="136"/>
        <v>7684.5603729599397</v>
      </c>
      <c r="N97" s="1398">
        <f t="shared" si="136"/>
        <v>7744.4976746612501</v>
      </c>
      <c r="O97" s="1397">
        <f t="shared" si="137"/>
        <v>8639.8374439110084</v>
      </c>
      <c r="P97" s="1385">
        <f t="shared" si="137"/>
        <v>8438.5265301215695</v>
      </c>
      <c r="Q97" s="1385">
        <f t="shared" si="137"/>
        <v>8950.6358841748479</v>
      </c>
      <c r="R97" s="1385">
        <f t="shared" si="137"/>
        <v>8360.5518128974873</v>
      </c>
      <c r="S97" s="1153">
        <f t="shared" si="139"/>
        <v>8283.8886860413586</v>
      </c>
      <c r="T97" s="1154">
        <f t="shared" si="139"/>
        <v>6843.1719383213203</v>
      </c>
      <c r="U97" s="1154">
        <f t="shared" si="139"/>
        <v>7359.8377490323146</v>
      </c>
      <c r="V97" s="1155">
        <f t="shared" si="139"/>
        <v>7354.2240723278701</v>
      </c>
      <c r="W97" s="1154">
        <f t="shared" si="139"/>
        <v>5887.49512865822</v>
      </c>
      <c r="X97" s="1154">
        <f t="shared" si="139"/>
        <v>7342.5870896590586</v>
      </c>
      <c r="Y97" s="1154">
        <f t="shared" si="139"/>
        <v>9428.2420655372098</v>
      </c>
      <c r="Z97" s="1155">
        <f t="shared" si="139"/>
        <v>7903.1028409842911</v>
      </c>
      <c r="AA97" s="1154">
        <f t="shared" si="139"/>
        <v>5838.4228171684554</v>
      </c>
      <c r="AB97" s="1154">
        <f t="shared" si="139"/>
        <v>11231.838014387387</v>
      </c>
      <c r="AC97" s="1154">
        <f t="shared" si="139"/>
        <v>14895.865292939685</v>
      </c>
      <c r="AD97" s="1155">
        <f t="shared" si="139"/>
        <v>11088.680104153016</v>
      </c>
      <c r="AE97" s="1154">
        <f t="shared" si="139"/>
        <v>7430.0572431015753</v>
      </c>
      <c r="AF97" s="1154">
        <f t="shared" si="139"/>
        <v>9854.2125554743252</v>
      </c>
      <c r="AG97" s="1154">
        <f t="shared" si="139"/>
        <v>14312.880773121604</v>
      </c>
      <c r="AH97" s="1155">
        <f t="shared" si="139"/>
        <v>7721.1693236924348</v>
      </c>
      <c r="AI97" s="1154">
        <f t="shared" si="138"/>
        <v>6476.9106982314634</v>
      </c>
      <c r="AJ97" s="1154">
        <f t="shared" si="138"/>
        <v>5766.6546578633643</v>
      </c>
      <c r="AK97" s="1154">
        <f t="shared" si="138"/>
        <v>9936.1248110884608</v>
      </c>
      <c r="AL97" s="1155">
        <f t="shared" si="138"/>
        <v>7145.8747184646672</v>
      </c>
      <c r="AM97" s="1154">
        <f t="shared" si="138"/>
        <v>4993.9723459738043</v>
      </c>
      <c r="AN97" s="1154">
        <f t="shared" si="138"/>
        <v>14859.377349977438</v>
      </c>
      <c r="AO97" s="1154">
        <f t="shared" si="138"/>
        <v>13198.198198198197</v>
      </c>
      <c r="AP97" s="1155">
        <f t="shared" si="138"/>
        <v>12321.539416511485</v>
      </c>
      <c r="AQ97" s="1154">
        <f t="shared" si="138"/>
        <v>13766.147964572425</v>
      </c>
      <c r="AR97" s="1154">
        <f t="shared" si="138"/>
        <v>17987.083179969206</v>
      </c>
      <c r="AS97" s="1154">
        <f t="shared" si="138"/>
        <v>15264.015012002199</v>
      </c>
      <c r="AT97" s="1155">
        <f t="shared" si="138"/>
        <v>6334.5447057720257</v>
      </c>
      <c r="AU97" s="1154">
        <f t="shared" si="133"/>
        <v>13835.817936941603</v>
      </c>
      <c r="AV97" s="1154">
        <f t="shared" si="133"/>
        <v>18078.115151394733</v>
      </c>
      <c r="AW97" s="1154">
        <f t="shared" si="133"/>
        <v>15341.265634824622</v>
      </c>
      <c r="AX97" s="1155">
        <f t="shared" si="133"/>
        <v>6366.603605310097</v>
      </c>
      <c r="AY97" s="1154">
        <f t="shared" si="133"/>
        <v>13642.039241588413</v>
      </c>
      <c r="AZ97" s="1154">
        <f t="shared" si="133"/>
        <v>17824.920610642024</v>
      </c>
      <c r="BA97" s="1154">
        <f t="shared" si="133"/>
        <v>15126.402266910129</v>
      </c>
      <c r="BB97" s="1155">
        <f t="shared" si="133"/>
        <v>6277.4356106103478</v>
      </c>
      <c r="BC97" s="1156"/>
      <c r="BD97" s="1156"/>
      <c r="BE97" s="1280">
        <f t="shared" si="140"/>
        <v>6723.830769895696</v>
      </c>
      <c r="BF97" s="1280">
        <f t="shared" si="141"/>
        <v>7037.6033347521152</v>
      </c>
      <c r="BG97" s="1280">
        <f t="shared" si="142"/>
        <v>8597.3879177762283</v>
      </c>
      <c r="BH97" s="1280">
        <f t="shared" si="143"/>
        <v>7460.2806114307159</v>
      </c>
      <c r="BI97" s="1280">
        <f t="shared" si="144"/>
        <v>7640.3567812096953</v>
      </c>
      <c r="BJ97" s="1280">
        <f t="shared" si="145"/>
        <v>10763.701557162136</v>
      </c>
      <c r="BK97" s="1280">
        <f t="shared" si="146"/>
        <v>9829.5799738474852</v>
      </c>
      <c r="BL97" s="1280">
        <f t="shared" si="147"/>
        <v>7331.3912214119891</v>
      </c>
      <c r="BM97" s="1280">
        <f t="shared" si="148"/>
        <v>11343.27182766523</v>
      </c>
      <c r="BN97" s="1280">
        <f t="shared" si="149"/>
        <v>13337.947715578963</v>
      </c>
      <c r="BO97" s="1280">
        <f t="shared" si="150"/>
        <v>13405.450582117764</v>
      </c>
      <c r="BP97" s="1280">
        <f t="shared" si="151"/>
        <v>13217.69943243773</v>
      </c>
      <c r="BQ97" s="1114"/>
      <c r="BR97" s="1115"/>
      <c r="BU97" s="1087"/>
      <c r="BV97" s="1511"/>
      <c r="BW97" s="1534" t="s">
        <v>970</v>
      </c>
      <c r="BX97" s="1536">
        <v>0.5</v>
      </c>
      <c r="BY97" s="1401">
        <f>BX97*BX95</f>
        <v>0</v>
      </c>
      <c r="BZ97" s="1511"/>
      <c r="CA97" s="1511"/>
      <c r="CB97" s="1511"/>
      <c r="CC97" s="1511"/>
      <c r="CD97" s="1511"/>
      <c r="CE97" s="1511"/>
      <c r="CF97" s="1511"/>
      <c r="CG97" s="1511"/>
      <c r="CH97" s="1511"/>
      <c r="CI97" s="1511"/>
      <c r="CJ97" s="1511"/>
      <c r="CK97" s="1511"/>
      <c r="CL97" s="1511"/>
      <c r="CM97" s="1511"/>
      <c r="CN97" s="1511"/>
      <c r="CO97" s="1511"/>
      <c r="CP97" s="1511"/>
      <c r="CQ97" s="1511"/>
      <c r="CR97" s="1511"/>
      <c r="CS97" s="1511"/>
      <c r="CT97" s="1511"/>
      <c r="CU97" s="1511"/>
      <c r="CV97" s="1511"/>
    </row>
    <row r="98" spans="1:100" ht="12.75" customHeight="1">
      <c r="A98" s="1088"/>
      <c r="B98" s="1089"/>
      <c r="C98" s="1370" t="s">
        <v>515</v>
      </c>
      <c r="D98" s="1370"/>
      <c r="E98" s="1370"/>
      <c r="F98" s="1369"/>
      <c r="G98" s="1397">
        <f t="shared" si="135"/>
        <v>6606.7874609416886</v>
      </c>
      <c r="H98" s="1385">
        <f t="shared" si="135"/>
        <v>8306.5809607562096</v>
      </c>
      <c r="I98" s="1385">
        <f t="shared" si="135"/>
        <v>9423.2283467435736</v>
      </c>
      <c r="J98" s="1398">
        <f t="shared" si="135"/>
        <v>7028.9542841002922</v>
      </c>
      <c r="K98" s="1397">
        <f t="shared" si="136"/>
        <v>7074.1943976919974</v>
      </c>
      <c r="L98" s="1385">
        <f t="shared" si="136"/>
        <v>7547.8657501188482</v>
      </c>
      <c r="M98" s="1385">
        <f t="shared" si="136"/>
        <v>8439.3885162200022</v>
      </c>
      <c r="N98" s="1398">
        <f t="shared" si="136"/>
        <v>8268.6653113423945</v>
      </c>
      <c r="O98" s="1397">
        <f t="shared" si="137"/>
        <v>8437.495171565226</v>
      </c>
      <c r="P98" s="1385">
        <f t="shared" si="137"/>
        <v>8970.6692026012824</v>
      </c>
      <c r="Q98" s="1385">
        <f t="shared" si="137"/>
        <v>10076.119613780258</v>
      </c>
      <c r="R98" s="1385">
        <f t="shared" si="137"/>
        <v>9230.9471653996989</v>
      </c>
      <c r="S98" s="1153">
        <f t="shared" si="139"/>
        <v>7249.062381710246</v>
      </c>
      <c r="T98" s="1154">
        <f t="shared" si="139"/>
        <v>7720.0856088085848</v>
      </c>
      <c r="U98" s="1154">
        <f t="shared" si="139"/>
        <v>8293.4171259897885</v>
      </c>
      <c r="V98" s="1155">
        <f t="shared" si="139"/>
        <v>8457.6272733481783</v>
      </c>
      <c r="W98" s="1154">
        <f t="shared" si="139"/>
        <v>6117.7451995103747</v>
      </c>
      <c r="X98" s="1154">
        <f t="shared" si="139"/>
        <v>8147.412648795138</v>
      </c>
      <c r="Y98" s="1154">
        <f t="shared" si="139"/>
        <v>9952.2595955805282</v>
      </c>
      <c r="Z98" s="1155">
        <f t="shared" si="139"/>
        <v>8215.7123443567598</v>
      </c>
      <c r="AA98" s="1154">
        <f t="shared" si="139"/>
        <v>6590.0424387770508</v>
      </c>
      <c r="AB98" s="1154">
        <f t="shared" si="139"/>
        <v>7771.3067261298047</v>
      </c>
      <c r="AC98" s="1154">
        <f t="shared" si="139"/>
        <v>9737.8690075852119</v>
      </c>
      <c r="AD98" s="1155">
        <f t="shared" si="139"/>
        <v>9049.3951916015685</v>
      </c>
      <c r="AE98" s="1154">
        <f t="shared" si="139"/>
        <v>8212.0800442138498</v>
      </c>
      <c r="AF98" s="1154">
        <f t="shared" si="139"/>
        <v>11384.80330532701</v>
      </c>
      <c r="AG98" s="1154">
        <f t="shared" si="139"/>
        <v>11578.755646993332</v>
      </c>
      <c r="AH98" s="1155">
        <f t="shared" si="139"/>
        <v>9606.9455878853478</v>
      </c>
      <c r="AI98" s="1154">
        <f t="shared" si="138"/>
        <v>8859.0498337299687</v>
      </c>
      <c r="AJ98" s="1154">
        <f t="shared" si="138"/>
        <v>7917.1918496624576</v>
      </c>
      <c r="AK98" s="1154">
        <f t="shared" si="138"/>
        <v>7966.5045898410899</v>
      </c>
      <c r="AL98" s="1155">
        <f t="shared" si="138"/>
        <v>8139.7228227011701</v>
      </c>
      <c r="AM98" s="1154">
        <f t="shared" si="138"/>
        <v>5720.6374459995504</v>
      </c>
      <c r="AN98" s="1154">
        <f t="shared" si="138"/>
        <v>15353.697749196142</v>
      </c>
      <c r="AO98" s="1154">
        <f t="shared" si="138"/>
        <v>13013.972055888224</v>
      </c>
      <c r="AP98" s="1155">
        <f t="shared" si="138"/>
        <v>13234.828496042217</v>
      </c>
      <c r="AQ98" s="1154">
        <f t="shared" si="138"/>
        <v>14914.155984907466</v>
      </c>
      <c r="AR98" s="1154">
        <f t="shared" si="138"/>
        <v>20592.143562519603</v>
      </c>
      <c r="AS98" s="1154">
        <f t="shared" si="138"/>
        <v>17789.229705526392</v>
      </c>
      <c r="AT98" s="1155">
        <f t="shared" si="138"/>
        <v>6358.814301275911</v>
      </c>
      <c r="AU98" s="1154">
        <f t="shared" si="138"/>
        <v>14783.03187245478</v>
      </c>
      <c r="AV98" s="1154">
        <f t="shared" si="138"/>
        <v>20411.099019947695</v>
      </c>
      <c r="AW98" s="1154">
        <f t="shared" si="138"/>
        <v>17632.828166028303</v>
      </c>
      <c r="AX98" s="1155">
        <f t="shared" si="138"/>
        <v>6302.9080949609152</v>
      </c>
      <c r="AY98" s="1154">
        <f t="shared" ref="AY98:BB99" si="152">IF(ISBLANK(AY241),"",AY241)</f>
        <v>14415.982411492447</v>
      </c>
      <c r="AZ98" s="1154">
        <f t="shared" si="152"/>
        <v>19904.309684880362</v>
      </c>
      <c r="BA98" s="1154">
        <f t="shared" si="152"/>
        <v>17195.020811662678</v>
      </c>
      <c r="BB98" s="1155">
        <f t="shared" si="152"/>
        <v>6146.4125236389573</v>
      </c>
      <c r="BC98" s="1156"/>
      <c r="BD98" s="1156"/>
      <c r="BE98" s="1280">
        <f t="shared" si="140"/>
        <v>7841.3877631354408</v>
      </c>
      <c r="BF98" s="1280">
        <f t="shared" si="141"/>
        <v>7832.5284938433106</v>
      </c>
      <c r="BG98" s="1280">
        <f t="shared" si="142"/>
        <v>9178.8077883366168</v>
      </c>
      <c r="BH98" s="1280">
        <f t="shared" si="143"/>
        <v>7930.0480974641996</v>
      </c>
      <c r="BI98" s="1280">
        <f t="shared" si="144"/>
        <v>8108.2824470607011</v>
      </c>
      <c r="BJ98" s="1280">
        <f t="shared" si="145"/>
        <v>8287.1533410234078</v>
      </c>
      <c r="BK98" s="1280">
        <f t="shared" si="146"/>
        <v>10195.646146104886</v>
      </c>
      <c r="BL98" s="1280">
        <f t="shared" si="147"/>
        <v>8220.6172739836711</v>
      </c>
      <c r="BM98" s="1280">
        <f t="shared" si="148"/>
        <v>11830.783936781534</v>
      </c>
      <c r="BN98" s="1280">
        <f t="shared" si="149"/>
        <v>14913.585888557343</v>
      </c>
      <c r="BO98" s="1280">
        <f t="shared" si="150"/>
        <v>14782.466788347923</v>
      </c>
      <c r="BP98" s="1280">
        <f t="shared" si="151"/>
        <v>14415.431357918611</v>
      </c>
      <c r="BQ98" s="1114"/>
      <c r="BR98" s="1115"/>
      <c r="BU98" s="1087"/>
      <c r="BV98" s="1511"/>
      <c r="BW98" s="1537" t="s">
        <v>959</v>
      </c>
      <c r="BX98" s="1538">
        <f t="shared" ref="BX98:CE98" si="153">BY98-0.25</f>
        <v>0</v>
      </c>
      <c r="BY98" s="1538">
        <f t="shared" si="153"/>
        <v>0.25</v>
      </c>
      <c r="BZ98" s="1538">
        <f t="shared" si="153"/>
        <v>0.5</v>
      </c>
      <c r="CA98" s="1538">
        <f t="shared" si="153"/>
        <v>0.75</v>
      </c>
      <c r="CB98" s="1538">
        <f t="shared" si="153"/>
        <v>1</v>
      </c>
      <c r="CC98" s="1538">
        <f t="shared" si="153"/>
        <v>1.25</v>
      </c>
      <c r="CD98" s="1538">
        <f t="shared" si="153"/>
        <v>1.5</v>
      </c>
      <c r="CE98" s="1538">
        <f t="shared" si="153"/>
        <v>1.75</v>
      </c>
      <c r="CF98" s="1538">
        <v>2</v>
      </c>
      <c r="CG98" s="1538">
        <f t="shared" ref="CG98:CV98" si="154">CF98+0.25</f>
        <v>2.25</v>
      </c>
      <c r="CH98" s="1538">
        <f t="shared" si="154"/>
        <v>2.5</v>
      </c>
      <c r="CI98" s="1538">
        <f t="shared" si="154"/>
        <v>2.75</v>
      </c>
      <c r="CJ98" s="1538">
        <f t="shared" si="154"/>
        <v>3</v>
      </c>
      <c r="CK98" s="1538">
        <f t="shared" si="154"/>
        <v>3.25</v>
      </c>
      <c r="CL98" s="1538">
        <f t="shared" si="154"/>
        <v>3.5</v>
      </c>
      <c r="CM98" s="1538">
        <f t="shared" si="154"/>
        <v>3.75</v>
      </c>
      <c r="CN98" s="1538">
        <f t="shared" si="154"/>
        <v>4</v>
      </c>
      <c r="CO98" s="1538">
        <f t="shared" si="154"/>
        <v>4.25</v>
      </c>
      <c r="CP98" s="1538">
        <f t="shared" si="154"/>
        <v>4.5</v>
      </c>
      <c r="CQ98" s="1538">
        <f t="shared" si="154"/>
        <v>4.75</v>
      </c>
      <c r="CR98" s="1538">
        <f t="shared" si="154"/>
        <v>5</v>
      </c>
      <c r="CS98" s="1538">
        <f t="shared" si="154"/>
        <v>5.25</v>
      </c>
      <c r="CT98" s="1538">
        <f t="shared" si="154"/>
        <v>5.5</v>
      </c>
      <c r="CU98" s="1538">
        <f t="shared" si="154"/>
        <v>5.75</v>
      </c>
      <c r="CV98" s="1538">
        <f t="shared" si="154"/>
        <v>6</v>
      </c>
    </row>
    <row r="99" spans="1:100" ht="12.75" customHeight="1">
      <c r="A99" s="1088"/>
      <c r="B99" s="1089"/>
      <c r="C99" s="1370" t="s">
        <v>516</v>
      </c>
      <c r="D99" s="1370"/>
      <c r="E99" s="1370"/>
      <c r="F99" s="1369"/>
      <c r="G99" s="1397">
        <f t="shared" si="135"/>
        <v>6748.7681006218027</v>
      </c>
      <c r="H99" s="1385">
        <f t="shared" si="135"/>
        <v>8884.2082613828734</v>
      </c>
      <c r="I99" s="1385">
        <f t="shared" si="135"/>
        <v>10083.180834408246</v>
      </c>
      <c r="J99" s="1398">
        <f t="shared" si="135"/>
        <v>7087.3029977862207</v>
      </c>
      <c r="K99" s="1397">
        <f t="shared" si="136"/>
        <v>7340.2263410942887</v>
      </c>
      <c r="L99" s="1385">
        <f t="shared" si="136"/>
        <v>7798.9509690638888</v>
      </c>
      <c r="M99" s="1385">
        <f t="shared" si="136"/>
        <v>8927.1882569122845</v>
      </c>
      <c r="N99" s="1398">
        <f t="shared" si="136"/>
        <v>8345.6002027089799</v>
      </c>
      <c r="O99" s="1397">
        <f t="shared" si="137"/>
        <v>8645.3846646133316</v>
      </c>
      <c r="P99" s="1385">
        <f t="shared" si="137"/>
        <v>9156.0025011957878</v>
      </c>
      <c r="Q99" s="1385">
        <f t="shared" si="137"/>
        <v>10477.185224637948</v>
      </c>
      <c r="R99" s="1385">
        <f t="shared" si="137"/>
        <v>9423.1828285744832</v>
      </c>
      <c r="S99" s="1153">
        <f t="shared" si="139"/>
        <v>7423.784925032689</v>
      </c>
      <c r="T99" s="1154">
        <f t="shared" si="139"/>
        <v>7850.7305463093289</v>
      </c>
      <c r="U99" s="1154">
        <f t="shared" si="139"/>
        <v>8892.078482518069</v>
      </c>
      <c r="V99" s="1155">
        <f t="shared" si="139"/>
        <v>8316.9515771291517</v>
      </c>
      <c r="W99" s="1154">
        <f t="shared" si="139"/>
        <v>6133.6490987913385</v>
      </c>
      <c r="X99" s="1154">
        <f t="shared" si="139"/>
        <v>8213.4148493595476</v>
      </c>
      <c r="Y99" s="1154">
        <f t="shared" si="139"/>
        <v>10122.829083489969</v>
      </c>
      <c r="Z99" s="1155">
        <f t="shared" si="139"/>
        <v>8243.0500509012982</v>
      </c>
      <c r="AA99" s="1154">
        <f t="shared" si="139"/>
        <v>6629.8219138086515</v>
      </c>
      <c r="AB99" s="1154">
        <f t="shared" si="139"/>
        <v>7973.4326856799471</v>
      </c>
      <c r="AC99" s="1154">
        <f t="shared" si="139"/>
        <v>10477.845810963989</v>
      </c>
      <c r="AD99" s="1155">
        <f t="shared" si="139"/>
        <v>9160.039878142039</v>
      </c>
      <c r="AE99" s="1154">
        <f t="shared" si="139"/>
        <v>8558.8324115569685</v>
      </c>
      <c r="AF99" s="1154">
        <f t="shared" si="139"/>
        <v>12102.625348797468</v>
      </c>
      <c r="AG99" s="1154">
        <f t="shared" si="139"/>
        <v>12591.843997641919</v>
      </c>
      <c r="AH99" s="1155">
        <f t="shared" si="139"/>
        <v>9646.0234098480669</v>
      </c>
      <c r="AI99" s="1154">
        <f t="shared" si="138"/>
        <v>8902.6133060085667</v>
      </c>
      <c r="AJ99" s="1154">
        <f t="shared" si="138"/>
        <v>8502.4785656129588</v>
      </c>
      <c r="AK99" s="1154">
        <f t="shared" si="138"/>
        <v>8317.9199339646766</v>
      </c>
      <c r="AL99" s="1155">
        <f t="shared" si="138"/>
        <v>8247.7510387057664</v>
      </c>
      <c r="AM99" s="1154">
        <f t="shared" si="138"/>
        <v>6014.3501087297491</v>
      </c>
      <c r="AN99" s="1154">
        <f t="shared" si="138"/>
        <v>16016.881028938908</v>
      </c>
      <c r="AO99" s="1154">
        <f t="shared" si="138"/>
        <v>13685.961410512306</v>
      </c>
      <c r="AP99" s="1155">
        <f t="shared" si="138"/>
        <v>13635.883905013192</v>
      </c>
      <c r="AQ99" s="1154">
        <f t="shared" si="138"/>
        <v>15581.860761896291</v>
      </c>
      <c r="AR99" s="1154">
        <f t="shared" si="138"/>
        <v>21684.767581360513</v>
      </c>
      <c r="AS99" s="1154">
        <f t="shared" si="138"/>
        <v>18977.134817803846</v>
      </c>
      <c r="AT99" s="1155">
        <f t="shared" si="138"/>
        <v>6534.6362240548142</v>
      </c>
      <c r="AU99" s="1154">
        <f t="shared" si="138"/>
        <v>15474.866268858676</v>
      </c>
      <c r="AV99" s="1154">
        <f t="shared" si="138"/>
        <v>21535.866833917054</v>
      </c>
      <c r="AW99" s="1154">
        <f t="shared" si="138"/>
        <v>18846.826316774066</v>
      </c>
      <c r="AX99" s="1155">
        <f t="shared" si="138"/>
        <v>6489.7654540831209</v>
      </c>
      <c r="AY99" s="1154">
        <f t="shared" si="152"/>
        <v>15153.832115448648</v>
      </c>
      <c r="AZ99" s="1154">
        <f t="shared" si="152"/>
        <v>21089.09406981953</v>
      </c>
      <c r="BA99" s="1154">
        <f t="shared" si="152"/>
        <v>18455.83909750179</v>
      </c>
      <c r="BB99" s="1155">
        <f t="shared" si="152"/>
        <v>6355.1318926562371</v>
      </c>
      <c r="BC99" s="1156"/>
      <c r="BD99" s="1156"/>
      <c r="BE99" s="1280">
        <f t="shared" si="140"/>
        <v>8200.8650485497856</v>
      </c>
      <c r="BF99" s="1280">
        <f t="shared" si="141"/>
        <v>8102.9914424448598</v>
      </c>
      <c r="BG99" s="1280">
        <f t="shared" si="142"/>
        <v>9425.4388047553875</v>
      </c>
      <c r="BH99" s="1280">
        <f t="shared" si="143"/>
        <v>8120.8863827473097</v>
      </c>
      <c r="BI99" s="1280">
        <f t="shared" si="144"/>
        <v>8178.2357706355378</v>
      </c>
      <c r="BJ99" s="1280">
        <f t="shared" si="145"/>
        <v>8560.2850721486557</v>
      </c>
      <c r="BK99" s="1280">
        <f t="shared" si="146"/>
        <v>10724.831291961105</v>
      </c>
      <c r="BL99" s="1280">
        <f t="shared" si="147"/>
        <v>8492.6907110729917</v>
      </c>
      <c r="BM99" s="1280">
        <f t="shared" si="148"/>
        <v>12338.269113298538</v>
      </c>
      <c r="BN99" s="1280">
        <f t="shared" si="149"/>
        <v>15694.599846278865</v>
      </c>
      <c r="BO99" s="1280">
        <f t="shared" si="150"/>
        <v>15586.83121840823</v>
      </c>
      <c r="BP99" s="1280">
        <f t="shared" si="151"/>
        <v>15263.474293856552</v>
      </c>
      <c r="BQ99" s="1114"/>
      <c r="BR99" s="1115"/>
      <c r="BU99" s="1087"/>
      <c r="BV99" s="1511"/>
      <c r="BW99" s="1514" t="s">
        <v>971</v>
      </c>
      <c r="BX99" s="1515">
        <v>0.35</v>
      </c>
      <c r="BY99" s="1515">
        <v>0.35</v>
      </c>
      <c r="BZ99" s="1515">
        <v>0.35</v>
      </c>
      <c r="CA99" s="1515">
        <v>0.35</v>
      </c>
      <c r="CB99" s="1515">
        <v>0.35</v>
      </c>
      <c r="CC99" s="1515">
        <v>0.35</v>
      </c>
      <c r="CD99" s="1515">
        <v>0.35</v>
      </c>
      <c r="CE99" s="1515">
        <v>0.4</v>
      </c>
      <c r="CF99" s="1515">
        <v>0.45</v>
      </c>
      <c r="CG99" s="1515">
        <v>0.5</v>
      </c>
      <c r="CH99" s="1515">
        <v>0.55000000000000004</v>
      </c>
      <c r="CI99" s="1515">
        <v>0.65</v>
      </c>
      <c r="CJ99" s="1515">
        <v>0.7</v>
      </c>
      <c r="CK99" s="1515">
        <v>0.75</v>
      </c>
      <c r="CL99" s="1515">
        <v>0.75</v>
      </c>
      <c r="CM99" s="1515">
        <v>0.75</v>
      </c>
      <c r="CN99" s="1515">
        <v>0.75</v>
      </c>
      <c r="CO99" s="1515">
        <v>0.75</v>
      </c>
      <c r="CP99" s="1515">
        <v>0.75</v>
      </c>
      <c r="CQ99" s="1515">
        <v>0.75</v>
      </c>
      <c r="CR99" s="1515">
        <v>0.75</v>
      </c>
      <c r="CS99" s="1515">
        <v>0.75</v>
      </c>
      <c r="CT99" s="1515">
        <v>0.75</v>
      </c>
      <c r="CU99" s="1515">
        <v>0.75</v>
      </c>
      <c r="CV99" s="1515">
        <v>0.75</v>
      </c>
    </row>
    <row r="100" spans="1:100" ht="12.75" customHeight="1">
      <c r="A100" s="1088"/>
      <c r="B100" s="1089"/>
      <c r="C100" s="1370" t="s">
        <v>512</v>
      </c>
      <c r="D100" s="1370"/>
      <c r="E100" s="1370"/>
      <c r="F100" s="1369"/>
      <c r="G100" s="1397">
        <f t="shared" ref="G100:J102" si="155">IF(ISBLANK(G243),"",G243)</f>
        <v>6557.38700888317</v>
      </c>
      <c r="H100" s="1385">
        <f t="shared" si="155"/>
        <v>7054.57307272854</v>
      </c>
      <c r="I100" s="1385">
        <f t="shared" si="155"/>
        <v>8131.2298382658046</v>
      </c>
      <c r="J100" s="1398">
        <f t="shared" si="155"/>
        <v>7228.7968443687932</v>
      </c>
      <c r="K100" s="1397">
        <f t="shared" ref="K100:N102" si="156">IF(ISBLANK(K243),"",K243)</f>
        <v>6878.6075683160079</v>
      </c>
      <c r="L100" s="1385">
        <f t="shared" si="156"/>
        <v>7284.5320546195644</v>
      </c>
      <c r="M100" s="1385">
        <f t="shared" si="156"/>
        <v>7779.5784938790375</v>
      </c>
      <c r="N100" s="1398">
        <f t="shared" si="156"/>
        <v>8695.2045434184238</v>
      </c>
      <c r="O100" s="1397">
        <f t="shared" ref="O100:R102" si="157">IF(ISBLANK(O243),"",O243)</f>
        <v>9841.700334411802</v>
      </c>
      <c r="P100" s="1385">
        <f t="shared" si="157"/>
        <v>9039.2719380663311</v>
      </c>
      <c r="Q100" s="1385">
        <f t="shared" si="157"/>
        <v>8835.1893477360536</v>
      </c>
      <c r="R100" s="1385">
        <f t="shared" si="157"/>
        <v>8429.9253921288018</v>
      </c>
      <c r="S100" s="1153">
        <f t="shared" si="139"/>
        <v>7789.8114136442509</v>
      </c>
      <c r="T100" s="1154">
        <f t="shared" si="139"/>
        <v>7147.248796830625</v>
      </c>
      <c r="U100" s="1154">
        <f t="shared" si="139"/>
        <v>8031.1736003835267</v>
      </c>
      <c r="V100" s="1155">
        <f t="shared" si="139"/>
        <v>7795.107694833674</v>
      </c>
      <c r="W100" s="1154">
        <f t="shared" si="139"/>
        <v>6166.530696296164</v>
      </c>
      <c r="X100" s="1154">
        <f t="shared" si="139"/>
        <v>8263.5632022788723</v>
      </c>
      <c r="Y100" s="1154">
        <f t="shared" si="139"/>
        <v>10837.129084616699</v>
      </c>
      <c r="Z100" s="1155">
        <f t="shared" si="139"/>
        <v>10859.130824743526</v>
      </c>
      <c r="AA100" s="1154">
        <f t="shared" si="139"/>
        <v>6858.1083928038697</v>
      </c>
      <c r="AB100" s="1154">
        <f t="shared" si="139"/>
        <v>15422.985685691838</v>
      </c>
      <c r="AC100" s="1154">
        <f t="shared" si="139"/>
        <v>16917.689223633119</v>
      </c>
      <c r="AD100" s="1155">
        <f t="shared" si="139"/>
        <v>17146.191788467313</v>
      </c>
      <c r="AE100" s="1154">
        <f t="shared" si="139"/>
        <v>13082.44971352325</v>
      </c>
      <c r="AF100" s="1154">
        <f t="shared" si="139"/>
        <v>13437.831424583155</v>
      </c>
      <c r="AG100" s="1154">
        <f t="shared" si="139"/>
        <v>16998.184607495699</v>
      </c>
      <c r="AH100" s="1155">
        <f t="shared" si="139"/>
        <v>11310.225430871806</v>
      </c>
      <c r="AI100" s="1154">
        <f t="shared" si="138"/>
        <v>9046.2979187077945</v>
      </c>
      <c r="AJ100" s="1154">
        <f t="shared" si="138"/>
        <v>8797.2641070890259</v>
      </c>
      <c r="AK100" s="1154">
        <f t="shared" si="138"/>
        <v>12592.415236425988</v>
      </c>
      <c r="AL100" s="1155">
        <f t="shared" si="138"/>
        <v>10428.152314932511</v>
      </c>
      <c r="AM100" s="1154">
        <f t="shared" si="138"/>
        <v>6682.4698912828535</v>
      </c>
      <c r="AN100" s="1154">
        <f t="shared" si="138"/>
        <v>11257.331929613474</v>
      </c>
      <c r="AO100" s="1154">
        <f t="shared" si="138"/>
        <v>11163.663663663663</v>
      </c>
      <c r="AP100" s="1155">
        <f t="shared" si="138"/>
        <v>9565.4872749844817</v>
      </c>
      <c r="AQ100" s="1154">
        <f t="shared" si="138"/>
        <v>8968.4071460360283</v>
      </c>
      <c r="AR100" s="1154">
        <f t="shared" si="138"/>
        <v>11591.660811253709</v>
      </c>
      <c r="AS100" s="1154">
        <f t="shared" si="138"/>
        <v>11437.093284386061</v>
      </c>
      <c r="AT100" s="1155">
        <f t="shared" si="138"/>
        <v>8324.117177218186</v>
      </c>
      <c r="AU100" s="1154">
        <f t="shared" si="138"/>
        <v>9005.6896599988304</v>
      </c>
      <c r="AV100" s="1154">
        <f t="shared" si="138"/>
        <v>11639.848437998402</v>
      </c>
      <c r="AW100" s="1154">
        <f t="shared" si="138"/>
        <v>11484.6383593504</v>
      </c>
      <c r="AX100" s="1155">
        <f t="shared" si="138"/>
        <v>8358.7213170430405</v>
      </c>
      <c r="AY100" s="1383">
        <f t="shared" ref="AY100:BB104" si="158">IF(ISBLANK(AY243),"",IF(Uplift="Yes",$BW87,AY243))</f>
        <v>10475.535039141012</v>
      </c>
      <c r="AZ100" s="1383">
        <f t="shared" si="158"/>
        <v>10475.535039141012</v>
      </c>
      <c r="BA100" s="1383">
        <f t="shared" si="158"/>
        <v>10475.535039141012</v>
      </c>
      <c r="BB100" s="1384">
        <f t="shared" si="158"/>
        <v>10475.535039141012</v>
      </c>
      <c r="BC100" s="1156"/>
      <c r="BD100" s="1156"/>
      <c r="BE100" s="1280">
        <f t="shared" si="140"/>
        <v>7242.9966910615767</v>
      </c>
      <c r="BF100" s="1280">
        <f t="shared" si="141"/>
        <v>7659.4806650582577</v>
      </c>
      <c r="BG100" s="1280">
        <f t="shared" si="142"/>
        <v>9036.5217530857462</v>
      </c>
      <c r="BH100" s="1280">
        <f t="shared" si="143"/>
        <v>7690.8353764230187</v>
      </c>
      <c r="BI100" s="1280">
        <f t="shared" si="144"/>
        <v>9031.5884519838146</v>
      </c>
      <c r="BJ100" s="1280">
        <f t="shared" si="145"/>
        <v>14086.243772649035</v>
      </c>
      <c r="BK100" s="1280">
        <f t="shared" si="146"/>
        <v>13707.172794118478</v>
      </c>
      <c r="BL100" s="1280">
        <f t="shared" si="147"/>
        <v>10216.032394288828</v>
      </c>
      <c r="BM100" s="1280">
        <f t="shared" si="148"/>
        <v>9667.2381898861167</v>
      </c>
      <c r="BN100" s="1280">
        <f t="shared" si="149"/>
        <v>10080.319604723496</v>
      </c>
      <c r="BO100" s="1280">
        <f t="shared" si="150"/>
        <v>10122.224443597668</v>
      </c>
      <c r="BP100" s="1280">
        <f t="shared" si="151"/>
        <v>10475.535039141012</v>
      </c>
      <c r="BQ100" s="1114"/>
      <c r="BR100" s="1115"/>
      <c r="BU100" s="1087"/>
      <c r="BV100" s="1511"/>
      <c r="BW100" s="1514" t="s">
        <v>512</v>
      </c>
      <c r="BX100" s="1515">
        <v>0.3</v>
      </c>
      <c r="BY100" s="1515">
        <v>0.3</v>
      </c>
      <c r="BZ100" s="1515">
        <v>0.3</v>
      </c>
      <c r="CA100" s="1515">
        <v>0.35</v>
      </c>
      <c r="CB100" s="1515">
        <v>0.35</v>
      </c>
      <c r="CC100" s="1515">
        <v>0.35</v>
      </c>
      <c r="CD100" s="1515">
        <v>0.4</v>
      </c>
      <c r="CE100" s="1515">
        <v>0.4</v>
      </c>
      <c r="CF100" s="1515">
        <v>0.4</v>
      </c>
      <c r="CG100" s="1515">
        <v>0.45</v>
      </c>
      <c r="CH100" s="1515">
        <v>0.45</v>
      </c>
      <c r="CI100" s="1515">
        <v>0.5</v>
      </c>
      <c r="CJ100" s="1515">
        <v>0.5</v>
      </c>
      <c r="CK100" s="1515">
        <v>0.5</v>
      </c>
      <c r="CL100" s="1515">
        <v>0.55000000000000004</v>
      </c>
      <c r="CM100" s="1515">
        <v>0.6</v>
      </c>
      <c r="CN100" s="1515">
        <v>0.65</v>
      </c>
      <c r="CO100" s="1515">
        <v>0.65</v>
      </c>
      <c r="CP100" s="1515">
        <v>0.65</v>
      </c>
      <c r="CQ100" s="1515">
        <v>0.65</v>
      </c>
      <c r="CR100" s="1515">
        <v>0.65</v>
      </c>
      <c r="CS100" s="1515">
        <v>0.65</v>
      </c>
      <c r="CT100" s="1515">
        <v>0.65</v>
      </c>
      <c r="CU100" s="1515">
        <v>0.65</v>
      </c>
      <c r="CV100" s="1515">
        <v>0.65</v>
      </c>
    </row>
    <row r="101" spans="1:100" ht="12.75" customHeight="1">
      <c r="A101" s="1088"/>
      <c r="B101" s="1089"/>
      <c r="C101" s="1370" t="s">
        <v>703</v>
      </c>
      <c r="D101" s="1370"/>
      <c r="E101" s="1370"/>
      <c r="F101" s="1369"/>
      <c r="G101" s="1397">
        <f t="shared" si="155"/>
        <v>7169.0554409439437</v>
      </c>
      <c r="H101" s="1385">
        <f t="shared" si="155"/>
        <v>7640.4485499059529</v>
      </c>
      <c r="I101" s="1385">
        <f t="shared" si="155"/>
        <v>9025.3869993302178</v>
      </c>
      <c r="J101" s="1398">
        <f t="shared" si="155"/>
        <v>7413.0740656652906</v>
      </c>
      <c r="K101" s="1397">
        <f t="shared" si="156"/>
        <v>7669.8052364764089</v>
      </c>
      <c r="L101" s="1385">
        <f t="shared" si="156"/>
        <v>7622.3652447041277</v>
      </c>
      <c r="M101" s="1385">
        <f t="shared" si="156"/>
        <v>8474.1679552486985</v>
      </c>
      <c r="N101" s="1398">
        <f t="shared" si="156"/>
        <v>8622.2045860397502</v>
      </c>
      <c r="O101" s="1397">
        <f t="shared" si="157"/>
        <v>10395.317989886589</v>
      </c>
      <c r="P101" s="1385">
        <f t="shared" si="157"/>
        <v>8857.6301713450721</v>
      </c>
      <c r="Q101" s="1385">
        <f t="shared" si="157"/>
        <v>9886.5109657382072</v>
      </c>
      <c r="R101" s="1385">
        <f t="shared" si="157"/>
        <v>8860.9682958716039</v>
      </c>
      <c r="S101" s="1153">
        <f t="shared" si="139"/>
        <v>8039.5762260747151</v>
      </c>
      <c r="T101" s="1154">
        <f t="shared" si="139"/>
        <v>7560.6867566728806</v>
      </c>
      <c r="U101" s="1154">
        <f t="shared" si="139"/>
        <v>8465.7345865797197</v>
      </c>
      <c r="V101" s="1155">
        <f t="shared" si="139"/>
        <v>8094.5011996556996</v>
      </c>
      <c r="W101" s="1154">
        <f t="shared" si="139"/>
        <v>7151.6799340099105</v>
      </c>
      <c r="X101" s="1154">
        <f t="shared" si="139"/>
        <v>8251.2040516581637</v>
      </c>
      <c r="Y101" s="1154">
        <f t="shared" si="139"/>
        <v>10479.170149283662</v>
      </c>
      <c r="Z101" s="1155">
        <f t="shared" si="139"/>
        <v>13653.53156496323</v>
      </c>
      <c r="AA101" s="1154">
        <f t="shared" si="139"/>
        <v>8207.0387690658226</v>
      </c>
      <c r="AB101" s="1154">
        <f t="shared" si="139"/>
        <v>15499.45605967582</v>
      </c>
      <c r="AC101" s="1154">
        <f t="shared" si="139"/>
        <v>15178.412461854665</v>
      </c>
      <c r="AD101" s="1155">
        <f t="shared" si="139"/>
        <v>19658.072019603624</v>
      </c>
      <c r="AE101" s="1154">
        <f t="shared" si="139"/>
        <v>13822.547494014379</v>
      </c>
      <c r="AF101" s="1154">
        <f t="shared" si="139"/>
        <v>12166.262278237393</v>
      </c>
      <c r="AG101" s="1154">
        <f t="shared" si="139"/>
        <v>15635.007649191331</v>
      </c>
      <c r="AH101" s="1155">
        <f t="shared" si="139"/>
        <v>9544.6541456185332</v>
      </c>
      <c r="AI101" s="1154">
        <f t="shared" si="138"/>
        <v>9801.7076446894607</v>
      </c>
      <c r="AJ101" s="1154">
        <f t="shared" si="138"/>
        <v>8644.1370259993801</v>
      </c>
      <c r="AK101" s="1154">
        <f t="shared" si="138"/>
        <v>11004.438339609598</v>
      </c>
      <c r="AL101" s="1155">
        <f t="shared" si="138"/>
        <v>12310.44340491018</v>
      </c>
      <c r="AM101" s="1154">
        <f t="shared" si="138"/>
        <v>7116.8692303849139</v>
      </c>
      <c r="AN101" s="1154">
        <f t="shared" si="138"/>
        <v>11351.481425778313</v>
      </c>
      <c r="AO101" s="1154">
        <f t="shared" si="138"/>
        <v>11381.381381381379</v>
      </c>
      <c r="AP101" s="1155">
        <f t="shared" si="138"/>
        <v>9497.1446306641828</v>
      </c>
      <c r="AQ101" s="1154">
        <f t="shared" si="138"/>
        <v>10240.121890620401</v>
      </c>
      <c r="AR101" s="1154">
        <f t="shared" si="138"/>
        <v>11655.324608823219</v>
      </c>
      <c r="AS101" s="1154">
        <f t="shared" si="138"/>
        <v>11808.620980409776</v>
      </c>
      <c r="AT101" s="1155">
        <f t="shared" si="138"/>
        <v>8077.2747597348434</v>
      </c>
      <c r="AU101" s="1154">
        <f t="shared" si="138"/>
        <v>10309.484579678321</v>
      </c>
      <c r="AV101" s="1154">
        <f t="shared" si="138"/>
        <v>11734.273342573297</v>
      </c>
      <c r="AW101" s="1154">
        <f t="shared" si="138"/>
        <v>11888.608085447777</v>
      </c>
      <c r="AX101" s="1155">
        <f t="shared" si="138"/>
        <v>8131.9871453469759</v>
      </c>
      <c r="AY101" s="1383">
        <f t="shared" si="158"/>
        <v>10764.111330967613</v>
      </c>
      <c r="AZ101" s="1383">
        <f t="shared" si="158"/>
        <v>10764.111330967613</v>
      </c>
      <c r="BA101" s="1383">
        <f t="shared" si="158"/>
        <v>10764.111330967613</v>
      </c>
      <c r="BB101" s="1384">
        <f t="shared" si="158"/>
        <v>10764.111330967613</v>
      </c>
      <c r="BC101" s="1156"/>
      <c r="BD101" s="1156"/>
      <c r="BE101" s="1280">
        <f t="shared" si="140"/>
        <v>7811.9912639613522</v>
      </c>
      <c r="BF101" s="1280">
        <f t="shared" si="141"/>
        <v>8097.1357556172461</v>
      </c>
      <c r="BG101" s="1280">
        <f t="shared" si="142"/>
        <v>9500.1068557103681</v>
      </c>
      <c r="BH101" s="1280">
        <f t="shared" si="143"/>
        <v>8040.124692245754</v>
      </c>
      <c r="BI101" s="1280">
        <f t="shared" si="144"/>
        <v>9883.8964249787423</v>
      </c>
      <c r="BJ101" s="1280">
        <f t="shared" si="145"/>
        <v>14635.744827549981</v>
      </c>
      <c r="BK101" s="1280">
        <f t="shared" si="146"/>
        <v>12792.117891765411</v>
      </c>
      <c r="BL101" s="1280">
        <f t="shared" si="147"/>
        <v>10440.181603802155</v>
      </c>
      <c r="BM101" s="1280">
        <f t="shared" si="148"/>
        <v>9836.719167052197</v>
      </c>
      <c r="BN101" s="1280">
        <f t="shared" si="149"/>
        <v>10445.335559897059</v>
      </c>
      <c r="BO101" s="1280">
        <f t="shared" si="150"/>
        <v>10516.088288261593</v>
      </c>
      <c r="BP101" s="1280">
        <f t="shared" si="151"/>
        <v>10764.111330967613</v>
      </c>
      <c r="BQ101" s="1114"/>
      <c r="BR101" s="1115"/>
      <c r="BU101" s="1087"/>
      <c r="BV101" s="1511"/>
      <c r="BW101" s="1514" t="s">
        <v>703</v>
      </c>
      <c r="BX101" s="1515">
        <v>0.35</v>
      </c>
      <c r="BY101" s="1515">
        <v>0.35</v>
      </c>
      <c r="BZ101" s="1515">
        <v>0.35</v>
      </c>
      <c r="CA101" s="1515">
        <v>0.35</v>
      </c>
      <c r="CB101" s="1515">
        <v>0.4</v>
      </c>
      <c r="CC101" s="1515">
        <v>0.45</v>
      </c>
      <c r="CD101" s="1515">
        <v>0.5</v>
      </c>
      <c r="CE101" s="1515">
        <v>0.5</v>
      </c>
      <c r="CF101" s="1515">
        <v>0.55000000000000004</v>
      </c>
      <c r="CG101" s="1515">
        <v>0.6</v>
      </c>
      <c r="CH101" s="1515">
        <v>0.65</v>
      </c>
      <c r="CI101" s="1515">
        <v>0.65</v>
      </c>
      <c r="CJ101" s="1515">
        <v>0.7</v>
      </c>
      <c r="CK101" s="1515">
        <v>0.75</v>
      </c>
      <c r="CL101" s="1515">
        <v>0.75</v>
      </c>
      <c r="CM101" s="1515">
        <v>0.75</v>
      </c>
      <c r="CN101" s="1515">
        <v>0.75</v>
      </c>
      <c r="CO101" s="1515">
        <v>0.75</v>
      </c>
      <c r="CP101" s="1515">
        <v>0.8</v>
      </c>
      <c r="CQ101" s="1515">
        <v>0.8</v>
      </c>
      <c r="CR101" s="1515">
        <v>0.8</v>
      </c>
      <c r="CS101" s="1515">
        <v>0.8</v>
      </c>
      <c r="CT101" s="1515">
        <v>0.8</v>
      </c>
      <c r="CU101" s="1515">
        <v>0.8</v>
      </c>
      <c r="CV101" s="1515">
        <v>0.8</v>
      </c>
    </row>
    <row r="102" spans="1:100" ht="12.75" customHeight="1">
      <c r="A102" s="1088"/>
      <c r="B102" s="1089"/>
      <c r="C102" s="1370" t="s">
        <v>532</v>
      </c>
      <c r="D102" s="1370"/>
      <c r="E102" s="1370"/>
      <c r="F102" s="1369"/>
      <c r="G102" s="1397">
        <f t="shared" si="155"/>
        <v>5594.4105258064828</v>
      </c>
      <c r="H102" s="1385">
        <f t="shared" si="155"/>
        <v>5980.4576806649147</v>
      </c>
      <c r="I102" s="1385">
        <f t="shared" si="155"/>
        <v>6684.7232199578648</v>
      </c>
      <c r="J102" s="1398">
        <f t="shared" si="155"/>
        <v>5911.4648985987124</v>
      </c>
      <c r="K102" s="1397">
        <f t="shared" si="156"/>
        <v>5617.3159739843395</v>
      </c>
      <c r="L102" s="1385">
        <f t="shared" si="156"/>
        <v>6655.7582528218209</v>
      </c>
      <c r="M102" s="1385">
        <f t="shared" si="156"/>
        <v>7303.4594565022162</v>
      </c>
      <c r="N102" s="1398">
        <f t="shared" si="156"/>
        <v>8538.4108780017341</v>
      </c>
      <c r="O102" s="1397">
        <f t="shared" si="157"/>
        <v>9256.1029733562991</v>
      </c>
      <c r="P102" s="1385">
        <f t="shared" si="157"/>
        <v>8884.5574896313938</v>
      </c>
      <c r="Q102" s="1385">
        <f t="shared" si="157"/>
        <v>8401.9636033328952</v>
      </c>
      <c r="R102" s="1385">
        <f t="shared" si="157"/>
        <v>8108.3969931427564</v>
      </c>
      <c r="S102" s="1153">
        <f t="shared" si="139"/>
        <v>7144.68170956227</v>
      </c>
      <c r="T102" s="1154">
        <f t="shared" si="139"/>
        <v>6923.1901425772967</v>
      </c>
      <c r="U102" s="1154">
        <f t="shared" si="139"/>
        <v>7416.937285038297</v>
      </c>
      <c r="V102" s="1155">
        <f t="shared" si="139"/>
        <v>7186.3638244491658</v>
      </c>
      <c r="W102" s="1154">
        <f t="shared" si="139"/>
        <v>4378.4476589144797</v>
      </c>
      <c r="X102" s="1154">
        <f t="shared" si="139"/>
        <v>8308.8842312669221</v>
      </c>
      <c r="Y102" s="1154">
        <f t="shared" si="139"/>
        <v>10465.996871575519</v>
      </c>
      <c r="Z102" s="1155">
        <f t="shared" si="139"/>
        <v>10914.824746114929</v>
      </c>
      <c r="AA102" s="1154">
        <f t="shared" si="139"/>
        <v>5222.5069289009616</v>
      </c>
      <c r="AB102" s="1154">
        <f t="shared" si="139"/>
        <v>15040.786920718157</v>
      </c>
      <c r="AC102" s="1154">
        <f t="shared" si="139"/>
        <v>16577.780229416356</v>
      </c>
      <c r="AD102" s="1155">
        <f t="shared" si="139"/>
        <v>17065.861366193356</v>
      </c>
      <c r="AE102" s="1154">
        <f t="shared" si="139"/>
        <v>11965.339455583016</v>
      </c>
      <c r="AF102" s="1154">
        <f t="shared" si="139"/>
        <v>13392.335283854029</v>
      </c>
      <c r="AG102" s="1154">
        <f t="shared" si="139"/>
        <v>16617.582565885587</v>
      </c>
      <c r="AH102" s="1155">
        <f t="shared" si="139"/>
        <v>11247.328225526811</v>
      </c>
      <c r="AI102" s="1154">
        <f t="shared" ref="AI102:AX117" si="159">IF(ISBLANK(AI245),"",AI245)</f>
        <v>8556.6131079873394</v>
      </c>
      <c r="AJ102" s="1154">
        <f t="shared" si="159"/>
        <v>8971.0519258287495</v>
      </c>
      <c r="AK102" s="1154">
        <f t="shared" si="159"/>
        <v>13054.147515117875</v>
      </c>
      <c r="AL102" s="1155">
        <f t="shared" si="159"/>
        <v>9524.2185088378228</v>
      </c>
      <c r="AM102" s="1154">
        <f t="shared" si="159"/>
        <v>5253.5008504221041</v>
      </c>
      <c r="AN102" s="1154">
        <f t="shared" si="159"/>
        <v>9534.7680059708928</v>
      </c>
      <c r="AO102" s="1154">
        <f t="shared" si="159"/>
        <v>8957.9632918886928</v>
      </c>
      <c r="AP102" s="1155">
        <f t="shared" si="159"/>
        <v>8724.870763928775</v>
      </c>
      <c r="AQ102" s="1154">
        <f t="shared" si="159"/>
        <v>10357.798701457919</v>
      </c>
      <c r="AR102" s="1154">
        <f t="shared" si="159"/>
        <v>8488.7960907604192</v>
      </c>
      <c r="AS102" s="1154">
        <f t="shared" si="159"/>
        <v>8528.2593221072202</v>
      </c>
      <c r="AT102" s="1155">
        <f t="shared" si="159"/>
        <v>9517.0351924681836</v>
      </c>
      <c r="AU102" s="1154">
        <f t="shared" si="159"/>
        <v>10049.931204538312</v>
      </c>
      <c r="AV102" s="1154">
        <f t="shared" si="159"/>
        <v>8236.4814359143529</v>
      </c>
      <c r="AW102" s="1154">
        <f t="shared" si="159"/>
        <v>8274.7716915541296</v>
      </c>
      <c r="AX102" s="1155">
        <f t="shared" si="159"/>
        <v>9234.1579241168911</v>
      </c>
      <c r="AY102" s="1383">
        <f t="shared" si="158"/>
        <v>9555.9918808413258</v>
      </c>
      <c r="AZ102" s="1383">
        <f t="shared" si="158"/>
        <v>9555.9918808413258</v>
      </c>
      <c r="BA102" s="1383">
        <f t="shared" si="158"/>
        <v>9555.9918808413258</v>
      </c>
      <c r="BB102" s="1384">
        <f t="shared" si="158"/>
        <v>9555.9918808413258</v>
      </c>
      <c r="BC102" s="1156"/>
      <c r="BD102" s="1156"/>
      <c r="BE102" s="1280">
        <f t="shared" si="140"/>
        <v>6042.7640812569934</v>
      </c>
      <c r="BF102" s="1280">
        <f t="shared" si="141"/>
        <v>7028.7361403275281</v>
      </c>
      <c r="BG102" s="1280">
        <f t="shared" si="142"/>
        <v>8662.7552648658366</v>
      </c>
      <c r="BH102" s="1280">
        <f t="shared" si="143"/>
        <v>7167.7932404067578</v>
      </c>
      <c r="BI102" s="1280">
        <f t="shared" si="144"/>
        <v>8517.0383769679629</v>
      </c>
      <c r="BJ102" s="1280">
        <f t="shared" si="145"/>
        <v>13476.733861307208</v>
      </c>
      <c r="BK102" s="1280">
        <f t="shared" si="146"/>
        <v>13305.646382712363</v>
      </c>
      <c r="BL102" s="1280">
        <f t="shared" si="147"/>
        <v>10026.507764442948</v>
      </c>
      <c r="BM102" s="1280">
        <f t="shared" si="148"/>
        <v>8117.7757280526166</v>
      </c>
      <c r="BN102" s="1280">
        <f t="shared" si="149"/>
        <v>9222.9723266984365</v>
      </c>
      <c r="BO102" s="1280">
        <f t="shared" si="150"/>
        <v>8948.8355640309201</v>
      </c>
      <c r="BP102" s="1280">
        <f t="shared" si="151"/>
        <v>9555.9918808413258</v>
      </c>
      <c r="BQ102" s="1114"/>
      <c r="BR102" s="1115"/>
      <c r="BU102" s="1087"/>
      <c r="BV102" s="1511"/>
      <c r="BW102" s="1514" t="s">
        <v>532</v>
      </c>
      <c r="BX102" s="1515">
        <v>0.2</v>
      </c>
      <c r="BY102" s="1515">
        <v>0.2</v>
      </c>
      <c r="BZ102" s="1515">
        <v>0.2</v>
      </c>
      <c r="CA102" s="1515">
        <v>0.2</v>
      </c>
      <c r="CB102" s="1515">
        <v>0.2</v>
      </c>
      <c r="CC102" s="1515">
        <v>0.2</v>
      </c>
      <c r="CD102" s="1515">
        <v>0.2</v>
      </c>
      <c r="CE102" s="1515">
        <v>0.2</v>
      </c>
      <c r="CF102" s="1515">
        <v>0.25</v>
      </c>
      <c r="CG102" s="1515">
        <v>0.25</v>
      </c>
      <c r="CH102" s="1515">
        <v>0.25</v>
      </c>
      <c r="CI102" s="1515">
        <v>0.35</v>
      </c>
      <c r="CJ102" s="1515">
        <v>0.35</v>
      </c>
      <c r="CK102" s="1515">
        <v>0.4</v>
      </c>
      <c r="CL102" s="1515">
        <v>0.4</v>
      </c>
      <c r="CM102" s="1515">
        <v>0.45</v>
      </c>
      <c r="CN102" s="1515">
        <v>0.45</v>
      </c>
      <c r="CO102" s="1515">
        <v>0.5</v>
      </c>
      <c r="CP102" s="1515">
        <v>0.5</v>
      </c>
      <c r="CQ102" s="1515">
        <v>0.5</v>
      </c>
      <c r="CR102" s="1515">
        <v>0.5</v>
      </c>
      <c r="CS102" s="1515">
        <v>0.55000000000000004</v>
      </c>
      <c r="CT102" s="1515">
        <v>0.55000000000000004</v>
      </c>
      <c r="CU102" s="1515">
        <v>0.55000000000000004</v>
      </c>
      <c r="CV102" s="1515">
        <v>0.55000000000000004</v>
      </c>
    </row>
    <row r="103" spans="1:100" ht="12.75" customHeight="1">
      <c r="A103" s="1088"/>
      <c r="B103" s="1089"/>
      <c r="C103" s="1370" t="s">
        <v>281</v>
      </c>
      <c r="D103" s="1370"/>
      <c r="E103" s="1370"/>
      <c r="F103" s="1369"/>
      <c r="G103" s="1397">
        <f t="shared" ref="G103:R103" si="160">IF(ISBLANK(G246),"",G246)</f>
        <v>6552.7674043199286</v>
      </c>
      <c r="H103" s="1385">
        <f t="shared" si="160"/>
        <v>6476.0723404537666</v>
      </c>
      <c r="I103" s="1385">
        <f t="shared" si="160"/>
        <v>7271.6763952678921</v>
      </c>
      <c r="J103" s="1398">
        <f t="shared" si="160"/>
        <v>8220.4093352115033</v>
      </c>
      <c r="K103" s="1397">
        <f t="shared" si="160"/>
        <v>7979.1747211275315</v>
      </c>
      <c r="L103" s="1385">
        <f t="shared" si="160"/>
        <v>7104.9821374667526</v>
      </c>
      <c r="M103" s="1385">
        <f t="shared" si="160"/>
        <v>7790.7372328055353</v>
      </c>
      <c r="N103" s="1398">
        <f t="shared" si="160"/>
        <v>9201.0167150006782</v>
      </c>
      <c r="O103" s="1397">
        <f t="shared" si="160"/>
        <v>10440.014917886665</v>
      </c>
      <c r="P103" s="1385">
        <f t="shared" si="160"/>
        <v>9560.11803419846</v>
      </c>
      <c r="Q103" s="1385">
        <f t="shared" si="160"/>
        <v>8935.6748974826023</v>
      </c>
      <c r="R103" s="1385">
        <f t="shared" si="160"/>
        <v>8777.6380248240494</v>
      </c>
      <c r="S103" s="1153">
        <f t="shared" ref="S103:AH118" si="161">IF(ISBLANK(S246),"",S246)</f>
        <v>8794.3099226617105</v>
      </c>
      <c r="T103" s="1154">
        <f t="shared" si="161"/>
        <v>7170.3250164574647</v>
      </c>
      <c r="U103" s="1154">
        <f t="shared" si="161"/>
        <v>7427.6377278135369</v>
      </c>
      <c r="V103" s="1155">
        <f t="shared" si="161"/>
        <v>7463.0119522202085</v>
      </c>
      <c r="W103" s="1154">
        <f t="shared" si="161"/>
        <v>10672.862043942654</v>
      </c>
      <c r="X103" s="1154">
        <f t="shared" si="161"/>
        <v>6748.9575207808848</v>
      </c>
      <c r="Y103" s="1154">
        <f t="shared" si="161"/>
        <v>6693.0721564774667</v>
      </c>
      <c r="Z103" s="1155">
        <f t="shared" si="161"/>
        <v>7928.0928377524915</v>
      </c>
      <c r="AA103" s="1154">
        <f t="shared" si="161"/>
        <v>11594.576778630564</v>
      </c>
      <c r="AB103" s="1154">
        <f t="shared" si="161"/>
        <v>8884.7428686240874</v>
      </c>
      <c r="AC103" s="1154">
        <f t="shared" si="161"/>
        <v>8259.4626536542146</v>
      </c>
      <c r="AD103" s="1155">
        <f t="shared" si="161"/>
        <v>10311.27373307398</v>
      </c>
      <c r="AE103" s="1154">
        <f t="shared" si="161"/>
        <v>11099.393407137786</v>
      </c>
      <c r="AF103" s="1154">
        <f t="shared" si="161"/>
        <v>9992.6370455412834</v>
      </c>
      <c r="AG103" s="1154">
        <f t="shared" si="161"/>
        <v>7829.6864609595132</v>
      </c>
      <c r="AH103" s="1155">
        <f t="shared" si="161"/>
        <v>8265.1158346907469</v>
      </c>
      <c r="AI103" s="1154">
        <f t="shared" si="159"/>
        <v>8517.9614097697577</v>
      </c>
      <c r="AJ103" s="1154">
        <f t="shared" si="159"/>
        <v>7365.7185946531754</v>
      </c>
      <c r="AK103" s="1154">
        <f t="shared" si="159"/>
        <v>7744.3815502968346</v>
      </c>
      <c r="AL103" s="1155">
        <f t="shared" si="159"/>
        <v>9032.4298573449232</v>
      </c>
      <c r="AM103" s="1154">
        <f t="shared" si="159"/>
        <v>10767.751699666062</v>
      </c>
      <c r="AN103" s="1154">
        <f t="shared" si="159"/>
        <v>9068.2920761288733</v>
      </c>
      <c r="AO103" s="1154">
        <f t="shared" si="159"/>
        <v>8780.343398460629</v>
      </c>
      <c r="AP103" s="1155">
        <f t="shared" si="159"/>
        <v>8558.2998276852377</v>
      </c>
      <c r="AQ103" s="1154">
        <f t="shared" si="159"/>
        <v>9141.5772569286164</v>
      </c>
      <c r="AR103" s="1154">
        <f t="shared" si="159"/>
        <v>8061.5434396640903</v>
      </c>
      <c r="AS103" s="1154">
        <f t="shared" si="159"/>
        <v>8098.0895888361283</v>
      </c>
      <c r="AT103" s="1155">
        <f t="shared" si="159"/>
        <v>9879.7162281589626</v>
      </c>
      <c r="AU103" s="1154">
        <f t="shared" si="159"/>
        <v>8972.5976330324702</v>
      </c>
      <c r="AV103" s="1154">
        <f t="shared" si="159"/>
        <v>7912.5279535865184</v>
      </c>
      <c r="AW103" s="1154">
        <f t="shared" si="159"/>
        <v>7948.3985569125425</v>
      </c>
      <c r="AX103" s="1155">
        <f t="shared" si="159"/>
        <v>9697.0923017277073</v>
      </c>
      <c r="AY103" s="1383">
        <f t="shared" si="158"/>
        <v>9943.436368836914</v>
      </c>
      <c r="AZ103" s="1383">
        <f t="shared" si="158"/>
        <v>9943.436368836914</v>
      </c>
      <c r="BA103" s="1383">
        <f t="shared" si="158"/>
        <v>9943.436368836914</v>
      </c>
      <c r="BB103" s="1384">
        <f t="shared" si="158"/>
        <v>9943.436368836914</v>
      </c>
      <c r="BC103" s="1156"/>
      <c r="BD103" s="1156"/>
      <c r="BE103" s="1280">
        <f t="shared" si="140"/>
        <v>7130.2313688132726</v>
      </c>
      <c r="BF103" s="1280">
        <f t="shared" si="141"/>
        <v>8018.9777016001244</v>
      </c>
      <c r="BG103" s="1280">
        <f t="shared" si="142"/>
        <v>9428.3614685979446</v>
      </c>
      <c r="BH103" s="1280">
        <f t="shared" si="143"/>
        <v>7713.8211547882302</v>
      </c>
      <c r="BI103" s="1280">
        <f t="shared" si="144"/>
        <v>8010.746139738374</v>
      </c>
      <c r="BJ103" s="1280">
        <f t="shared" si="145"/>
        <v>9762.5140084957129</v>
      </c>
      <c r="BK103" s="1280">
        <f t="shared" si="146"/>
        <v>9296.7081870823331</v>
      </c>
      <c r="BL103" s="1280">
        <f t="shared" si="147"/>
        <v>8165.1228530161725</v>
      </c>
      <c r="BM103" s="1280">
        <f t="shared" si="148"/>
        <v>9293.6717504852004</v>
      </c>
      <c r="BN103" s="1280">
        <f t="shared" si="149"/>
        <v>8795.2316283969485</v>
      </c>
      <c r="BO103" s="1280">
        <f t="shared" si="150"/>
        <v>8632.6541113148105</v>
      </c>
      <c r="BP103" s="1280">
        <f t="shared" si="151"/>
        <v>9943.436368836914</v>
      </c>
      <c r="BQ103" s="1114"/>
      <c r="BR103" s="1115"/>
      <c r="BU103" s="1087"/>
      <c r="BV103" s="1511"/>
      <c r="BW103" s="1514" t="s">
        <v>281</v>
      </c>
      <c r="BX103" s="1515">
        <v>0.2</v>
      </c>
      <c r="BY103" s="1515">
        <v>0.2</v>
      </c>
      <c r="BZ103" s="1515">
        <v>0.2</v>
      </c>
      <c r="CA103" s="1515">
        <v>0.2</v>
      </c>
      <c r="CB103" s="1515">
        <v>0.2</v>
      </c>
      <c r="CC103" s="1515">
        <v>0.2</v>
      </c>
      <c r="CD103" s="1515">
        <v>0.2</v>
      </c>
      <c r="CE103" s="1515">
        <v>0.2</v>
      </c>
      <c r="CF103" s="1515">
        <v>0.25</v>
      </c>
      <c r="CG103" s="1515">
        <v>0.25</v>
      </c>
      <c r="CH103" s="1515">
        <v>0.25</v>
      </c>
      <c r="CI103" s="1515">
        <v>0.35</v>
      </c>
      <c r="CJ103" s="1515">
        <v>0.35</v>
      </c>
      <c r="CK103" s="1515">
        <v>0.4</v>
      </c>
      <c r="CL103" s="1515">
        <v>0.4</v>
      </c>
      <c r="CM103" s="1515">
        <v>0.45</v>
      </c>
      <c r="CN103" s="1515">
        <v>0.45</v>
      </c>
      <c r="CO103" s="1515">
        <v>0.5</v>
      </c>
      <c r="CP103" s="1515">
        <v>0.5</v>
      </c>
      <c r="CQ103" s="1515">
        <v>0.5</v>
      </c>
      <c r="CR103" s="1515">
        <v>0.5</v>
      </c>
      <c r="CS103" s="1515">
        <v>0.55000000000000004</v>
      </c>
      <c r="CT103" s="1515">
        <v>0.55000000000000004</v>
      </c>
      <c r="CU103" s="1515">
        <v>0.55000000000000004</v>
      </c>
      <c r="CV103" s="1515">
        <v>0.55000000000000004</v>
      </c>
    </row>
    <row r="104" spans="1:100" ht="12.75" customHeight="1">
      <c r="A104" s="1088"/>
      <c r="B104" s="1089"/>
      <c r="C104" s="1370" t="s">
        <v>549</v>
      </c>
      <c r="D104" s="1370"/>
      <c r="E104" s="1370"/>
      <c r="F104" s="1369"/>
      <c r="G104" s="1397">
        <f t="shared" ref="G104:R104" si="162">IF(ISBLANK(G247),"",G247)</f>
        <v>5395.6504855170397</v>
      </c>
      <c r="H104" s="1385">
        <f t="shared" si="162"/>
        <v>5100.5900565632073</v>
      </c>
      <c r="I104" s="1385">
        <f t="shared" si="162"/>
        <v>6006.74992147799</v>
      </c>
      <c r="J104" s="1398">
        <f t="shared" si="162"/>
        <v>5317.3518126357339</v>
      </c>
      <c r="K104" s="1397">
        <f t="shared" si="162"/>
        <v>6734.0496191414031</v>
      </c>
      <c r="L104" s="1385">
        <f t="shared" si="162"/>
        <v>5501.4743918965405</v>
      </c>
      <c r="M104" s="1385">
        <f t="shared" si="162"/>
        <v>6268.4758752189118</v>
      </c>
      <c r="N104" s="1398">
        <f t="shared" si="162"/>
        <v>5985.7267911888366</v>
      </c>
      <c r="O104" s="1397">
        <f t="shared" si="162"/>
        <v>9477.3896272805832</v>
      </c>
      <c r="P104" s="1385">
        <f t="shared" si="162"/>
        <v>8173.946883501706</v>
      </c>
      <c r="Q104" s="1385">
        <f t="shared" si="162"/>
        <v>8259.4192392880977</v>
      </c>
      <c r="R104" s="1385">
        <f t="shared" si="162"/>
        <v>6410.7661597259648</v>
      </c>
      <c r="S104" s="1153">
        <f t="shared" si="161"/>
        <v>7790.1968554542191</v>
      </c>
      <c r="T104" s="1154">
        <f t="shared" si="161"/>
        <v>5959.6264930636416</v>
      </c>
      <c r="U104" s="1154">
        <f t="shared" si="161"/>
        <v>6840.5607736665088</v>
      </c>
      <c r="V104" s="1155">
        <f t="shared" si="161"/>
        <v>6525.372318959221</v>
      </c>
      <c r="W104" s="1154">
        <f t="shared" si="161"/>
        <v>9013.981977331181</v>
      </c>
      <c r="X104" s="1154">
        <f t="shared" si="161"/>
        <v>5435.4274567969042</v>
      </c>
      <c r="Y104" s="1154">
        <f t="shared" si="161"/>
        <v>6191.277648456301</v>
      </c>
      <c r="Z104" s="1155">
        <f t="shared" si="161"/>
        <v>6850.9884407370319</v>
      </c>
      <c r="AA104" s="1154">
        <f t="shared" si="161"/>
        <v>10265.602875410354</v>
      </c>
      <c r="AB104" s="1154">
        <f t="shared" si="161"/>
        <v>6715.6093086897836</v>
      </c>
      <c r="AC104" s="1154">
        <f t="shared" si="161"/>
        <v>7664.0265319712089</v>
      </c>
      <c r="AD104" s="1155">
        <f t="shared" si="161"/>
        <v>9225.6308062235858</v>
      </c>
      <c r="AE104" s="1154">
        <f t="shared" si="161"/>
        <v>9673.625167828357</v>
      </c>
      <c r="AF104" s="1154">
        <f t="shared" si="161"/>
        <v>8570.6534203356659</v>
      </c>
      <c r="AG104" s="1154">
        <f t="shared" si="161"/>
        <v>7452.1855165401403</v>
      </c>
      <c r="AH104" s="1155">
        <f t="shared" si="161"/>
        <v>7408.3223776683062</v>
      </c>
      <c r="AI104" s="1154">
        <f t="shared" si="159"/>
        <v>7667.4563966200603</v>
      </c>
      <c r="AJ104" s="1154">
        <f t="shared" si="159"/>
        <v>6356.9074135752089</v>
      </c>
      <c r="AK104" s="1154">
        <f t="shared" si="159"/>
        <v>6365.0018649239109</v>
      </c>
      <c r="AL104" s="1155">
        <f t="shared" si="159"/>
        <v>7895.7944693923155</v>
      </c>
      <c r="AM104" s="1154">
        <f t="shared" si="159"/>
        <v>8227.0666796054647</v>
      </c>
      <c r="AN104" s="1154">
        <f t="shared" si="159"/>
        <v>7395.1984077621601</v>
      </c>
      <c r="AO104" s="1154">
        <f t="shared" si="159"/>
        <v>7619.8934280639423</v>
      </c>
      <c r="AP104" s="1155">
        <f t="shared" si="159"/>
        <v>7070.6490522688118</v>
      </c>
      <c r="AQ104" s="1154">
        <f t="shared" si="159"/>
        <v>9417.0466461005399</v>
      </c>
      <c r="AR104" s="1154">
        <f t="shared" si="159"/>
        <v>7556.0461755771757</v>
      </c>
      <c r="AS104" s="1154">
        <f t="shared" si="159"/>
        <v>7734.2070510855065</v>
      </c>
      <c r="AT104" s="1155">
        <f t="shared" si="159"/>
        <v>6746.2524824277207</v>
      </c>
      <c r="AU104" s="1154">
        <f t="shared" si="159"/>
        <v>9420.6351919674853</v>
      </c>
      <c r="AV104" s="1154">
        <f t="shared" si="159"/>
        <v>7558.9255515952455</v>
      </c>
      <c r="AW104" s="1154">
        <f t="shared" si="159"/>
        <v>7737.1543187151901</v>
      </c>
      <c r="AX104" s="1155">
        <f t="shared" si="159"/>
        <v>6748.8232710595485</v>
      </c>
      <c r="AY104" s="1383">
        <f t="shared" si="158"/>
        <v>8572.6751150947875</v>
      </c>
      <c r="AZ104" s="1383">
        <f t="shared" si="158"/>
        <v>8572.6751150947875</v>
      </c>
      <c r="BA104" s="1383">
        <f t="shared" si="158"/>
        <v>8572.6751150947875</v>
      </c>
      <c r="BB104" s="1384">
        <f t="shared" si="158"/>
        <v>8572.6751150947875</v>
      </c>
      <c r="BC104" s="1156"/>
      <c r="BD104" s="1156"/>
      <c r="BE104" s="1280">
        <f t="shared" si="140"/>
        <v>5455.0855690484923</v>
      </c>
      <c r="BF104" s="1280">
        <f t="shared" si="141"/>
        <v>6122.4316693614228</v>
      </c>
      <c r="BG104" s="1280">
        <f t="shared" si="142"/>
        <v>8080.3804774490882</v>
      </c>
      <c r="BH104" s="1280">
        <f t="shared" si="143"/>
        <v>6778.9391102858972</v>
      </c>
      <c r="BI104" s="1280">
        <f t="shared" si="144"/>
        <v>6872.9188808303552</v>
      </c>
      <c r="BJ104" s="1280">
        <f t="shared" si="145"/>
        <v>8467.717380573733</v>
      </c>
      <c r="BK104" s="1280">
        <f t="shared" si="146"/>
        <v>8276.1966205931167</v>
      </c>
      <c r="BL104" s="1280">
        <f t="shared" si="147"/>
        <v>7071.2900361278744</v>
      </c>
      <c r="BM104" s="1280">
        <f t="shared" si="148"/>
        <v>7578.201891925095</v>
      </c>
      <c r="BN104" s="1280">
        <f t="shared" si="149"/>
        <v>7863.3880887977357</v>
      </c>
      <c r="BO104" s="1280">
        <f t="shared" si="150"/>
        <v>7866.3845833343676</v>
      </c>
      <c r="BP104" s="1280">
        <f t="shared" si="151"/>
        <v>8572.6751150947875</v>
      </c>
      <c r="BQ104" s="1114"/>
      <c r="BR104" s="1115"/>
      <c r="BU104" s="1087"/>
      <c r="BV104" s="1511"/>
      <c r="BW104" s="1514" t="s">
        <v>549</v>
      </c>
      <c r="BX104" s="1515">
        <v>0.2</v>
      </c>
      <c r="BY104" s="1515">
        <v>0.2</v>
      </c>
      <c r="BZ104" s="1515">
        <v>0.2</v>
      </c>
      <c r="CA104" s="1515">
        <v>0.2</v>
      </c>
      <c r="CB104" s="1515">
        <v>0.2</v>
      </c>
      <c r="CC104" s="1515">
        <v>0.2</v>
      </c>
      <c r="CD104" s="1515">
        <v>0.2</v>
      </c>
      <c r="CE104" s="1515">
        <v>0.2</v>
      </c>
      <c r="CF104" s="1515">
        <v>0.25</v>
      </c>
      <c r="CG104" s="1515">
        <v>0.25</v>
      </c>
      <c r="CH104" s="1515">
        <v>0.3</v>
      </c>
      <c r="CI104" s="1515">
        <v>0.3</v>
      </c>
      <c r="CJ104" s="1515">
        <v>0.3</v>
      </c>
      <c r="CK104" s="1515">
        <v>0.35</v>
      </c>
      <c r="CL104" s="1515">
        <v>0.35</v>
      </c>
      <c r="CM104" s="1515">
        <v>0.4</v>
      </c>
      <c r="CN104" s="1515">
        <v>0.4</v>
      </c>
      <c r="CO104" s="1515">
        <v>0.4</v>
      </c>
      <c r="CP104" s="1515">
        <v>0.45</v>
      </c>
      <c r="CQ104" s="1515">
        <v>0.5</v>
      </c>
      <c r="CR104" s="1515">
        <v>0.5</v>
      </c>
      <c r="CS104" s="1515">
        <v>0.5</v>
      </c>
      <c r="CT104" s="1515">
        <v>0.5</v>
      </c>
      <c r="CU104" s="1515">
        <v>0.5</v>
      </c>
      <c r="CV104" s="1515">
        <v>0.5</v>
      </c>
    </row>
    <row r="105" spans="1:100" ht="12.75" customHeight="1">
      <c r="A105" s="1088"/>
      <c r="B105" s="1089"/>
      <c r="C105" s="1370" t="s">
        <v>518</v>
      </c>
      <c r="D105" s="1370"/>
      <c r="E105" s="1370"/>
      <c r="F105" s="1369"/>
      <c r="G105" s="1397">
        <f t="shared" ref="G105:R105" si="163">IF(ISBLANK(G248),"",G248)</f>
        <v>6850.7817272711591</v>
      </c>
      <c r="H105" s="1385">
        <f t="shared" si="163"/>
        <v>6621.032095301849</v>
      </c>
      <c r="I105" s="1385">
        <f t="shared" si="163"/>
        <v>7456.0304454809211</v>
      </c>
      <c r="J105" s="1398">
        <f t="shared" si="163"/>
        <v>6786.9757708018869</v>
      </c>
      <c r="K105" s="1397">
        <f t="shared" si="163"/>
        <v>7103.6316586257462</v>
      </c>
      <c r="L105" s="1385">
        <f t="shared" si="163"/>
        <v>6489.3612351463817</v>
      </c>
      <c r="M105" s="1385">
        <f t="shared" si="163"/>
        <v>7652.9516182493453</v>
      </c>
      <c r="N105" s="1398">
        <f t="shared" si="163"/>
        <v>7018.4711655947503</v>
      </c>
      <c r="O105" s="1397">
        <f t="shared" si="163"/>
        <v>7952.8432404796031</v>
      </c>
      <c r="P105" s="1385">
        <f t="shared" si="163"/>
        <v>7515.6719478298664</v>
      </c>
      <c r="Q105" s="1385">
        <f t="shared" si="163"/>
        <v>7355.2985870752173</v>
      </c>
      <c r="R105" s="1385">
        <f t="shared" si="163"/>
        <v>6558.0613022094312</v>
      </c>
      <c r="S105" s="1153">
        <f t="shared" si="161"/>
        <v>6674.9226754832425</v>
      </c>
      <c r="T105" s="1154">
        <f t="shared" si="161"/>
        <v>6638.422412018157</v>
      </c>
      <c r="U105" s="1154">
        <f t="shared" si="161"/>
        <v>7223.9917476319215</v>
      </c>
      <c r="V105" s="1155">
        <f t="shared" si="161"/>
        <v>7084.8548714796698</v>
      </c>
      <c r="W105" s="1154">
        <f t="shared" si="161"/>
        <v>6140.4918444926798</v>
      </c>
      <c r="X105" s="1154">
        <f t="shared" si="161"/>
        <v>6818.4558455411725</v>
      </c>
      <c r="Y105" s="1154">
        <f t="shared" si="161"/>
        <v>7269.96105521761</v>
      </c>
      <c r="Z105" s="1155">
        <f t="shared" si="161"/>
        <v>6682.661837208123</v>
      </c>
      <c r="AA105" s="1154">
        <f t="shared" si="161"/>
        <v>7652.4945449900451</v>
      </c>
      <c r="AB105" s="1154">
        <f t="shared" si="161"/>
        <v>7888.8594888397292</v>
      </c>
      <c r="AC105" s="1154">
        <f t="shared" si="161"/>
        <v>7345.5237671149316</v>
      </c>
      <c r="AD105" s="1155">
        <f t="shared" si="161"/>
        <v>7529.6000602417816</v>
      </c>
      <c r="AE105" s="1154">
        <f t="shared" si="161"/>
        <v>6964.2929599013441</v>
      </c>
      <c r="AF105" s="1154">
        <f t="shared" si="161"/>
        <v>6980.8570592020815</v>
      </c>
      <c r="AG105" s="1154">
        <f t="shared" si="161"/>
        <v>8164.8402063845024</v>
      </c>
      <c r="AH105" s="1155">
        <f t="shared" si="161"/>
        <v>6140.7448147131954</v>
      </c>
      <c r="AI105" s="1154">
        <f t="shared" si="159"/>
        <v>6430.7867145184991</v>
      </c>
      <c r="AJ105" s="1154">
        <f t="shared" si="159"/>
        <v>7962.6791325077083</v>
      </c>
      <c r="AK105" s="1154">
        <f t="shared" si="159"/>
        <v>7713.7262070746765</v>
      </c>
      <c r="AL105" s="1155">
        <f t="shared" si="159"/>
        <v>6923.2312215922902</v>
      </c>
      <c r="AM105" s="1154">
        <f t="shared" si="159"/>
        <v>6480.3957229260004</v>
      </c>
      <c r="AN105" s="1154">
        <f t="shared" si="159"/>
        <v>8543.5526806816761</v>
      </c>
      <c r="AO105" s="1154">
        <f t="shared" si="159"/>
        <v>10269.102427471877</v>
      </c>
      <c r="AP105" s="1155">
        <f t="shared" si="159"/>
        <v>6963.1533601378515</v>
      </c>
      <c r="AQ105" s="1154">
        <f t="shared" si="159"/>
        <v>7207.7953169845769</v>
      </c>
      <c r="AR105" s="1154">
        <f t="shared" si="159"/>
        <v>7543.9435635063273</v>
      </c>
      <c r="AS105" s="1154">
        <f t="shared" si="159"/>
        <v>9213.4837628008991</v>
      </c>
      <c r="AT105" s="1155">
        <f t="shared" si="159"/>
        <v>6685.4577110965065</v>
      </c>
      <c r="AU105" s="1154">
        <f t="shared" si="159"/>
        <v>7169.198552229147</v>
      </c>
      <c r="AV105" s="1154">
        <f t="shared" si="159"/>
        <v>7503.5467705559522</v>
      </c>
      <c r="AW105" s="1154">
        <f t="shared" si="159"/>
        <v>9164.1468088875699</v>
      </c>
      <c r="AX105" s="1155">
        <f t="shared" si="159"/>
        <v>6649.6579932619125</v>
      </c>
      <c r="AY105" s="1154">
        <f t="shared" ref="AY105:BB120" si="164">IF(ISBLANK(AY248),"",AY248)</f>
        <v>6934.3630362278864</v>
      </c>
      <c r="AZ105" s="1154">
        <f t="shared" si="164"/>
        <v>7257.7592861020321</v>
      </c>
      <c r="BA105" s="1154">
        <f t="shared" si="164"/>
        <v>8863.9644204520755</v>
      </c>
      <c r="BB105" s="1155">
        <f t="shared" si="164"/>
        <v>6431.8406382670464</v>
      </c>
      <c r="BC105" s="1156"/>
      <c r="BD105" s="1156"/>
      <c r="BE105" s="1280">
        <f t="shared" si="140"/>
        <v>6928.7050097139545</v>
      </c>
      <c r="BF105" s="1280">
        <f t="shared" si="141"/>
        <v>7066.1039194040559</v>
      </c>
      <c r="BG105" s="1280">
        <f t="shared" si="142"/>
        <v>7345.4687693985288</v>
      </c>
      <c r="BH105" s="1280">
        <f t="shared" si="143"/>
        <v>6905.5479266532475</v>
      </c>
      <c r="BI105" s="1280">
        <f t="shared" si="144"/>
        <v>6727.8926456148965</v>
      </c>
      <c r="BJ105" s="1280">
        <f t="shared" si="145"/>
        <v>7604.1194652966215</v>
      </c>
      <c r="BK105" s="1280">
        <f t="shared" si="146"/>
        <v>7062.6837600502804</v>
      </c>
      <c r="BL105" s="1280">
        <f t="shared" si="147"/>
        <v>7257.6058189232936</v>
      </c>
      <c r="BM105" s="1280">
        <f t="shared" si="148"/>
        <v>8064.0510478043507</v>
      </c>
      <c r="BN105" s="1280">
        <f t="shared" si="149"/>
        <v>7662.6700885970777</v>
      </c>
      <c r="BO105" s="1280">
        <f t="shared" si="150"/>
        <v>7621.6375312336459</v>
      </c>
      <c r="BP105" s="1280">
        <f t="shared" si="151"/>
        <v>7371.9818452622603</v>
      </c>
      <c r="BQ105" s="1114"/>
      <c r="BR105" s="1115"/>
      <c r="BU105" s="1087"/>
      <c r="BV105" s="1539">
        <v>1</v>
      </c>
      <c r="BW105" s="1540" t="s">
        <v>972</v>
      </c>
      <c r="BX105" s="1538">
        <f t="shared" ref="BX105:CE105" si="165">BY105-0.25</f>
        <v>0</v>
      </c>
      <c r="BY105" s="1538">
        <f t="shared" si="165"/>
        <v>0.25</v>
      </c>
      <c r="BZ105" s="1538">
        <f t="shared" si="165"/>
        <v>0.5</v>
      </c>
      <c r="CA105" s="1538">
        <f t="shared" si="165"/>
        <v>0.75</v>
      </c>
      <c r="CB105" s="1538">
        <f t="shared" si="165"/>
        <v>1</v>
      </c>
      <c r="CC105" s="1538">
        <f t="shared" si="165"/>
        <v>1.25</v>
      </c>
      <c r="CD105" s="1538">
        <f t="shared" si="165"/>
        <v>1.5</v>
      </c>
      <c r="CE105" s="1538">
        <f t="shared" si="165"/>
        <v>1.75</v>
      </c>
      <c r="CF105" s="1538">
        <v>2</v>
      </c>
      <c r="CG105" s="1538">
        <f t="shared" ref="CG105:CV105" si="166">CF105+0.25</f>
        <v>2.25</v>
      </c>
      <c r="CH105" s="1538">
        <f t="shared" si="166"/>
        <v>2.5</v>
      </c>
      <c r="CI105" s="1538">
        <f t="shared" si="166"/>
        <v>2.75</v>
      </c>
      <c r="CJ105" s="1538">
        <f t="shared" si="166"/>
        <v>3</v>
      </c>
      <c r="CK105" s="1538">
        <f t="shared" si="166"/>
        <v>3.25</v>
      </c>
      <c r="CL105" s="1538">
        <f t="shared" si="166"/>
        <v>3.5</v>
      </c>
      <c r="CM105" s="1538">
        <f t="shared" si="166"/>
        <v>3.75</v>
      </c>
      <c r="CN105" s="1538">
        <f t="shared" si="166"/>
        <v>4</v>
      </c>
      <c r="CO105" s="1538">
        <f t="shared" si="166"/>
        <v>4.25</v>
      </c>
      <c r="CP105" s="1538">
        <f t="shared" si="166"/>
        <v>4.5</v>
      </c>
      <c r="CQ105" s="1538">
        <f t="shared" si="166"/>
        <v>4.75</v>
      </c>
      <c r="CR105" s="1538">
        <f t="shared" si="166"/>
        <v>5</v>
      </c>
      <c r="CS105" s="1538">
        <f t="shared" si="166"/>
        <v>5.25</v>
      </c>
      <c r="CT105" s="1538">
        <f t="shared" si="166"/>
        <v>5.5</v>
      </c>
      <c r="CU105" s="1538">
        <f t="shared" si="166"/>
        <v>5.75</v>
      </c>
      <c r="CV105" s="1538">
        <f t="shared" si="166"/>
        <v>6</v>
      </c>
    </row>
    <row r="106" spans="1:100" ht="12.75" customHeight="1">
      <c r="A106" s="1088"/>
      <c r="B106" s="1089"/>
      <c r="C106" s="1370" t="s">
        <v>550</v>
      </c>
      <c r="D106" s="1370"/>
      <c r="E106" s="1370"/>
      <c r="F106" s="1369"/>
      <c r="G106" s="1397">
        <f t="shared" ref="G106:R106" si="167">IF(ISBLANK(G249),"",G249)</f>
        <v>6846.1079969549173</v>
      </c>
      <c r="H106" s="1385">
        <f t="shared" si="167"/>
        <v>6579.7184516400084</v>
      </c>
      <c r="I106" s="1385">
        <f t="shared" si="167"/>
        <v>7383.37060324907</v>
      </c>
      <c r="J106" s="1398">
        <f t="shared" si="167"/>
        <v>6769.6404409553197</v>
      </c>
      <c r="K106" s="1397">
        <f t="shared" si="167"/>
        <v>7202.0850094799453</v>
      </c>
      <c r="L106" s="1385">
        <f t="shared" si="167"/>
        <v>6420.214829248016</v>
      </c>
      <c r="M106" s="1385">
        <f t="shared" si="167"/>
        <v>7575.5365463257504</v>
      </c>
      <c r="N106" s="1398">
        <f t="shared" si="167"/>
        <v>7086.1451129407897</v>
      </c>
      <c r="O106" s="1397">
        <f t="shared" si="167"/>
        <v>7943.4548333544453</v>
      </c>
      <c r="P106" s="1385">
        <f t="shared" si="167"/>
        <v>7525.8237354826097</v>
      </c>
      <c r="Q106" s="1385">
        <f t="shared" si="167"/>
        <v>7232.7025992394247</v>
      </c>
      <c r="R106" s="1385">
        <f t="shared" si="167"/>
        <v>6745.6184695244247</v>
      </c>
      <c r="S106" s="1153">
        <f t="shared" si="161"/>
        <v>6668.1229270336653</v>
      </c>
      <c r="T106" s="1154">
        <f t="shared" si="161"/>
        <v>6535.4293137657605</v>
      </c>
      <c r="U106" s="1154">
        <f t="shared" si="161"/>
        <v>7147.865663393176</v>
      </c>
      <c r="V106" s="1155">
        <f t="shared" si="161"/>
        <v>6981.8886000345046</v>
      </c>
      <c r="W106" s="1154">
        <f t="shared" si="161"/>
        <v>6182.9907384190228</v>
      </c>
      <c r="X106" s="1154">
        <f t="shared" si="161"/>
        <v>6785.8365945503001</v>
      </c>
      <c r="Y106" s="1154">
        <f t="shared" si="161"/>
        <v>7136.6442103725694</v>
      </c>
      <c r="Z106" s="1155">
        <f t="shared" si="161"/>
        <v>6702.3457070216837</v>
      </c>
      <c r="AA106" s="1154">
        <f t="shared" si="161"/>
        <v>7664.6160360806507</v>
      </c>
      <c r="AB106" s="1154">
        <f t="shared" si="161"/>
        <v>7048.9520285495655</v>
      </c>
      <c r="AC106" s="1154">
        <f t="shared" si="161"/>
        <v>7197.670615244313</v>
      </c>
      <c r="AD106" s="1155">
        <f t="shared" si="161"/>
        <v>7101.8354351902599</v>
      </c>
      <c r="AE106" s="1154">
        <f t="shared" si="161"/>
        <v>6945.1239071268637</v>
      </c>
      <c r="AF106" s="1154">
        <f t="shared" si="161"/>
        <v>6861.101172272105</v>
      </c>
      <c r="AG106" s="1154">
        <f t="shared" si="161"/>
        <v>7251.121749054284</v>
      </c>
      <c r="AH106" s="1155">
        <f t="shared" si="161"/>
        <v>6022.5093589603321</v>
      </c>
      <c r="AI106" s="1154">
        <f t="shared" si="159"/>
        <v>5878.8543969869743</v>
      </c>
      <c r="AJ106" s="1154">
        <f t="shared" si="159"/>
        <v>6363.7110064538647</v>
      </c>
      <c r="AK106" s="1154">
        <f t="shared" si="159"/>
        <v>7360.8455434858543</v>
      </c>
      <c r="AL106" s="1155">
        <f t="shared" si="159"/>
        <v>6251.0403871722756</v>
      </c>
      <c r="AM106" s="1154">
        <f t="shared" si="159"/>
        <v>6199.6866590289592</v>
      </c>
      <c r="AN106" s="1154">
        <f t="shared" si="159"/>
        <v>7716.3353650951622</v>
      </c>
      <c r="AO106" s="1154">
        <f t="shared" si="159"/>
        <v>10174.371817643576</v>
      </c>
      <c r="AP106" s="1155">
        <f t="shared" si="159"/>
        <v>6681.7059161401476</v>
      </c>
      <c r="AQ106" s="1154">
        <f t="shared" si="159"/>
        <v>6960.4803932414106</v>
      </c>
      <c r="AR106" s="1154">
        <f t="shared" si="159"/>
        <v>7040.2791244410537</v>
      </c>
      <c r="AS106" s="1154">
        <f t="shared" si="159"/>
        <v>8992.7280873911477</v>
      </c>
      <c r="AT106" s="1155">
        <f t="shared" si="159"/>
        <v>6121.8589841224284</v>
      </c>
      <c r="AU106" s="1154">
        <f t="shared" si="159"/>
        <v>6833.8195343448451</v>
      </c>
      <c r="AV106" s="1154">
        <f t="shared" si="159"/>
        <v>6912.1661566006269</v>
      </c>
      <c r="AW106" s="1154">
        <f t="shared" si="159"/>
        <v>8829.0861260578167</v>
      </c>
      <c r="AX106" s="1155">
        <f t="shared" si="159"/>
        <v>6010.4586391511948</v>
      </c>
      <c r="AY106" s="1154">
        <f t="shared" si="164"/>
        <v>6536.1986425108153</v>
      </c>
      <c r="AZ106" s="1154">
        <f t="shared" si="164"/>
        <v>6611.1331770650186</v>
      </c>
      <c r="BA106" s="1154">
        <f t="shared" si="164"/>
        <v>8444.5690234754893</v>
      </c>
      <c r="BB106" s="1155">
        <f t="shared" si="164"/>
        <v>5748.6960843272727</v>
      </c>
      <c r="BC106" s="1156"/>
      <c r="BD106" s="1156"/>
      <c r="BE106" s="1280">
        <f t="shared" si="140"/>
        <v>6894.7093731998284</v>
      </c>
      <c r="BF106" s="1280">
        <f t="shared" si="141"/>
        <v>7070.995374498626</v>
      </c>
      <c r="BG106" s="1280">
        <f t="shared" si="142"/>
        <v>7361.8999094002265</v>
      </c>
      <c r="BH106" s="1280">
        <f t="shared" si="143"/>
        <v>6833.3266260567761</v>
      </c>
      <c r="BI106" s="1280">
        <f t="shared" si="144"/>
        <v>6701.9543125908931</v>
      </c>
      <c r="BJ106" s="1280">
        <f t="shared" si="145"/>
        <v>7253.2685287661971</v>
      </c>
      <c r="BK106" s="1280">
        <f t="shared" si="146"/>
        <v>6769.9640468533962</v>
      </c>
      <c r="BL106" s="1280">
        <f t="shared" si="147"/>
        <v>6463.6128335247431</v>
      </c>
      <c r="BM106" s="1280">
        <f t="shared" si="148"/>
        <v>7693.0249394769617</v>
      </c>
      <c r="BN106" s="1280">
        <f t="shared" si="149"/>
        <v>7278.8366472990101</v>
      </c>
      <c r="BO106" s="1280">
        <f t="shared" si="150"/>
        <v>7146.3826140386209</v>
      </c>
      <c r="BP106" s="1280">
        <f t="shared" si="151"/>
        <v>6835.1492318446481</v>
      </c>
      <c r="BQ106" s="1114"/>
      <c r="BR106" s="1115"/>
      <c r="BU106" s="1087"/>
      <c r="BV106" s="1539">
        <v>2</v>
      </c>
      <c r="BW106" s="1514" t="s">
        <v>971</v>
      </c>
      <c r="BX106" s="1401">
        <f>BX99*$BY$97+(1-BX99)*$BY$96</f>
        <v>0</v>
      </c>
      <c r="BY106" s="1401">
        <f t="shared" ref="BY106:CV106" si="168">BY99*$BY$97+(1-BY99)*$BY$96</f>
        <v>0</v>
      </c>
      <c r="BZ106" s="1401">
        <f t="shared" si="168"/>
        <v>0</v>
      </c>
      <c r="CA106" s="1401">
        <f t="shared" si="168"/>
        <v>0</v>
      </c>
      <c r="CB106" s="1401">
        <f t="shared" si="168"/>
        <v>0</v>
      </c>
      <c r="CC106" s="1401">
        <f t="shared" si="168"/>
        <v>0</v>
      </c>
      <c r="CD106" s="1401">
        <f t="shared" si="168"/>
        <v>0</v>
      </c>
      <c r="CE106" s="1401">
        <f t="shared" si="168"/>
        <v>0</v>
      </c>
      <c r="CF106" s="1401">
        <f t="shared" si="168"/>
        <v>0</v>
      </c>
      <c r="CG106" s="1401">
        <f t="shared" si="168"/>
        <v>0</v>
      </c>
      <c r="CH106" s="1401">
        <f t="shared" si="168"/>
        <v>0</v>
      </c>
      <c r="CI106" s="1401">
        <f t="shared" si="168"/>
        <v>0</v>
      </c>
      <c r="CJ106" s="1401">
        <f t="shared" si="168"/>
        <v>0</v>
      </c>
      <c r="CK106" s="1401">
        <f t="shared" si="168"/>
        <v>0</v>
      </c>
      <c r="CL106" s="1401">
        <f t="shared" si="168"/>
        <v>0</v>
      </c>
      <c r="CM106" s="1401">
        <f t="shared" si="168"/>
        <v>0</v>
      </c>
      <c r="CN106" s="1401">
        <f t="shared" si="168"/>
        <v>0</v>
      </c>
      <c r="CO106" s="1401">
        <f t="shared" si="168"/>
        <v>0</v>
      </c>
      <c r="CP106" s="1401">
        <f t="shared" si="168"/>
        <v>0</v>
      </c>
      <c r="CQ106" s="1401">
        <f t="shared" si="168"/>
        <v>0</v>
      </c>
      <c r="CR106" s="1401">
        <f t="shared" si="168"/>
        <v>0</v>
      </c>
      <c r="CS106" s="1401">
        <f t="shared" si="168"/>
        <v>0</v>
      </c>
      <c r="CT106" s="1401">
        <f t="shared" si="168"/>
        <v>0</v>
      </c>
      <c r="CU106" s="1401">
        <f t="shared" si="168"/>
        <v>0</v>
      </c>
      <c r="CV106" s="1401">
        <f t="shared" si="168"/>
        <v>0</v>
      </c>
    </row>
    <row r="107" spans="1:100" ht="12.75" customHeight="1">
      <c r="A107" s="1088"/>
      <c r="B107" s="1089"/>
      <c r="C107" s="1370" t="s">
        <v>519</v>
      </c>
      <c r="D107" s="1370"/>
      <c r="E107" s="1370"/>
      <c r="F107" s="1369"/>
      <c r="G107" s="1397">
        <f t="shared" ref="G107:R107" si="169">IF(ISBLANK(G250),"",G250)</f>
        <v>6830.6037324407944</v>
      </c>
      <c r="H107" s="1385">
        <f t="shared" si="169"/>
        <v>6562.8970251557994</v>
      </c>
      <c r="I107" s="1385">
        <f t="shared" si="169"/>
        <v>7414.7110582687419</v>
      </c>
      <c r="J107" s="1398">
        <f t="shared" si="169"/>
        <v>6679.1141503791168</v>
      </c>
      <c r="K107" s="1397">
        <f t="shared" si="169"/>
        <v>7138.8046808257704</v>
      </c>
      <c r="L107" s="1385">
        <f t="shared" si="169"/>
        <v>6258.087014167384</v>
      </c>
      <c r="M107" s="1385">
        <f t="shared" si="169"/>
        <v>7523.249636289559</v>
      </c>
      <c r="N107" s="1398">
        <f t="shared" si="169"/>
        <v>7174.579060258885</v>
      </c>
      <c r="O107" s="1397">
        <f t="shared" si="169"/>
        <v>7873.2744080347829</v>
      </c>
      <c r="P107" s="1385">
        <f t="shared" si="169"/>
        <v>7431.2884796307553</v>
      </c>
      <c r="Q107" s="1385">
        <f t="shared" si="169"/>
        <v>7334.1288032927387</v>
      </c>
      <c r="R107" s="1385">
        <f t="shared" si="169"/>
        <v>6585.3989518402341</v>
      </c>
      <c r="S107" s="1153">
        <f t="shared" si="161"/>
        <v>6652.2606369130135</v>
      </c>
      <c r="T107" s="1154">
        <f t="shared" si="161"/>
        <v>6539.4547394260053</v>
      </c>
      <c r="U107" s="1154">
        <f t="shared" si="161"/>
        <v>7184.9101755550391</v>
      </c>
      <c r="V107" s="1155">
        <f t="shared" si="161"/>
        <v>6986.060144475985</v>
      </c>
      <c r="W107" s="1154">
        <f t="shared" si="161"/>
        <v>6142.7701878695543</v>
      </c>
      <c r="X107" s="1154">
        <f t="shared" si="161"/>
        <v>6706.9196289195888</v>
      </c>
      <c r="Y107" s="1154">
        <f t="shared" si="161"/>
        <v>7191.2801571027721</v>
      </c>
      <c r="Z107" s="1155">
        <f t="shared" si="161"/>
        <v>6691.3524756882343</v>
      </c>
      <c r="AA107" s="1154">
        <f t="shared" si="161"/>
        <v>7683.5517405383844</v>
      </c>
      <c r="AB107" s="1154">
        <f t="shared" si="161"/>
        <v>7477.9551606525392</v>
      </c>
      <c r="AC107" s="1154">
        <f t="shared" si="161"/>
        <v>7273.2045800322394</v>
      </c>
      <c r="AD107" s="1155">
        <f t="shared" si="161"/>
        <v>7297.8688266327545</v>
      </c>
      <c r="AE107" s="1154">
        <f t="shared" si="161"/>
        <v>6825.5682022125657</v>
      </c>
      <c r="AF107" s="1154">
        <f t="shared" si="161"/>
        <v>6812.7741649171348</v>
      </c>
      <c r="AG107" s="1154">
        <f t="shared" si="161"/>
        <v>7454.9666094076501</v>
      </c>
      <c r="AH107" s="1155">
        <f t="shared" si="161"/>
        <v>6130.1227783855711</v>
      </c>
      <c r="AI107" s="1154">
        <f t="shared" si="159"/>
        <v>5895.9354557555907</v>
      </c>
      <c r="AJ107" s="1154">
        <f t="shared" si="159"/>
        <v>7064.5603116460243</v>
      </c>
      <c r="AK107" s="1154">
        <f t="shared" si="159"/>
        <v>7856.3102926990641</v>
      </c>
      <c r="AL107" s="1155">
        <f t="shared" si="159"/>
        <v>6693.0932220303657</v>
      </c>
      <c r="AM107" s="1154">
        <f t="shared" si="159"/>
        <v>6308.6390155305817</v>
      </c>
      <c r="AN107" s="1154">
        <f t="shared" si="159"/>
        <v>8300.9851971638291</v>
      </c>
      <c r="AO107" s="1154">
        <f t="shared" si="159"/>
        <v>10559.214920071048</v>
      </c>
      <c r="AP107" s="1155">
        <f t="shared" si="159"/>
        <v>6991.8724870763926</v>
      </c>
      <c r="AQ107" s="1154">
        <f t="shared" si="159"/>
        <v>7308.293740592273</v>
      </c>
      <c r="AR107" s="1154">
        <f t="shared" si="159"/>
        <v>7573.1759724842441</v>
      </c>
      <c r="AS107" s="1154">
        <f t="shared" si="159"/>
        <v>9344.5082187459211</v>
      </c>
      <c r="AT107" s="1155">
        <f t="shared" si="159"/>
        <v>6521.5722220472508</v>
      </c>
      <c r="AU107" s="1154">
        <f t="shared" si="159"/>
        <v>7193.750633657809</v>
      </c>
      <c r="AV107" s="1154">
        <f t="shared" si="159"/>
        <v>7454.4813583868809</v>
      </c>
      <c r="AW107" s="1154">
        <f t="shared" si="159"/>
        <v>9198.0514612397492</v>
      </c>
      <c r="AX107" s="1155">
        <f t="shared" si="159"/>
        <v>6419.3594250626784</v>
      </c>
      <c r="AY107" s="1154">
        <f t="shared" si="164"/>
        <v>6930.4910839990544</v>
      </c>
      <c r="AZ107" s="1154">
        <f t="shared" si="164"/>
        <v>7181.6802139926585</v>
      </c>
      <c r="BA107" s="1154">
        <f t="shared" si="164"/>
        <v>8861.4433400053931</v>
      </c>
      <c r="BB107" s="1155">
        <f t="shared" si="164"/>
        <v>6184.4391786709302</v>
      </c>
      <c r="BC107" s="1156"/>
      <c r="BD107" s="1156"/>
      <c r="BE107" s="1280">
        <f t="shared" si="140"/>
        <v>6871.8314915611136</v>
      </c>
      <c r="BF107" s="1280">
        <f t="shared" si="141"/>
        <v>7023.6800978853998</v>
      </c>
      <c r="BG107" s="1280">
        <f t="shared" si="142"/>
        <v>7306.0226606996284</v>
      </c>
      <c r="BH107" s="1280">
        <f t="shared" si="143"/>
        <v>6840.6714240925112</v>
      </c>
      <c r="BI107" s="1280">
        <f t="shared" si="144"/>
        <v>6683.080612395037</v>
      </c>
      <c r="BJ107" s="1280">
        <f t="shared" si="145"/>
        <v>7433.1450769639796</v>
      </c>
      <c r="BK107" s="1280">
        <f t="shared" si="146"/>
        <v>6805.8579387307309</v>
      </c>
      <c r="BL107" s="1280">
        <f t="shared" si="147"/>
        <v>6877.4748205327614</v>
      </c>
      <c r="BM107" s="1280">
        <f t="shared" si="148"/>
        <v>8040.1779049604629</v>
      </c>
      <c r="BN107" s="1280">
        <f t="shared" si="149"/>
        <v>7686.8875384674229</v>
      </c>
      <c r="BO107" s="1280">
        <f t="shared" si="150"/>
        <v>7566.4107195867791</v>
      </c>
      <c r="BP107" s="1280">
        <f t="shared" si="151"/>
        <v>7289.5134541670095</v>
      </c>
      <c r="BQ107" s="1114"/>
      <c r="BR107" s="1115"/>
      <c r="BU107" s="1087"/>
      <c r="BV107" s="1539">
        <v>3</v>
      </c>
      <c r="BW107" s="1514" t="s">
        <v>512</v>
      </c>
      <c r="BX107" s="1401">
        <f t="shared" ref="BX107:CV111" si="170">BX100*$BY$97+(1-BX100)*$BY$96</f>
        <v>0</v>
      </c>
      <c r="BY107" s="1401">
        <f t="shared" si="170"/>
        <v>0</v>
      </c>
      <c r="BZ107" s="1401">
        <f t="shared" si="170"/>
        <v>0</v>
      </c>
      <c r="CA107" s="1401">
        <f t="shared" si="170"/>
        <v>0</v>
      </c>
      <c r="CB107" s="1401">
        <f t="shared" si="170"/>
        <v>0</v>
      </c>
      <c r="CC107" s="1401">
        <f t="shared" si="170"/>
        <v>0</v>
      </c>
      <c r="CD107" s="1401">
        <f t="shared" si="170"/>
        <v>0</v>
      </c>
      <c r="CE107" s="1401">
        <f t="shared" si="170"/>
        <v>0</v>
      </c>
      <c r="CF107" s="1401">
        <f t="shared" si="170"/>
        <v>0</v>
      </c>
      <c r="CG107" s="1401">
        <f t="shared" si="170"/>
        <v>0</v>
      </c>
      <c r="CH107" s="1401">
        <f t="shared" si="170"/>
        <v>0</v>
      </c>
      <c r="CI107" s="1401">
        <f t="shared" si="170"/>
        <v>0</v>
      </c>
      <c r="CJ107" s="1401">
        <f t="shared" si="170"/>
        <v>0</v>
      </c>
      <c r="CK107" s="1401">
        <f t="shared" si="170"/>
        <v>0</v>
      </c>
      <c r="CL107" s="1401">
        <f t="shared" si="170"/>
        <v>0</v>
      </c>
      <c r="CM107" s="1401">
        <f t="shared" si="170"/>
        <v>0</v>
      </c>
      <c r="CN107" s="1401">
        <f t="shared" si="170"/>
        <v>0</v>
      </c>
      <c r="CO107" s="1401">
        <f t="shared" si="170"/>
        <v>0</v>
      </c>
      <c r="CP107" s="1401">
        <f t="shared" si="170"/>
        <v>0</v>
      </c>
      <c r="CQ107" s="1401">
        <f t="shared" si="170"/>
        <v>0</v>
      </c>
      <c r="CR107" s="1401">
        <f t="shared" si="170"/>
        <v>0</v>
      </c>
      <c r="CS107" s="1401">
        <f t="shared" si="170"/>
        <v>0</v>
      </c>
      <c r="CT107" s="1401">
        <f t="shared" si="170"/>
        <v>0</v>
      </c>
      <c r="CU107" s="1401">
        <f t="shared" si="170"/>
        <v>0</v>
      </c>
      <c r="CV107" s="1401">
        <f t="shared" si="170"/>
        <v>0</v>
      </c>
    </row>
    <row r="108" spans="1:100" ht="12.75" customHeight="1">
      <c r="A108" s="1088"/>
      <c r="B108" s="1089"/>
      <c r="C108" s="1370" t="s">
        <v>551</v>
      </c>
      <c r="D108" s="1370"/>
      <c r="E108" s="1370"/>
      <c r="F108" s="1369"/>
      <c r="G108" s="1397">
        <f t="shared" ref="G108:R108" si="171">IF(ISBLANK(G251),"",G251)</f>
        <v>6551.2481776158975</v>
      </c>
      <c r="H108" s="1385">
        <f t="shared" si="171"/>
        <v>6271.3601770080304</v>
      </c>
      <c r="I108" s="1385">
        <f t="shared" si="171"/>
        <v>7021.4112476857217</v>
      </c>
      <c r="J108" s="1398">
        <f t="shared" si="171"/>
        <v>6733.6908270051736</v>
      </c>
      <c r="K108" s="1397">
        <f t="shared" si="171"/>
        <v>4947.8024200898235</v>
      </c>
      <c r="L108" s="1385">
        <f t="shared" si="171"/>
        <v>3639.4677482772172</v>
      </c>
      <c r="M108" s="1385">
        <f t="shared" si="171"/>
        <v>5747.6866885726586</v>
      </c>
      <c r="N108" s="1398">
        <f t="shared" si="171"/>
        <v>6628.5228267586781</v>
      </c>
      <c r="O108" s="1397">
        <f t="shared" si="171"/>
        <v>7140.6532375369161</v>
      </c>
      <c r="P108" s="1385">
        <f t="shared" si="171"/>
        <v>6382.371966804455</v>
      </c>
      <c r="Q108" s="1385">
        <f t="shared" si="171"/>
        <v>6483.5540521088269</v>
      </c>
      <c r="R108" s="1385">
        <f t="shared" si="171"/>
        <v>6726.4830833685282</v>
      </c>
      <c r="S108" s="1153">
        <f t="shared" si="161"/>
        <v>7205.7973591784121</v>
      </c>
      <c r="T108" s="1154">
        <f t="shared" si="161"/>
        <v>6357.537844012214</v>
      </c>
      <c r="U108" s="1154">
        <f t="shared" si="161"/>
        <v>6423.4820897102254</v>
      </c>
      <c r="V108" s="1155">
        <f t="shared" si="161"/>
        <v>7229.6977497861471</v>
      </c>
      <c r="W108" s="1154">
        <f t="shared" si="161"/>
        <v>6790.8520186587984</v>
      </c>
      <c r="X108" s="1154">
        <f t="shared" si="161"/>
        <v>6349.6655319918109</v>
      </c>
      <c r="Y108" s="1154">
        <f t="shared" si="161"/>
        <v>7036.4214757575519</v>
      </c>
      <c r="Z108" s="1155">
        <f t="shared" si="161"/>
        <v>6665.5421283905716</v>
      </c>
      <c r="AA108" s="1154">
        <f t="shared" si="161"/>
        <v>7686.8419302083648</v>
      </c>
      <c r="AB108" s="1154">
        <f t="shared" si="161"/>
        <v>7549.5235262753986</v>
      </c>
      <c r="AC108" s="1154">
        <f t="shared" si="161"/>
        <v>7870.964586340303</v>
      </c>
      <c r="AD108" s="1155">
        <f t="shared" si="161"/>
        <v>7947.0472842148192</v>
      </c>
      <c r="AE108" s="1154">
        <f t="shared" si="161"/>
        <v>8041.4196020612753</v>
      </c>
      <c r="AF108" s="1154">
        <f t="shared" si="161"/>
        <v>7252.5359380326045</v>
      </c>
      <c r="AG108" s="1154">
        <f t="shared" si="161"/>
        <v>7589.9916495196767</v>
      </c>
      <c r="AH108" s="1155">
        <f t="shared" si="161"/>
        <v>7054.7193373314476</v>
      </c>
      <c r="AI108" s="1154">
        <f t="shared" si="159"/>
        <v>6592.9726251884122</v>
      </c>
      <c r="AJ108" s="1154">
        <f t="shared" si="159"/>
        <v>6874.6729901740318</v>
      </c>
      <c r="AK108" s="1154">
        <f t="shared" si="159"/>
        <v>7377.5104880100744</v>
      </c>
      <c r="AL108" s="1155">
        <f t="shared" si="159"/>
        <v>5402.5632811176656</v>
      </c>
      <c r="AM108" s="1154">
        <f t="shared" si="159"/>
        <v>6081.509077044283</v>
      </c>
      <c r="AN108" s="1154">
        <f t="shared" si="159"/>
        <v>10853.739245532757</v>
      </c>
      <c r="AO108" s="1154">
        <f t="shared" si="159"/>
        <v>10437.986082685222</v>
      </c>
      <c r="AP108" s="1155">
        <f t="shared" si="159"/>
        <v>8954.2936288088658</v>
      </c>
      <c r="AQ108" s="1154">
        <f t="shared" si="159"/>
        <v>9568.8121647134849</v>
      </c>
      <c r="AR108" s="1154">
        <f t="shared" si="159"/>
        <v>12135.565714038688</v>
      </c>
      <c r="AS108" s="1154">
        <f t="shared" si="159"/>
        <v>12432.237568226872</v>
      </c>
      <c r="AT108" s="1155">
        <f t="shared" si="159"/>
        <v>9155.3108828586155</v>
      </c>
      <c r="AU108" s="1154">
        <f t="shared" si="159"/>
        <v>10477.444338766418</v>
      </c>
      <c r="AV108" s="1154">
        <f t="shared" si="159"/>
        <v>13287.930842363825</v>
      </c>
      <c r="AW108" s="1154">
        <f t="shared" si="159"/>
        <v>13612.773966633513</v>
      </c>
      <c r="AX108" s="1155">
        <f t="shared" si="159"/>
        <v>10024.677935782822</v>
      </c>
      <c r="AY108" s="1154">
        <f t="shared" si="164"/>
        <v>10870.28187437005</v>
      </c>
      <c r="AZ108" s="1154">
        <f t="shared" si="164"/>
        <v>13786.143749691979</v>
      </c>
      <c r="BA108" s="1154">
        <f t="shared" si="164"/>
        <v>14123.166425412372</v>
      </c>
      <c r="BB108" s="1155">
        <f t="shared" si="164"/>
        <v>10400.539610460706</v>
      </c>
      <c r="BC108" s="1156"/>
      <c r="BD108" s="1156"/>
      <c r="BE108" s="1280">
        <f t="shared" si="140"/>
        <v>6644.4276073287056</v>
      </c>
      <c r="BF108" s="1280">
        <f t="shared" si="141"/>
        <v>5240.8699209245942</v>
      </c>
      <c r="BG108" s="1280">
        <f t="shared" si="142"/>
        <v>6683.2655849546809</v>
      </c>
      <c r="BH108" s="1280">
        <f t="shared" si="143"/>
        <v>6804.1287606717497</v>
      </c>
      <c r="BI108" s="1280">
        <f t="shared" si="144"/>
        <v>6710.6202886996825</v>
      </c>
      <c r="BJ108" s="1280">
        <f t="shared" si="145"/>
        <v>7763.5943317597212</v>
      </c>
      <c r="BK108" s="1280">
        <f t="shared" si="146"/>
        <v>7484.6666317362515</v>
      </c>
      <c r="BL108" s="1280">
        <f t="shared" si="147"/>
        <v>6561.9298461225462</v>
      </c>
      <c r="BM108" s="1280">
        <f t="shared" si="148"/>
        <v>9081.8820085177831</v>
      </c>
      <c r="BN108" s="1280">
        <f t="shared" si="149"/>
        <v>10822.981582459415</v>
      </c>
      <c r="BO108" s="1280">
        <f t="shared" si="150"/>
        <v>11850.706770886643</v>
      </c>
      <c r="BP108" s="1280">
        <f t="shared" si="151"/>
        <v>12295.032914983778</v>
      </c>
      <c r="BQ108" s="1114"/>
      <c r="BR108" s="1115"/>
      <c r="BU108" s="1087"/>
      <c r="BV108" s="1539">
        <v>4</v>
      </c>
      <c r="BW108" s="1514" t="s">
        <v>703</v>
      </c>
      <c r="BX108" s="1401">
        <f t="shared" si="170"/>
        <v>0</v>
      </c>
      <c r="BY108" s="1401">
        <f t="shared" si="170"/>
        <v>0</v>
      </c>
      <c r="BZ108" s="1401">
        <f t="shared" si="170"/>
        <v>0</v>
      </c>
      <c r="CA108" s="1401">
        <f t="shared" si="170"/>
        <v>0</v>
      </c>
      <c r="CB108" s="1401">
        <f t="shared" si="170"/>
        <v>0</v>
      </c>
      <c r="CC108" s="1401">
        <f t="shared" si="170"/>
        <v>0</v>
      </c>
      <c r="CD108" s="1401">
        <f t="shared" si="170"/>
        <v>0</v>
      </c>
      <c r="CE108" s="1401">
        <f t="shared" si="170"/>
        <v>0</v>
      </c>
      <c r="CF108" s="1401">
        <f t="shared" si="170"/>
        <v>0</v>
      </c>
      <c r="CG108" s="1401">
        <f t="shared" si="170"/>
        <v>0</v>
      </c>
      <c r="CH108" s="1401">
        <f t="shared" si="170"/>
        <v>0</v>
      </c>
      <c r="CI108" s="1401">
        <f t="shared" si="170"/>
        <v>0</v>
      </c>
      <c r="CJ108" s="1401">
        <f t="shared" si="170"/>
        <v>0</v>
      </c>
      <c r="CK108" s="1401">
        <f t="shared" si="170"/>
        <v>0</v>
      </c>
      <c r="CL108" s="1401">
        <f t="shared" si="170"/>
        <v>0</v>
      </c>
      <c r="CM108" s="1401">
        <f t="shared" si="170"/>
        <v>0</v>
      </c>
      <c r="CN108" s="1401">
        <f t="shared" si="170"/>
        <v>0</v>
      </c>
      <c r="CO108" s="1401">
        <f t="shared" si="170"/>
        <v>0</v>
      </c>
      <c r="CP108" s="1401">
        <f t="shared" si="170"/>
        <v>0</v>
      </c>
      <c r="CQ108" s="1401">
        <f t="shared" si="170"/>
        <v>0</v>
      </c>
      <c r="CR108" s="1401">
        <f t="shared" si="170"/>
        <v>0</v>
      </c>
      <c r="CS108" s="1401">
        <f t="shared" si="170"/>
        <v>0</v>
      </c>
      <c r="CT108" s="1401">
        <f t="shared" si="170"/>
        <v>0</v>
      </c>
      <c r="CU108" s="1401">
        <f t="shared" si="170"/>
        <v>0</v>
      </c>
      <c r="CV108" s="1401">
        <f t="shared" si="170"/>
        <v>0</v>
      </c>
    </row>
    <row r="109" spans="1:100" ht="12.75" customHeight="1">
      <c r="A109" s="1088"/>
      <c r="B109" s="1089"/>
      <c r="C109" s="1370" t="s">
        <v>552</v>
      </c>
      <c r="D109" s="1370"/>
      <c r="E109" s="1370"/>
      <c r="F109" s="1369"/>
      <c r="G109" s="1397">
        <f t="shared" ref="G109:R109" si="172">IF(ISBLANK(G252),"",G252)</f>
        <v>7774.7039121401549</v>
      </c>
      <c r="H109" s="1385">
        <f t="shared" si="172"/>
        <v>4421.426097331675</v>
      </c>
      <c r="I109" s="1385">
        <f t="shared" si="172"/>
        <v>6156.2722201020406</v>
      </c>
      <c r="J109" s="1398">
        <f t="shared" si="172"/>
        <v>7002.5167489617788</v>
      </c>
      <c r="K109" s="1397">
        <f t="shared" si="172"/>
        <v>4589.0510511069697</v>
      </c>
      <c r="L109" s="1385">
        <f t="shared" si="172"/>
        <v>2411.1346788076098</v>
      </c>
      <c r="M109" s="1385">
        <f t="shared" si="172"/>
        <v>5490.4974244869181</v>
      </c>
      <c r="N109" s="1398">
        <f t="shared" si="172"/>
        <v>6615.8727095483928</v>
      </c>
      <c r="O109" s="1397">
        <f t="shared" si="172"/>
        <v>7046.3802040246701</v>
      </c>
      <c r="P109" s="1385">
        <f t="shared" si="172"/>
        <v>5518.5767411822817</v>
      </c>
      <c r="Q109" s="1385">
        <f t="shared" si="172"/>
        <v>6377.5206167201122</v>
      </c>
      <c r="R109" s="1385">
        <f t="shared" si="172"/>
        <v>7344.081803590022</v>
      </c>
      <c r="S109" s="1153">
        <f t="shared" si="161"/>
        <v>9311.2686731067824</v>
      </c>
      <c r="T109" s="1154">
        <f t="shared" si="161"/>
        <v>7056.6794179267672</v>
      </c>
      <c r="U109" s="1154">
        <f t="shared" si="161"/>
        <v>8597.9551187672805</v>
      </c>
      <c r="V109" s="1155">
        <f t="shared" si="161"/>
        <v>9033.2153415300436</v>
      </c>
      <c r="W109" s="1154">
        <f t="shared" si="161"/>
        <v>7778.1824249044994</v>
      </c>
      <c r="X109" s="1154">
        <f t="shared" si="161"/>
        <v>4321.8647012602933</v>
      </c>
      <c r="Y109" s="1154">
        <f t="shared" si="161"/>
        <v>7399.6643648541531</v>
      </c>
      <c r="Z109" s="1155">
        <f t="shared" si="161"/>
        <v>8079.6050793482691</v>
      </c>
      <c r="AA109" s="1154">
        <f t="shared" si="161"/>
        <v>8597.8421847930604</v>
      </c>
      <c r="AB109" s="1154">
        <f t="shared" si="161"/>
        <v>9043.6082365961338</v>
      </c>
      <c r="AC109" s="1154">
        <f t="shared" si="161"/>
        <v>9384.1581076756538</v>
      </c>
      <c r="AD109" s="1155">
        <f t="shared" si="161"/>
        <v>10244.540848251741</v>
      </c>
      <c r="AE109" s="1154">
        <f t="shared" si="161"/>
        <v>9931.6699639321978</v>
      </c>
      <c r="AF109" s="1154">
        <f t="shared" si="161"/>
        <v>8322.9072817939832</v>
      </c>
      <c r="AG109" s="1154">
        <f t="shared" si="161"/>
        <v>9519.3024094689408</v>
      </c>
      <c r="AH109" s="1155">
        <f t="shared" si="161"/>
        <v>8836.9259337879703</v>
      </c>
      <c r="AI109" s="1154">
        <f t="shared" si="159"/>
        <v>7422.1179080352858</v>
      </c>
      <c r="AJ109" s="1154">
        <f t="shared" si="159"/>
        <v>6926.4056548853769</v>
      </c>
      <c r="AK109" s="1154">
        <f t="shared" si="159"/>
        <v>9076.9846765896473</v>
      </c>
      <c r="AL109" s="1155">
        <f t="shared" si="159"/>
        <v>7115.4623612168161</v>
      </c>
      <c r="AM109" s="1154">
        <f t="shared" si="159"/>
        <v>7142.1403365965198</v>
      </c>
      <c r="AN109" s="1154">
        <f t="shared" si="159"/>
        <v>11846.45929847783</v>
      </c>
      <c r="AO109" s="1154">
        <f t="shared" si="159"/>
        <v>13262.382316823576</v>
      </c>
      <c r="AP109" s="1155">
        <f t="shared" si="159"/>
        <v>13234.072022160666</v>
      </c>
      <c r="AQ109" s="1154">
        <f t="shared" si="159"/>
        <v>12329.48172551779</v>
      </c>
      <c r="AR109" s="1154">
        <f t="shared" si="159"/>
        <v>13082.874702863712</v>
      </c>
      <c r="AS109" s="1154">
        <f t="shared" si="159"/>
        <v>15543.273890119144</v>
      </c>
      <c r="AT109" s="1155">
        <f t="shared" si="159"/>
        <v>12131.723236546579</v>
      </c>
      <c r="AU109" s="1154">
        <f t="shared" si="159"/>
        <v>13058.427446074731</v>
      </c>
      <c r="AV109" s="1154">
        <f t="shared" si="159"/>
        <v>13856.36265146884</v>
      </c>
      <c r="AW109" s="1154">
        <f t="shared" si="159"/>
        <v>16462.225978932187</v>
      </c>
      <c r="AX109" s="1155">
        <f t="shared" si="159"/>
        <v>12848.977046003884</v>
      </c>
      <c r="AY109" s="1154">
        <f t="shared" si="164"/>
        <v>13044.817446046907</v>
      </c>
      <c r="AZ109" s="1154">
        <f t="shared" si="164"/>
        <v>13841.92101239317</v>
      </c>
      <c r="BA109" s="1154">
        <f t="shared" si="164"/>
        <v>16445.068407933952</v>
      </c>
      <c r="BB109" s="1155">
        <f t="shared" si="164"/>
        <v>12835.585343314124</v>
      </c>
      <c r="BC109" s="1156"/>
      <c r="BD109" s="1156"/>
      <c r="BE109" s="1280">
        <f t="shared" si="140"/>
        <v>6338.7297446339117</v>
      </c>
      <c r="BF109" s="1280">
        <f t="shared" si="141"/>
        <v>4776.6389659874721</v>
      </c>
      <c r="BG109" s="1280">
        <f t="shared" si="142"/>
        <v>6571.6398413792722</v>
      </c>
      <c r="BH109" s="1280">
        <f t="shared" si="143"/>
        <v>8499.7796378327184</v>
      </c>
      <c r="BI109" s="1280">
        <f t="shared" si="144"/>
        <v>6894.8291425918032</v>
      </c>
      <c r="BJ109" s="1280">
        <f t="shared" si="145"/>
        <v>9317.5373443291464</v>
      </c>
      <c r="BK109" s="1280">
        <f t="shared" si="146"/>
        <v>9152.7013972457735</v>
      </c>
      <c r="BL109" s="1280">
        <f t="shared" si="147"/>
        <v>7635.2426501817808</v>
      </c>
      <c r="BM109" s="1280">
        <f t="shared" si="148"/>
        <v>11371.263493514649</v>
      </c>
      <c r="BN109" s="1280">
        <f t="shared" si="149"/>
        <v>13271.838388761804</v>
      </c>
      <c r="BO109" s="1280">
        <f t="shared" si="150"/>
        <v>14056.498280619911</v>
      </c>
      <c r="BP109" s="1280">
        <f t="shared" si="151"/>
        <v>14041.848052422038</v>
      </c>
      <c r="BQ109" s="1114"/>
      <c r="BR109" s="1115"/>
      <c r="BU109" s="1087"/>
      <c r="BV109" s="1539">
        <v>5</v>
      </c>
      <c r="BW109" s="1514" t="s">
        <v>532</v>
      </c>
      <c r="BX109" s="1401">
        <f t="shared" si="170"/>
        <v>0</v>
      </c>
      <c r="BY109" s="1401">
        <f t="shared" si="170"/>
        <v>0</v>
      </c>
      <c r="BZ109" s="1401">
        <f t="shared" si="170"/>
        <v>0</v>
      </c>
      <c r="CA109" s="1401">
        <f t="shared" si="170"/>
        <v>0</v>
      </c>
      <c r="CB109" s="1401">
        <f t="shared" si="170"/>
        <v>0</v>
      </c>
      <c r="CC109" s="1401">
        <f t="shared" si="170"/>
        <v>0</v>
      </c>
      <c r="CD109" s="1401">
        <f t="shared" si="170"/>
        <v>0</v>
      </c>
      <c r="CE109" s="1401">
        <f t="shared" si="170"/>
        <v>0</v>
      </c>
      <c r="CF109" s="1401">
        <f t="shared" si="170"/>
        <v>0</v>
      </c>
      <c r="CG109" s="1401">
        <f t="shared" si="170"/>
        <v>0</v>
      </c>
      <c r="CH109" s="1401">
        <f t="shared" si="170"/>
        <v>0</v>
      </c>
      <c r="CI109" s="1401">
        <f t="shared" si="170"/>
        <v>0</v>
      </c>
      <c r="CJ109" s="1401">
        <f t="shared" si="170"/>
        <v>0</v>
      </c>
      <c r="CK109" s="1401">
        <f t="shared" si="170"/>
        <v>0</v>
      </c>
      <c r="CL109" s="1401">
        <f t="shared" si="170"/>
        <v>0</v>
      </c>
      <c r="CM109" s="1401">
        <f t="shared" si="170"/>
        <v>0</v>
      </c>
      <c r="CN109" s="1401">
        <f t="shared" si="170"/>
        <v>0</v>
      </c>
      <c r="CO109" s="1401">
        <f t="shared" si="170"/>
        <v>0</v>
      </c>
      <c r="CP109" s="1401">
        <f t="shared" si="170"/>
        <v>0</v>
      </c>
      <c r="CQ109" s="1401">
        <f t="shared" si="170"/>
        <v>0</v>
      </c>
      <c r="CR109" s="1401">
        <f t="shared" si="170"/>
        <v>0</v>
      </c>
      <c r="CS109" s="1401">
        <f t="shared" si="170"/>
        <v>0</v>
      </c>
      <c r="CT109" s="1401">
        <f t="shared" si="170"/>
        <v>0</v>
      </c>
      <c r="CU109" s="1401">
        <f t="shared" si="170"/>
        <v>0</v>
      </c>
      <c r="CV109" s="1401">
        <f t="shared" si="170"/>
        <v>0</v>
      </c>
    </row>
    <row r="110" spans="1:100" ht="12.75" customHeight="1">
      <c r="A110" s="1088"/>
      <c r="B110" s="1089"/>
      <c r="C110" s="1370" t="s">
        <v>553</v>
      </c>
      <c r="D110" s="1370"/>
      <c r="E110" s="1370"/>
      <c r="F110" s="1369"/>
      <c r="G110" s="1397">
        <f t="shared" ref="G110:R110" si="173">IF(ISBLANK(G253),"",G253)</f>
        <v>7252.1393102577795</v>
      </c>
      <c r="H110" s="1385">
        <f t="shared" si="173"/>
        <v>4593.567349875505</v>
      </c>
      <c r="I110" s="1385">
        <f t="shared" si="173"/>
        <v>6427.0806799498041</v>
      </c>
      <c r="J110" s="1398">
        <f t="shared" si="173"/>
        <v>7240.3857070656832</v>
      </c>
      <c r="K110" s="1397">
        <f t="shared" si="173"/>
        <v>4527.9726426404268</v>
      </c>
      <c r="L110" s="1385">
        <f t="shared" si="173"/>
        <v>2139.4239164830151</v>
      </c>
      <c r="M110" s="1385">
        <f t="shared" si="173"/>
        <v>5540.0381805538027</v>
      </c>
      <c r="N110" s="1398">
        <f t="shared" si="173"/>
        <v>6922.8867412093605</v>
      </c>
      <c r="O110" s="1397">
        <f t="shared" si="173"/>
        <v>7288.8165261279782</v>
      </c>
      <c r="P110" s="1385">
        <f t="shared" si="173"/>
        <v>4935.209035652063</v>
      </c>
      <c r="Q110" s="1385">
        <f t="shared" si="173"/>
        <v>6004.1600044308707</v>
      </c>
      <c r="R110" s="1385">
        <f t="shared" si="173"/>
        <v>7422.4345820566759</v>
      </c>
      <c r="S110" s="1153">
        <f t="shared" si="161"/>
        <v>8678.8668853041981</v>
      </c>
      <c r="T110" s="1154">
        <f t="shared" si="161"/>
        <v>7027.7276846105133</v>
      </c>
      <c r="U110" s="1154">
        <f t="shared" si="161"/>
        <v>8817.9649843376701</v>
      </c>
      <c r="V110" s="1155">
        <f t="shared" si="161"/>
        <v>9456.2247970327371</v>
      </c>
      <c r="W110" s="1154">
        <f t="shared" si="161"/>
        <v>7950.7893476766221</v>
      </c>
      <c r="X110" s="1154">
        <f t="shared" si="161"/>
        <v>5115.2173055428402</v>
      </c>
      <c r="Y110" s="1154">
        <f t="shared" si="161"/>
        <v>7521.7861132026201</v>
      </c>
      <c r="Z110" s="1155">
        <f t="shared" si="161"/>
        <v>8141.7125084036306</v>
      </c>
      <c r="AA110" s="1154">
        <f t="shared" si="161"/>
        <v>9101.9308944914155</v>
      </c>
      <c r="AB110" s="1154">
        <f t="shared" si="161"/>
        <v>9671.1886124478242</v>
      </c>
      <c r="AC110" s="1154">
        <f t="shared" si="161"/>
        <v>9120.2470401114297</v>
      </c>
      <c r="AD110" s="1155">
        <f t="shared" si="161"/>
        <v>10477.07621910588</v>
      </c>
      <c r="AE110" s="1154">
        <f t="shared" si="161"/>
        <v>9611.7445703524172</v>
      </c>
      <c r="AF110" s="1154">
        <f t="shared" si="161"/>
        <v>9580.9697078732752</v>
      </c>
      <c r="AG110" s="1154">
        <f t="shared" si="161"/>
        <v>10025.134228924268</v>
      </c>
      <c r="AH110" s="1155">
        <f t="shared" si="161"/>
        <v>9232.644929535496</v>
      </c>
      <c r="AI110" s="1154">
        <f t="shared" si="159"/>
        <v>7618.1564331858617</v>
      </c>
      <c r="AJ110" s="1154">
        <f t="shared" si="159"/>
        <v>6565.829016583225</v>
      </c>
      <c r="AK110" s="1154">
        <f t="shared" si="159"/>
        <v>9399.4393190765804</v>
      </c>
      <c r="AL110" s="1155">
        <f t="shared" si="159"/>
        <v>7066.9504901112114</v>
      </c>
      <c r="AM110" s="1154">
        <f t="shared" si="159"/>
        <v>7616.7891957904303</v>
      </c>
      <c r="AN110" s="1154">
        <f t="shared" si="159"/>
        <v>12260.09265387161</v>
      </c>
      <c r="AO110" s="1154">
        <f t="shared" si="159"/>
        <v>13180.515759312319</v>
      </c>
      <c r="AP110" s="1155">
        <f t="shared" si="159"/>
        <v>13337.950138504159</v>
      </c>
      <c r="AQ110" s="1154">
        <f t="shared" si="159"/>
        <v>12476.166964736271</v>
      </c>
      <c r="AR110" s="1154">
        <f t="shared" si="159"/>
        <v>13453.482204801772</v>
      </c>
      <c r="AS110" s="1154">
        <f t="shared" si="159"/>
        <v>15729.035256212897</v>
      </c>
      <c r="AT110" s="1155">
        <f t="shared" si="159"/>
        <v>12833.726601162503</v>
      </c>
      <c r="AU110" s="1154">
        <f t="shared" si="159"/>
        <v>13182.832885276595</v>
      </c>
      <c r="AV110" s="1154">
        <f t="shared" si="159"/>
        <v>14215.504500078907</v>
      </c>
      <c r="AW110" s="1154">
        <f t="shared" si="159"/>
        <v>16619.947762430536</v>
      </c>
      <c r="AX110" s="1155">
        <f t="shared" si="159"/>
        <v>13560.64515300677</v>
      </c>
      <c r="AY110" s="1154">
        <f t="shared" si="164"/>
        <v>13153.941016853727</v>
      </c>
      <c r="AZ110" s="1154">
        <f t="shared" si="164"/>
        <v>14184.349399414645</v>
      </c>
      <c r="BA110" s="1154">
        <f t="shared" si="164"/>
        <v>16583.523016086117</v>
      </c>
      <c r="BB110" s="1155">
        <f t="shared" si="164"/>
        <v>13530.925260560325</v>
      </c>
      <c r="BC110" s="1156"/>
      <c r="BD110" s="1156"/>
      <c r="BE110" s="1280">
        <f t="shared" si="140"/>
        <v>6378.293261787192</v>
      </c>
      <c r="BF110" s="1280">
        <f t="shared" si="141"/>
        <v>4782.5803702216508</v>
      </c>
      <c r="BG110" s="1280">
        <f t="shared" si="142"/>
        <v>6412.6550370668974</v>
      </c>
      <c r="BH110" s="1280">
        <f t="shared" si="143"/>
        <v>8495.1960878212794</v>
      </c>
      <c r="BI110" s="1280">
        <f t="shared" si="144"/>
        <v>7182.3763187064278</v>
      </c>
      <c r="BJ110" s="1280">
        <f t="shared" si="145"/>
        <v>9592.6106915391374</v>
      </c>
      <c r="BK110" s="1280">
        <f t="shared" si="146"/>
        <v>9612.6233591713644</v>
      </c>
      <c r="BL110" s="1280">
        <f t="shared" si="147"/>
        <v>7662.5938147392199</v>
      </c>
      <c r="BM110" s="1280">
        <f t="shared" si="148"/>
        <v>11598.836936869629</v>
      </c>
      <c r="BN110" s="1280">
        <f t="shared" si="149"/>
        <v>13623.10275672836</v>
      </c>
      <c r="BO110" s="1280">
        <f t="shared" si="150"/>
        <v>14394.732575198203</v>
      </c>
      <c r="BP110" s="1280">
        <f t="shared" si="151"/>
        <v>14363.184673228703</v>
      </c>
      <c r="BQ110" s="1114"/>
      <c r="BR110" s="1115"/>
      <c r="BU110" s="1087"/>
      <c r="BV110" s="1539">
        <v>6</v>
      </c>
      <c r="BW110" s="1514" t="s">
        <v>281</v>
      </c>
      <c r="BX110" s="1401">
        <f t="shared" si="170"/>
        <v>0</v>
      </c>
      <c r="BY110" s="1401">
        <f t="shared" si="170"/>
        <v>0</v>
      </c>
      <c r="BZ110" s="1401">
        <f t="shared" si="170"/>
        <v>0</v>
      </c>
      <c r="CA110" s="1401">
        <f t="shared" si="170"/>
        <v>0</v>
      </c>
      <c r="CB110" s="1401">
        <f t="shared" si="170"/>
        <v>0</v>
      </c>
      <c r="CC110" s="1401">
        <f t="shared" si="170"/>
        <v>0</v>
      </c>
      <c r="CD110" s="1401">
        <f t="shared" si="170"/>
        <v>0</v>
      </c>
      <c r="CE110" s="1401">
        <f t="shared" si="170"/>
        <v>0</v>
      </c>
      <c r="CF110" s="1401">
        <f t="shared" si="170"/>
        <v>0</v>
      </c>
      <c r="CG110" s="1401">
        <f t="shared" si="170"/>
        <v>0</v>
      </c>
      <c r="CH110" s="1401">
        <f t="shared" si="170"/>
        <v>0</v>
      </c>
      <c r="CI110" s="1401">
        <f t="shared" si="170"/>
        <v>0</v>
      </c>
      <c r="CJ110" s="1401">
        <f t="shared" si="170"/>
        <v>0</v>
      </c>
      <c r="CK110" s="1401">
        <f t="shared" si="170"/>
        <v>0</v>
      </c>
      <c r="CL110" s="1401">
        <f t="shared" si="170"/>
        <v>0</v>
      </c>
      <c r="CM110" s="1401">
        <f t="shared" si="170"/>
        <v>0</v>
      </c>
      <c r="CN110" s="1401">
        <f t="shared" si="170"/>
        <v>0</v>
      </c>
      <c r="CO110" s="1401">
        <f t="shared" si="170"/>
        <v>0</v>
      </c>
      <c r="CP110" s="1401">
        <f t="shared" si="170"/>
        <v>0</v>
      </c>
      <c r="CQ110" s="1401">
        <f t="shared" si="170"/>
        <v>0</v>
      </c>
      <c r="CR110" s="1401">
        <f t="shared" si="170"/>
        <v>0</v>
      </c>
      <c r="CS110" s="1401">
        <f t="shared" si="170"/>
        <v>0</v>
      </c>
      <c r="CT110" s="1401">
        <f t="shared" si="170"/>
        <v>0</v>
      </c>
      <c r="CU110" s="1401">
        <f t="shared" si="170"/>
        <v>0</v>
      </c>
      <c r="CV110" s="1401">
        <f t="shared" si="170"/>
        <v>0</v>
      </c>
    </row>
    <row r="111" spans="1:100" ht="12.75" customHeight="1">
      <c r="A111" s="1088"/>
      <c r="B111" s="1089"/>
      <c r="C111" s="1370" t="s">
        <v>554</v>
      </c>
      <c r="D111" s="1370"/>
      <c r="E111" s="1370"/>
      <c r="F111" s="1369"/>
      <c r="G111" s="1397">
        <f t="shared" ref="G111:R111" si="174">IF(ISBLANK(G254),"",G254)</f>
        <v>7403.8228607986066</v>
      </c>
      <c r="H111" s="1385">
        <f t="shared" si="174"/>
        <v>5010.1388926342906</v>
      </c>
      <c r="I111" s="1385">
        <f t="shared" si="174"/>
        <v>6534.2814502677575</v>
      </c>
      <c r="J111" s="1398">
        <f t="shared" si="174"/>
        <v>7663.4892753526874</v>
      </c>
      <c r="K111" s="1397">
        <f t="shared" si="174"/>
        <v>3929.5845308814478</v>
      </c>
      <c r="L111" s="1385">
        <f t="shared" si="174"/>
        <v>2019.2783189557053</v>
      </c>
      <c r="M111" s="1385">
        <f t="shared" si="174"/>
        <v>4670.8573279366547</v>
      </c>
      <c r="N111" s="1398">
        <f t="shared" si="174"/>
        <v>7514.4082343612945</v>
      </c>
      <c r="O111" s="1397">
        <f t="shared" si="174"/>
        <v>6973.3021358291335</v>
      </c>
      <c r="P111" s="1385">
        <f t="shared" si="174"/>
        <v>28.782848697248738</v>
      </c>
      <c r="Q111" s="1385">
        <f t="shared" si="174"/>
        <v>4227.0980279257255</v>
      </c>
      <c r="R111" s="1385">
        <f t="shared" si="174"/>
        <v>6727.2801290828729</v>
      </c>
      <c r="S111" s="1153">
        <f t="shared" si="161"/>
        <v>7153.2681962593506</v>
      </c>
      <c r="T111" s="1154">
        <f t="shared" si="161"/>
        <v>4191.4647898805733</v>
      </c>
      <c r="U111" s="1154">
        <f t="shared" si="161"/>
        <v>6208.3880299897546</v>
      </c>
      <c r="V111" s="1155">
        <f t="shared" si="161"/>
        <v>9165.8261083092457</v>
      </c>
      <c r="W111" s="1154">
        <f t="shared" si="161"/>
        <v>4535.3497131161557</v>
      </c>
      <c r="X111" s="1154">
        <f t="shared" si="161"/>
        <v>2842.1256826512813</v>
      </c>
      <c r="Y111" s="1154">
        <f t="shared" si="161"/>
        <v>6174.4647234642125</v>
      </c>
      <c r="Z111" s="1155">
        <f t="shared" si="161"/>
        <v>6739.3189580413173</v>
      </c>
      <c r="AA111" s="1154">
        <f t="shared" si="161"/>
        <v>5272.3423493712744</v>
      </c>
      <c r="AB111" s="1154">
        <f t="shared" si="161"/>
        <v>8070.6412815660206</v>
      </c>
      <c r="AC111" s="1154">
        <f t="shared" si="161"/>
        <v>7444.7534957486841</v>
      </c>
      <c r="AD111" s="1155">
        <f t="shared" si="161"/>
        <v>7741.2731719518661</v>
      </c>
      <c r="AE111" s="1154">
        <f t="shared" si="161"/>
        <v>7078.7259123138783</v>
      </c>
      <c r="AF111" s="1154">
        <f t="shared" si="161"/>
        <v>4819.6778604479841</v>
      </c>
      <c r="AG111" s="1154">
        <f t="shared" si="161"/>
        <v>8065.3674973948418</v>
      </c>
      <c r="AH111" s="1155">
        <f t="shared" si="161"/>
        <v>6021.0210358521981</v>
      </c>
      <c r="AI111" s="1154">
        <f t="shared" si="159"/>
        <v>5379.6174287968361</v>
      </c>
      <c r="AJ111" s="1154">
        <f t="shared" si="159"/>
        <v>1169.9251809150007</v>
      </c>
      <c r="AK111" s="1154">
        <f t="shared" si="159"/>
        <v>7370.4596656258645</v>
      </c>
      <c r="AL111" s="1155">
        <f t="shared" si="159"/>
        <v>5207.6474963728888</v>
      </c>
      <c r="AM111" s="1154">
        <f t="shared" si="159"/>
        <v>4481.8108025744623</v>
      </c>
      <c r="AN111" s="1154">
        <f t="shared" si="159"/>
        <v>2680.344142951687</v>
      </c>
      <c r="AO111" s="1154">
        <f t="shared" si="159"/>
        <v>7122.3905034793297</v>
      </c>
      <c r="AP111" s="1155">
        <f t="shared" si="159"/>
        <v>8538.7811634349055</v>
      </c>
      <c r="AQ111" s="1154">
        <f t="shared" si="159"/>
        <v>9294.2311509543069</v>
      </c>
      <c r="AR111" s="1154">
        <f t="shared" si="159"/>
        <v>5469.5978144865967</v>
      </c>
      <c r="AS111" s="1154">
        <f t="shared" si="159"/>
        <v>11009.808729651124</v>
      </c>
      <c r="AT111" s="1155">
        <f t="shared" si="159"/>
        <v>7014.3272150574057</v>
      </c>
      <c r="AU111" s="1154">
        <f t="shared" si="159"/>
        <v>10558.398782517217</v>
      </c>
      <c r="AV111" s="1154">
        <f t="shared" si="159"/>
        <v>6213.5526830968138</v>
      </c>
      <c r="AW111" s="1154">
        <f t="shared" si="159"/>
        <v>12507.32300486846</v>
      </c>
      <c r="AX111" s="1155">
        <f t="shared" si="159"/>
        <v>7968.3905774212635</v>
      </c>
      <c r="AY111" s="1154">
        <f t="shared" si="164"/>
        <v>11008.480327842066</v>
      </c>
      <c r="AZ111" s="1154">
        <f t="shared" si="164"/>
        <v>6478.4229016943764</v>
      </c>
      <c r="BA111" s="1154">
        <f t="shared" si="164"/>
        <v>13040.482945297053</v>
      </c>
      <c r="BB111" s="1155">
        <f t="shared" si="164"/>
        <v>8308.0657136527334</v>
      </c>
      <c r="BC111" s="1156"/>
      <c r="BD111" s="1156"/>
      <c r="BE111" s="1280">
        <f t="shared" si="140"/>
        <v>6652.9331197633355</v>
      </c>
      <c r="BF111" s="1280">
        <f t="shared" si="141"/>
        <v>4533.5321030337755</v>
      </c>
      <c r="BG111" s="1280">
        <f t="shared" si="142"/>
        <v>4489.1157853837449</v>
      </c>
      <c r="BH111" s="1280">
        <f t="shared" si="143"/>
        <v>6679.7367811097301</v>
      </c>
      <c r="BI111" s="1280">
        <f t="shared" si="144"/>
        <v>5072.8147693182418</v>
      </c>
      <c r="BJ111" s="1280">
        <f t="shared" si="145"/>
        <v>7132.2525746594611</v>
      </c>
      <c r="BK111" s="1280">
        <f t="shared" si="146"/>
        <v>6496.1980765022263</v>
      </c>
      <c r="BL111" s="1280">
        <f t="shared" si="147"/>
        <v>4781.9124429276471</v>
      </c>
      <c r="BM111" s="1280">
        <f t="shared" si="148"/>
        <v>5705.8316531100963</v>
      </c>
      <c r="BN111" s="1280">
        <f t="shared" si="149"/>
        <v>8196.991227537359</v>
      </c>
      <c r="BO111" s="1280">
        <f t="shared" si="150"/>
        <v>9311.9162619759391</v>
      </c>
      <c r="BP111" s="1280">
        <f t="shared" si="151"/>
        <v>9708.8629721215584</v>
      </c>
      <c r="BQ111" s="1114"/>
      <c r="BR111" s="1115"/>
      <c r="BU111" s="1087"/>
      <c r="BV111" s="1539">
        <v>7</v>
      </c>
      <c r="BW111" s="1514" t="s">
        <v>549</v>
      </c>
      <c r="BX111" s="1401">
        <f t="shared" si="170"/>
        <v>0</v>
      </c>
      <c r="BY111" s="1401">
        <f t="shared" si="170"/>
        <v>0</v>
      </c>
      <c r="BZ111" s="1401">
        <f t="shared" si="170"/>
        <v>0</v>
      </c>
      <c r="CA111" s="1401">
        <f t="shared" si="170"/>
        <v>0</v>
      </c>
      <c r="CB111" s="1401">
        <f t="shared" si="170"/>
        <v>0</v>
      </c>
      <c r="CC111" s="1401">
        <f t="shared" si="170"/>
        <v>0</v>
      </c>
      <c r="CD111" s="1401">
        <f t="shared" si="170"/>
        <v>0</v>
      </c>
      <c r="CE111" s="1401">
        <f t="shared" si="170"/>
        <v>0</v>
      </c>
      <c r="CF111" s="1401">
        <f t="shared" si="170"/>
        <v>0</v>
      </c>
      <c r="CG111" s="1401">
        <f t="shared" si="170"/>
        <v>0</v>
      </c>
      <c r="CH111" s="1401">
        <f t="shared" si="170"/>
        <v>0</v>
      </c>
      <c r="CI111" s="1401">
        <f t="shared" si="170"/>
        <v>0</v>
      </c>
      <c r="CJ111" s="1401">
        <f t="shared" si="170"/>
        <v>0</v>
      </c>
      <c r="CK111" s="1401">
        <f t="shared" si="170"/>
        <v>0</v>
      </c>
      <c r="CL111" s="1401">
        <f t="shared" si="170"/>
        <v>0</v>
      </c>
      <c r="CM111" s="1401">
        <f t="shared" si="170"/>
        <v>0</v>
      </c>
      <c r="CN111" s="1401">
        <f t="shared" si="170"/>
        <v>0</v>
      </c>
      <c r="CO111" s="1401">
        <f t="shared" si="170"/>
        <v>0</v>
      </c>
      <c r="CP111" s="1401">
        <f t="shared" si="170"/>
        <v>0</v>
      </c>
      <c r="CQ111" s="1401">
        <f t="shared" si="170"/>
        <v>0</v>
      </c>
      <c r="CR111" s="1401">
        <f t="shared" si="170"/>
        <v>0</v>
      </c>
      <c r="CS111" s="1401">
        <f t="shared" si="170"/>
        <v>0</v>
      </c>
      <c r="CT111" s="1401">
        <f t="shared" si="170"/>
        <v>0</v>
      </c>
      <c r="CU111" s="1401">
        <f t="shared" si="170"/>
        <v>0</v>
      </c>
      <c r="CV111" s="1401">
        <f t="shared" si="170"/>
        <v>0</v>
      </c>
    </row>
    <row r="112" spans="1:100" ht="12.75" customHeight="1">
      <c r="A112" s="1088"/>
      <c r="B112" s="1089"/>
      <c r="C112" s="1370"/>
      <c r="D112" s="1370"/>
      <c r="E112" s="1370"/>
      <c r="F112" s="1369"/>
      <c r="G112" s="1397">
        <f t="shared" ref="G112:R112" si="175">IF(ISBLANK(G255),"",G255)</f>
        <v>0</v>
      </c>
      <c r="H112" s="1385">
        <f t="shared" si="175"/>
        <v>0</v>
      </c>
      <c r="I112" s="1385">
        <f t="shared" si="175"/>
        <v>0</v>
      </c>
      <c r="J112" s="1398">
        <f t="shared" si="175"/>
        <v>5127.6255850361686</v>
      </c>
      <c r="K112" s="1391">
        <f t="shared" si="175"/>
        <v>5240.9261466320195</v>
      </c>
      <c r="L112" s="1385">
        <f t="shared" si="175"/>
        <v>3623.7222932969935</v>
      </c>
      <c r="M112" s="1385">
        <f t="shared" si="175"/>
        <v>7637.5478537222789</v>
      </c>
      <c r="N112" s="1398">
        <f t="shared" si="175"/>
        <v>5145.6041120023128</v>
      </c>
      <c r="O112" s="1397">
        <f t="shared" si="175"/>
        <v>5809.5791548366151</v>
      </c>
      <c r="P112" s="1385">
        <f t="shared" si="175"/>
        <v>5954.1949848390959</v>
      </c>
      <c r="Q112" s="1385">
        <f t="shared" si="175"/>
        <v>6888.4287903141694</v>
      </c>
      <c r="R112" s="1155">
        <f t="shared" si="175"/>
        <v>6233.7685965003757</v>
      </c>
      <c r="S112" s="1153">
        <f t="shared" si="161"/>
        <v>5988.0913357535692</v>
      </c>
      <c r="T112" s="1154">
        <f t="shared" si="161"/>
        <v>6007.9038515154725</v>
      </c>
      <c r="U112" s="1154">
        <f t="shared" si="161"/>
        <v>7349.2540806565275</v>
      </c>
      <c r="V112" s="1155">
        <f t="shared" si="161"/>
        <v>6994.6325194419514</v>
      </c>
      <c r="W112" s="1154">
        <f t="shared" si="161"/>
        <v>6080.7198049477747</v>
      </c>
      <c r="X112" s="1154">
        <f t="shared" si="161"/>
        <v>6970.9778782114672</v>
      </c>
      <c r="Y112" s="1154">
        <f t="shared" si="161"/>
        <v>7239.820470198154</v>
      </c>
      <c r="Z112" s="1155">
        <f t="shared" si="161"/>
        <v>6868.5436968988715</v>
      </c>
      <c r="AA112" s="1154">
        <f t="shared" si="161"/>
        <v>8226.1888723536613</v>
      </c>
      <c r="AB112" s="1154">
        <f t="shared" si="161"/>
        <v>7516.0998993134817</v>
      </c>
      <c r="AC112" s="1154">
        <f t="shared" si="161"/>
        <v>7447.7740060088181</v>
      </c>
      <c r="AD112" s="1155">
        <f t="shared" si="161"/>
        <v>7059.7639774892332</v>
      </c>
      <c r="AE112" s="1154">
        <f t="shared" si="161"/>
        <v>7250.2204400046912</v>
      </c>
      <c r="AF112" s="1154">
        <f t="shared" si="161"/>
        <v>6926.0052986481123</v>
      </c>
      <c r="AG112" s="1154">
        <f t="shared" si="161"/>
        <v>7584.2582143532491</v>
      </c>
      <c r="AH112" s="1155">
        <f t="shared" si="161"/>
        <v>6265.3734073086953</v>
      </c>
      <c r="AI112" s="1154">
        <f t="shared" si="159"/>
        <v>5413.0436677824982</v>
      </c>
      <c r="AJ112" s="1154">
        <f t="shared" si="159"/>
        <v>6726.7779529208856</v>
      </c>
      <c r="AK112" s="1154">
        <f t="shared" si="159"/>
        <v>7976.1185813343263</v>
      </c>
      <c r="AL112" s="1155">
        <f t="shared" si="159"/>
        <v>6750.161788693903</v>
      </c>
      <c r="AM112" s="1154">
        <f t="shared" si="159"/>
        <v>6422.2133266124401</v>
      </c>
      <c r="AN112" s="1154">
        <f t="shared" si="159"/>
        <v>8048.0608695652172</v>
      </c>
      <c r="AO112" s="1154">
        <f t="shared" si="159"/>
        <v>11474.906464924346</v>
      </c>
      <c r="AP112" s="1155">
        <f t="shared" si="159"/>
        <v>6852.997364953887</v>
      </c>
      <c r="AQ112" s="1154">
        <f t="shared" si="159"/>
        <v>6265.0137776610345</v>
      </c>
      <c r="AR112" s="1154">
        <f t="shared" si="159"/>
        <v>6530.144494614603</v>
      </c>
      <c r="AS112" s="1154">
        <f t="shared" si="159"/>
        <v>8725.0995759322941</v>
      </c>
      <c r="AT112" s="1155">
        <f t="shared" si="159"/>
        <v>6597.9020800638746</v>
      </c>
      <c r="AU112" s="1154">
        <f t="shared" si="159"/>
        <v>6031.9099537832089</v>
      </c>
      <c r="AV112" s="1154">
        <f t="shared" si="159"/>
        <v>6195.5449296090837</v>
      </c>
      <c r="AW112" s="1154">
        <f t="shared" si="159"/>
        <v>8244.6650067023384</v>
      </c>
      <c r="AX112" s="1155">
        <f t="shared" si="159"/>
        <v>6266.7223668496872</v>
      </c>
      <c r="AY112" s="1154">
        <f t="shared" si="164"/>
        <v>5639.6195767479512</v>
      </c>
      <c r="AZ112" s="1154">
        <f t="shared" si="164"/>
        <v>5777.3245530193408</v>
      </c>
      <c r="BA112" s="1154">
        <f t="shared" si="164"/>
        <v>7670.2250040588715</v>
      </c>
      <c r="BB112" s="1155">
        <f t="shared" si="164"/>
        <v>5829.5160354141863</v>
      </c>
      <c r="BC112" s="1156"/>
      <c r="BD112" s="1156"/>
      <c r="BE112" s="1280"/>
      <c r="BF112" s="1280"/>
      <c r="BG112" s="1280"/>
      <c r="BH112" s="1280"/>
      <c r="BI112" s="1280"/>
      <c r="BJ112" s="1280"/>
      <c r="BK112" s="1280"/>
      <c r="BL112" s="1280"/>
      <c r="BM112" s="1280"/>
      <c r="BN112" s="1280"/>
      <c r="BO112" s="1280"/>
      <c r="BP112" s="1280"/>
      <c r="BQ112" s="1114"/>
      <c r="BR112" s="1115"/>
      <c r="BU112" s="1087"/>
      <c r="BV112" s="1539"/>
      <c r="BW112" s="1511"/>
      <c r="BX112" s="1511"/>
      <c r="BY112" s="1511"/>
      <c r="BZ112" s="1511"/>
      <c r="CA112" s="1511"/>
      <c r="CB112" s="1511"/>
      <c r="CC112" s="1511"/>
      <c r="CD112" s="1511"/>
      <c r="CE112" s="1511"/>
      <c r="CF112" s="1511"/>
      <c r="CG112" s="1511"/>
      <c r="CH112" s="1511"/>
      <c r="CI112" s="1511"/>
      <c r="CJ112" s="1511"/>
      <c r="CK112" s="1511"/>
      <c r="CL112" s="1511"/>
      <c r="CM112" s="1511"/>
      <c r="CN112" s="1511"/>
      <c r="CO112" s="1511"/>
      <c r="CP112" s="1511"/>
      <c r="CQ112" s="1511"/>
      <c r="CR112" s="1511"/>
      <c r="CS112" s="1511"/>
      <c r="CT112" s="1511"/>
      <c r="CU112" s="1511"/>
      <c r="CV112" s="1511"/>
    </row>
    <row r="113" spans="1:100" ht="12.75" customHeight="1">
      <c r="A113" s="1088"/>
      <c r="B113" s="1089"/>
      <c r="C113" s="1376" t="s">
        <v>351</v>
      </c>
      <c r="D113" s="1142"/>
      <c r="E113" s="1142"/>
      <c r="F113" s="1269"/>
      <c r="G113" s="1391"/>
      <c r="H113" s="1392"/>
      <c r="I113" s="1392"/>
      <c r="J113" s="1393"/>
      <c r="K113" s="1391"/>
      <c r="L113" s="1392"/>
      <c r="M113" s="1392"/>
      <c r="N113" s="1393"/>
      <c r="O113" s="1391"/>
      <c r="P113" s="1392"/>
      <c r="Q113" s="1392"/>
      <c r="R113" s="1130"/>
      <c r="S113" s="1378" t="str">
        <f t="shared" si="161"/>
        <v/>
      </c>
      <c r="T113" s="1131" t="str">
        <f t="shared" si="161"/>
        <v/>
      </c>
      <c r="U113" s="1131" t="str">
        <f t="shared" si="161"/>
        <v/>
      </c>
      <c r="V113" s="1130" t="str">
        <f t="shared" si="161"/>
        <v/>
      </c>
      <c r="W113" s="1131" t="str">
        <f t="shared" si="161"/>
        <v/>
      </c>
      <c r="X113" s="1131" t="str">
        <f t="shared" si="161"/>
        <v/>
      </c>
      <c r="Y113" s="1131" t="str">
        <f t="shared" si="161"/>
        <v/>
      </c>
      <c r="Z113" s="1379" t="str">
        <f t="shared" si="161"/>
        <v/>
      </c>
      <c r="AA113" s="1380" t="str">
        <f t="shared" si="161"/>
        <v/>
      </c>
      <c r="AB113" s="1380" t="str">
        <f t="shared" si="161"/>
        <v/>
      </c>
      <c r="AC113" s="1380" t="str">
        <f t="shared" si="161"/>
        <v/>
      </c>
      <c r="AD113" s="1379" t="str">
        <f t="shared" si="161"/>
        <v/>
      </c>
      <c r="AE113" s="1380" t="str">
        <f t="shared" si="161"/>
        <v/>
      </c>
      <c r="AF113" s="1380" t="str">
        <f t="shared" si="161"/>
        <v/>
      </c>
      <c r="AG113" s="1380" t="str">
        <f t="shared" si="161"/>
        <v/>
      </c>
      <c r="AH113" s="1379" t="str">
        <f t="shared" si="161"/>
        <v/>
      </c>
      <c r="AI113" s="1380" t="str">
        <f t="shared" si="159"/>
        <v/>
      </c>
      <c r="AJ113" s="1380" t="str">
        <f t="shared" si="159"/>
        <v/>
      </c>
      <c r="AK113" s="1380" t="str">
        <f t="shared" si="159"/>
        <v/>
      </c>
      <c r="AL113" s="1379" t="str">
        <f t="shared" si="159"/>
        <v/>
      </c>
      <c r="AM113" s="1380" t="str">
        <f t="shared" si="159"/>
        <v/>
      </c>
      <c r="AN113" s="1380" t="str">
        <f t="shared" si="159"/>
        <v/>
      </c>
      <c r="AO113" s="1380" t="str">
        <f t="shared" si="159"/>
        <v/>
      </c>
      <c r="AP113" s="1379" t="str">
        <f t="shared" si="159"/>
        <v/>
      </c>
      <c r="AQ113" s="1380" t="str">
        <f t="shared" si="159"/>
        <v/>
      </c>
      <c r="AR113" s="1380" t="str">
        <f t="shared" si="159"/>
        <v/>
      </c>
      <c r="AS113" s="1380" t="str">
        <f t="shared" si="159"/>
        <v/>
      </c>
      <c r="AT113" s="1379" t="str">
        <f t="shared" si="159"/>
        <v/>
      </c>
      <c r="AU113" s="1380" t="str">
        <f t="shared" si="159"/>
        <v/>
      </c>
      <c r="AV113" s="1380" t="str">
        <f t="shared" si="159"/>
        <v/>
      </c>
      <c r="AW113" s="1380" t="str">
        <f t="shared" si="159"/>
        <v/>
      </c>
      <c r="AX113" s="1379" t="str">
        <f t="shared" si="159"/>
        <v/>
      </c>
      <c r="AY113" s="1380" t="str">
        <f t="shared" si="164"/>
        <v/>
      </c>
      <c r="AZ113" s="1380" t="str">
        <f t="shared" si="164"/>
        <v/>
      </c>
      <c r="BA113" s="1380" t="str">
        <f t="shared" si="164"/>
        <v/>
      </c>
      <c r="BB113" s="1379" t="str">
        <f t="shared" si="164"/>
        <v/>
      </c>
      <c r="BC113" s="1132"/>
      <c r="BD113" s="1133"/>
      <c r="BE113" s="1256"/>
      <c r="BF113" s="1256"/>
      <c r="BG113" s="1256"/>
      <c r="BH113" s="1256"/>
      <c r="BI113" s="1256"/>
      <c r="BJ113" s="1256"/>
      <c r="BK113" s="1256"/>
      <c r="BL113" s="1256"/>
      <c r="BM113" s="1256"/>
      <c r="BN113" s="1256"/>
      <c r="BO113" s="1256"/>
      <c r="BP113" s="1256"/>
      <c r="BQ113" s="1114"/>
      <c r="BR113" s="1115"/>
      <c r="BU113" s="1087"/>
      <c r="BV113" s="1511"/>
      <c r="BW113" s="1536" t="s">
        <v>973</v>
      </c>
      <c r="BX113" s="1511"/>
      <c r="BY113" s="1511"/>
      <c r="BZ113" s="1540" t="s">
        <v>974</v>
      </c>
      <c r="CA113" s="1511"/>
      <c r="CB113" s="1511"/>
      <c r="CC113" s="1511"/>
      <c r="CD113" s="1511"/>
      <c r="CE113" s="1511"/>
      <c r="CF113" s="1511"/>
      <c r="CG113" s="1511"/>
      <c r="CH113" s="1511"/>
      <c r="CI113" s="1511"/>
      <c r="CJ113" s="1511"/>
      <c r="CK113" s="1511"/>
      <c r="CL113" s="1511"/>
      <c r="CM113" s="1511"/>
      <c r="CN113" s="1511"/>
      <c r="CO113" s="1511"/>
      <c r="CP113" s="1511"/>
      <c r="CQ113" s="1511"/>
      <c r="CR113" s="1511"/>
      <c r="CS113" s="1511"/>
      <c r="CT113" s="1511"/>
      <c r="CU113" s="1511"/>
      <c r="CV113" s="1511"/>
    </row>
    <row r="114" spans="1:100" ht="12.75" customHeight="1">
      <c r="A114" s="1088"/>
      <c r="B114" s="1089"/>
      <c r="C114" s="1370" t="s">
        <v>799</v>
      </c>
      <c r="D114" s="1370"/>
      <c r="E114" s="1370"/>
      <c r="F114" s="1375"/>
      <c r="G114" s="1397"/>
      <c r="H114" s="1385"/>
      <c r="I114" s="1385"/>
      <c r="J114" s="1398"/>
      <c r="K114" s="1397"/>
      <c r="L114" s="1385"/>
      <c r="M114" s="1385"/>
      <c r="N114" s="1398"/>
      <c r="O114" s="1397">
        <v>102.54</v>
      </c>
      <c r="P114" s="1385">
        <v>95.373333333333335</v>
      </c>
      <c r="Q114" s="1385">
        <v>81.040000000000006</v>
      </c>
      <c r="R114" s="1155">
        <v>81.040000000000006</v>
      </c>
      <c r="S114" s="1153">
        <f t="shared" si="161"/>
        <v>81.040000000000006</v>
      </c>
      <c r="T114" s="1385">
        <f t="shared" si="161"/>
        <v>79.626666666666665</v>
      </c>
      <c r="U114" s="1154">
        <f t="shared" si="161"/>
        <v>76.8</v>
      </c>
      <c r="V114" s="1155">
        <f t="shared" si="161"/>
        <v>76.8</v>
      </c>
      <c r="W114" s="1154">
        <f t="shared" si="161"/>
        <v>76.8</v>
      </c>
      <c r="X114" s="1385">
        <f t="shared" si="161"/>
        <v>82.486666666666665</v>
      </c>
      <c r="Y114" s="1154">
        <f t="shared" si="161"/>
        <v>93.86</v>
      </c>
      <c r="Z114" s="1155">
        <f t="shared" si="161"/>
        <v>93.86</v>
      </c>
      <c r="AA114" s="1154">
        <f t="shared" si="161"/>
        <v>93.86</v>
      </c>
      <c r="AB114" s="1385">
        <f t="shared" si="161"/>
        <v>96.874703196347028</v>
      </c>
      <c r="AC114" s="1154">
        <f t="shared" si="161"/>
        <v>102.9041095890411</v>
      </c>
      <c r="AD114" s="1155">
        <f t="shared" si="161"/>
        <v>102.9041095890411</v>
      </c>
      <c r="AE114" s="1154">
        <f t="shared" si="161"/>
        <v>103</v>
      </c>
      <c r="AF114" s="1385">
        <f t="shared" si="161"/>
        <v>98.736666666666665</v>
      </c>
      <c r="AG114" s="1154">
        <f t="shared" si="161"/>
        <v>90.21</v>
      </c>
      <c r="AH114" s="1155">
        <f t="shared" si="161"/>
        <v>90.21</v>
      </c>
      <c r="AI114" s="1386">
        <f t="shared" si="159"/>
        <v>90.21</v>
      </c>
      <c r="AJ114" s="1386">
        <f t="shared" si="159"/>
        <v>137.126301369863</v>
      </c>
      <c r="AK114" s="1386">
        <f t="shared" si="159"/>
        <v>230.95890410958907</v>
      </c>
      <c r="AL114" s="1155">
        <f t="shared" si="159"/>
        <v>230.95890410958907</v>
      </c>
      <c r="AM114" s="1386">
        <f t="shared" si="159"/>
        <v>230.95890410958907</v>
      </c>
      <c r="AN114" s="1386">
        <f t="shared" si="159"/>
        <v>258.63013698630141</v>
      </c>
      <c r="AO114" s="1386">
        <f t="shared" si="159"/>
        <v>313.97260273972609</v>
      </c>
      <c r="AP114" s="1387">
        <f t="shared" si="159"/>
        <v>313.97260273972609</v>
      </c>
      <c r="AQ114" s="1386">
        <f t="shared" si="159"/>
        <v>313.97260273972609</v>
      </c>
      <c r="AR114" s="1386">
        <f t="shared" si="159"/>
        <v>286.35616438356169</v>
      </c>
      <c r="AS114" s="1386">
        <f t="shared" si="159"/>
        <v>231.12328767123287</v>
      </c>
      <c r="AT114" s="1155">
        <f t="shared" si="159"/>
        <v>231.12328767123287</v>
      </c>
      <c r="AU114" s="1386">
        <f t="shared" si="159"/>
        <v>231.12328767123287</v>
      </c>
      <c r="AV114" s="1386">
        <f t="shared" si="159"/>
        <v>231.12328767123287</v>
      </c>
      <c r="AW114" s="1386">
        <f t="shared" si="159"/>
        <v>231.12328767123287</v>
      </c>
      <c r="AX114" s="1387">
        <f t="shared" si="159"/>
        <v>231.12328767123287</v>
      </c>
      <c r="AY114" s="1386">
        <f t="shared" si="164"/>
        <v>231.12328767123287</v>
      </c>
      <c r="AZ114" s="1386">
        <f t="shared" si="164"/>
        <v>231.12328767123287</v>
      </c>
      <c r="BA114" s="1386">
        <f t="shared" si="164"/>
        <v>231.12328767123287</v>
      </c>
      <c r="BB114" s="1387">
        <f t="shared" si="164"/>
        <v>231.12328767123287</v>
      </c>
      <c r="BC114" s="1132"/>
      <c r="BD114" s="1133"/>
      <c r="BE114" s="1280">
        <f t="shared" ref="BE114:BG128" si="176">AVERAGE(M114:P114)</f>
        <v>98.956666666666678</v>
      </c>
      <c r="BF114" s="1280">
        <f t="shared" si="176"/>
        <v>92.984444444444463</v>
      </c>
      <c r="BG114" s="1280">
        <f t="shared" si="176"/>
        <v>89.998333333333349</v>
      </c>
      <c r="BH114" s="1280">
        <f t="shared" ref="BH114:BH128" si="177">AVERAGE(S114:V114)</f>
        <v>78.566666666666677</v>
      </c>
      <c r="BI114" s="1280">
        <f t="shared" ref="BI114:BI128" si="178">AVERAGE(W114:Z114)</f>
        <v>86.751666666666665</v>
      </c>
      <c r="BJ114" s="1280">
        <f t="shared" ref="BJ114:BJ128" si="179">AVERAGE(AA114:AD114)</f>
        <v>99.13573059360732</v>
      </c>
      <c r="BK114" s="1280">
        <f t="shared" ref="BK114:BK128" si="180">AVERAGE(AE114:AH114)</f>
        <v>95.539166666666659</v>
      </c>
      <c r="BL114" s="1280">
        <f t="shared" ref="BL114:BL128" si="181">AVERAGE(AI114:AL114)</f>
        <v>172.31352739726029</v>
      </c>
      <c r="BM114" s="1280">
        <f t="shared" ref="BM114:BM128" si="182">AVERAGE(AM114:AP114)</f>
        <v>279.38356164383566</v>
      </c>
      <c r="BN114" s="1280">
        <f t="shared" ref="BN114:BN128" si="183">AVERAGE(AQ114:AT114)</f>
        <v>265.64383561643837</v>
      </c>
      <c r="BO114" s="1280">
        <f t="shared" ref="BO114:BO128" si="184">AVERAGE(AU114:AX114)</f>
        <v>231.12328767123287</v>
      </c>
      <c r="BP114" s="1280">
        <f t="shared" ref="BP114:BP128" si="185">AVERAGE(AY114:BB114)</f>
        <v>231.12328767123287</v>
      </c>
      <c r="BQ114" s="1114"/>
      <c r="BR114" s="1115"/>
      <c r="BU114" s="1087"/>
      <c r="BV114" s="1511"/>
      <c r="BW114" s="1514" t="s">
        <v>971</v>
      </c>
      <c r="BX114" s="1541">
        <f>HLOOKUP(BW8,$BW$105:$CU$111,BV106,TRUE)</f>
        <v>0</v>
      </c>
      <c r="BY114" s="1511"/>
      <c r="BZ114" s="1446">
        <f>BX114/BW9*1000</f>
        <v>0</v>
      </c>
      <c r="CA114" s="1511"/>
      <c r="CB114" s="1511"/>
      <c r="CC114" s="1511"/>
      <c r="CD114" s="1511"/>
      <c r="CE114" s="1511"/>
      <c r="CF114" s="1511"/>
      <c r="CG114" s="1511"/>
      <c r="CH114" s="1511"/>
      <c r="CI114" s="1511"/>
      <c r="CJ114" s="1511"/>
      <c r="CK114" s="1511"/>
      <c r="CL114" s="1511"/>
      <c r="CM114" s="1511"/>
      <c r="CN114" s="1511"/>
      <c r="CO114" s="1511"/>
      <c r="CP114" s="1511"/>
      <c r="CQ114" s="1511"/>
      <c r="CR114" s="1511"/>
      <c r="CS114" s="1511"/>
      <c r="CT114" s="1511"/>
      <c r="CU114" s="1511"/>
      <c r="CV114" s="1511"/>
    </row>
    <row r="115" spans="1:100" ht="12.75" customHeight="1">
      <c r="A115" s="1088"/>
      <c r="B115" s="1089"/>
      <c r="C115" s="1370" t="s">
        <v>372</v>
      </c>
      <c r="D115" s="1370"/>
      <c r="E115" s="1370"/>
      <c r="F115" s="1369"/>
      <c r="G115" s="1397"/>
      <c r="H115" s="1385"/>
      <c r="I115" s="1385"/>
      <c r="J115" s="1398"/>
      <c r="K115" s="1397"/>
      <c r="L115" s="1385"/>
      <c r="M115" s="1385"/>
      <c r="N115" s="1398"/>
      <c r="O115" s="1397">
        <v>102.54</v>
      </c>
      <c r="P115" s="1385">
        <v>96.14</v>
      </c>
      <c r="Q115" s="1385">
        <v>83.34</v>
      </c>
      <c r="R115" s="1155">
        <v>83.34</v>
      </c>
      <c r="S115" s="1153">
        <f t="shared" si="161"/>
        <v>83.34</v>
      </c>
      <c r="T115" s="1385">
        <f t="shared" si="161"/>
        <v>83.13333333333334</v>
      </c>
      <c r="U115" s="1154">
        <f t="shared" si="161"/>
        <v>82.72</v>
      </c>
      <c r="V115" s="1155">
        <f t="shared" si="161"/>
        <v>82.72</v>
      </c>
      <c r="W115" s="1154">
        <f t="shared" si="161"/>
        <v>82.72</v>
      </c>
      <c r="X115" s="1385">
        <f t="shared" si="161"/>
        <v>86.433333333333337</v>
      </c>
      <c r="Y115" s="1154">
        <f t="shared" si="161"/>
        <v>93.86</v>
      </c>
      <c r="Z115" s="1155">
        <f t="shared" si="161"/>
        <v>93.86</v>
      </c>
      <c r="AA115" s="1154">
        <f t="shared" si="161"/>
        <v>93.86</v>
      </c>
      <c r="AB115" s="1385">
        <f t="shared" si="161"/>
        <v>96.874703196347028</v>
      </c>
      <c r="AC115" s="1154">
        <f t="shared" si="161"/>
        <v>102.9041095890411</v>
      </c>
      <c r="AD115" s="1155">
        <f t="shared" si="161"/>
        <v>102.9041095890411</v>
      </c>
      <c r="AE115" s="1154">
        <f t="shared" si="161"/>
        <v>103</v>
      </c>
      <c r="AF115" s="1385">
        <f t="shared" si="161"/>
        <v>98.736666666666665</v>
      </c>
      <c r="AG115" s="1154">
        <f t="shared" si="161"/>
        <v>90.21</v>
      </c>
      <c r="AH115" s="1155">
        <f t="shared" si="161"/>
        <v>90.21</v>
      </c>
      <c r="AI115" s="1386">
        <f t="shared" si="159"/>
        <v>90.21</v>
      </c>
      <c r="AJ115" s="1386">
        <f t="shared" si="159"/>
        <v>137.126301369863</v>
      </c>
      <c r="AK115" s="1386">
        <f t="shared" si="159"/>
        <v>230.95890410958907</v>
      </c>
      <c r="AL115" s="1155">
        <f t="shared" si="159"/>
        <v>230.95890410958907</v>
      </c>
      <c r="AM115" s="1386">
        <f t="shared" si="159"/>
        <v>230.95890410958907</v>
      </c>
      <c r="AN115" s="1386">
        <f t="shared" si="159"/>
        <v>258.63013698630141</v>
      </c>
      <c r="AO115" s="1386">
        <f t="shared" si="159"/>
        <v>313.97260273972609</v>
      </c>
      <c r="AP115" s="1387">
        <f t="shared" si="159"/>
        <v>313.97260273972609</v>
      </c>
      <c r="AQ115" s="1386">
        <f t="shared" si="159"/>
        <v>313.97260273972609</v>
      </c>
      <c r="AR115" s="1386">
        <f t="shared" si="159"/>
        <v>286.35616438356169</v>
      </c>
      <c r="AS115" s="1386">
        <f t="shared" si="159"/>
        <v>231.12328767123287</v>
      </c>
      <c r="AT115" s="1155">
        <f t="shared" si="159"/>
        <v>231.12328767123287</v>
      </c>
      <c r="AU115" s="1386">
        <f t="shared" si="159"/>
        <v>231.12328767123287</v>
      </c>
      <c r="AV115" s="1386">
        <f t="shared" si="159"/>
        <v>231.12328767123287</v>
      </c>
      <c r="AW115" s="1386">
        <f t="shared" si="159"/>
        <v>231.12328767123287</v>
      </c>
      <c r="AX115" s="1387">
        <f t="shared" si="159"/>
        <v>231.12328767123287</v>
      </c>
      <c r="AY115" s="1386">
        <f t="shared" si="164"/>
        <v>231.12328767123287</v>
      </c>
      <c r="AZ115" s="1386">
        <f t="shared" si="164"/>
        <v>231.12328767123287</v>
      </c>
      <c r="BA115" s="1386">
        <f t="shared" si="164"/>
        <v>231.12328767123287</v>
      </c>
      <c r="BB115" s="1387">
        <f t="shared" si="164"/>
        <v>231.12328767123287</v>
      </c>
      <c r="BC115" s="1156"/>
      <c r="BD115" s="1156"/>
      <c r="BE115" s="1280">
        <f t="shared" si="176"/>
        <v>99.34</v>
      </c>
      <c r="BF115" s="1280">
        <f t="shared" si="176"/>
        <v>94.006666666666661</v>
      </c>
      <c r="BG115" s="1280">
        <f t="shared" si="176"/>
        <v>91.34</v>
      </c>
      <c r="BH115" s="1280">
        <f t="shared" si="177"/>
        <v>82.978333333333339</v>
      </c>
      <c r="BI115" s="1280">
        <f t="shared" si="178"/>
        <v>89.218333333333334</v>
      </c>
      <c r="BJ115" s="1280">
        <f t="shared" si="179"/>
        <v>99.13573059360732</v>
      </c>
      <c r="BK115" s="1280">
        <f t="shared" si="180"/>
        <v>95.539166666666659</v>
      </c>
      <c r="BL115" s="1280">
        <f t="shared" si="181"/>
        <v>172.31352739726029</v>
      </c>
      <c r="BM115" s="1280">
        <f t="shared" si="182"/>
        <v>279.38356164383566</v>
      </c>
      <c r="BN115" s="1280">
        <f t="shared" si="183"/>
        <v>265.64383561643837</v>
      </c>
      <c r="BO115" s="1280">
        <f t="shared" si="184"/>
        <v>231.12328767123287</v>
      </c>
      <c r="BP115" s="1280">
        <f t="shared" si="185"/>
        <v>231.12328767123287</v>
      </c>
      <c r="BQ115" s="1114"/>
      <c r="BR115" s="1115"/>
      <c r="BU115" s="1087"/>
      <c r="BV115" s="1511"/>
      <c r="BW115" s="1514" t="s">
        <v>512</v>
      </c>
      <c r="BX115" s="1541">
        <f>HLOOKUP(CA36,$BW$105:$CU$111,BV107,TRUE)</f>
        <v>0</v>
      </c>
      <c r="BY115" s="1511"/>
      <c r="BZ115" s="1446">
        <f>BX115/CA36*1000</f>
        <v>0</v>
      </c>
      <c r="CA115" s="1511"/>
      <c r="CB115" s="1511"/>
      <c r="CC115" s="1511"/>
      <c r="CD115" s="1511"/>
      <c r="CE115" s="1511"/>
      <c r="CF115" s="1511"/>
      <c r="CG115" s="1511"/>
      <c r="CH115" s="1511"/>
      <c r="CI115" s="1511"/>
      <c r="CJ115" s="1511"/>
      <c r="CK115" s="1511"/>
      <c r="CL115" s="1511"/>
      <c r="CM115" s="1511"/>
      <c r="CN115" s="1511"/>
      <c r="CO115" s="1511"/>
      <c r="CP115" s="1511"/>
      <c r="CQ115" s="1511"/>
      <c r="CR115" s="1511"/>
      <c r="CS115" s="1511"/>
      <c r="CT115" s="1511"/>
      <c r="CU115" s="1511"/>
      <c r="CV115" s="1511"/>
    </row>
    <row r="116" spans="1:100" ht="12.75" customHeight="1">
      <c r="A116" s="1088"/>
      <c r="B116" s="1089"/>
      <c r="C116" s="1370" t="s">
        <v>357</v>
      </c>
      <c r="D116" s="1370"/>
      <c r="E116" s="1370"/>
      <c r="F116" s="1369"/>
      <c r="G116" s="1397"/>
      <c r="H116" s="1385"/>
      <c r="I116" s="1385"/>
      <c r="J116" s="1398"/>
      <c r="K116" s="1397"/>
      <c r="L116" s="1385"/>
      <c r="M116" s="1385"/>
      <c r="N116" s="1398"/>
      <c r="O116" s="1397">
        <v>110</v>
      </c>
      <c r="P116" s="1385">
        <v>78.819999999999993</v>
      </c>
      <c r="Q116" s="1385">
        <v>16.46</v>
      </c>
      <c r="R116" s="1155">
        <v>16.46</v>
      </c>
      <c r="S116" s="1153">
        <f t="shared" si="161"/>
        <v>16.46</v>
      </c>
      <c r="T116" s="1385">
        <f t="shared" si="161"/>
        <v>20.216666666666669</v>
      </c>
      <c r="U116" s="1154">
        <f t="shared" si="161"/>
        <v>27.73</v>
      </c>
      <c r="V116" s="1155">
        <f t="shared" si="161"/>
        <v>27.73</v>
      </c>
      <c r="W116" s="1154">
        <f t="shared" si="161"/>
        <v>27.73</v>
      </c>
      <c r="X116" s="1385">
        <f t="shared" si="161"/>
        <v>60.483333333333327</v>
      </c>
      <c r="Y116" s="1154">
        <f t="shared" si="161"/>
        <v>125.99</v>
      </c>
      <c r="Z116" s="1155">
        <f t="shared" si="161"/>
        <v>125.99</v>
      </c>
      <c r="AA116" s="1154">
        <f t="shared" si="161"/>
        <v>125.99</v>
      </c>
      <c r="AB116" s="1385">
        <f t="shared" si="161"/>
        <v>129.32666666666668</v>
      </c>
      <c r="AC116" s="1154">
        <f t="shared" si="161"/>
        <v>136</v>
      </c>
      <c r="AD116" s="1155">
        <f t="shared" si="161"/>
        <v>136</v>
      </c>
      <c r="AE116" s="1154">
        <f t="shared" si="161"/>
        <v>136</v>
      </c>
      <c r="AF116" s="1385">
        <f t="shared" si="161"/>
        <v>110.45666666666666</v>
      </c>
      <c r="AG116" s="1154">
        <f t="shared" si="161"/>
        <v>59.37</v>
      </c>
      <c r="AH116" s="1155">
        <f t="shared" si="161"/>
        <v>59.37</v>
      </c>
      <c r="AI116" s="1386">
        <f t="shared" si="159"/>
        <v>59.37</v>
      </c>
      <c r="AJ116" s="1386">
        <f t="shared" si="159"/>
        <v>79.58</v>
      </c>
      <c r="AK116" s="1386">
        <f t="shared" si="159"/>
        <v>120</v>
      </c>
      <c r="AL116" s="1155">
        <f t="shared" si="159"/>
        <v>120</v>
      </c>
      <c r="AM116" s="1386">
        <f t="shared" si="159"/>
        <v>120</v>
      </c>
      <c r="AN116" s="1386">
        <f t="shared" si="159"/>
        <v>134.92333333333335</v>
      </c>
      <c r="AO116" s="1386">
        <f t="shared" si="159"/>
        <v>164.77</v>
      </c>
      <c r="AP116" s="1387">
        <f t="shared" si="159"/>
        <v>164.77</v>
      </c>
      <c r="AQ116" s="1386">
        <f t="shared" si="159"/>
        <v>164.77</v>
      </c>
      <c r="AR116" s="1386">
        <f t="shared" si="159"/>
        <v>143.18</v>
      </c>
      <c r="AS116" s="1386">
        <f t="shared" si="159"/>
        <v>100</v>
      </c>
      <c r="AT116" s="1155">
        <f t="shared" si="159"/>
        <v>100</v>
      </c>
      <c r="AU116" s="1386">
        <f t="shared" si="159"/>
        <v>100</v>
      </c>
      <c r="AV116" s="1386">
        <f t="shared" si="159"/>
        <v>100</v>
      </c>
      <c r="AW116" s="1386">
        <f t="shared" si="159"/>
        <v>76.53</v>
      </c>
      <c r="AX116" s="1387">
        <f t="shared" si="159"/>
        <v>76.53</v>
      </c>
      <c r="AY116" s="1386">
        <f t="shared" si="164"/>
        <v>76.53</v>
      </c>
      <c r="AZ116" s="1386">
        <f t="shared" si="164"/>
        <v>76.53</v>
      </c>
      <c r="BA116" s="1386">
        <f t="shared" si="164"/>
        <v>76.53</v>
      </c>
      <c r="BB116" s="1387">
        <f t="shared" si="164"/>
        <v>76.53</v>
      </c>
      <c r="BC116" s="1156"/>
      <c r="BD116" s="1156"/>
      <c r="BE116" s="1280">
        <f t="shared" si="176"/>
        <v>94.41</v>
      </c>
      <c r="BF116" s="1280">
        <f t="shared" si="176"/>
        <v>68.426666666666662</v>
      </c>
      <c r="BG116" s="1280">
        <f t="shared" si="176"/>
        <v>55.435000000000002</v>
      </c>
      <c r="BH116" s="1280">
        <f t="shared" si="177"/>
        <v>23.034166666666668</v>
      </c>
      <c r="BI116" s="1280">
        <f t="shared" si="178"/>
        <v>85.048333333333332</v>
      </c>
      <c r="BJ116" s="1280">
        <f t="shared" si="179"/>
        <v>131.82916666666665</v>
      </c>
      <c r="BK116" s="1280">
        <f t="shared" si="180"/>
        <v>91.299166666666665</v>
      </c>
      <c r="BL116" s="1280">
        <f t="shared" si="181"/>
        <v>94.737499999999997</v>
      </c>
      <c r="BM116" s="1280">
        <f t="shared" si="182"/>
        <v>146.11583333333334</v>
      </c>
      <c r="BN116" s="1280">
        <f t="shared" si="183"/>
        <v>126.98750000000001</v>
      </c>
      <c r="BO116" s="1280">
        <f t="shared" si="184"/>
        <v>88.264999999999986</v>
      </c>
      <c r="BP116" s="1280">
        <f t="shared" si="185"/>
        <v>76.53</v>
      </c>
      <c r="BQ116" s="1114"/>
      <c r="BR116" s="1115"/>
      <c r="BU116" s="1087"/>
      <c r="BV116" s="1511"/>
      <c r="BW116" s="1514" t="s">
        <v>703</v>
      </c>
      <c r="BX116" s="1541">
        <f>HLOOKUP(CA37,$BW$105:$CU$111,BV108,TRUE)</f>
        <v>0</v>
      </c>
      <c r="BY116" s="1511"/>
      <c r="BZ116" s="1446">
        <f>BX116/CA37*1000</f>
        <v>0</v>
      </c>
      <c r="CA116" s="1511"/>
      <c r="CB116" s="1511"/>
      <c r="CC116" s="1511"/>
      <c r="CD116" s="1511"/>
      <c r="CE116" s="1511"/>
      <c r="CF116" s="1511"/>
      <c r="CG116" s="1511"/>
      <c r="CH116" s="1511"/>
      <c r="CI116" s="1511"/>
      <c r="CJ116" s="1511"/>
      <c r="CK116" s="1511"/>
      <c r="CL116" s="1511"/>
      <c r="CM116" s="1511"/>
      <c r="CN116" s="1511"/>
      <c r="CO116" s="1511"/>
      <c r="CP116" s="1511"/>
      <c r="CQ116" s="1511"/>
      <c r="CR116" s="1511"/>
      <c r="CS116" s="1511"/>
      <c r="CT116" s="1511"/>
      <c r="CU116" s="1511"/>
      <c r="CV116" s="1511"/>
    </row>
    <row r="117" spans="1:100" ht="12.75" customHeight="1">
      <c r="A117" s="1088"/>
      <c r="B117" s="1089"/>
      <c r="C117" s="1370" t="s">
        <v>358</v>
      </c>
      <c r="D117" s="1370"/>
      <c r="E117" s="1370"/>
      <c r="F117" s="1369"/>
      <c r="G117" s="1397"/>
      <c r="H117" s="1385"/>
      <c r="I117" s="1385"/>
      <c r="J117" s="1398"/>
      <c r="K117" s="1397"/>
      <c r="L117" s="1385"/>
      <c r="M117" s="1385"/>
      <c r="N117" s="1398"/>
      <c r="O117" s="1397">
        <v>110</v>
      </c>
      <c r="P117" s="1385">
        <v>117.79</v>
      </c>
      <c r="Q117" s="1385">
        <v>133.37</v>
      </c>
      <c r="R117" s="1155">
        <v>133.37</v>
      </c>
      <c r="S117" s="1153">
        <f t="shared" si="161"/>
        <v>133.37</v>
      </c>
      <c r="T117" s="1385">
        <f t="shared" si="161"/>
        <v>164.29666666666665</v>
      </c>
      <c r="U117" s="1154">
        <f t="shared" si="161"/>
        <v>226.15</v>
      </c>
      <c r="V117" s="1155">
        <f t="shared" si="161"/>
        <v>226.15</v>
      </c>
      <c r="W117" s="1154">
        <f t="shared" si="161"/>
        <v>226.15</v>
      </c>
      <c r="X117" s="1385">
        <f t="shared" si="161"/>
        <v>196.26666666666665</v>
      </c>
      <c r="Y117" s="1154">
        <f t="shared" si="161"/>
        <v>136.5</v>
      </c>
      <c r="Z117" s="1155">
        <f t="shared" si="161"/>
        <v>136.5</v>
      </c>
      <c r="AA117" s="1154">
        <f t="shared" si="161"/>
        <v>136.5</v>
      </c>
      <c r="AB117" s="1385">
        <f t="shared" si="161"/>
        <v>146.82</v>
      </c>
      <c r="AC117" s="1154">
        <f t="shared" si="161"/>
        <v>167.46</v>
      </c>
      <c r="AD117" s="1155">
        <f t="shared" si="161"/>
        <v>167.46</v>
      </c>
      <c r="AE117" s="1154">
        <f t="shared" si="161"/>
        <v>167.46</v>
      </c>
      <c r="AF117" s="1385">
        <f t="shared" si="161"/>
        <v>151.35</v>
      </c>
      <c r="AG117" s="1154">
        <f>IF(ISBLANK(AG260),"",AG260)</f>
        <v>119.13</v>
      </c>
      <c r="AH117" s="1155">
        <f>IF(ISBLANK(AH260),"",AH260)</f>
        <v>119.13</v>
      </c>
      <c r="AI117" s="1386">
        <f t="shared" si="159"/>
        <v>119.13</v>
      </c>
      <c r="AJ117" s="1386">
        <f t="shared" si="159"/>
        <v>119.41999999999999</v>
      </c>
      <c r="AK117" s="1386">
        <f t="shared" si="159"/>
        <v>120</v>
      </c>
      <c r="AL117" s="1155">
        <f t="shared" si="159"/>
        <v>120</v>
      </c>
      <c r="AM117" s="1386">
        <f t="shared" si="159"/>
        <v>120</v>
      </c>
      <c r="AN117" s="1386">
        <f t="shared" si="159"/>
        <v>134.92333333333335</v>
      </c>
      <c r="AO117" s="1386">
        <f t="shared" si="159"/>
        <v>164.77</v>
      </c>
      <c r="AP117" s="1387">
        <f t="shared" si="159"/>
        <v>164.77</v>
      </c>
      <c r="AQ117" s="1386">
        <f t="shared" si="159"/>
        <v>164.77</v>
      </c>
      <c r="AR117" s="1386">
        <f t="shared" si="159"/>
        <v>143.18</v>
      </c>
      <c r="AS117" s="1386">
        <f t="shared" si="159"/>
        <v>100</v>
      </c>
      <c r="AT117" s="1155">
        <f t="shared" si="159"/>
        <v>100</v>
      </c>
      <c r="AU117" s="1386">
        <f t="shared" si="159"/>
        <v>100</v>
      </c>
      <c r="AV117" s="1386">
        <f t="shared" si="159"/>
        <v>100</v>
      </c>
      <c r="AW117" s="1386">
        <f t="shared" si="159"/>
        <v>86.04</v>
      </c>
      <c r="AX117" s="1387">
        <f>IF(ISBLANK(AX260),"",AX260)</f>
        <v>86.04</v>
      </c>
      <c r="AY117" s="1386">
        <f t="shared" si="164"/>
        <v>86.04</v>
      </c>
      <c r="AZ117" s="1386">
        <f t="shared" si="164"/>
        <v>86.04</v>
      </c>
      <c r="BA117" s="1386">
        <f t="shared" si="164"/>
        <v>86.04</v>
      </c>
      <c r="BB117" s="1387">
        <f t="shared" si="164"/>
        <v>86.04</v>
      </c>
      <c r="BC117" s="1156"/>
      <c r="BD117" s="1156"/>
      <c r="BE117" s="1280">
        <f t="shared" si="176"/>
        <v>113.89500000000001</v>
      </c>
      <c r="BF117" s="1280">
        <f t="shared" si="176"/>
        <v>120.38666666666667</v>
      </c>
      <c r="BG117" s="1280">
        <f t="shared" si="176"/>
        <v>123.63250000000001</v>
      </c>
      <c r="BH117" s="1280">
        <f t="shared" si="177"/>
        <v>187.49166666666665</v>
      </c>
      <c r="BI117" s="1280">
        <f t="shared" si="178"/>
        <v>173.85416666666666</v>
      </c>
      <c r="BJ117" s="1280">
        <f t="shared" si="179"/>
        <v>154.56</v>
      </c>
      <c r="BK117" s="1280">
        <f t="shared" si="180"/>
        <v>139.26749999999998</v>
      </c>
      <c r="BL117" s="1280">
        <f t="shared" si="181"/>
        <v>119.63749999999999</v>
      </c>
      <c r="BM117" s="1280">
        <f t="shared" si="182"/>
        <v>146.11583333333334</v>
      </c>
      <c r="BN117" s="1280">
        <f t="shared" si="183"/>
        <v>126.98750000000001</v>
      </c>
      <c r="BO117" s="1280">
        <f t="shared" si="184"/>
        <v>93.02000000000001</v>
      </c>
      <c r="BP117" s="1280">
        <f t="shared" si="185"/>
        <v>86.04</v>
      </c>
      <c r="BQ117" s="1114"/>
      <c r="BR117" s="1115"/>
      <c r="BU117" s="1087"/>
      <c r="BV117" s="1511"/>
      <c r="BW117" s="1514" t="s">
        <v>532</v>
      </c>
      <c r="BX117" s="1541">
        <f>HLOOKUP(CA38,$BW$105:$CU$111,BV109,TRUE)</f>
        <v>0</v>
      </c>
      <c r="BY117" s="1511"/>
      <c r="BZ117" s="1446">
        <f>BX117/CA38*1000</f>
        <v>0</v>
      </c>
      <c r="CA117" s="1511"/>
      <c r="CB117" s="1511"/>
      <c r="CC117" s="1511"/>
      <c r="CD117" s="1511"/>
      <c r="CE117" s="1511"/>
      <c r="CF117" s="1511"/>
      <c r="CG117" s="1511"/>
      <c r="CH117" s="1511"/>
      <c r="CI117" s="1511"/>
      <c r="CJ117" s="1511"/>
      <c r="CK117" s="1511"/>
      <c r="CL117" s="1511"/>
      <c r="CM117" s="1511"/>
      <c r="CN117" s="1511"/>
      <c r="CO117" s="1511"/>
      <c r="CP117" s="1511"/>
      <c r="CQ117" s="1511"/>
      <c r="CR117" s="1511"/>
      <c r="CS117" s="1511"/>
      <c r="CT117" s="1511"/>
      <c r="CU117" s="1511"/>
      <c r="CV117" s="1511"/>
    </row>
    <row r="118" spans="1:100" ht="12.75" customHeight="1">
      <c r="A118" s="1088"/>
      <c r="B118" s="1089"/>
      <c r="C118" s="1370" t="s">
        <v>359</v>
      </c>
      <c r="D118" s="1370"/>
      <c r="E118" s="1370"/>
      <c r="F118" s="1369"/>
      <c r="G118" s="1397"/>
      <c r="H118" s="1385"/>
      <c r="I118" s="1385"/>
      <c r="J118" s="1398"/>
      <c r="K118" s="1397"/>
      <c r="L118" s="1385"/>
      <c r="M118" s="1385"/>
      <c r="N118" s="1398"/>
      <c r="O118" s="1397">
        <v>110</v>
      </c>
      <c r="P118" s="1385">
        <v>117.79</v>
      </c>
      <c r="Q118" s="1385">
        <v>133.37</v>
      </c>
      <c r="R118" s="1155">
        <v>133.37</v>
      </c>
      <c r="S118" s="1153">
        <f t="shared" si="161"/>
        <v>133.37</v>
      </c>
      <c r="T118" s="1385">
        <f t="shared" si="161"/>
        <v>164.29666666666665</v>
      </c>
      <c r="U118" s="1154">
        <f t="shared" si="161"/>
        <v>226.15</v>
      </c>
      <c r="V118" s="1155">
        <f t="shared" si="161"/>
        <v>226.15</v>
      </c>
      <c r="W118" s="1154">
        <f t="shared" si="161"/>
        <v>226.15</v>
      </c>
      <c r="X118" s="1385">
        <f t="shared" si="161"/>
        <v>196.26666666666665</v>
      </c>
      <c r="Y118" s="1154">
        <f t="shared" si="161"/>
        <v>136.5</v>
      </c>
      <c r="Z118" s="1155">
        <f t="shared" si="161"/>
        <v>136.5</v>
      </c>
      <c r="AA118" s="1154">
        <f t="shared" si="161"/>
        <v>136.5</v>
      </c>
      <c r="AB118" s="1385">
        <f t="shared" si="161"/>
        <v>146.82</v>
      </c>
      <c r="AC118" s="1154">
        <f t="shared" si="161"/>
        <v>167.46</v>
      </c>
      <c r="AD118" s="1155">
        <f t="shared" si="161"/>
        <v>167.46</v>
      </c>
      <c r="AE118" s="1154">
        <f t="shared" si="161"/>
        <v>167.46</v>
      </c>
      <c r="AF118" s="1385">
        <f t="shared" si="161"/>
        <v>151.35</v>
      </c>
      <c r="AG118" s="1154">
        <f t="shared" si="161"/>
        <v>119.13</v>
      </c>
      <c r="AH118" s="1155">
        <f t="shared" si="161"/>
        <v>119.13</v>
      </c>
      <c r="AI118" s="1386">
        <f t="shared" ref="AI118:AX128" si="186">IF(ISBLANK(AI261),"",AI261)</f>
        <v>119.13</v>
      </c>
      <c r="AJ118" s="1386">
        <f t="shared" si="186"/>
        <v>119.41999999999999</v>
      </c>
      <c r="AK118" s="1386">
        <f t="shared" si="186"/>
        <v>120</v>
      </c>
      <c r="AL118" s="1155">
        <f t="shared" si="186"/>
        <v>120</v>
      </c>
      <c r="AM118" s="1386">
        <f t="shared" si="186"/>
        <v>120</v>
      </c>
      <c r="AN118" s="1386">
        <f t="shared" si="186"/>
        <v>134.92333333333335</v>
      </c>
      <c r="AO118" s="1386">
        <f t="shared" si="186"/>
        <v>164.77</v>
      </c>
      <c r="AP118" s="1387">
        <f t="shared" si="186"/>
        <v>164.77</v>
      </c>
      <c r="AQ118" s="1386">
        <f t="shared" si="186"/>
        <v>164.77</v>
      </c>
      <c r="AR118" s="1386">
        <f t="shared" si="186"/>
        <v>143.18</v>
      </c>
      <c r="AS118" s="1386">
        <f t="shared" si="186"/>
        <v>100</v>
      </c>
      <c r="AT118" s="1155">
        <f t="shared" si="186"/>
        <v>100</v>
      </c>
      <c r="AU118" s="1386">
        <f t="shared" si="186"/>
        <v>100</v>
      </c>
      <c r="AV118" s="1386">
        <f t="shared" si="186"/>
        <v>100</v>
      </c>
      <c r="AW118" s="1386">
        <f t="shared" si="186"/>
        <v>86.04</v>
      </c>
      <c r="AX118" s="1387">
        <f t="shared" si="186"/>
        <v>86.04</v>
      </c>
      <c r="AY118" s="1386">
        <f t="shared" si="164"/>
        <v>86.04</v>
      </c>
      <c r="AZ118" s="1386">
        <f t="shared" si="164"/>
        <v>86.04</v>
      </c>
      <c r="BA118" s="1386">
        <f t="shared" si="164"/>
        <v>86.04</v>
      </c>
      <c r="BB118" s="1387">
        <f t="shared" si="164"/>
        <v>86.04</v>
      </c>
      <c r="BC118" s="1156"/>
      <c r="BD118" s="1156"/>
      <c r="BE118" s="1280">
        <f t="shared" si="176"/>
        <v>113.89500000000001</v>
      </c>
      <c r="BF118" s="1280">
        <f t="shared" si="176"/>
        <v>120.38666666666667</v>
      </c>
      <c r="BG118" s="1280">
        <f t="shared" si="176"/>
        <v>123.63250000000001</v>
      </c>
      <c r="BH118" s="1280">
        <f t="shared" si="177"/>
        <v>187.49166666666665</v>
      </c>
      <c r="BI118" s="1280">
        <f t="shared" si="178"/>
        <v>173.85416666666666</v>
      </c>
      <c r="BJ118" s="1280">
        <f t="shared" si="179"/>
        <v>154.56</v>
      </c>
      <c r="BK118" s="1280">
        <f t="shared" si="180"/>
        <v>139.26749999999998</v>
      </c>
      <c r="BL118" s="1280">
        <f t="shared" si="181"/>
        <v>119.63749999999999</v>
      </c>
      <c r="BM118" s="1280">
        <f t="shared" si="182"/>
        <v>146.11583333333334</v>
      </c>
      <c r="BN118" s="1280">
        <f t="shared" si="183"/>
        <v>126.98750000000001</v>
      </c>
      <c r="BO118" s="1280">
        <f t="shared" si="184"/>
        <v>93.02000000000001</v>
      </c>
      <c r="BP118" s="1280">
        <f t="shared" si="185"/>
        <v>86.04</v>
      </c>
      <c r="BQ118" s="1114"/>
      <c r="BR118" s="1115"/>
      <c r="BU118" s="1087"/>
      <c r="BV118" s="1511"/>
      <c r="BW118" s="1514" t="s">
        <v>281</v>
      </c>
      <c r="BX118" s="1541">
        <f>HLOOKUP(CA39,$BW$105:$CU$111,BV110,TRUE)</f>
        <v>0</v>
      </c>
      <c r="BY118" s="1511"/>
      <c r="BZ118" s="1446">
        <f>BX118/CA39*1000</f>
        <v>0</v>
      </c>
      <c r="CA118" s="1511"/>
      <c r="CB118" s="1511"/>
      <c r="CC118" s="1511"/>
      <c r="CD118" s="1511"/>
      <c r="CE118" s="1511"/>
      <c r="CF118" s="1511"/>
      <c r="CG118" s="1511"/>
      <c r="CH118" s="1511"/>
      <c r="CI118" s="1511"/>
      <c r="CJ118" s="1511"/>
      <c r="CK118" s="1511"/>
      <c r="CL118" s="1511"/>
      <c r="CM118" s="1511"/>
      <c r="CN118" s="1511"/>
      <c r="CO118" s="1511"/>
      <c r="CP118" s="1511"/>
      <c r="CQ118" s="1511"/>
      <c r="CR118" s="1511"/>
      <c r="CS118" s="1511"/>
      <c r="CT118" s="1511"/>
      <c r="CU118" s="1511"/>
      <c r="CV118" s="1511"/>
    </row>
    <row r="119" spans="1:100" ht="12.75" customHeight="1">
      <c r="A119" s="1088"/>
      <c r="B119" s="1089"/>
      <c r="C119" s="1370" t="s">
        <v>360</v>
      </c>
      <c r="D119" s="1370"/>
      <c r="E119" s="1370"/>
      <c r="F119" s="1369"/>
      <c r="G119" s="1397"/>
      <c r="H119" s="1385"/>
      <c r="I119" s="1385"/>
      <c r="J119" s="1398"/>
      <c r="K119" s="1397"/>
      <c r="L119" s="1385"/>
      <c r="M119" s="1385"/>
      <c r="N119" s="1398"/>
      <c r="O119" s="1397">
        <v>110</v>
      </c>
      <c r="P119" s="1385">
        <v>119.91</v>
      </c>
      <c r="Q119" s="1385">
        <v>139.72999999999999</v>
      </c>
      <c r="R119" s="1155">
        <v>139.72999999999999</v>
      </c>
      <c r="S119" s="1153">
        <f t="shared" ref="S119:AH128" si="187">IF(ISBLANK(S262),"",S262)</f>
        <v>139.72999999999999</v>
      </c>
      <c r="T119" s="1385">
        <f t="shared" si="187"/>
        <v>174.82</v>
      </c>
      <c r="U119" s="1154">
        <f t="shared" si="187"/>
        <v>245</v>
      </c>
      <c r="V119" s="1155">
        <f t="shared" si="187"/>
        <v>245</v>
      </c>
      <c r="W119" s="1154">
        <f t="shared" si="187"/>
        <v>245</v>
      </c>
      <c r="X119" s="1385">
        <f t="shared" si="187"/>
        <v>208.83333333333334</v>
      </c>
      <c r="Y119" s="1154">
        <f t="shared" si="187"/>
        <v>136.5</v>
      </c>
      <c r="Z119" s="1155">
        <f t="shared" si="187"/>
        <v>136.5</v>
      </c>
      <c r="AA119" s="1154">
        <f t="shared" si="187"/>
        <v>136.5</v>
      </c>
      <c r="AB119" s="1385">
        <f t="shared" si="187"/>
        <v>146.82</v>
      </c>
      <c r="AC119" s="1154">
        <f t="shared" si="187"/>
        <v>167.46</v>
      </c>
      <c r="AD119" s="1155">
        <f t="shared" si="187"/>
        <v>167.46</v>
      </c>
      <c r="AE119" s="1154">
        <f t="shared" si="187"/>
        <v>167.46</v>
      </c>
      <c r="AF119" s="1385">
        <f t="shared" si="187"/>
        <v>151.35</v>
      </c>
      <c r="AG119" s="1154">
        <f t="shared" si="187"/>
        <v>119.13</v>
      </c>
      <c r="AH119" s="1155">
        <f t="shared" si="187"/>
        <v>119.13</v>
      </c>
      <c r="AI119" s="1386">
        <f t="shared" si="186"/>
        <v>119.13</v>
      </c>
      <c r="AJ119" s="1386">
        <f t="shared" si="186"/>
        <v>119.41999999999999</v>
      </c>
      <c r="AK119" s="1386">
        <f t="shared" si="186"/>
        <v>120</v>
      </c>
      <c r="AL119" s="1155">
        <f t="shared" si="186"/>
        <v>120</v>
      </c>
      <c r="AM119" s="1386">
        <f t="shared" si="186"/>
        <v>120</v>
      </c>
      <c r="AN119" s="1386">
        <f t="shared" si="186"/>
        <v>155.13999999999999</v>
      </c>
      <c r="AO119" s="1386">
        <f t="shared" si="186"/>
        <v>225.42</v>
      </c>
      <c r="AP119" s="1387">
        <f t="shared" si="186"/>
        <v>225.42</v>
      </c>
      <c r="AQ119" s="1386">
        <f t="shared" si="186"/>
        <v>225.42</v>
      </c>
      <c r="AR119" s="1386">
        <f t="shared" si="186"/>
        <v>190.27999999999997</v>
      </c>
      <c r="AS119" s="1386">
        <f t="shared" si="186"/>
        <v>120</v>
      </c>
      <c r="AT119" s="1155">
        <f t="shared" si="186"/>
        <v>120</v>
      </c>
      <c r="AU119" s="1386">
        <f t="shared" si="186"/>
        <v>120</v>
      </c>
      <c r="AV119" s="1386">
        <f t="shared" si="186"/>
        <v>142.62333333333333</v>
      </c>
      <c r="AW119" s="1386">
        <f t="shared" si="186"/>
        <v>187.87</v>
      </c>
      <c r="AX119" s="1387">
        <f t="shared" si="186"/>
        <v>187.87</v>
      </c>
      <c r="AY119" s="1386">
        <f t="shared" si="164"/>
        <v>187.87</v>
      </c>
      <c r="AZ119" s="1386">
        <f t="shared" si="164"/>
        <v>187.87</v>
      </c>
      <c r="BA119" s="1386">
        <f t="shared" si="164"/>
        <v>187.87</v>
      </c>
      <c r="BB119" s="1387">
        <f t="shared" si="164"/>
        <v>187.87</v>
      </c>
      <c r="BC119" s="1156"/>
      <c r="BD119" s="1156"/>
      <c r="BE119" s="1280">
        <f t="shared" si="176"/>
        <v>114.955</v>
      </c>
      <c r="BF119" s="1280">
        <f t="shared" si="176"/>
        <v>123.21333333333332</v>
      </c>
      <c r="BG119" s="1280">
        <f t="shared" si="176"/>
        <v>127.3425</v>
      </c>
      <c r="BH119" s="1280">
        <f t="shared" si="177"/>
        <v>201.13749999999999</v>
      </c>
      <c r="BI119" s="1280">
        <f t="shared" si="178"/>
        <v>181.70833333333334</v>
      </c>
      <c r="BJ119" s="1280">
        <f t="shared" si="179"/>
        <v>154.56</v>
      </c>
      <c r="BK119" s="1280">
        <f t="shared" si="180"/>
        <v>139.26749999999998</v>
      </c>
      <c r="BL119" s="1280">
        <f t="shared" si="181"/>
        <v>119.63749999999999</v>
      </c>
      <c r="BM119" s="1280">
        <f t="shared" si="182"/>
        <v>181.49499999999998</v>
      </c>
      <c r="BN119" s="1280">
        <f t="shared" si="183"/>
        <v>163.92499999999998</v>
      </c>
      <c r="BO119" s="1280">
        <f t="shared" si="184"/>
        <v>159.59083333333334</v>
      </c>
      <c r="BP119" s="1280">
        <f t="shared" si="185"/>
        <v>187.87</v>
      </c>
      <c r="BQ119" s="1114"/>
      <c r="BR119" s="1115"/>
      <c r="BU119" s="1087"/>
      <c r="BV119" s="1511"/>
      <c r="BW119" s="1514" t="s">
        <v>549</v>
      </c>
      <c r="BX119" s="1542">
        <v>0</v>
      </c>
      <c r="BY119" s="1511"/>
      <c r="BZ119" s="1446">
        <f>BX119/CA40*1000</f>
        <v>0</v>
      </c>
      <c r="CA119" s="1511"/>
      <c r="CB119" s="1511"/>
      <c r="CC119" s="1511"/>
      <c r="CD119" s="1511"/>
      <c r="CE119" s="1511"/>
      <c r="CF119" s="1511"/>
      <c r="CG119" s="1511"/>
      <c r="CH119" s="1511"/>
      <c r="CI119" s="1511"/>
      <c r="CJ119" s="1511"/>
      <c r="CK119" s="1511"/>
      <c r="CL119" s="1511"/>
      <c r="CM119" s="1511"/>
      <c r="CN119" s="1511"/>
      <c r="CO119" s="1511"/>
      <c r="CP119" s="1511"/>
      <c r="CQ119" s="1511"/>
      <c r="CR119" s="1511"/>
      <c r="CS119" s="1511"/>
      <c r="CT119" s="1511"/>
      <c r="CU119" s="1511"/>
      <c r="CV119" s="1511"/>
    </row>
    <row r="120" spans="1:100" ht="12.75" customHeight="1">
      <c r="A120" s="1088"/>
      <c r="B120" s="1089"/>
      <c r="C120" s="1370" t="s">
        <v>361</v>
      </c>
      <c r="D120" s="1370"/>
      <c r="E120" s="1370"/>
      <c r="F120" s="1369"/>
      <c r="G120" s="1397"/>
      <c r="H120" s="1385"/>
      <c r="I120" s="1385"/>
      <c r="J120" s="1398"/>
      <c r="K120" s="1397"/>
      <c r="L120" s="1385"/>
      <c r="M120" s="1385"/>
      <c r="N120" s="1398"/>
      <c r="O120" s="1397">
        <v>110</v>
      </c>
      <c r="P120" s="1385">
        <v>119.91</v>
      </c>
      <c r="Q120" s="1385">
        <v>139.72999999999999</v>
      </c>
      <c r="R120" s="1155">
        <v>139.72999999999999</v>
      </c>
      <c r="S120" s="1153">
        <f t="shared" si="187"/>
        <v>139.72999999999999</v>
      </c>
      <c r="T120" s="1385">
        <f t="shared" si="187"/>
        <v>174.82</v>
      </c>
      <c r="U120" s="1154">
        <f t="shared" si="187"/>
        <v>245</v>
      </c>
      <c r="V120" s="1155">
        <f t="shared" si="187"/>
        <v>245</v>
      </c>
      <c r="W120" s="1154">
        <f t="shared" si="187"/>
        <v>245</v>
      </c>
      <c r="X120" s="1385">
        <f t="shared" si="187"/>
        <v>208.83333333333334</v>
      </c>
      <c r="Y120" s="1154">
        <f t="shared" si="187"/>
        <v>136.5</v>
      </c>
      <c r="Z120" s="1155">
        <f t="shared" si="187"/>
        <v>136.5</v>
      </c>
      <c r="AA120" s="1154">
        <f t="shared" si="187"/>
        <v>136.5</v>
      </c>
      <c r="AB120" s="1385">
        <f t="shared" si="187"/>
        <v>146.82</v>
      </c>
      <c r="AC120" s="1154">
        <f t="shared" si="187"/>
        <v>167.46</v>
      </c>
      <c r="AD120" s="1155">
        <f t="shared" si="187"/>
        <v>167.46</v>
      </c>
      <c r="AE120" s="1154">
        <f t="shared" si="187"/>
        <v>167.46</v>
      </c>
      <c r="AF120" s="1385">
        <f t="shared" si="187"/>
        <v>151.35</v>
      </c>
      <c r="AG120" s="1154">
        <f t="shared" si="187"/>
        <v>119.13</v>
      </c>
      <c r="AH120" s="1155">
        <f t="shared" si="187"/>
        <v>119.13</v>
      </c>
      <c r="AI120" s="1386">
        <f t="shared" si="186"/>
        <v>119.13</v>
      </c>
      <c r="AJ120" s="1386">
        <f t="shared" si="186"/>
        <v>119.41999999999999</v>
      </c>
      <c r="AK120" s="1386">
        <f t="shared" si="186"/>
        <v>120</v>
      </c>
      <c r="AL120" s="1155">
        <f t="shared" si="186"/>
        <v>120</v>
      </c>
      <c r="AM120" s="1386">
        <f t="shared" si="186"/>
        <v>120</v>
      </c>
      <c r="AN120" s="1386">
        <f t="shared" si="186"/>
        <v>155.13999999999999</v>
      </c>
      <c r="AO120" s="1386">
        <f t="shared" si="186"/>
        <v>225.42</v>
      </c>
      <c r="AP120" s="1387">
        <f t="shared" si="186"/>
        <v>225.42</v>
      </c>
      <c r="AQ120" s="1386">
        <f t="shared" si="186"/>
        <v>225.42</v>
      </c>
      <c r="AR120" s="1386">
        <f t="shared" si="186"/>
        <v>190.20333333333332</v>
      </c>
      <c r="AS120" s="1386">
        <f t="shared" si="186"/>
        <v>119.77</v>
      </c>
      <c r="AT120" s="1155">
        <f t="shared" si="186"/>
        <v>119.77</v>
      </c>
      <c r="AU120" s="1386">
        <f t="shared" si="186"/>
        <v>119.77</v>
      </c>
      <c r="AV120" s="1386">
        <f t="shared" si="186"/>
        <v>119.77</v>
      </c>
      <c r="AW120" s="1386">
        <f t="shared" si="186"/>
        <v>187.87</v>
      </c>
      <c r="AX120" s="1387">
        <f t="shared" si="186"/>
        <v>187.87</v>
      </c>
      <c r="AY120" s="1386">
        <f t="shared" si="164"/>
        <v>187.87</v>
      </c>
      <c r="AZ120" s="1386">
        <f t="shared" si="164"/>
        <v>187.87</v>
      </c>
      <c r="BA120" s="1386">
        <f t="shared" si="164"/>
        <v>187.87</v>
      </c>
      <c r="BB120" s="1387">
        <f t="shared" si="164"/>
        <v>187.87</v>
      </c>
      <c r="BC120" s="1156"/>
      <c r="BD120" s="1156"/>
      <c r="BE120" s="1280">
        <f t="shared" si="176"/>
        <v>114.955</v>
      </c>
      <c r="BF120" s="1280">
        <f t="shared" si="176"/>
        <v>123.21333333333332</v>
      </c>
      <c r="BG120" s="1280">
        <f t="shared" si="176"/>
        <v>127.3425</v>
      </c>
      <c r="BH120" s="1280">
        <f t="shared" si="177"/>
        <v>201.13749999999999</v>
      </c>
      <c r="BI120" s="1280">
        <f t="shared" si="178"/>
        <v>181.70833333333334</v>
      </c>
      <c r="BJ120" s="1280">
        <f t="shared" si="179"/>
        <v>154.56</v>
      </c>
      <c r="BK120" s="1280">
        <f t="shared" si="180"/>
        <v>139.26749999999998</v>
      </c>
      <c r="BL120" s="1280">
        <f t="shared" si="181"/>
        <v>119.63749999999999</v>
      </c>
      <c r="BM120" s="1280">
        <f t="shared" si="182"/>
        <v>181.49499999999998</v>
      </c>
      <c r="BN120" s="1280">
        <f t="shared" si="183"/>
        <v>163.79083333333332</v>
      </c>
      <c r="BO120" s="1280">
        <f t="shared" si="184"/>
        <v>153.82</v>
      </c>
      <c r="BP120" s="1280">
        <f t="shared" si="185"/>
        <v>187.87</v>
      </c>
      <c r="BQ120" s="1114"/>
      <c r="BR120" s="1115"/>
      <c r="BU120" s="1087"/>
      <c r="BV120" s="1086"/>
      <c r="BW120" s="1086"/>
      <c r="BX120" s="1086"/>
    </row>
    <row r="121" spans="1:100" ht="12.75" customHeight="1">
      <c r="A121" s="1088"/>
      <c r="B121" s="1089"/>
      <c r="C121" s="1370" t="s">
        <v>362</v>
      </c>
      <c r="D121" s="1370"/>
      <c r="E121" s="1370"/>
      <c r="F121" s="1369"/>
      <c r="G121" s="1397"/>
      <c r="H121" s="1385"/>
      <c r="I121" s="1385"/>
      <c r="J121" s="1398"/>
      <c r="K121" s="1397"/>
      <c r="L121" s="1385"/>
      <c r="M121" s="1385"/>
      <c r="N121" s="1398"/>
      <c r="O121" s="1397">
        <v>110</v>
      </c>
      <c r="P121" s="1385">
        <v>78.819999999999993</v>
      </c>
      <c r="Q121" s="1385">
        <v>16.46</v>
      </c>
      <c r="R121" s="1155">
        <v>16.46</v>
      </c>
      <c r="S121" s="1153">
        <f t="shared" si="187"/>
        <v>16.46</v>
      </c>
      <c r="T121" s="1385">
        <f t="shared" si="187"/>
        <v>20.216666666666669</v>
      </c>
      <c r="U121" s="1154">
        <f t="shared" si="187"/>
        <v>27.73</v>
      </c>
      <c r="V121" s="1155">
        <f t="shared" si="187"/>
        <v>27.73</v>
      </c>
      <c r="W121" s="1154">
        <f t="shared" si="187"/>
        <v>27.73</v>
      </c>
      <c r="X121" s="1385">
        <f t="shared" si="187"/>
        <v>60.483333333333327</v>
      </c>
      <c r="Y121" s="1154">
        <f t="shared" si="187"/>
        <v>125.99</v>
      </c>
      <c r="Z121" s="1155">
        <f t="shared" si="187"/>
        <v>125.99</v>
      </c>
      <c r="AA121" s="1154">
        <f t="shared" si="187"/>
        <v>125.99</v>
      </c>
      <c r="AB121" s="1385">
        <f t="shared" si="187"/>
        <v>129.32666666666668</v>
      </c>
      <c r="AC121" s="1154">
        <f t="shared" si="187"/>
        <v>136</v>
      </c>
      <c r="AD121" s="1155">
        <f t="shared" si="187"/>
        <v>136</v>
      </c>
      <c r="AE121" s="1154">
        <f t="shared" si="187"/>
        <v>136</v>
      </c>
      <c r="AF121" s="1385">
        <f t="shared" si="187"/>
        <v>110.45666666666666</v>
      </c>
      <c r="AG121" s="1154">
        <f t="shared" si="187"/>
        <v>59.37</v>
      </c>
      <c r="AH121" s="1155">
        <f t="shared" si="187"/>
        <v>59.37</v>
      </c>
      <c r="AI121" s="1386">
        <f t="shared" si="186"/>
        <v>59.37</v>
      </c>
      <c r="AJ121" s="1386">
        <f t="shared" si="186"/>
        <v>79.58</v>
      </c>
      <c r="AK121" s="1386">
        <f t="shared" si="186"/>
        <v>120</v>
      </c>
      <c r="AL121" s="1155">
        <f t="shared" si="186"/>
        <v>120</v>
      </c>
      <c r="AM121" s="1386">
        <f t="shared" si="186"/>
        <v>120</v>
      </c>
      <c r="AN121" s="1386">
        <f t="shared" si="186"/>
        <v>151.66666666666666</v>
      </c>
      <c r="AO121" s="1386">
        <f t="shared" si="186"/>
        <v>215</v>
      </c>
      <c r="AP121" s="1387">
        <f t="shared" si="186"/>
        <v>215</v>
      </c>
      <c r="AQ121" s="1386">
        <f t="shared" si="186"/>
        <v>215</v>
      </c>
      <c r="AR121" s="1386">
        <f t="shared" si="186"/>
        <v>210.92333333333332</v>
      </c>
      <c r="AS121" s="1386">
        <f t="shared" si="186"/>
        <v>202.77</v>
      </c>
      <c r="AT121" s="1155">
        <f t="shared" si="186"/>
        <v>202.77</v>
      </c>
      <c r="AU121" s="1386">
        <f t="shared" si="186"/>
        <v>202.77</v>
      </c>
      <c r="AV121" s="1386">
        <f t="shared" si="186"/>
        <v>202.77</v>
      </c>
      <c r="AW121" s="1386">
        <f t="shared" si="186"/>
        <v>188.12</v>
      </c>
      <c r="AX121" s="1387">
        <f t="shared" si="186"/>
        <v>188.12</v>
      </c>
      <c r="AY121" s="1386">
        <f t="shared" ref="AY121:BB128" si="188">IF(ISBLANK(AY264),"",AY264)</f>
        <v>188.12</v>
      </c>
      <c r="AZ121" s="1386">
        <f t="shared" si="188"/>
        <v>188.12</v>
      </c>
      <c r="BA121" s="1386">
        <f t="shared" si="188"/>
        <v>188.12</v>
      </c>
      <c r="BB121" s="1387">
        <f t="shared" si="188"/>
        <v>188.12</v>
      </c>
      <c r="BC121" s="1156"/>
      <c r="BD121" s="1156"/>
      <c r="BE121" s="1280">
        <f t="shared" si="176"/>
        <v>94.41</v>
      </c>
      <c r="BF121" s="1280">
        <f t="shared" si="176"/>
        <v>68.426666666666662</v>
      </c>
      <c r="BG121" s="1280">
        <f t="shared" si="176"/>
        <v>55.435000000000002</v>
      </c>
      <c r="BH121" s="1280">
        <f t="shared" si="177"/>
        <v>23.034166666666668</v>
      </c>
      <c r="BI121" s="1280">
        <f t="shared" si="178"/>
        <v>85.048333333333332</v>
      </c>
      <c r="BJ121" s="1280">
        <f t="shared" si="179"/>
        <v>131.82916666666665</v>
      </c>
      <c r="BK121" s="1280">
        <f t="shared" si="180"/>
        <v>91.299166666666665</v>
      </c>
      <c r="BL121" s="1280">
        <f t="shared" si="181"/>
        <v>94.737499999999997</v>
      </c>
      <c r="BM121" s="1280">
        <f t="shared" si="182"/>
        <v>175.41666666666666</v>
      </c>
      <c r="BN121" s="1280">
        <f t="shared" si="183"/>
        <v>207.86583333333331</v>
      </c>
      <c r="BO121" s="1280">
        <f t="shared" si="184"/>
        <v>195.44500000000002</v>
      </c>
      <c r="BP121" s="1280">
        <f t="shared" si="185"/>
        <v>188.12</v>
      </c>
      <c r="BQ121" s="1114"/>
      <c r="BR121" s="1115"/>
      <c r="BU121" s="1087"/>
      <c r="BV121" s="1086"/>
      <c r="BW121" s="1086"/>
      <c r="BX121" s="1086"/>
    </row>
    <row r="122" spans="1:100" ht="12.75" customHeight="1">
      <c r="A122" s="1088"/>
      <c r="B122" s="1089"/>
      <c r="C122" s="1370" t="s">
        <v>463</v>
      </c>
      <c r="D122" s="1370"/>
      <c r="E122" s="1370"/>
      <c r="F122" s="1369"/>
      <c r="G122" s="1397"/>
      <c r="H122" s="1385"/>
      <c r="I122" s="1385"/>
      <c r="J122" s="1398"/>
      <c r="K122" s="1397"/>
      <c r="L122" s="1385"/>
      <c r="M122" s="1385"/>
      <c r="N122" s="1398"/>
      <c r="O122" s="1397">
        <v>110</v>
      </c>
      <c r="P122" s="1385">
        <v>135</v>
      </c>
      <c r="Q122" s="1385">
        <v>185</v>
      </c>
      <c r="R122" s="1155">
        <v>185</v>
      </c>
      <c r="S122" s="1153">
        <f t="shared" si="187"/>
        <v>185</v>
      </c>
      <c r="T122" s="1385">
        <f t="shared" si="187"/>
        <v>205</v>
      </c>
      <c r="U122" s="1154">
        <f t="shared" si="187"/>
        <v>245</v>
      </c>
      <c r="V122" s="1155">
        <f t="shared" si="187"/>
        <v>245</v>
      </c>
      <c r="W122" s="1154">
        <f t="shared" si="187"/>
        <v>245</v>
      </c>
      <c r="X122" s="1385">
        <f t="shared" si="187"/>
        <v>238.33333333333334</v>
      </c>
      <c r="Y122" s="1154">
        <f t="shared" si="187"/>
        <v>225</v>
      </c>
      <c r="Z122" s="1155">
        <f t="shared" si="187"/>
        <v>225</v>
      </c>
      <c r="AA122" s="1154">
        <f t="shared" si="187"/>
        <v>225</v>
      </c>
      <c r="AB122" s="1385">
        <f t="shared" si="187"/>
        <v>205.82</v>
      </c>
      <c r="AC122" s="1154">
        <f t="shared" si="187"/>
        <v>167.46</v>
      </c>
      <c r="AD122" s="1155">
        <f t="shared" si="187"/>
        <v>167.46</v>
      </c>
      <c r="AE122" s="1154">
        <f t="shared" si="187"/>
        <v>167.46</v>
      </c>
      <c r="AF122" s="1385">
        <f t="shared" si="187"/>
        <v>184.64</v>
      </c>
      <c r="AG122" s="1154">
        <f t="shared" si="187"/>
        <v>219</v>
      </c>
      <c r="AH122" s="1155">
        <f t="shared" si="187"/>
        <v>219</v>
      </c>
      <c r="AI122" s="1386">
        <f t="shared" si="186"/>
        <v>219</v>
      </c>
      <c r="AJ122" s="1386">
        <f t="shared" si="186"/>
        <v>217.66666666666666</v>
      </c>
      <c r="AK122" s="1386">
        <f t="shared" si="186"/>
        <v>215</v>
      </c>
      <c r="AL122" s="1155">
        <f t="shared" si="186"/>
        <v>215</v>
      </c>
      <c r="AM122" s="1386">
        <f t="shared" si="186"/>
        <v>215</v>
      </c>
      <c r="AN122" s="1386">
        <f t="shared" si="186"/>
        <v>218.4733333333333</v>
      </c>
      <c r="AO122" s="1386">
        <f t="shared" si="186"/>
        <v>225.42</v>
      </c>
      <c r="AP122" s="1387">
        <f t="shared" si="186"/>
        <v>225.42</v>
      </c>
      <c r="AQ122" s="1386">
        <f t="shared" si="186"/>
        <v>225.42</v>
      </c>
      <c r="AR122" s="1386">
        <f t="shared" si="186"/>
        <v>190.27999999999997</v>
      </c>
      <c r="AS122" s="1386">
        <f t="shared" si="186"/>
        <v>120</v>
      </c>
      <c r="AT122" s="1155">
        <f t="shared" si="186"/>
        <v>120</v>
      </c>
      <c r="AU122" s="1386">
        <f t="shared" si="186"/>
        <v>120</v>
      </c>
      <c r="AV122" s="1386">
        <f t="shared" si="186"/>
        <v>142.62333333333333</v>
      </c>
      <c r="AW122" s="1386">
        <f t="shared" si="186"/>
        <v>187.87</v>
      </c>
      <c r="AX122" s="1387">
        <f t="shared" si="186"/>
        <v>187.87</v>
      </c>
      <c r="AY122" s="1386">
        <f t="shared" si="188"/>
        <v>187.87</v>
      </c>
      <c r="AZ122" s="1386">
        <f t="shared" si="188"/>
        <v>187.87</v>
      </c>
      <c r="BA122" s="1386">
        <f t="shared" si="188"/>
        <v>187.87</v>
      </c>
      <c r="BB122" s="1387">
        <f t="shared" si="188"/>
        <v>187.87</v>
      </c>
      <c r="BC122" s="1156"/>
      <c r="BD122" s="1156"/>
      <c r="BE122" s="1280">
        <f t="shared" si="176"/>
        <v>122.5</v>
      </c>
      <c r="BF122" s="1280">
        <f t="shared" si="176"/>
        <v>143.33333333333334</v>
      </c>
      <c r="BG122" s="1280">
        <f t="shared" si="176"/>
        <v>153.75</v>
      </c>
      <c r="BH122" s="1280">
        <f t="shared" si="177"/>
        <v>220</v>
      </c>
      <c r="BI122" s="1280">
        <f t="shared" si="178"/>
        <v>233.33333333333334</v>
      </c>
      <c r="BJ122" s="1280">
        <f t="shared" si="179"/>
        <v>191.435</v>
      </c>
      <c r="BK122" s="1280">
        <f t="shared" si="180"/>
        <v>197.52500000000001</v>
      </c>
      <c r="BL122" s="1280">
        <f t="shared" si="181"/>
        <v>216.66666666666666</v>
      </c>
      <c r="BM122" s="1280">
        <f t="shared" si="182"/>
        <v>221.07833333333332</v>
      </c>
      <c r="BN122" s="1280">
        <f t="shared" si="183"/>
        <v>163.92499999999998</v>
      </c>
      <c r="BO122" s="1280">
        <f t="shared" si="184"/>
        <v>159.59083333333334</v>
      </c>
      <c r="BP122" s="1280">
        <f t="shared" si="185"/>
        <v>187.87</v>
      </c>
      <c r="BQ122" s="1114"/>
      <c r="BR122" s="1115"/>
      <c r="BU122" s="1087"/>
      <c r="BV122" s="1086"/>
      <c r="BW122" s="1086"/>
      <c r="BX122" s="1086"/>
    </row>
    <row r="123" spans="1:100" ht="12.75" customHeight="1">
      <c r="A123" s="1088"/>
      <c r="B123" s="1089"/>
      <c r="C123" s="1370" t="s">
        <v>373</v>
      </c>
      <c r="D123" s="1370"/>
      <c r="E123" s="1370"/>
      <c r="F123" s="1369"/>
      <c r="G123" s="1397"/>
      <c r="H123" s="1385"/>
      <c r="I123" s="1385"/>
      <c r="J123" s="1398"/>
      <c r="K123" s="1397"/>
      <c r="L123" s="1385"/>
      <c r="M123" s="1385"/>
      <c r="N123" s="1398"/>
      <c r="O123" s="1397">
        <v>5</v>
      </c>
      <c r="P123" s="1385">
        <v>29</v>
      </c>
      <c r="Q123" s="1385">
        <v>41</v>
      </c>
      <c r="R123" s="1155">
        <v>31.666666666666668</v>
      </c>
      <c r="S123" s="1153">
        <f t="shared" si="187"/>
        <v>27</v>
      </c>
      <c r="T123" s="1385">
        <f t="shared" si="187"/>
        <v>101</v>
      </c>
      <c r="U123" s="1154">
        <f t="shared" si="187"/>
        <v>138</v>
      </c>
      <c r="V123" s="1155">
        <f t="shared" si="187"/>
        <v>108.66666666666667</v>
      </c>
      <c r="W123" s="1154">
        <f t="shared" si="187"/>
        <v>94</v>
      </c>
      <c r="X123" s="1385">
        <f t="shared" si="187"/>
        <v>144</v>
      </c>
      <c r="Y123" s="1154">
        <f t="shared" si="187"/>
        <v>169</v>
      </c>
      <c r="Z123" s="1155">
        <f t="shared" si="187"/>
        <v>108.38812785388127</v>
      </c>
      <c r="AA123" s="1154">
        <f t="shared" si="187"/>
        <v>78.082191780821915</v>
      </c>
      <c r="AB123" s="1385">
        <f t="shared" si="187"/>
        <v>103.83561643835614</v>
      </c>
      <c r="AC123" s="1154">
        <f t="shared" si="187"/>
        <v>116.71232876712327</v>
      </c>
      <c r="AD123" s="1155">
        <f t="shared" si="187"/>
        <v>63.452054794520535</v>
      </c>
      <c r="AE123" s="1154">
        <f t="shared" si="187"/>
        <v>36.821917808219183</v>
      </c>
      <c r="AF123" s="1385">
        <f t="shared" si="187"/>
        <v>91.61643835616438</v>
      </c>
      <c r="AG123" s="1154">
        <f t="shared" si="187"/>
        <v>119.01369863013699</v>
      </c>
      <c r="AH123" s="1155">
        <f t="shared" si="187"/>
        <v>56.109589041095887</v>
      </c>
      <c r="AI123" s="1386">
        <f t="shared" si="186"/>
        <v>24.657534246575342</v>
      </c>
      <c r="AJ123" s="1386">
        <f t="shared" si="186"/>
        <v>101.36986301369862</v>
      </c>
      <c r="AK123" s="1386">
        <f t="shared" si="186"/>
        <v>139.72602739726028</v>
      </c>
      <c r="AL123" s="1155">
        <f t="shared" si="186"/>
        <v>75.06849315068493</v>
      </c>
      <c r="AM123" s="1386">
        <f t="shared" si="186"/>
        <v>42.739726027397268</v>
      </c>
      <c r="AN123" s="1386">
        <f t="shared" si="186"/>
        <v>123.83561643835615</v>
      </c>
      <c r="AO123" s="1386">
        <f t="shared" si="186"/>
        <v>164.38356164383561</v>
      </c>
      <c r="AP123" s="1387">
        <f t="shared" si="186"/>
        <v>83.287671232876704</v>
      </c>
      <c r="AQ123" s="1386">
        <f t="shared" si="186"/>
        <v>42.739726027397268</v>
      </c>
      <c r="AR123" s="1386">
        <f t="shared" si="186"/>
        <v>123.83561643835615</v>
      </c>
      <c r="AS123" s="1386">
        <f t="shared" si="186"/>
        <v>164.38356164383561</v>
      </c>
      <c r="AT123" s="1155">
        <f t="shared" si="186"/>
        <v>83.287671232876704</v>
      </c>
      <c r="AU123" s="1386">
        <f t="shared" si="186"/>
        <v>42.739726027397268</v>
      </c>
      <c r="AV123" s="1386">
        <f t="shared" si="186"/>
        <v>123.83561643835615</v>
      </c>
      <c r="AW123" s="1386">
        <f t="shared" si="186"/>
        <v>164.38356164383561</v>
      </c>
      <c r="AX123" s="1387">
        <f t="shared" si="186"/>
        <v>83.287671232876704</v>
      </c>
      <c r="AY123" s="1386">
        <f t="shared" si="188"/>
        <v>42.739726027397268</v>
      </c>
      <c r="AZ123" s="1386">
        <f t="shared" si="188"/>
        <v>123.83561643835615</v>
      </c>
      <c r="BA123" s="1386">
        <f t="shared" si="188"/>
        <v>164.38356164383561</v>
      </c>
      <c r="BB123" s="1387">
        <f t="shared" si="188"/>
        <v>83.287671232876704</v>
      </c>
      <c r="BC123" s="1156"/>
      <c r="BD123" s="1156"/>
      <c r="BE123" s="1280">
        <f t="shared" si="176"/>
        <v>17</v>
      </c>
      <c r="BF123" s="1280">
        <f t="shared" si="176"/>
        <v>25</v>
      </c>
      <c r="BG123" s="1280">
        <f t="shared" si="176"/>
        <v>26.666666666666668</v>
      </c>
      <c r="BH123" s="1280">
        <f t="shared" si="177"/>
        <v>93.666666666666671</v>
      </c>
      <c r="BI123" s="1280">
        <f t="shared" si="178"/>
        <v>128.84703196347033</v>
      </c>
      <c r="BJ123" s="1280">
        <f t="shared" si="179"/>
        <v>90.520547945205465</v>
      </c>
      <c r="BK123" s="1280">
        <f t="shared" si="180"/>
        <v>75.890410958904113</v>
      </c>
      <c r="BL123" s="1280">
        <f t="shared" si="181"/>
        <v>85.205479452054789</v>
      </c>
      <c r="BM123" s="1280">
        <f t="shared" si="182"/>
        <v>103.56164383561642</v>
      </c>
      <c r="BN123" s="1280">
        <f t="shared" si="183"/>
        <v>103.56164383561642</v>
      </c>
      <c r="BO123" s="1280">
        <f t="shared" si="184"/>
        <v>103.56164383561642</v>
      </c>
      <c r="BP123" s="1280">
        <f t="shared" si="185"/>
        <v>103.56164383561642</v>
      </c>
      <c r="BQ123" s="1114"/>
      <c r="BR123" s="1115"/>
      <c r="BU123" s="1087"/>
      <c r="BV123" s="1086"/>
      <c r="BW123" s="1086"/>
      <c r="BX123" s="1086"/>
    </row>
    <row r="124" spans="1:100" ht="12.75" customHeight="1">
      <c r="A124" s="1088"/>
      <c r="B124" s="1089"/>
      <c r="C124" s="1370" t="s">
        <v>371</v>
      </c>
      <c r="D124" s="1370"/>
      <c r="E124" s="1370"/>
      <c r="F124" s="1369"/>
      <c r="G124" s="1397"/>
      <c r="H124" s="1385"/>
      <c r="I124" s="1385"/>
      <c r="J124" s="1398"/>
      <c r="K124" s="1397"/>
      <c r="L124" s="1385"/>
      <c r="M124" s="1385"/>
      <c r="N124" s="1398"/>
      <c r="O124" s="1397">
        <v>89</v>
      </c>
      <c r="P124" s="1385">
        <v>286.33333333333331</v>
      </c>
      <c r="Q124" s="1385">
        <v>385</v>
      </c>
      <c r="R124" s="1155">
        <v>227</v>
      </c>
      <c r="S124" s="1153">
        <f t="shared" si="187"/>
        <v>148</v>
      </c>
      <c r="T124" s="1385">
        <f t="shared" si="187"/>
        <v>374</v>
      </c>
      <c r="U124" s="1154">
        <f t="shared" si="187"/>
        <v>487</v>
      </c>
      <c r="V124" s="1155">
        <f t="shared" si="187"/>
        <v>326.33333333333331</v>
      </c>
      <c r="W124" s="1154">
        <f t="shared" si="187"/>
        <v>246</v>
      </c>
      <c r="X124" s="1385">
        <f t="shared" si="187"/>
        <v>437.33333333333331</v>
      </c>
      <c r="Y124" s="1154">
        <f t="shared" si="187"/>
        <v>533</v>
      </c>
      <c r="Z124" s="1155">
        <f t="shared" si="187"/>
        <v>374.05022831050229</v>
      </c>
      <c r="AA124" s="1154">
        <f t="shared" si="187"/>
        <v>294.57534246575347</v>
      </c>
      <c r="AB124" s="1385">
        <f t="shared" si="187"/>
        <v>441.20547945205482</v>
      </c>
      <c r="AC124" s="1154">
        <f t="shared" si="187"/>
        <v>514.52054794520552</v>
      </c>
      <c r="AD124" s="1155">
        <f t="shared" si="187"/>
        <v>299.28767123287673</v>
      </c>
      <c r="AE124" s="1154">
        <f t="shared" si="187"/>
        <v>191.67123287671237</v>
      </c>
      <c r="AF124" s="1385">
        <f t="shared" si="187"/>
        <v>304.76712328767127</v>
      </c>
      <c r="AG124" s="1154">
        <f t="shared" si="187"/>
        <v>361.3150684931507</v>
      </c>
      <c r="AH124" s="1155">
        <f t="shared" si="187"/>
        <v>197.15068493150685</v>
      </c>
      <c r="AI124" s="1386">
        <f t="shared" si="186"/>
        <v>115.06849315068493</v>
      </c>
      <c r="AJ124" s="1386">
        <f t="shared" si="186"/>
        <v>306.84931506849313</v>
      </c>
      <c r="AK124" s="1386">
        <f t="shared" si="186"/>
        <v>402.73972602739724</v>
      </c>
      <c r="AL124" s="1155">
        <f t="shared" si="186"/>
        <v>240.10958904109589</v>
      </c>
      <c r="AM124" s="1386">
        <f t="shared" si="186"/>
        <v>158.79452054794521</v>
      </c>
      <c r="AN124" s="1386">
        <f t="shared" si="186"/>
        <v>321.42465753424653</v>
      </c>
      <c r="AO124" s="1386">
        <f t="shared" si="186"/>
        <v>402.73972602739724</v>
      </c>
      <c r="AP124" s="1387">
        <f t="shared" si="186"/>
        <v>240.10958904109589</v>
      </c>
      <c r="AQ124" s="1386">
        <f t="shared" si="186"/>
        <v>158.79452054794521</v>
      </c>
      <c r="AR124" s="1386">
        <f t="shared" si="186"/>
        <v>321.42465753424653</v>
      </c>
      <c r="AS124" s="1386">
        <f t="shared" si="186"/>
        <v>402.73972602739724</v>
      </c>
      <c r="AT124" s="1155">
        <f t="shared" si="186"/>
        <v>240.10958904109589</v>
      </c>
      <c r="AU124" s="1386">
        <f t="shared" si="186"/>
        <v>158.79452054794521</v>
      </c>
      <c r="AV124" s="1386">
        <f t="shared" si="186"/>
        <v>321.42465753424653</v>
      </c>
      <c r="AW124" s="1386">
        <f t="shared" si="186"/>
        <v>402.73972602739724</v>
      </c>
      <c r="AX124" s="1387">
        <f t="shared" si="186"/>
        <v>240.10958904109589</v>
      </c>
      <c r="AY124" s="1386">
        <f t="shared" si="188"/>
        <v>158.79452054794521</v>
      </c>
      <c r="AZ124" s="1386">
        <f t="shared" si="188"/>
        <v>321.42465753424653</v>
      </c>
      <c r="BA124" s="1386">
        <f t="shared" si="188"/>
        <v>402.73972602739724</v>
      </c>
      <c r="BB124" s="1387">
        <f t="shared" si="188"/>
        <v>240.10958904109589</v>
      </c>
      <c r="BC124" s="1156"/>
      <c r="BD124" s="1156"/>
      <c r="BE124" s="1280">
        <f t="shared" si="176"/>
        <v>187.66666666666666</v>
      </c>
      <c r="BF124" s="1280">
        <f t="shared" si="176"/>
        <v>253.44444444444443</v>
      </c>
      <c r="BG124" s="1280">
        <f t="shared" si="176"/>
        <v>246.83333333333331</v>
      </c>
      <c r="BH124" s="1280">
        <f t="shared" si="177"/>
        <v>333.83333333333331</v>
      </c>
      <c r="BI124" s="1280">
        <f t="shared" si="178"/>
        <v>397.59589041095887</v>
      </c>
      <c r="BJ124" s="1280">
        <f t="shared" si="179"/>
        <v>387.39726027397262</v>
      </c>
      <c r="BK124" s="1280">
        <f t="shared" si="180"/>
        <v>263.72602739726034</v>
      </c>
      <c r="BL124" s="1280">
        <f t="shared" si="181"/>
        <v>266.1917808219178</v>
      </c>
      <c r="BM124" s="1280">
        <f t="shared" si="182"/>
        <v>280.76712328767121</v>
      </c>
      <c r="BN124" s="1280">
        <f t="shared" si="183"/>
        <v>280.76712328767121</v>
      </c>
      <c r="BO124" s="1280">
        <f t="shared" si="184"/>
        <v>280.76712328767121</v>
      </c>
      <c r="BP124" s="1280">
        <f t="shared" si="185"/>
        <v>280.76712328767121</v>
      </c>
      <c r="BQ124" s="1114"/>
      <c r="BR124" s="1115"/>
      <c r="BU124" s="1087"/>
      <c r="BV124" s="1086"/>
      <c r="BW124" s="1086"/>
      <c r="BX124" s="1086"/>
    </row>
    <row r="125" spans="1:100" ht="12.75" customHeight="1">
      <c r="A125" s="1088"/>
      <c r="B125" s="1089"/>
      <c r="C125" s="1370" t="s">
        <v>705</v>
      </c>
      <c r="D125" s="1370"/>
      <c r="E125" s="1370"/>
      <c r="F125" s="1369"/>
      <c r="G125" s="1397"/>
      <c r="H125" s="1385"/>
      <c r="I125" s="1385"/>
      <c r="J125" s="1398"/>
      <c r="K125" s="1397"/>
      <c r="L125" s="1385"/>
      <c r="M125" s="1385"/>
      <c r="N125" s="1398"/>
      <c r="O125" s="1397">
        <v>110</v>
      </c>
      <c r="P125" s="1385">
        <v>78.819999999999993</v>
      </c>
      <c r="Q125" s="1385">
        <v>16.46</v>
      </c>
      <c r="R125" s="1155">
        <v>16.46</v>
      </c>
      <c r="S125" s="1153">
        <f t="shared" si="187"/>
        <v>16.46</v>
      </c>
      <c r="T125" s="1154">
        <f t="shared" si="187"/>
        <v>20.216666666666669</v>
      </c>
      <c r="U125" s="1154">
        <f t="shared" si="187"/>
        <v>27.73</v>
      </c>
      <c r="V125" s="1155">
        <f t="shared" si="187"/>
        <v>27.73</v>
      </c>
      <c r="W125" s="1154">
        <f t="shared" si="187"/>
        <v>27.73</v>
      </c>
      <c r="X125" s="1154">
        <f t="shared" si="187"/>
        <v>60.483333333333327</v>
      </c>
      <c r="Y125" s="1154">
        <f t="shared" si="187"/>
        <v>125.99</v>
      </c>
      <c r="Z125" s="1155">
        <f t="shared" si="187"/>
        <v>125.99</v>
      </c>
      <c r="AA125" s="1154">
        <f t="shared" si="187"/>
        <v>125.99</v>
      </c>
      <c r="AB125" s="1154">
        <f t="shared" si="187"/>
        <v>129.32666666666668</v>
      </c>
      <c r="AC125" s="1154">
        <f t="shared" si="187"/>
        <v>357</v>
      </c>
      <c r="AD125" s="1155">
        <f t="shared" si="187"/>
        <v>357</v>
      </c>
      <c r="AE125" s="1154">
        <f t="shared" si="187"/>
        <v>357</v>
      </c>
      <c r="AF125" s="1385">
        <f t="shared" si="187"/>
        <v>276.07666666666665</v>
      </c>
      <c r="AG125" s="1154">
        <f t="shared" si="187"/>
        <v>114.23</v>
      </c>
      <c r="AH125" s="1155">
        <f t="shared" si="187"/>
        <v>114.23</v>
      </c>
      <c r="AI125" s="1386">
        <f t="shared" si="186"/>
        <v>114.23</v>
      </c>
      <c r="AJ125" s="1386">
        <f t="shared" si="186"/>
        <v>116.15333333333334</v>
      </c>
      <c r="AK125" s="1386">
        <f t="shared" si="186"/>
        <v>120</v>
      </c>
      <c r="AL125" s="1155">
        <f t="shared" si="186"/>
        <v>120</v>
      </c>
      <c r="AM125" s="1386">
        <f t="shared" si="186"/>
        <v>120</v>
      </c>
      <c r="AN125" s="1386">
        <f t="shared" si="186"/>
        <v>134.92333333333335</v>
      </c>
      <c r="AO125" s="1386">
        <f t="shared" si="186"/>
        <v>164.77</v>
      </c>
      <c r="AP125" s="1387">
        <f t="shared" si="186"/>
        <v>164.77</v>
      </c>
      <c r="AQ125" s="1386">
        <f t="shared" si="186"/>
        <v>164.77</v>
      </c>
      <c r="AR125" s="1386">
        <f t="shared" si="186"/>
        <v>143.18</v>
      </c>
      <c r="AS125" s="1386">
        <f t="shared" si="186"/>
        <v>100</v>
      </c>
      <c r="AT125" s="1155">
        <f t="shared" si="186"/>
        <v>100</v>
      </c>
      <c r="AU125" s="1386">
        <f t="shared" si="186"/>
        <v>100</v>
      </c>
      <c r="AV125" s="1386">
        <f t="shared" si="186"/>
        <v>100</v>
      </c>
      <c r="AW125" s="1386">
        <f t="shared" si="186"/>
        <v>76.53</v>
      </c>
      <c r="AX125" s="1387">
        <f t="shared" si="186"/>
        <v>76.53</v>
      </c>
      <c r="AY125" s="1386">
        <f t="shared" si="188"/>
        <v>76.53</v>
      </c>
      <c r="AZ125" s="1386">
        <f t="shared" si="188"/>
        <v>76.53</v>
      </c>
      <c r="BA125" s="1386">
        <f t="shared" si="188"/>
        <v>76.53</v>
      </c>
      <c r="BB125" s="1387">
        <f t="shared" si="188"/>
        <v>76.53</v>
      </c>
      <c r="BC125" s="1156"/>
      <c r="BD125" s="1156"/>
      <c r="BE125" s="1280">
        <f t="shared" si="176"/>
        <v>94.41</v>
      </c>
      <c r="BF125" s="1280">
        <f t="shared" si="176"/>
        <v>68.426666666666662</v>
      </c>
      <c r="BG125" s="1280">
        <f t="shared" si="176"/>
        <v>55.435000000000002</v>
      </c>
      <c r="BH125" s="1280">
        <f t="shared" si="177"/>
        <v>23.034166666666668</v>
      </c>
      <c r="BI125" s="1280">
        <f t="shared" si="178"/>
        <v>85.048333333333332</v>
      </c>
      <c r="BJ125" s="1280">
        <f t="shared" si="179"/>
        <v>242.32916666666665</v>
      </c>
      <c r="BK125" s="1280">
        <f t="shared" si="180"/>
        <v>215.38416666666666</v>
      </c>
      <c r="BL125" s="1280">
        <f t="shared" si="181"/>
        <v>117.59583333333333</v>
      </c>
      <c r="BM125" s="1280">
        <f t="shared" si="182"/>
        <v>146.11583333333334</v>
      </c>
      <c r="BN125" s="1280">
        <f t="shared" si="183"/>
        <v>126.98750000000001</v>
      </c>
      <c r="BO125" s="1280">
        <f t="shared" si="184"/>
        <v>88.264999999999986</v>
      </c>
      <c r="BP125" s="1280">
        <f t="shared" si="185"/>
        <v>76.53</v>
      </c>
      <c r="BQ125" s="1114"/>
      <c r="BR125" s="1115"/>
      <c r="BU125" s="1087"/>
      <c r="BV125" s="1086"/>
      <c r="BW125" s="1086"/>
      <c r="BX125" s="1086"/>
    </row>
    <row r="126" spans="1:100" ht="12.75" customHeight="1">
      <c r="A126" s="1088"/>
      <c r="B126" s="1089"/>
      <c r="C126" s="1370" t="s">
        <v>800</v>
      </c>
      <c r="D126" s="1370"/>
      <c r="E126" s="1370"/>
      <c r="F126" s="1369"/>
      <c r="G126" s="1397"/>
      <c r="H126" s="1385"/>
      <c r="I126" s="1385"/>
      <c r="J126" s="1398"/>
      <c r="K126" s="1397"/>
      <c r="L126" s="1385"/>
      <c r="M126" s="1385"/>
      <c r="N126" s="1398"/>
      <c r="O126" s="1397">
        <v>0</v>
      </c>
      <c r="P126" s="1385">
        <v>0</v>
      </c>
      <c r="Q126" s="1385">
        <v>0</v>
      </c>
      <c r="R126" s="1155">
        <v>0</v>
      </c>
      <c r="S126" s="1153">
        <f t="shared" si="187"/>
        <v>0.1</v>
      </c>
      <c r="T126" s="1154">
        <f t="shared" si="187"/>
        <v>0.41666666666666669</v>
      </c>
      <c r="U126" s="1154">
        <f t="shared" si="187"/>
        <v>1.05</v>
      </c>
      <c r="V126" s="1155">
        <f t="shared" si="187"/>
        <v>1.05</v>
      </c>
      <c r="W126" s="1154">
        <f t="shared" si="187"/>
        <v>1.05</v>
      </c>
      <c r="X126" s="1154">
        <f t="shared" si="187"/>
        <v>11.516666666666666</v>
      </c>
      <c r="Y126" s="1154">
        <f t="shared" si="187"/>
        <v>16.75</v>
      </c>
      <c r="Z126" s="1155">
        <f t="shared" si="187"/>
        <v>16.75</v>
      </c>
      <c r="AA126" s="1154">
        <f t="shared" si="187"/>
        <v>16.75</v>
      </c>
      <c r="AB126" s="1154">
        <f t="shared" si="187"/>
        <v>105.58333333333333</v>
      </c>
      <c r="AC126" s="1154">
        <f t="shared" si="187"/>
        <v>150</v>
      </c>
      <c r="AD126" s="1155">
        <f t="shared" si="187"/>
        <v>150</v>
      </c>
      <c r="AE126" s="1154">
        <f t="shared" si="187"/>
        <v>150</v>
      </c>
      <c r="AF126" s="1154">
        <f t="shared" si="187"/>
        <v>150</v>
      </c>
      <c r="AG126" s="1154">
        <f t="shared" si="187"/>
        <v>150</v>
      </c>
      <c r="AH126" s="1155">
        <f t="shared" si="187"/>
        <v>150</v>
      </c>
      <c r="AI126" s="1386">
        <f t="shared" si="186"/>
        <v>150</v>
      </c>
      <c r="AJ126" s="1386">
        <f t="shared" si="186"/>
        <v>150</v>
      </c>
      <c r="AK126" s="1386">
        <f t="shared" si="186"/>
        <v>150</v>
      </c>
      <c r="AL126" s="1155">
        <f t="shared" si="186"/>
        <v>150</v>
      </c>
      <c r="AM126" s="1386">
        <f t="shared" si="186"/>
        <v>150</v>
      </c>
      <c r="AN126" s="1386">
        <f t="shared" si="186"/>
        <v>150</v>
      </c>
      <c r="AO126" s="1386">
        <f t="shared" si="186"/>
        <v>150</v>
      </c>
      <c r="AP126" s="1387">
        <f t="shared" si="186"/>
        <v>150</v>
      </c>
      <c r="AQ126" s="1386">
        <f t="shared" si="186"/>
        <v>150</v>
      </c>
      <c r="AR126" s="1386">
        <f t="shared" si="186"/>
        <v>150</v>
      </c>
      <c r="AS126" s="1386">
        <f t="shared" si="186"/>
        <v>150</v>
      </c>
      <c r="AT126" s="1155">
        <f t="shared" si="186"/>
        <v>150</v>
      </c>
      <c r="AU126" s="1386">
        <f t="shared" si="186"/>
        <v>150</v>
      </c>
      <c r="AV126" s="1386">
        <f t="shared" si="186"/>
        <v>150</v>
      </c>
      <c r="AW126" s="1386">
        <f t="shared" si="186"/>
        <v>150</v>
      </c>
      <c r="AX126" s="1387">
        <f t="shared" si="186"/>
        <v>150</v>
      </c>
      <c r="AY126" s="1386">
        <f t="shared" si="188"/>
        <v>150</v>
      </c>
      <c r="AZ126" s="1386">
        <f t="shared" si="188"/>
        <v>150</v>
      </c>
      <c r="BA126" s="1386">
        <f t="shared" si="188"/>
        <v>150</v>
      </c>
      <c r="BB126" s="1387">
        <f t="shared" si="188"/>
        <v>150</v>
      </c>
      <c r="BC126" s="1156"/>
      <c r="BD126" s="1156"/>
      <c r="BE126" s="1280">
        <f t="shared" si="176"/>
        <v>0</v>
      </c>
      <c r="BF126" s="1280">
        <f t="shared" si="176"/>
        <v>0</v>
      </c>
      <c r="BG126" s="1280">
        <f t="shared" si="176"/>
        <v>0</v>
      </c>
      <c r="BH126" s="1280">
        <f t="shared" si="177"/>
        <v>0.65416666666666679</v>
      </c>
      <c r="BI126" s="1280">
        <f t="shared" si="178"/>
        <v>11.516666666666666</v>
      </c>
      <c r="BJ126" s="1280">
        <f t="shared" si="179"/>
        <v>105.58333333333333</v>
      </c>
      <c r="BK126" s="1280">
        <f t="shared" si="180"/>
        <v>150</v>
      </c>
      <c r="BL126" s="1280">
        <f t="shared" si="181"/>
        <v>150</v>
      </c>
      <c r="BM126" s="1280">
        <f t="shared" si="182"/>
        <v>150</v>
      </c>
      <c r="BN126" s="1280">
        <f t="shared" si="183"/>
        <v>150</v>
      </c>
      <c r="BO126" s="1280">
        <f t="shared" si="184"/>
        <v>150</v>
      </c>
      <c r="BP126" s="1280">
        <f t="shared" si="185"/>
        <v>150</v>
      </c>
      <c r="BQ126" s="1114"/>
      <c r="BR126" s="1115"/>
      <c r="BU126" s="1087"/>
      <c r="BV126" s="1086"/>
      <c r="BW126" s="1086"/>
      <c r="BX126" s="1086"/>
    </row>
    <row r="127" spans="1:100" ht="12.75" customHeight="1">
      <c r="A127" s="1088"/>
      <c r="B127" s="1089"/>
      <c r="C127" s="1370" t="s">
        <v>801</v>
      </c>
      <c r="D127" s="1370"/>
      <c r="E127" s="1370"/>
      <c r="F127" s="1369"/>
      <c r="G127" s="1397"/>
      <c r="H127" s="1385"/>
      <c r="I127" s="1385"/>
      <c r="J127" s="1398"/>
      <c r="K127" s="1397"/>
      <c r="L127" s="1385"/>
      <c r="M127" s="1385"/>
      <c r="N127" s="1398"/>
      <c r="O127" s="1397">
        <v>102.54</v>
      </c>
      <c r="P127" s="1385">
        <v>96.14</v>
      </c>
      <c r="Q127" s="1385">
        <v>83.34</v>
      </c>
      <c r="R127" s="1155">
        <v>83.34</v>
      </c>
      <c r="S127" s="1153">
        <f t="shared" si="187"/>
        <v>83.34</v>
      </c>
      <c r="T127" s="1154">
        <f t="shared" si="187"/>
        <v>83.13333333333334</v>
      </c>
      <c r="U127" s="1154">
        <f t="shared" si="187"/>
        <v>82.72</v>
      </c>
      <c r="V127" s="1155">
        <f t="shared" si="187"/>
        <v>82.72</v>
      </c>
      <c r="W127" s="1154">
        <f t="shared" si="187"/>
        <v>82.72</v>
      </c>
      <c r="X127" s="1154">
        <f t="shared" si="187"/>
        <v>86.433333333333337</v>
      </c>
      <c r="Y127" s="1154">
        <f t="shared" si="187"/>
        <v>93.86</v>
      </c>
      <c r="Z127" s="1155">
        <f t="shared" si="187"/>
        <v>93.86</v>
      </c>
      <c r="AA127" s="1154">
        <f t="shared" si="187"/>
        <v>93.86</v>
      </c>
      <c r="AB127" s="1154">
        <f t="shared" si="187"/>
        <v>96.874703196347028</v>
      </c>
      <c r="AC127" s="1154">
        <f t="shared" si="187"/>
        <v>102.9041095890411</v>
      </c>
      <c r="AD127" s="1155">
        <f t="shared" si="187"/>
        <v>102.9041095890411</v>
      </c>
      <c r="AE127" s="1154">
        <f t="shared" si="187"/>
        <v>103</v>
      </c>
      <c r="AF127" s="1154">
        <f t="shared" si="187"/>
        <v>98.89</v>
      </c>
      <c r="AG127" s="1154">
        <f t="shared" si="187"/>
        <v>94.78</v>
      </c>
      <c r="AH127" s="1155">
        <f t="shared" si="187"/>
        <v>94.78</v>
      </c>
      <c r="AI127" s="1386">
        <f t="shared" si="186"/>
        <v>94.78</v>
      </c>
      <c r="AJ127" s="1386">
        <f t="shared" si="186"/>
        <v>140.17296803652968</v>
      </c>
      <c r="AK127" s="1386">
        <f t="shared" si="186"/>
        <v>230.95890410958907</v>
      </c>
      <c r="AL127" s="1155">
        <f t="shared" si="186"/>
        <v>230.95890410958907</v>
      </c>
      <c r="AM127" s="1386">
        <f t="shared" si="186"/>
        <v>230.95890410958907</v>
      </c>
      <c r="AN127" s="1386">
        <f t="shared" si="186"/>
        <v>258.63013698630141</v>
      </c>
      <c r="AO127" s="1386">
        <f t="shared" si="186"/>
        <v>313.97260273972609</v>
      </c>
      <c r="AP127" s="1387">
        <f t="shared" si="186"/>
        <v>313.97260273972609</v>
      </c>
      <c r="AQ127" s="1386">
        <f t="shared" si="186"/>
        <v>313.97260273972609</v>
      </c>
      <c r="AR127" s="1386">
        <f t="shared" si="186"/>
        <v>286.35616438356169</v>
      </c>
      <c r="AS127" s="1386">
        <f t="shared" si="186"/>
        <v>231.12328767123287</v>
      </c>
      <c r="AT127" s="1155">
        <f t="shared" si="186"/>
        <v>231.12328767123287</v>
      </c>
      <c r="AU127" s="1386">
        <f t="shared" si="186"/>
        <v>231.12328767123287</v>
      </c>
      <c r="AV127" s="1386">
        <f t="shared" si="186"/>
        <v>212.13150684931506</v>
      </c>
      <c r="AW127" s="1386">
        <f t="shared" si="186"/>
        <v>174.14794520547943</v>
      </c>
      <c r="AX127" s="1387">
        <f t="shared" si="186"/>
        <v>174.14794520547943</v>
      </c>
      <c r="AY127" s="1386">
        <f t="shared" si="188"/>
        <v>174.14794520547943</v>
      </c>
      <c r="AZ127" s="1386">
        <f t="shared" si="188"/>
        <v>174.14794520547943</v>
      </c>
      <c r="BA127" s="1386">
        <f t="shared" si="188"/>
        <v>174.14794520547943</v>
      </c>
      <c r="BB127" s="1387">
        <f t="shared" si="188"/>
        <v>174.14794520547943</v>
      </c>
      <c r="BC127" s="1156"/>
      <c r="BD127" s="1156"/>
      <c r="BE127" s="1280">
        <f t="shared" si="176"/>
        <v>99.34</v>
      </c>
      <c r="BF127" s="1280">
        <f t="shared" si="176"/>
        <v>94.006666666666661</v>
      </c>
      <c r="BG127" s="1280">
        <f t="shared" si="176"/>
        <v>91.34</v>
      </c>
      <c r="BH127" s="1280">
        <f t="shared" si="177"/>
        <v>82.978333333333339</v>
      </c>
      <c r="BI127" s="1280">
        <f t="shared" si="178"/>
        <v>89.218333333333334</v>
      </c>
      <c r="BJ127" s="1280">
        <f t="shared" si="179"/>
        <v>99.13573059360732</v>
      </c>
      <c r="BK127" s="1280">
        <f t="shared" si="180"/>
        <v>97.862499999999983</v>
      </c>
      <c r="BL127" s="1280">
        <f t="shared" si="181"/>
        <v>174.21769406392696</v>
      </c>
      <c r="BM127" s="1280">
        <f t="shared" si="182"/>
        <v>279.38356164383566</v>
      </c>
      <c r="BN127" s="1280">
        <f t="shared" si="183"/>
        <v>265.64383561643837</v>
      </c>
      <c r="BO127" s="1280">
        <f t="shared" si="184"/>
        <v>197.8876712328767</v>
      </c>
      <c r="BP127" s="1280">
        <f t="shared" si="185"/>
        <v>174.14794520547943</v>
      </c>
      <c r="BQ127" s="1114"/>
      <c r="BR127" s="1115"/>
      <c r="BU127" s="1087"/>
      <c r="BV127" s="1086"/>
      <c r="BW127" s="1086"/>
      <c r="BX127" s="1086"/>
    </row>
    <row r="128" spans="1:100" ht="12.75" customHeight="1">
      <c r="A128" s="1088"/>
      <c r="B128" s="1089"/>
      <c r="C128" s="1370" t="s">
        <v>802</v>
      </c>
      <c r="D128" s="1370"/>
      <c r="E128" s="1370"/>
      <c r="F128" s="1369"/>
      <c r="G128" s="1397"/>
      <c r="H128" s="1385"/>
      <c r="I128" s="1385"/>
      <c r="J128" s="1398"/>
      <c r="K128" s="1397"/>
      <c r="L128" s="1385"/>
      <c r="M128" s="1385"/>
      <c r="N128" s="1398"/>
      <c r="O128" s="1397">
        <v>102.54</v>
      </c>
      <c r="P128" s="1385">
        <v>96.14</v>
      </c>
      <c r="Q128" s="1385">
        <v>83.34</v>
      </c>
      <c r="R128" s="1155">
        <v>83.34</v>
      </c>
      <c r="S128" s="1153">
        <f t="shared" si="187"/>
        <v>83.34</v>
      </c>
      <c r="T128" s="1154">
        <f t="shared" si="187"/>
        <v>83.13333333333334</v>
      </c>
      <c r="U128" s="1154">
        <f t="shared" si="187"/>
        <v>82.72</v>
      </c>
      <c r="V128" s="1155">
        <f t="shared" si="187"/>
        <v>82.72</v>
      </c>
      <c r="W128" s="1154">
        <f t="shared" si="187"/>
        <v>82.72</v>
      </c>
      <c r="X128" s="1154">
        <f t="shared" si="187"/>
        <v>86.433333333333337</v>
      </c>
      <c r="Y128" s="1154">
        <f t="shared" si="187"/>
        <v>93.86</v>
      </c>
      <c r="Z128" s="1155">
        <f t="shared" si="187"/>
        <v>93.86</v>
      </c>
      <c r="AA128" s="1154">
        <f t="shared" si="187"/>
        <v>93.86</v>
      </c>
      <c r="AB128" s="1154">
        <f t="shared" si="187"/>
        <v>96.874703196347028</v>
      </c>
      <c r="AC128" s="1154">
        <f t="shared" si="187"/>
        <v>102.9041095890411</v>
      </c>
      <c r="AD128" s="1155">
        <f t="shared" si="187"/>
        <v>102.9041095890411</v>
      </c>
      <c r="AE128" s="1154">
        <f t="shared" si="187"/>
        <v>103</v>
      </c>
      <c r="AF128" s="1154">
        <f t="shared" si="187"/>
        <v>161</v>
      </c>
      <c r="AG128" s="1154">
        <f t="shared" si="187"/>
        <v>219</v>
      </c>
      <c r="AH128" s="1155">
        <f t="shared" si="187"/>
        <v>219</v>
      </c>
      <c r="AI128" s="1386">
        <f t="shared" si="186"/>
        <v>219</v>
      </c>
      <c r="AJ128" s="1386">
        <f t="shared" si="186"/>
        <v>310.38356164383561</v>
      </c>
      <c r="AK128" s="1386">
        <f t="shared" si="186"/>
        <v>493.15068493150687</v>
      </c>
      <c r="AL128" s="1155">
        <f t="shared" si="186"/>
        <v>493.15068493150687</v>
      </c>
      <c r="AM128" s="1386">
        <f t="shared" si="186"/>
        <v>493.15068493150687</v>
      </c>
      <c r="AN128" s="1386">
        <f t="shared" si="186"/>
        <v>433.42465753424653</v>
      </c>
      <c r="AO128" s="1386">
        <f t="shared" si="186"/>
        <v>313.97260273972609</v>
      </c>
      <c r="AP128" s="1387">
        <f t="shared" si="186"/>
        <v>313.97260273972609</v>
      </c>
      <c r="AQ128" s="1386">
        <f t="shared" si="186"/>
        <v>313.97260273972609</v>
      </c>
      <c r="AR128" s="1386">
        <f t="shared" si="186"/>
        <v>286.35616438356169</v>
      </c>
      <c r="AS128" s="1386">
        <f t="shared" si="186"/>
        <v>231.12328767123287</v>
      </c>
      <c r="AT128" s="1155">
        <f t="shared" si="186"/>
        <v>231.12328767123287</v>
      </c>
      <c r="AU128" s="1386">
        <f t="shared" si="186"/>
        <v>231.12328767123287</v>
      </c>
      <c r="AV128" s="1386">
        <f t="shared" si="186"/>
        <v>212.13150684931506</v>
      </c>
      <c r="AW128" s="1386">
        <f t="shared" si="186"/>
        <v>174.14794520547943</v>
      </c>
      <c r="AX128" s="1387">
        <f t="shared" si="186"/>
        <v>174.14794520547943</v>
      </c>
      <c r="AY128" s="1386">
        <f t="shared" si="188"/>
        <v>174.14794520547943</v>
      </c>
      <c r="AZ128" s="1386">
        <f t="shared" si="188"/>
        <v>174.14794520547943</v>
      </c>
      <c r="BA128" s="1386">
        <f t="shared" si="188"/>
        <v>174.14794520547943</v>
      </c>
      <c r="BB128" s="1387">
        <f t="shared" si="188"/>
        <v>174.14794520547943</v>
      </c>
      <c r="BC128" s="1156"/>
      <c r="BD128" s="1156"/>
      <c r="BE128" s="1280">
        <f t="shared" si="176"/>
        <v>99.34</v>
      </c>
      <c r="BF128" s="1280">
        <f t="shared" si="176"/>
        <v>94.006666666666661</v>
      </c>
      <c r="BG128" s="1280">
        <f t="shared" si="176"/>
        <v>91.34</v>
      </c>
      <c r="BH128" s="1280">
        <f t="shared" si="177"/>
        <v>82.978333333333339</v>
      </c>
      <c r="BI128" s="1280">
        <f t="shared" si="178"/>
        <v>89.218333333333334</v>
      </c>
      <c r="BJ128" s="1280">
        <f t="shared" si="179"/>
        <v>99.13573059360732</v>
      </c>
      <c r="BK128" s="1280">
        <f t="shared" si="180"/>
        <v>175.5</v>
      </c>
      <c r="BL128" s="1280">
        <f t="shared" si="181"/>
        <v>378.92123287671234</v>
      </c>
      <c r="BM128" s="1280">
        <f t="shared" si="182"/>
        <v>388.63013698630141</v>
      </c>
      <c r="BN128" s="1280">
        <f t="shared" si="183"/>
        <v>265.64383561643837</v>
      </c>
      <c r="BO128" s="1280">
        <f t="shared" si="184"/>
        <v>197.8876712328767</v>
      </c>
      <c r="BP128" s="1280">
        <f t="shared" si="185"/>
        <v>174.14794520547943</v>
      </c>
      <c r="BQ128" s="1114"/>
      <c r="BR128" s="1115"/>
      <c r="BU128" s="1087"/>
      <c r="BV128" s="1086"/>
      <c r="BW128" s="1086"/>
      <c r="BX128" s="1086"/>
    </row>
    <row r="129" spans="1:76" ht="12.75" customHeight="1">
      <c r="A129" s="1088"/>
      <c r="B129" s="1089"/>
      <c r="C129" s="1370"/>
      <c r="D129" s="1370"/>
      <c r="E129" s="1370"/>
      <c r="F129" s="1369"/>
      <c r="G129" s="1397"/>
      <c r="H129" s="1385"/>
      <c r="I129" s="1385"/>
      <c r="J129" s="1398"/>
      <c r="K129" s="1391"/>
      <c r="L129" s="1385"/>
      <c r="M129" s="1385"/>
      <c r="N129" s="1398"/>
      <c r="O129" s="1153">
        <v>5</v>
      </c>
      <c r="P129" s="1154">
        <v>29</v>
      </c>
      <c r="Q129" s="1154">
        <v>41</v>
      </c>
      <c r="R129" s="1155">
        <v>31.666666666666668</v>
      </c>
      <c r="S129" s="1153">
        <f>S123</f>
        <v>27</v>
      </c>
      <c r="T129" s="1154">
        <f>T123</f>
        <v>101</v>
      </c>
      <c r="U129" s="1154">
        <f>U123</f>
        <v>138</v>
      </c>
      <c r="V129" s="1155">
        <f>V123</f>
        <v>108.66666666666667</v>
      </c>
      <c r="W129" s="1154">
        <f>W123</f>
        <v>94</v>
      </c>
      <c r="X129" s="1154">
        <f t="shared" ref="X129:AX129" si="189">(X124+X123)/2</f>
        <v>290.66666666666663</v>
      </c>
      <c r="Y129" s="1154">
        <f t="shared" si="189"/>
        <v>351</v>
      </c>
      <c r="Z129" s="1155">
        <f t="shared" si="189"/>
        <v>241.21917808219177</v>
      </c>
      <c r="AA129" s="1154">
        <f t="shared" si="189"/>
        <v>186.32876712328769</v>
      </c>
      <c r="AB129" s="1154">
        <f t="shared" si="189"/>
        <v>272.52054794520546</v>
      </c>
      <c r="AC129" s="1154">
        <f t="shared" si="189"/>
        <v>315.61643835616439</v>
      </c>
      <c r="AD129" s="1155">
        <f t="shared" si="189"/>
        <v>181.36986301369865</v>
      </c>
      <c r="AE129" s="1154">
        <f t="shared" si="189"/>
        <v>114.24657534246577</v>
      </c>
      <c r="AF129" s="1154">
        <f t="shared" si="189"/>
        <v>198.19178082191783</v>
      </c>
      <c r="AG129" s="1154">
        <f t="shared" si="189"/>
        <v>240.16438356164383</v>
      </c>
      <c r="AH129" s="1155">
        <f t="shared" si="189"/>
        <v>126.63013698630137</v>
      </c>
      <c r="AI129" s="1154">
        <f t="shared" si="189"/>
        <v>69.863013698630141</v>
      </c>
      <c r="AJ129" s="1154">
        <f t="shared" si="189"/>
        <v>204.10958904109589</v>
      </c>
      <c r="AK129" s="1154">
        <f t="shared" si="189"/>
        <v>271.23287671232879</v>
      </c>
      <c r="AL129" s="1155">
        <f t="shared" si="189"/>
        <v>157.58904109589042</v>
      </c>
      <c r="AM129" s="1154">
        <f t="shared" si="189"/>
        <v>100.76712328767124</v>
      </c>
      <c r="AN129" s="1154">
        <f t="shared" si="189"/>
        <v>222.63013698630135</v>
      </c>
      <c r="AO129" s="1154">
        <f t="shared" si="189"/>
        <v>283.56164383561645</v>
      </c>
      <c r="AP129" s="1155">
        <f t="shared" si="189"/>
        <v>161.69863013698631</v>
      </c>
      <c r="AQ129" s="1154">
        <f t="shared" si="189"/>
        <v>100.76712328767124</v>
      </c>
      <c r="AR129" s="1154">
        <f t="shared" si="189"/>
        <v>222.63013698630135</v>
      </c>
      <c r="AS129" s="1154">
        <f t="shared" si="189"/>
        <v>283.56164383561645</v>
      </c>
      <c r="AT129" s="1155">
        <f t="shared" si="189"/>
        <v>161.69863013698631</v>
      </c>
      <c r="AU129" s="1154">
        <f t="shared" si="189"/>
        <v>100.76712328767124</v>
      </c>
      <c r="AV129" s="1154">
        <f t="shared" si="189"/>
        <v>222.63013698630135</v>
      </c>
      <c r="AW129" s="1154">
        <f t="shared" si="189"/>
        <v>283.56164383561645</v>
      </c>
      <c r="AX129" s="1155">
        <f t="shared" si="189"/>
        <v>161.69863013698631</v>
      </c>
      <c r="AY129" s="1154">
        <f>(AY124+AY123)/2</f>
        <v>100.76712328767124</v>
      </c>
      <c r="AZ129" s="1154">
        <f>(AZ124+AZ123)/2</f>
        <v>222.63013698630135</v>
      </c>
      <c r="BA129" s="1154">
        <f>(BA124+BA123)/2</f>
        <v>283.56164383561645</v>
      </c>
      <c r="BB129" s="1155">
        <f>(BB124+BB123)/2</f>
        <v>161.69863013698631</v>
      </c>
      <c r="BC129" s="1156"/>
      <c r="BD129" s="1156"/>
      <c r="BE129" s="1280"/>
      <c r="BF129" s="1280"/>
      <c r="BG129" s="1280"/>
      <c r="BH129" s="1280"/>
      <c r="BI129" s="1280"/>
      <c r="BJ129" s="1280"/>
      <c r="BK129" s="1280"/>
      <c r="BL129" s="1280"/>
      <c r="BM129" s="1280"/>
      <c r="BN129" s="1280"/>
      <c r="BO129" s="1280"/>
      <c r="BP129" s="1280"/>
      <c r="BQ129" s="1114"/>
      <c r="BR129" s="1115"/>
      <c r="BU129" s="1087"/>
      <c r="BV129" s="1086"/>
      <c r="BW129" s="1086"/>
      <c r="BX129" s="1086"/>
    </row>
    <row r="130" spans="1:76" ht="12.75" customHeight="1">
      <c r="A130" s="1088"/>
      <c r="B130" s="1089"/>
      <c r="C130" s="1370"/>
      <c r="D130" s="1370"/>
      <c r="E130" s="1370"/>
      <c r="F130" s="1369"/>
      <c r="G130" s="1397"/>
      <c r="H130" s="1385"/>
      <c r="I130" s="1385"/>
      <c r="J130" s="1398"/>
      <c r="K130" s="1397"/>
      <c r="L130" s="1385"/>
      <c r="M130" s="1385"/>
      <c r="N130" s="1398"/>
      <c r="O130" s="1397">
        <v>102.54</v>
      </c>
      <c r="P130" s="1385">
        <v>96.14</v>
      </c>
      <c r="Q130" s="1385">
        <v>83.34</v>
      </c>
      <c r="R130" s="1155">
        <v>83.34</v>
      </c>
      <c r="S130" s="1153">
        <f t="shared" ref="S130:AX137" si="190">IF(ISBLANK(S273),"",S273)</f>
        <v>83.34</v>
      </c>
      <c r="T130" s="1154">
        <f t="shared" si="190"/>
        <v>83.13333333333334</v>
      </c>
      <c r="U130" s="1154">
        <f t="shared" si="190"/>
        <v>82.72</v>
      </c>
      <c r="V130" s="1155">
        <f t="shared" si="190"/>
        <v>82.72</v>
      </c>
      <c r="W130" s="1154">
        <f t="shared" si="190"/>
        <v>82.72</v>
      </c>
      <c r="X130" s="1154">
        <f t="shared" si="190"/>
        <v>86.433333333333337</v>
      </c>
      <c r="Y130" s="1154">
        <f t="shared" si="190"/>
        <v>93.86</v>
      </c>
      <c r="Z130" s="1155">
        <f t="shared" si="190"/>
        <v>93.86</v>
      </c>
      <c r="AA130" s="1154">
        <f t="shared" si="190"/>
        <v>93.86</v>
      </c>
      <c r="AB130" s="1154">
        <f t="shared" si="190"/>
        <v>96.874703196347028</v>
      </c>
      <c r="AC130" s="1154">
        <f t="shared" si="190"/>
        <v>102.9041095890411</v>
      </c>
      <c r="AD130" s="1155">
        <f t="shared" si="190"/>
        <v>102.9041095890411</v>
      </c>
      <c r="AE130" s="1154">
        <f t="shared" si="190"/>
        <v>103</v>
      </c>
      <c r="AF130" s="1154">
        <f t="shared" si="190"/>
        <v>98.736666666666665</v>
      </c>
      <c r="AG130" s="1154">
        <f t="shared" si="190"/>
        <v>90.21</v>
      </c>
      <c r="AH130" s="1155">
        <f t="shared" si="190"/>
        <v>90.21</v>
      </c>
      <c r="AI130" s="1386">
        <f t="shared" si="190"/>
        <v>90.21</v>
      </c>
      <c r="AJ130" s="1386">
        <f t="shared" si="190"/>
        <v>137.126301369863</v>
      </c>
      <c r="AK130" s="1386">
        <f t="shared" si="190"/>
        <v>230.95890410958907</v>
      </c>
      <c r="AL130" s="1155">
        <f t="shared" si="190"/>
        <v>230.95890410958907</v>
      </c>
      <c r="AM130" s="1386">
        <f t="shared" si="190"/>
        <v>230.95890410958907</v>
      </c>
      <c r="AN130" s="1386">
        <f t="shared" si="190"/>
        <v>275.39726027397262</v>
      </c>
      <c r="AO130" s="1386">
        <f t="shared" si="190"/>
        <v>364.27397260273972</v>
      </c>
      <c r="AP130" s="1387">
        <f t="shared" si="190"/>
        <v>364.27397260273972</v>
      </c>
      <c r="AQ130" s="1386">
        <f t="shared" si="190"/>
        <v>364.27397260273972</v>
      </c>
      <c r="AR130" s="1386">
        <f t="shared" si="190"/>
        <v>319.89041095890411</v>
      </c>
      <c r="AS130" s="1386">
        <f t="shared" si="190"/>
        <v>231.12328767123287</v>
      </c>
      <c r="AT130" s="1155">
        <f t="shared" si="190"/>
        <v>231.12328767123287</v>
      </c>
      <c r="AU130" s="1386">
        <f t="shared" si="190"/>
        <v>231.12328767123287</v>
      </c>
      <c r="AV130" s="1386">
        <f t="shared" si="190"/>
        <v>212.13150684931506</v>
      </c>
      <c r="AW130" s="1386">
        <f t="shared" si="190"/>
        <v>174.14794520547943</v>
      </c>
      <c r="AX130" s="1387">
        <f t="shared" si="190"/>
        <v>174.14794520547943</v>
      </c>
      <c r="AY130" s="1386">
        <f t="shared" ref="AY130:BB138" si="191">IF(ISBLANK(AY273),"",AY273)</f>
        <v>174.14794520547943</v>
      </c>
      <c r="AZ130" s="1386">
        <f t="shared" si="191"/>
        <v>174.14794520547943</v>
      </c>
      <c r="BA130" s="1386">
        <f t="shared" si="191"/>
        <v>174.14794520547943</v>
      </c>
      <c r="BB130" s="1387">
        <f t="shared" si="191"/>
        <v>174.14794520547943</v>
      </c>
      <c r="BC130" s="1156"/>
      <c r="BD130" s="1156"/>
      <c r="BE130" s="1280"/>
      <c r="BF130" s="1280"/>
      <c r="BG130" s="1280"/>
      <c r="BH130" s="1280"/>
      <c r="BI130" s="1280"/>
      <c r="BJ130" s="1280"/>
      <c r="BK130" s="1280"/>
      <c r="BL130" s="1280"/>
      <c r="BM130" s="1280"/>
      <c r="BN130" s="1280"/>
      <c r="BO130" s="1280"/>
      <c r="BP130" s="1280"/>
      <c r="BQ130" s="1114"/>
      <c r="BR130" s="1115"/>
      <c r="BU130" s="1087"/>
      <c r="BV130" s="1086"/>
      <c r="BW130" s="1086"/>
      <c r="BX130" s="1086"/>
    </row>
    <row r="131" spans="1:76" ht="12.75" customHeight="1">
      <c r="A131" s="1088"/>
      <c r="B131" s="1089"/>
      <c r="C131" s="1372" t="s">
        <v>622</v>
      </c>
      <c r="D131" s="1142"/>
      <c r="E131" s="1142"/>
      <c r="F131" s="1269"/>
      <c r="G131" s="1397"/>
      <c r="H131" s="1385"/>
      <c r="I131" s="1385"/>
      <c r="J131" s="1398"/>
      <c r="K131" s="1397"/>
      <c r="L131" s="1385"/>
      <c r="M131" s="1385"/>
      <c r="N131" s="1398"/>
      <c r="O131" s="1397"/>
      <c r="P131" s="1385"/>
      <c r="Q131" s="1385"/>
      <c r="R131" s="1155"/>
      <c r="S131" s="1153" t="str">
        <f t="shared" si="190"/>
        <v/>
      </c>
      <c r="T131" s="1154" t="str">
        <f t="shared" si="190"/>
        <v/>
      </c>
      <c r="U131" s="1154" t="str">
        <f t="shared" si="190"/>
        <v/>
      </c>
      <c r="V131" s="1155" t="str">
        <f t="shared" si="190"/>
        <v/>
      </c>
      <c r="W131" s="1154" t="str">
        <f t="shared" si="190"/>
        <v/>
      </c>
      <c r="X131" s="1154" t="str">
        <f t="shared" si="190"/>
        <v/>
      </c>
      <c r="Y131" s="1154" t="str">
        <f t="shared" si="190"/>
        <v/>
      </c>
      <c r="Z131" s="1155" t="str">
        <f t="shared" si="190"/>
        <v/>
      </c>
      <c r="AA131" s="1154" t="str">
        <f t="shared" si="190"/>
        <v/>
      </c>
      <c r="AB131" s="1154" t="str">
        <f t="shared" si="190"/>
        <v/>
      </c>
      <c r="AC131" s="1154" t="str">
        <f t="shared" si="190"/>
        <v/>
      </c>
      <c r="AD131" s="1155" t="str">
        <f t="shared" si="190"/>
        <v/>
      </c>
      <c r="AE131" s="1154" t="str">
        <f t="shared" si="190"/>
        <v/>
      </c>
      <c r="AF131" s="1154" t="str">
        <f t="shared" si="190"/>
        <v/>
      </c>
      <c r="AG131" s="1154" t="str">
        <f t="shared" si="190"/>
        <v/>
      </c>
      <c r="AH131" s="1155" t="str">
        <f t="shared" si="190"/>
        <v/>
      </c>
      <c r="AI131" s="1386" t="str">
        <f t="shared" si="190"/>
        <v/>
      </c>
      <c r="AJ131" s="1386" t="str">
        <f t="shared" si="190"/>
        <v/>
      </c>
      <c r="AK131" s="1386" t="str">
        <f t="shared" si="190"/>
        <v/>
      </c>
      <c r="AL131" s="1155" t="str">
        <f t="shared" si="190"/>
        <v/>
      </c>
      <c r="AM131" s="1386" t="str">
        <f t="shared" si="190"/>
        <v/>
      </c>
      <c r="AN131" s="1386" t="str">
        <f t="shared" si="190"/>
        <v/>
      </c>
      <c r="AO131" s="1386" t="str">
        <f t="shared" si="190"/>
        <v/>
      </c>
      <c r="AP131" s="1387" t="str">
        <f t="shared" si="190"/>
        <v/>
      </c>
      <c r="AQ131" s="1386" t="str">
        <f t="shared" si="190"/>
        <v/>
      </c>
      <c r="AR131" s="1386" t="str">
        <f t="shared" si="190"/>
        <v/>
      </c>
      <c r="AS131" s="1386" t="str">
        <f t="shared" si="190"/>
        <v/>
      </c>
      <c r="AT131" s="1155" t="str">
        <f t="shared" si="190"/>
        <v/>
      </c>
      <c r="AU131" s="1386" t="str">
        <f t="shared" si="190"/>
        <v/>
      </c>
      <c r="AV131" s="1386" t="str">
        <f t="shared" si="190"/>
        <v/>
      </c>
      <c r="AW131" s="1386" t="str">
        <f t="shared" si="190"/>
        <v/>
      </c>
      <c r="AX131" s="1387" t="str">
        <f t="shared" si="190"/>
        <v/>
      </c>
      <c r="AY131" s="1386" t="str">
        <f t="shared" si="191"/>
        <v/>
      </c>
      <c r="AZ131" s="1386" t="str">
        <f t="shared" si="191"/>
        <v/>
      </c>
      <c r="BA131" s="1386" t="str">
        <f t="shared" si="191"/>
        <v/>
      </c>
      <c r="BB131" s="1387" t="str">
        <f t="shared" si="191"/>
        <v/>
      </c>
      <c r="BC131" s="1156"/>
      <c r="BD131" s="1156"/>
      <c r="BE131" s="1280"/>
      <c r="BF131" s="1280"/>
      <c r="BG131" s="1280"/>
      <c r="BH131" s="1280"/>
      <c r="BI131" s="1280"/>
      <c r="BJ131" s="1280"/>
      <c r="BK131" s="1280"/>
      <c r="BL131" s="1280"/>
      <c r="BM131" s="1280"/>
      <c r="BN131" s="1280"/>
      <c r="BO131" s="1280"/>
      <c r="BP131" s="1280"/>
      <c r="BQ131" s="1114"/>
      <c r="BR131" s="1115"/>
      <c r="BU131" s="1087"/>
      <c r="BV131" s="1086"/>
      <c r="BW131" s="1086"/>
      <c r="BX131" s="1086"/>
    </row>
    <row r="132" spans="1:76" ht="12.75" customHeight="1">
      <c r="A132" s="1088"/>
      <c r="B132" s="1089"/>
      <c r="C132" s="1370" t="s">
        <v>363</v>
      </c>
      <c r="D132" s="1370"/>
      <c r="E132" s="1370"/>
      <c r="F132" s="1369"/>
      <c r="G132" s="1397"/>
      <c r="H132" s="1385"/>
      <c r="I132" s="1385"/>
      <c r="J132" s="1398"/>
      <c r="K132" s="1397"/>
      <c r="L132" s="1385"/>
      <c r="M132" s="1385"/>
      <c r="N132" s="1398"/>
      <c r="O132" s="1397"/>
      <c r="P132" s="1385"/>
      <c r="Q132" s="1385"/>
      <c r="R132" s="1155"/>
      <c r="S132" s="1153">
        <f t="shared" si="190"/>
        <v>0</v>
      </c>
      <c r="T132" s="1154">
        <f t="shared" si="190"/>
        <v>0</v>
      </c>
      <c r="U132" s="1154">
        <f t="shared" si="190"/>
        <v>0</v>
      </c>
      <c r="V132" s="1155">
        <f t="shared" si="190"/>
        <v>0</v>
      </c>
      <c r="W132" s="1154">
        <f t="shared" si="190"/>
        <v>0</v>
      </c>
      <c r="X132" s="1154">
        <f t="shared" si="190"/>
        <v>0</v>
      </c>
      <c r="Y132" s="1154">
        <f t="shared" si="190"/>
        <v>0</v>
      </c>
      <c r="Z132" s="1155">
        <f t="shared" si="190"/>
        <v>0</v>
      </c>
      <c r="AA132" s="1154">
        <f t="shared" si="190"/>
        <v>0</v>
      </c>
      <c r="AB132" s="1154">
        <f t="shared" si="190"/>
        <v>0</v>
      </c>
      <c r="AC132" s="1154">
        <f t="shared" si="190"/>
        <v>0</v>
      </c>
      <c r="AD132" s="1155">
        <f t="shared" si="190"/>
        <v>0</v>
      </c>
      <c r="AE132" s="1154">
        <f t="shared" si="190"/>
        <v>0</v>
      </c>
      <c r="AF132" s="1154">
        <f t="shared" si="190"/>
        <v>0</v>
      </c>
      <c r="AG132" s="1154">
        <f t="shared" si="190"/>
        <v>0</v>
      </c>
      <c r="AH132" s="1155">
        <f t="shared" si="190"/>
        <v>0</v>
      </c>
      <c r="AI132" s="1386">
        <f t="shared" si="190"/>
        <v>0</v>
      </c>
      <c r="AJ132" s="1386">
        <f t="shared" si="190"/>
        <v>0</v>
      </c>
      <c r="AK132" s="1386">
        <f t="shared" si="190"/>
        <v>0</v>
      </c>
      <c r="AL132" s="1155">
        <f t="shared" si="190"/>
        <v>0</v>
      </c>
      <c r="AM132" s="1386">
        <f t="shared" si="190"/>
        <v>0</v>
      </c>
      <c r="AN132" s="1386">
        <f t="shared" si="190"/>
        <v>0</v>
      </c>
      <c r="AO132" s="1386">
        <f t="shared" si="190"/>
        <v>0</v>
      </c>
      <c r="AP132" s="1387">
        <f t="shared" si="190"/>
        <v>0</v>
      </c>
      <c r="AQ132" s="1386">
        <f t="shared" si="190"/>
        <v>0</v>
      </c>
      <c r="AR132" s="1386">
        <f t="shared" si="190"/>
        <v>0</v>
      </c>
      <c r="AS132" s="1386">
        <f t="shared" si="190"/>
        <v>0</v>
      </c>
      <c r="AT132" s="1155">
        <f t="shared" si="190"/>
        <v>0</v>
      </c>
      <c r="AU132" s="1386">
        <f t="shared" si="190"/>
        <v>0</v>
      </c>
      <c r="AV132" s="1386">
        <f t="shared" si="190"/>
        <v>0</v>
      </c>
      <c r="AW132" s="1386">
        <f t="shared" si="190"/>
        <v>0</v>
      </c>
      <c r="AX132" s="1387">
        <f t="shared" si="190"/>
        <v>0</v>
      </c>
      <c r="AY132" s="1386">
        <f t="shared" si="191"/>
        <v>0</v>
      </c>
      <c r="AZ132" s="1386">
        <f t="shared" si="191"/>
        <v>0</v>
      </c>
      <c r="BA132" s="1386">
        <f t="shared" si="191"/>
        <v>0</v>
      </c>
      <c r="BB132" s="1387">
        <f t="shared" si="191"/>
        <v>0</v>
      </c>
      <c r="BC132" s="1156"/>
      <c r="BD132" s="1156"/>
      <c r="BE132" s="1280">
        <f t="shared" ref="BE132:BH138" si="192">AVERAGE(P132:S132)</f>
        <v>0</v>
      </c>
      <c r="BF132" s="1280">
        <f t="shared" si="192"/>
        <v>0</v>
      </c>
      <c r="BG132" s="1280">
        <f t="shared" si="192"/>
        <v>0</v>
      </c>
      <c r="BH132" s="1280">
        <f t="shared" si="192"/>
        <v>0</v>
      </c>
      <c r="BI132" s="1280">
        <f t="shared" ref="BI132:BI138" si="193">AVERAGE(W132:Z132)</f>
        <v>0</v>
      </c>
      <c r="BJ132" s="1280">
        <f t="shared" ref="BJ132:BJ138" si="194">AVERAGE(AA132:AD132)</f>
        <v>0</v>
      </c>
      <c r="BK132" s="1280">
        <f t="shared" ref="BK132:BK138" si="195">AVERAGE(AE132:AH132)</f>
        <v>0</v>
      </c>
      <c r="BL132" s="1280">
        <f t="shared" ref="BL132:BL138" si="196">AVERAGE(AI132:AL132)</f>
        <v>0</v>
      </c>
      <c r="BM132" s="1280">
        <f t="shared" ref="BM132:BM138" si="197">AVERAGE(AM132:AP132)</f>
        <v>0</v>
      </c>
      <c r="BN132" s="1280">
        <f t="shared" ref="BN132:BN138" si="198">AVERAGE(AQ132:AT132)</f>
        <v>0</v>
      </c>
      <c r="BO132" s="1280">
        <f t="shared" ref="BO132:BO138" si="199">AVERAGE(AU132:AX132)</f>
        <v>0</v>
      </c>
      <c r="BP132" s="1280">
        <f t="shared" ref="BP132:BP138" si="200">AVERAGE(AY132:BB132)</f>
        <v>0</v>
      </c>
      <c r="BQ132" s="1114"/>
      <c r="BR132" s="1115"/>
      <c r="BU132" s="1087"/>
      <c r="BV132" s="1086"/>
      <c r="BW132" s="1086"/>
      <c r="BX132" s="1086"/>
    </row>
    <row r="133" spans="1:76" ht="12.75" customHeight="1">
      <c r="A133" s="1088"/>
      <c r="B133" s="1089"/>
      <c r="C133" s="1370" t="s">
        <v>366</v>
      </c>
      <c r="D133" s="1370"/>
      <c r="E133" s="1370"/>
      <c r="F133" s="1369"/>
      <c r="G133" s="1397"/>
      <c r="H133" s="1385"/>
      <c r="I133" s="1385"/>
      <c r="J133" s="1398"/>
      <c r="K133" s="1397"/>
      <c r="L133" s="1385"/>
      <c r="M133" s="1385"/>
      <c r="N133" s="1398"/>
      <c r="O133" s="1397"/>
      <c r="P133" s="1385"/>
      <c r="Q133" s="1385"/>
      <c r="R133" s="1155"/>
      <c r="S133" s="1153">
        <f t="shared" si="190"/>
        <v>1.97</v>
      </c>
      <c r="T133" s="1154">
        <f t="shared" si="190"/>
        <v>1.97</v>
      </c>
      <c r="U133" s="1154">
        <f t="shared" si="190"/>
        <v>1.97</v>
      </c>
      <c r="V133" s="1155">
        <f t="shared" si="190"/>
        <v>1.97</v>
      </c>
      <c r="W133" s="1154">
        <f t="shared" si="190"/>
        <v>4</v>
      </c>
      <c r="X133" s="1154">
        <f t="shared" si="190"/>
        <v>4</v>
      </c>
      <c r="Y133" s="1154">
        <f t="shared" si="190"/>
        <v>4</v>
      </c>
      <c r="Z133" s="1155">
        <f t="shared" si="190"/>
        <v>4</v>
      </c>
      <c r="AA133" s="1154">
        <f t="shared" si="190"/>
        <v>6</v>
      </c>
      <c r="AB133" s="1154">
        <f t="shared" si="190"/>
        <v>6</v>
      </c>
      <c r="AC133" s="1154">
        <f t="shared" si="190"/>
        <v>6</v>
      </c>
      <c r="AD133" s="1155">
        <f t="shared" si="190"/>
        <v>6</v>
      </c>
      <c r="AE133" s="1154">
        <f t="shared" si="190"/>
        <v>8</v>
      </c>
      <c r="AF133" s="1154">
        <f t="shared" si="190"/>
        <v>8</v>
      </c>
      <c r="AG133" s="1154">
        <f t="shared" si="190"/>
        <v>8</v>
      </c>
      <c r="AH133" s="1155">
        <f t="shared" si="190"/>
        <v>8</v>
      </c>
      <c r="AI133" s="1386">
        <f t="shared" si="190"/>
        <v>10</v>
      </c>
      <c r="AJ133" s="1386">
        <f t="shared" si="190"/>
        <v>10</v>
      </c>
      <c r="AK133" s="1386">
        <f t="shared" si="190"/>
        <v>10</v>
      </c>
      <c r="AL133" s="1155">
        <f t="shared" si="190"/>
        <v>10</v>
      </c>
      <c r="AM133" s="1386">
        <f t="shared" si="190"/>
        <v>10</v>
      </c>
      <c r="AN133" s="1386">
        <f t="shared" si="190"/>
        <v>10</v>
      </c>
      <c r="AO133" s="1386">
        <f t="shared" si="190"/>
        <v>10</v>
      </c>
      <c r="AP133" s="1387">
        <f t="shared" si="190"/>
        <v>10</v>
      </c>
      <c r="AQ133" s="1386">
        <f t="shared" si="190"/>
        <v>10</v>
      </c>
      <c r="AR133" s="1386">
        <f t="shared" si="190"/>
        <v>10</v>
      </c>
      <c r="AS133" s="1386">
        <f t="shared" si="190"/>
        <v>10</v>
      </c>
      <c r="AT133" s="1155">
        <f t="shared" si="190"/>
        <v>10</v>
      </c>
      <c r="AU133" s="1386">
        <f t="shared" si="190"/>
        <v>10</v>
      </c>
      <c r="AV133" s="1386">
        <f t="shared" si="190"/>
        <v>10</v>
      </c>
      <c r="AW133" s="1386">
        <f t="shared" si="190"/>
        <v>10</v>
      </c>
      <c r="AX133" s="1387">
        <f t="shared" si="190"/>
        <v>10</v>
      </c>
      <c r="AY133" s="1386">
        <f t="shared" si="191"/>
        <v>10</v>
      </c>
      <c r="AZ133" s="1386">
        <f t="shared" si="191"/>
        <v>10</v>
      </c>
      <c r="BA133" s="1386">
        <f t="shared" si="191"/>
        <v>10</v>
      </c>
      <c r="BB133" s="1387">
        <f t="shared" si="191"/>
        <v>10</v>
      </c>
      <c r="BC133" s="1156"/>
      <c r="BD133" s="1156"/>
      <c r="BE133" s="1280">
        <f t="shared" si="192"/>
        <v>1.97</v>
      </c>
      <c r="BF133" s="1280">
        <f t="shared" si="192"/>
        <v>1.97</v>
      </c>
      <c r="BG133" s="1280">
        <f t="shared" si="192"/>
        <v>1.97</v>
      </c>
      <c r="BH133" s="1280">
        <f t="shared" si="192"/>
        <v>1.97</v>
      </c>
      <c r="BI133" s="1280">
        <f t="shared" si="193"/>
        <v>4</v>
      </c>
      <c r="BJ133" s="1280">
        <f t="shared" si="194"/>
        <v>6</v>
      </c>
      <c r="BK133" s="1280">
        <f t="shared" si="195"/>
        <v>8</v>
      </c>
      <c r="BL133" s="1280">
        <f t="shared" si="196"/>
        <v>10</v>
      </c>
      <c r="BM133" s="1280">
        <f t="shared" si="197"/>
        <v>10</v>
      </c>
      <c r="BN133" s="1280">
        <f t="shared" si="198"/>
        <v>10</v>
      </c>
      <c r="BO133" s="1280">
        <f t="shared" si="199"/>
        <v>10</v>
      </c>
      <c r="BP133" s="1280">
        <f t="shared" si="200"/>
        <v>10</v>
      </c>
      <c r="BQ133" s="1114"/>
      <c r="BR133" s="1115"/>
      <c r="BU133" s="1087"/>
      <c r="BV133" s="1086"/>
      <c r="BW133" s="1086"/>
      <c r="BX133" s="1086"/>
    </row>
    <row r="134" spans="1:76" ht="12.75" customHeight="1">
      <c r="A134" s="1088"/>
      <c r="B134" s="1089"/>
      <c r="C134" s="1370" t="s">
        <v>367</v>
      </c>
      <c r="D134" s="1370"/>
      <c r="E134" s="1370"/>
      <c r="F134" s="1369"/>
      <c r="G134" s="1397"/>
      <c r="H134" s="1385"/>
      <c r="I134" s="1385"/>
      <c r="J134" s="1398"/>
      <c r="K134" s="1397"/>
      <c r="L134" s="1385"/>
      <c r="M134" s="1385"/>
      <c r="N134" s="1398"/>
      <c r="O134" s="1397"/>
      <c r="P134" s="1385"/>
      <c r="Q134" s="1385"/>
      <c r="R134" s="1155"/>
      <c r="S134" s="1153">
        <f t="shared" si="190"/>
        <v>0</v>
      </c>
      <c r="T134" s="1154">
        <f t="shared" si="190"/>
        <v>0</v>
      </c>
      <c r="U134" s="1154">
        <f t="shared" si="190"/>
        <v>0</v>
      </c>
      <c r="V134" s="1155">
        <f t="shared" si="190"/>
        <v>0</v>
      </c>
      <c r="W134" s="1154">
        <f t="shared" si="190"/>
        <v>0</v>
      </c>
      <c r="X134" s="1154">
        <f t="shared" si="190"/>
        <v>0</v>
      </c>
      <c r="Y134" s="1154">
        <f t="shared" si="190"/>
        <v>0</v>
      </c>
      <c r="Z134" s="1155">
        <f t="shared" si="190"/>
        <v>0</v>
      </c>
      <c r="AA134" s="1154">
        <f t="shared" si="190"/>
        <v>0</v>
      </c>
      <c r="AB134" s="1154">
        <f t="shared" si="190"/>
        <v>0</v>
      </c>
      <c r="AC134" s="1154">
        <f t="shared" si="190"/>
        <v>0</v>
      </c>
      <c r="AD134" s="1155">
        <f t="shared" si="190"/>
        <v>0</v>
      </c>
      <c r="AE134" s="1154">
        <f t="shared" si="190"/>
        <v>0</v>
      </c>
      <c r="AF134" s="1154">
        <f t="shared" si="190"/>
        <v>0</v>
      </c>
      <c r="AG134" s="1154">
        <f t="shared" si="190"/>
        <v>0</v>
      </c>
      <c r="AH134" s="1155">
        <f t="shared" si="190"/>
        <v>0</v>
      </c>
      <c r="AI134" s="1386">
        <f t="shared" si="190"/>
        <v>0</v>
      </c>
      <c r="AJ134" s="1386">
        <f t="shared" si="190"/>
        <v>0</v>
      </c>
      <c r="AK134" s="1386">
        <f t="shared" si="190"/>
        <v>0</v>
      </c>
      <c r="AL134" s="1155">
        <f t="shared" si="190"/>
        <v>0</v>
      </c>
      <c r="AM134" s="1386">
        <f t="shared" si="190"/>
        <v>0</v>
      </c>
      <c r="AN134" s="1386">
        <f t="shared" si="190"/>
        <v>0</v>
      </c>
      <c r="AO134" s="1386">
        <f t="shared" si="190"/>
        <v>0</v>
      </c>
      <c r="AP134" s="1387">
        <f t="shared" si="190"/>
        <v>0</v>
      </c>
      <c r="AQ134" s="1386">
        <f t="shared" si="190"/>
        <v>0</v>
      </c>
      <c r="AR134" s="1386">
        <f t="shared" si="190"/>
        <v>0</v>
      </c>
      <c r="AS134" s="1386">
        <f t="shared" si="190"/>
        <v>0</v>
      </c>
      <c r="AT134" s="1155">
        <f t="shared" si="190"/>
        <v>0</v>
      </c>
      <c r="AU134" s="1386">
        <f t="shared" si="190"/>
        <v>0</v>
      </c>
      <c r="AV134" s="1386">
        <f t="shared" si="190"/>
        <v>0</v>
      </c>
      <c r="AW134" s="1386">
        <f t="shared" si="190"/>
        <v>0</v>
      </c>
      <c r="AX134" s="1387">
        <f t="shared" si="190"/>
        <v>0</v>
      </c>
      <c r="AY134" s="1386">
        <f t="shared" si="191"/>
        <v>0</v>
      </c>
      <c r="AZ134" s="1386">
        <f t="shared" si="191"/>
        <v>0</v>
      </c>
      <c r="BA134" s="1386">
        <f t="shared" si="191"/>
        <v>0</v>
      </c>
      <c r="BB134" s="1387">
        <f t="shared" si="191"/>
        <v>0</v>
      </c>
      <c r="BC134" s="1156"/>
      <c r="BD134" s="1156"/>
      <c r="BE134" s="1280">
        <f t="shared" si="192"/>
        <v>0</v>
      </c>
      <c r="BF134" s="1280">
        <f t="shared" si="192"/>
        <v>0</v>
      </c>
      <c r="BG134" s="1280">
        <f t="shared" si="192"/>
        <v>0</v>
      </c>
      <c r="BH134" s="1280">
        <f t="shared" si="192"/>
        <v>0</v>
      </c>
      <c r="BI134" s="1280">
        <f t="shared" si="193"/>
        <v>0</v>
      </c>
      <c r="BJ134" s="1280">
        <f t="shared" si="194"/>
        <v>0</v>
      </c>
      <c r="BK134" s="1280">
        <f t="shared" si="195"/>
        <v>0</v>
      </c>
      <c r="BL134" s="1280">
        <f t="shared" si="196"/>
        <v>0</v>
      </c>
      <c r="BM134" s="1280">
        <f t="shared" si="197"/>
        <v>0</v>
      </c>
      <c r="BN134" s="1280">
        <f t="shared" si="198"/>
        <v>0</v>
      </c>
      <c r="BO134" s="1280">
        <f t="shared" si="199"/>
        <v>0</v>
      </c>
      <c r="BP134" s="1280">
        <f t="shared" si="200"/>
        <v>0</v>
      </c>
      <c r="BQ134" s="1114"/>
      <c r="BR134" s="1115"/>
      <c r="BU134" s="1087"/>
      <c r="BV134" s="1086"/>
      <c r="BW134" s="1086"/>
      <c r="BX134" s="1086"/>
    </row>
    <row r="135" spans="1:76" ht="12.75" customHeight="1">
      <c r="A135" s="1088"/>
      <c r="B135" s="1089"/>
      <c r="C135" s="1370" t="s">
        <v>368</v>
      </c>
      <c r="D135" s="1370"/>
      <c r="E135" s="1370"/>
      <c r="F135" s="1369"/>
      <c r="G135" s="1397"/>
      <c r="H135" s="1385"/>
      <c r="I135" s="1385"/>
      <c r="J135" s="1398"/>
      <c r="K135" s="1397"/>
      <c r="L135" s="1385"/>
      <c r="M135" s="1385"/>
      <c r="N135" s="1398"/>
      <c r="O135" s="1397"/>
      <c r="P135" s="1385"/>
      <c r="Q135" s="1385"/>
      <c r="R135" s="1155"/>
      <c r="S135" s="1153">
        <f t="shared" si="190"/>
        <v>0</v>
      </c>
      <c r="T135" s="1154">
        <f t="shared" si="190"/>
        <v>0</v>
      </c>
      <c r="U135" s="1154">
        <f t="shared" si="190"/>
        <v>0</v>
      </c>
      <c r="V135" s="1155">
        <f t="shared" si="190"/>
        <v>0</v>
      </c>
      <c r="W135" s="1154">
        <f t="shared" si="190"/>
        <v>0</v>
      </c>
      <c r="X135" s="1154">
        <f t="shared" si="190"/>
        <v>0</v>
      </c>
      <c r="Y135" s="1154">
        <f t="shared" si="190"/>
        <v>0</v>
      </c>
      <c r="Z135" s="1155">
        <f t="shared" si="190"/>
        <v>0</v>
      </c>
      <c r="AA135" s="1154">
        <f t="shared" si="190"/>
        <v>0</v>
      </c>
      <c r="AB135" s="1154">
        <f t="shared" si="190"/>
        <v>0</v>
      </c>
      <c r="AC135" s="1154">
        <f t="shared" si="190"/>
        <v>0</v>
      </c>
      <c r="AD135" s="1155">
        <f t="shared" si="190"/>
        <v>0</v>
      </c>
      <c r="AE135" s="1154">
        <f t="shared" si="190"/>
        <v>0</v>
      </c>
      <c r="AF135" s="1154">
        <f t="shared" si="190"/>
        <v>0</v>
      </c>
      <c r="AG135" s="1154">
        <f t="shared" si="190"/>
        <v>0</v>
      </c>
      <c r="AH135" s="1155">
        <f t="shared" si="190"/>
        <v>0</v>
      </c>
      <c r="AI135" s="1386">
        <f t="shared" si="190"/>
        <v>0</v>
      </c>
      <c r="AJ135" s="1386">
        <f t="shared" si="190"/>
        <v>0</v>
      </c>
      <c r="AK135" s="1386">
        <f t="shared" si="190"/>
        <v>0</v>
      </c>
      <c r="AL135" s="1155">
        <f t="shared" si="190"/>
        <v>0</v>
      </c>
      <c r="AM135" s="1386">
        <f t="shared" si="190"/>
        <v>0</v>
      </c>
      <c r="AN135" s="1386">
        <f t="shared" si="190"/>
        <v>0</v>
      </c>
      <c r="AO135" s="1386">
        <f t="shared" si="190"/>
        <v>0</v>
      </c>
      <c r="AP135" s="1387">
        <f t="shared" si="190"/>
        <v>0</v>
      </c>
      <c r="AQ135" s="1386">
        <f t="shared" si="190"/>
        <v>0</v>
      </c>
      <c r="AR135" s="1386">
        <f t="shared" si="190"/>
        <v>0</v>
      </c>
      <c r="AS135" s="1386">
        <f t="shared" si="190"/>
        <v>0</v>
      </c>
      <c r="AT135" s="1155">
        <f t="shared" si="190"/>
        <v>0</v>
      </c>
      <c r="AU135" s="1386">
        <f t="shared" si="190"/>
        <v>0</v>
      </c>
      <c r="AV135" s="1386">
        <f t="shared" si="190"/>
        <v>0</v>
      </c>
      <c r="AW135" s="1386">
        <f t="shared" si="190"/>
        <v>0</v>
      </c>
      <c r="AX135" s="1387">
        <f t="shared" si="190"/>
        <v>0</v>
      </c>
      <c r="AY135" s="1386">
        <f t="shared" si="191"/>
        <v>0</v>
      </c>
      <c r="AZ135" s="1386">
        <f t="shared" si="191"/>
        <v>0</v>
      </c>
      <c r="BA135" s="1386">
        <f t="shared" si="191"/>
        <v>0</v>
      </c>
      <c r="BB135" s="1387">
        <f t="shared" si="191"/>
        <v>0</v>
      </c>
      <c r="BC135" s="1156"/>
      <c r="BD135" s="1156"/>
      <c r="BE135" s="1280">
        <f t="shared" si="192"/>
        <v>0</v>
      </c>
      <c r="BF135" s="1280">
        <f t="shared" si="192"/>
        <v>0</v>
      </c>
      <c r="BG135" s="1280">
        <f t="shared" si="192"/>
        <v>0</v>
      </c>
      <c r="BH135" s="1280">
        <f t="shared" si="192"/>
        <v>0</v>
      </c>
      <c r="BI135" s="1280">
        <f t="shared" si="193"/>
        <v>0</v>
      </c>
      <c r="BJ135" s="1280">
        <f t="shared" si="194"/>
        <v>0</v>
      </c>
      <c r="BK135" s="1280">
        <f t="shared" si="195"/>
        <v>0</v>
      </c>
      <c r="BL135" s="1280">
        <f t="shared" si="196"/>
        <v>0</v>
      </c>
      <c r="BM135" s="1280">
        <f t="shared" si="197"/>
        <v>0</v>
      </c>
      <c r="BN135" s="1280">
        <f t="shared" si="198"/>
        <v>0</v>
      </c>
      <c r="BO135" s="1280">
        <f t="shared" si="199"/>
        <v>0</v>
      </c>
      <c r="BP135" s="1280">
        <f t="shared" si="200"/>
        <v>0</v>
      </c>
      <c r="BQ135" s="1114"/>
      <c r="BR135" s="1115"/>
      <c r="BU135" s="1087"/>
      <c r="BV135" s="1086"/>
      <c r="BW135" s="1086"/>
      <c r="BX135" s="1086"/>
    </row>
    <row r="136" spans="1:76" ht="12.75" customHeight="1">
      <c r="A136" s="1088"/>
      <c r="B136" s="1089"/>
      <c r="C136" s="1370" t="s">
        <v>369</v>
      </c>
      <c r="D136" s="1370"/>
      <c r="E136" s="1370"/>
      <c r="F136" s="1369"/>
      <c r="G136" s="1397"/>
      <c r="H136" s="1385"/>
      <c r="I136" s="1385"/>
      <c r="J136" s="1398"/>
      <c r="K136" s="1397"/>
      <c r="L136" s="1385"/>
      <c r="M136" s="1385"/>
      <c r="N136" s="1398"/>
      <c r="O136" s="1397"/>
      <c r="P136" s="1385"/>
      <c r="Q136" s="1385"/>
      <c r="R136" s="1155"/>
      <c r="S136" s="1153">
        <f t="shared" si="190"/>
        <v>0</v>
      </c>
      <c r="T136" s="1154">
        <f t="shared" si="190"/>
        <v>0</v>
      </c>
      <c r="U136" s="1154">
        <f t="shared" si="190"/>
        <v>0</v>
      </c>
      <c r="V136" s="1155">
        <f t="shared" si="190"/>
        <v>0</v>
      </c>
      <c r="W136" s="1154">
        <f t="shared" si="190"/>
        <v>0</v>
      </c>
      <c r="X136" s="1154">
        <f t="shared" si="190"/>
        <v>0</v>
      </c>
      <c r="Y136" s="1154">
        <f t="shared" si="190"/>
        <v>0</v>
      </c>
      <c r="Z136" s="1155">
        <f t="shared" si="190"/>
        <v>0</v>
      </c>
      <c r="AA136" s="1154">
        <f t="shared" si="190"/>
        <v>0</v>
      </c>
      <c r="AB136" s="1154">
        <f t="shared" si="190"/>
        <v>0</v>
      </c>
      <c r="AC136" s="1154">
        <f t="shared" si="190"/>
        <v>0</v>
      </c>
      <c r="AD136" s="1155">
        <f t="shared" si="190"/>
        <v>0</v>
      </c>
      <c r="AE136" s="1154">
        <f t="shared" si="190"/>
        <v>0</v>
      </c>
      <c r="AF136" s="1154">
        <f t="shared" si="190"/>
        <v>0</v>
      </c>
      <c r="AG136" s="1154">
        <f t="shared" si="190"/>
        <v>0</v>
      </c>
      <c r="AH136" s="1155">
        <f t="shared" si="190"/>
        <v>0</v>
      </c>
      <c r="AI136" s="1386">
        <f t="shared" si="190"/>
        <v>0</v>
      </c>
      <c r="AJ136" s="1386">
        <f t="shared" si="190"/>
        <v>0</v>
      </c>
      <c r="AK136" s="1386">
        <f t="shared" si="190"/>
        <v>0</v>
      </c>
      <c r="AL136" s="1155">
        <f t="shared" si="190"/>
        <v>0</v>
      </c>
      <c r="AM136" s="1386">
        <f t="shared" si="190"/>
        <v>0</v>
      </c>
      <c r="AN136" s="1386">
        <f t="shared" si="190"/>
        <v>0</v>
      </c>
      <c r="AO136" s="1386">
        <f t="shared" si="190"/>
        <v>0</v>
      </c>
      <c r="AP136" s="1387">
        <f t="shared" si="190"/>
        <v>0</v>
      </c>
      <c r="AQ136" s="1386">
        <f t="shared" si="190"/>
        <v>0</v>
      </c>
      <c r="AR136" s="1386">
        <f t="shared" si="190"/>
        <v>0</v>
      </c>
      <c r="AS136" s="1386">
        <f t="shared" si="190"/>
        <v>0</v>
      </c>
      <c r="AT136" s="1155">
        <f t="shared" si="190"/>
        <v>0</v>
      </c>
      <c r="AU136" s="1386">
        <f t="shared" si="190"/>
        <v>0</v>
      </c>
      <c r="AV136" s="1386">
        <f t="shared" si="190"/>
        <v>0</v>
      </c>
      <c r="AW136" s="1386">
        <f t="shared" si="190"/>
        <v>0</v>
      </c>
      <c r="AX136" s="1387">
        <f t="shared" si="190"/>
        <v>0</v>
      </c>
      <c r="AY136" s="1386">
        <f t="shared" si="191"/>
        <v>0</v>
      </c>
      <c r="AZ136" s="1386">
        <f t="shared" si="191"/>
        <v>0</v>
      </c>
      <c r="BA136" s="1386">
        <f t="shared" si="191"/>
        <v>0</v>
      </c>
      <c r="BB136" s="1387">
        <f t="shared" si="191"/>
        <v>0</v>
      </c>
      <c r="BC136" s="1156"/>
      <c r="BD136" s="1156"/>
      <c r="BE136" s="1280">
        <f t="shared" si="192"/>
        <v>0</v>
      </c>
      <c r="BF136" s="1280">
        <f t="shared" si="192"/>
        <v>0</v>
      </c>
      <c r="BG136" s="1280">
        <f t="shared" si="192"/>
        <v>0</v>
      </c>
      <c r="BH136" s="1280">
        <f t="shared" si="192"/>
        <v>0</v>
      </c>
      <c r="BI136" s="1280">
        <f t="shared" si="193"/>
        <v>0</v>
      </c>
      <c r="BJ136" s="1280">
        <f t="shared" si="194"/>
        <v>0</v>
      </c>
      <c r="BK136" s="1280">
        <f t="shared" si="195"/>
        <v>0</v>
      </c>
      <c r="BL136" s="1280">
        <f t="shared" si="196"/>
        <v>0</v>
      </c>
      <c r="BM136" s="1280">
        <f t="shared" si="197"/>
        <v>0</v>
      </c>
      <c r="BN136" s="1280">
        <f t="shared" si="198"/>
        <v>0</v>
      </c>
      <c r="BO136" s="1280">
        <f t="shared" si="199"/>
        <v>0</v>
      </c>
      <c r="BP136" s="1280">
        <f t="shared" si="200"/>
        <v>0</v>
      </c>
      <c r="BQ136" s="1114"/>
      <c r="BR136" s="1115"/>
      <c r="BU136" s="1087"/>
      <c r="BV136" s="1086"/>
      <c r="BW136" s="1086"/>
      <c r="BX136" s="1086"/>
    </row>
    <row r="137" spans="1:76" ht="12.75" customHeight="1">
      <c r="A137" s="1088"/>
      <c r="B137" s="1089"/>
      <c r="C137" s="1370" t="s">
        <v>370</v>
      </c>
      <c r="D137" s="1370"/>
      <c r="E137" s="1370"/>
      <c r="F137" s="1369"/>
      <c r="G137" s="1397"/>
      <c r="H137" s="1385"/>
      <c r="I137" s="1385"/>
      <c r="J137" s="1398"/>
      <c r="K137" s="1397"/>
      <c r="L137" s="1385"/>
      <c r="M137" s="1385"/>
      <c r="N137" s="1398"/>
      <c r="O137" s="1397"/>
      <c r="P137" s="1385"/>
      <c r="Q137" s="1385"/>
      <c r="R137" s="1155"/>
      <c r="S137" s="1153">
        <f t="shared" si="190"/>
        <v>0</v>
      </c>
      <c r="T137" s="1154">
        <f t="shared" si="190"/>
        <v>0</v>
      </c>
      <c r="U137" s="1154">
        <f t="shared" si="190"/>
        <v>0</v>
      </c>
      <c r="V137" s="1155">
        <f t="shared" ref="S137:AX138" si="201">IF(ISBLANK(V280),"",V280)</f>
        <v>0</v>
      </c>
      <c r="W137" s="1154">
        <f t="shared" si="201"/>
        <v>0</v>
      </c>
      <c r="X137" s="1154">
        <f t="shared" si="201"/>
        <v>0</v>
      </c>
      <c r="Y137" s="1154">
        <f t="shared" si="201"/>
        <v>0</v>
      </c>
      <c r="Z137" s="1155">
        <f t="shared" si="201"/>
        <v>0</v>
      </c>
      <c r="AA137" s="1154">
        <f t="shared" si="201"/>
        <v>0</v>
      </c>
      <c r="AB137" s="1154">
        <f t="shared" si="201"/>
        <v>0</v>
      </c>
      <c r="AC137" s="1154">
        <f t="shared" si="201"/>
        <v>0</v>
      </c>
      <c r="AD137" s="1155">
        <f t="shared" si="201"/>
        <v>0</v>
      </c>
      <c r="AE137" s="1154">
        <f t="shared" si="201"/>
        <v>0</v>
      </c>
      <c r="AF137" s="1154">
        <f t="shared" si="201"/>
        <v>0</v>
      </c>
      <c r="AG137" s="1154">
        <f t="shared" si="201"/>
        <v>0</v>
      </c>
      <c r="AH137" s="1155">
        <f t="shared" si="201"/>
        <v>0</v>
      </c>
      <c r="AI137" s="1386">
        <f t="shared" si="201"/>
        <v>0</v>
      </c>
      <c r="AJ137" s="1386">
        <f t="shared" si="201"/>
        <v>0</v>
      </c>
      <c r="AK137" s="1386">
        <f t="shared" si="201"/>
        <v>0</v>
      </c>
      <c r="AL137" s="1155">
        <f t="shared" si="201"/>
        <v>0</v>
      </c>
      <c r="AM137" s="1386">
        <f t="shared" si="201"/>
        <v>0</v>
      </c>
      <c r="AN137" s="1386">
        <f t="shared" si="201"/>
        <v>0</v>
      </c>
      <c r="AO137" s="1386">
        <f t="shared" si="201"/>
        <v>0</v>
      </c>
      <c r="AP137" s="1387">
        <f t="shared" si="201"/>
        <v>0</v>
      </c>
      <c r="AQ137" s="1386">
        <f t="shared" si="201"/>
        <v>0</v>
      </c>
      <c r="AR137" s="1386">
        <f t="shared" si="201"/>
        <v>0</v>
      </c>
      <c r="AS137" s="1386">
        <f t="shared" si="201"/>
        <v>0</v>
      </c>
      <c r="AT137" s="1155">
        <f t="shared" si="201"/>
        <v>0</v>
      </c>
      <c r="AU137" s="1386">
        <f t="shared" si="201"/>
        <v>0</v>
      </c>
      <c r="AV137" s="1386">
        <f t="shared" si="201"/>
        <v>0</v>
      </c>
      <c r="AW137" s="1386">
        <f t="shared" si="201"/>
        <v>0</v>
      </c>
      <c r="AX137" s="1387">
        <f t="shared" si="201"/>
        <v>0</v>
      </c>
      <c r="AY137" s="1386">
        <f t="shared" si="191"/>
        <v>0</v>
      </c>
      <c r="AZ137" s="1386">
        <f t="shared" si="191"/>
        <v>0</v>
      </c>
      <c r="BA137" s="1386">
        <f t="shared" si="191"/>
        <v>0</v>
      </c>
      <c r="BB137" s="1387">
        <f t="shared" si="191"/>
        <v>0</v>
      </c>
      <c r="BC137" s="1156"/>
      <c r="BD137" s="1156"/>
      <c r="BE137" s="1280">
        <f t="shared" si="192"/>
        <v>0</v>
      </c>
      <c r="BF137" s="1280">
        <f t="shared" si="192"/>
        <v>0</v>
      </c>
      <c r="BG137" s="1280">
        <f t="shared" si="192"/>
        <v>0</v>
      </c>
      <c r="BH137" s="1280">
        <f t="shared" si="192"/>
        <v>0</v>
      </c>
      <c r="BI137" s="1280">
        <f t="shared" si="193"/>
        <v>0</v>
      </c>
      <c r="BJ137" s="1280">
        <f t="shared" si="194"/>
        <v>0</v>
      </c>
      <c r="BK137" s="1280">
        <f t="shared" si="195"/>
        <v>0</v>
      </c>
      <c r="BL137" s="1280">
        <f t="shared" si="196"/>
        <v>0</v>
      </c>
      <c r="BM137" s="1280">
        <f t="shared" si="197"/>
        <v>0</v>
      </c>
      <c r="BN137" s="1280">
        <f t="shared" si="198"/>
        <v>0</v>
      </c>
      <c r="BO137" s="1280">
        <f t="shared" si="199"/>
        <v>0</v>
      </c>
      <c r="BP137" s="1280">
        <f t="shared" si="200"/>
        <v>0</v>
      </c>
      <c r="BQ137" s="1114"/>
      <c r="BR137" s="1115"/>
      <c r="BU137" s="1087"/>
      <c r="BV137" s="1086"/>
      <c r="BW137" s="1086"/>
      <c r="BX137" s="1086"/>
    </row>
    <row r="138" spans="1:76" ht="12.75" customHeight="1">
      <c r="A138" s="1088"/>
      <c r="B138" s="1089"/>
      <c r="C138" s="1370" t="s">
        <v>364</v>
      </c>
      <c r="D138" s="1370"/>
      <c r="E138" s="1370"/>
      <c r="F138" s="1369"/>
      <c r="G138" s="1397"/>
      <c r="H138" s="1385"/>
      <c r="I138" s="1385"/>
      <c r="J138" s="1398"/>
      <c r="K138" s="1397"/>
      <c r="L138" s="1385"/>
      <c r="M138" s="1385"/>
      <c r="N138" s="1398"/>
      <c r="O138" s="1397"/>
      <c r="P138" s="1385"/>
      <c r="Q138" s="1385"/>
      <c r="R138" s="1155"/>
      <c r="S138" s="1153">
        <f t="shared" si="201"/>
        <v>0</v>
      </c>
      <c r="T138" s="1154">
        <f t="shared" si="201"/>
        <v>0</v>
      </c>
      <c r="U138" s="1154">
        <f t="shared" si="201"/>
        <v>0</v>
      </c>
      <c r="V138" s="1155">
        <f t="shared" si="201"/>
        <v>0</v>
      </c>
      <c r="W138" s="1154">
        <f t="shared" si="201"/>
        <v>0</v>
      </c>
      <c r="X138" s="1154">
        <f t="shared" si="201"/>
        <v>0</v>
      </c>
      <c r="Y138" s="1154">
        <f t="shared" si="201"/>
        <v>0</v>
      </c>
      <c r="Z138" s="1155">
        <f t="shared" si="201"/>
        <v>0</v>
      </c>
      <c r="AA138" s="1154">
        <f t="shared" si="201"/>
        <v>0</v>
      </c>
      <c r="AB138" s="1154">
        <f t="shared" si="201"/>
        <v>0</v>
      </c>
      <c r="AC138" s="1154">
        <f t="shared" si="201"/>
        <v>0</v>
      </c>
      <c r="AD138" s="1155">
        <f t="shared" si="201"/>
        <v>0</v>
      </c>
      <c r="AE138" s="1154">
        <f t="shared" si="201"/>
        <v>0</v>
      </c>
      <c r="AF138" s="1154">
        <f t="shared" si="201"/>
        <v>0</v>
      </c>
      <c r="AG138" s="1154">
        <f t="shared" si="201"/>
        <v>0</v>
      </c>
      <c r="AH138" s="1155">
        <f t="shared" si="201"/>
        <v>0</v>
      </c>
      <c r="AI138" s="1386">
        <f t="shared" si="201"/>
        <v>0</v>
      </c>
      <c r="AJ138" s="1386">
        <f t="shared" si="201"/>
        <v>0</v>
      </c>
      <c r="AK138" s="1386">
        <f t="shared" si="201"/>
        <v>0</v>
      </c>
      <c r="AL138" s="1155">
        <f t="shared" si="201"/>
        <v>0</v>
      </c>
      <c r="AM138" s="1386">
        <f t="shared" si="201"/>
        <v>0</v>
      </c>
      <c r="AN138" s="1386">
        <f t="shared" si="201"/>
        <v>0</v>
      </c>
      <c r="AO138" s="1386">
        <f t="shared" si="201"/>
        <v>0</v>
      </c>
      <c r="AP138" s="1387">
        <f t="shared" si="201"/>
        <v>0</v>
      </c>
      <c r="AQ138" s="1386">
        <f t="shared" si="201"/>
        <v>0</v>
      </c>
      <c r="AR138" s="1386">
        <f t="shared" si="201"/>
        <v>0</v>
      </c>
      <c r="AS138" s="1386">
        <f t="shared" si="201"/>
        <v>0</v>
      </c>
      <c r="AT138" s="1155">
        <f t="shared" si="201"/>
        <v>0</v>
      </c>
      <c r="AU138" s="1386">
        <f t="shared" si="201"/>
        <v>0</v>
      </c>
      <c r="AV138" s="1386">
        <f t="shared" si="201"/>
        <v>0</v>
      </c>
      <c r="AW138" s="1386">
        <f t="shared" si="201"/>
        <v>0</v>
      </c>
      <c r="AX138" s="1387">
        <f t="shared" si="201"/>
        <v>0</v>
      </c>
      <c r="AY138" s="1386">
        <f t="shared" si="191"/>
        <v>0</v>
      </c>
      <c r="AZ138" s="1386">
        <f t="shared" si="191"/>
        <v>0</v>
      </c>
      <c r="BA138" s="1386">
        <f t="shared" si="191"/>
        <v>0</v>
      </c>
      <c r="BB138" s="1387">
        <f t="shared" si="191"/>
        <v>0</v>
      </c>
      <c r="BC138" s="1156"/>
      <c r="BD138" s="1156"/>
      <c r="BE138" s="1280">
        <f t="shared" si="192"/>
        <v>0</v>
      </c>
      <c r="BF138" s="1280">
        <f t="shared" si="192"/>
        <v>0</v>
      </c>
      <c r="BG138" s="1280">
        <f t="shared" si="192"/>
        <v>0</v>
      </c>
      <c r="BH138" s="1280">
        <f t="shared" si="192"/>
        <v>0</v>
      </c>
      <c r="BI138" s="1280">
        <f t="shared" si="193"/>
        <v>0</v>
      </c>
      <c r="BJ138" s="1280">
        <f t="shared" si="194"/>
        <v>0</v>
      </c>
      <c r="BK138" s="1280">
        <f t="shared" si="195"/>
        <v>0</v>
      </c>
      <c r="BL138" s="1280">
        <f t="shared" si="196"/>
        <v>0</v>
      </c>
      <c r="BM138" s="1280">
        <f t="shared" si="197"/>
        <v>0</v>
      </c>
      <c r="BN138" s="1280">
        <f t="shared" si="198"/>
        <v>0</v>
      </c>
      <c r="BO138" s="1280">
        <f t="shared" si="199"/>
        <v>0</v>
      </c>
      <c r="BP138" s="1280">
        <f t="shared" si="200"/>
        <v>0</v>
      </c>
      <c r="BQ138" s="1114"/>
      <c r="BR138" s="1115"/>
      <c r="BU138" s="1087"/>
      <c r="BV138" s="1086"/>
      <c r="BW138" s="1086"/>
      <c r="BX138" s="1086"/>
    </row>
    <row r="139" spans="1:76" ht="12.75" customHeight="1">
      <c r="A139" s="1088"/>
      <c r="B139" s="1089"/>
      <c r="C139" s="1106" t="str">
        <f t="shared" ref="C139:E142" si="202">IF(ISBLANK(C282),"",C282)</f>
        <v/>
      </c>
      <c r="D139" s="1106" t="str">
        <f t="shared" si="202"/>
        <v/>
      </c>
      <c r="E139" s="1106" t="str">
        <f t="shared" si="202"/>
        <v/>
      </c>
      <c r="F139" s="1126"/>
      <c r="G139" s="1150" t="str">
        <f>IF(ISBLANK(G282),"",G282)</f>
        <v/>
      </c>
      <c r="H139" s="1151" t="str">
        <f t="shared" ref="H139:N142" si="203">IF(ISBLANK(H282),"",H282)</f>
        <v/>
      </c>
      <c r="I139" s="1151" t="str">
        <f t="shared" si="203"/>
        <v/>
      </c>
      <c r="J139" s="1152" t="str">
        <f t="shared" si="203"/>
        <v/>
      </c>
      <c r="K139" s="1117" t="str">
        <f t="shared" si="203"/>
        <v/>
      </c>
      <c r="L139" s="1151" t="str">
        <f t="shared" si="203"/>
        <v/>
      </c>
      <c r="M139" s="1151" t="str">
        <f t="shared" si="203"/>
        <v/>
      </c>
      <c r="N139" s="1152" t="str">
        <f t="shared" si="203"/>
        <v/>
      </c>
      <c r="O139" s="1150" t="str">
        <f t="shared" ref="O139:AL139" si="204">IF(ISBLANK(O282),"",O282)</f>
        <v/>
      </c>
      <c r="P139" s="1151" t="str">
        <f t="shared" si="204"/>
        <v/>
      </c>
      <c r="Q139" s="1151" t="str">
        <f t="shared" si="204"/>
        <v/>
      </c>
      <c r="R139" s="1152" t="str">
        <f t="shared" si="204"/>
        <v/>
      </c>
      <c r="S139" s="1150" t="str">
        <f t="shared" si="204"/>
        <v/>
      </c>
      <c r="T139" s="1151" t="str">
        <f t="shared" si="204"/>
        <v/>
      </c>
      <c r="U139" s="1151" t="str">
        <f t="shared" si="204"/>
        <v/>
      </c>
      <c r="V139" s="1152" t="str">
        <f t="shared" si="204"/>
        <v/>
      </c>
      <c r="W139" s="1151" t="str">
        <f t="shared" si="204"/>
        <v/>
      </c>
      <c r="X139" s="1151" t="str">
        <f t="shared" si="204"/>
        <v/>
      </c>
      <c r="Y139" s="1151" t="str">
        <f t="shared" si="204"/>
        <v/>
      </c>
      <c r="Z139" s="1152" t="str">
        <f t="shared" si="204"/>
        <v/>
      </c>
      <c r="AA139" s="1151" t="str">
        <f t="shared" si="204"/>
        <v/>
      </c>
      <c r="AB139" s="1151" t="str">
        <f t="shared" si="204"/>
        <v/>
      </c>
      <c r="AC139" s="1151" t="str">
        <f t="shared" si="204"/>
        <v/>
      </c>
      <c r="AD139" s="1152" t="str">
        <f t="shared" si="204"/>
        <v/>
      </c>
      <c r="AE139" s="1151" t="str">
        <f t="shared" si="204"/>
        <v/>
      </c>
      <c r="AF139" s="1151" t="str">
        <f t="shared" si="204"/>
        <v/>
      </c>
      <c r="AG139" s="1151" t="str">
        <f t="shared" si="204"/>
        <v/>
      </c>
      <c r="AH139" s="1152" t="str">
        <f t="shared" si="204"/>
        <v/>
      </c>
      <c r="AI139" s="1151" t="str">
        <f t="shared" si="204"/>
        <v/>
      </c>
      <c r="AJ139" s="1151" t="str">
        <f t="shared" si="204"/>
        <v/>
      </c>
      <c r="AK139" s="1151" t="str">
        <f t="shared" si="204"/>
        <v/>
      </c>
      <c r="AL139" s="1152" t="str">
        <f t="shared" si="204"/>
        <v/>
      </c>
      <c r="AM139" s="1151" t="str">
        <f t="shared" ref="AM139:AT142" si="205">IF(ISBLANK(AM282),"",AM282)</f>
        <v/>
      </c>
      <c r="AN139" s="1151" t="str">
        <f t="shared" si="205"/>
        <v/>
      </c>
      <c r="AO139" s="1151" t="str">
        <f t="shared" si="205"/>
        <v/>
      </c>
      <c r="AP139" s="1152" t="str">
        <f t="shared" si="205"/>
        <v/>
      </c>
      <c r="AQ139" s="1151" t="str">
        <f t="shared" si="205"/>
        <v/>
      </c>
      <c r="AR139" s="1151" t="str">
        <f t="shared" si="205"/>
        <v/>
      </c>
      <c r="AS139" s="1151" t="str">
        <f t="shared" si="205"/>
        <v/>
      </c>
      <c r="AT139" s="1152" t="str">
        <f t="shared" si="205"/>
        <v/>
      </c>
      <c r="AU139" s="1151" t="str">
        <f t="shared" ref="AU139:AX142" si="206">IF(ISBLANK(AU282),"",AU282)</f>
        <v/>
      </c>
      <c r="AV139" s="1151" t="str">
        <f t="shared" si="206"/>
        <v/>
      </c>
      <c r="AW139" s="1151" t="str">
        <f t="shared" si="206"/>
        <v/>
      </c>
      <c r="AX139" s="1152" t="str">
        <f t="shared" si="206"/>
        <v/>
      </c>
      <c r="AY139" s="1151" t="str">
        <f t="shared" ref="AY139:BB142" si="207">IF(ISBLANK(AY282),"",AY282)</f>
        <v/>
      </c>
      <c r="AZ139" s="1151" t="str">
        <f>IF(ISBLANK(AZ282),"",AZ282)</f>
        <v/>
      </c>
      <c r="BA139" s="1151" t="str">
        <f t="shared" si="207"/>
        <v/>
      </c>
      <c r="BB139" s="1152" t="str">
        <f t="shared" si="207"/>
        <v/>
      </c>
      <c r="BC139" s="1158"/>
      <c r="BD139" s="1159"/>
      <c r="BE139" s="1159"/>
      <c r="BF139" s="1159"/>
      <c r="BG139" s="1159"/>
      <c r="BH139" s="1159"/>
      <c r="BI139" s="1159"/>
      <c r="BJ139" s="1159"/>
      <c r="BK139" s="1159"/>
      <c r="BL139" s="1159"/>
      <c r="BM139" s="1349"/>
      <c r="BN139" s="1349"/>
      <c r="BO139" s="1349"/>
      <c r="BP139" s="1349"/>
      <c r="BQ139" s="1114"/>
      <c r="BR139" s="1115"/>
      <c r="BU139" s="1087"/>
      <c r="BV139" s="1086"/>
      <c r="BW139" s="1086"/>
      <c r="BX139" s="1086"/>
    </row>
    <row r="140" spans="1:76" ht="12.75" customHeight="1">
      <c r="A140" s="1088"/>
      <c r="B140" s="1089"/>
      <c r="C140" s="1160" t="str">
        <f t="shared" si="202"/>
        <v/>
      </c>
      <c r="D140" s="1160" t="str">
        <f t="shared" si="202"/>
        <v/>
      </c>
      <c r="E140" s="1160" t="str">
        <f t="shared" si="202"/>
        <v/>
      </c>
      <c r="F140" s="1268"/>
      <c r="G140" s="1117" t="str">
        <f>IF(ISBLANK(G283),"",G283)</f>
        <v/>
      </c>
      <c r="H140" s="1118" t="str">
        <f t="shared" si="203"/>
        <v/>
      </c>
      <c r="I140" s="1118" t="str">
        <f t="shared" si="203"/>
        <v/>
      </c>
      <c r="J140" s="1119" t="str">
        <f t="shared" si="203"/>
        <v/>
      </c>
      <c r="K140" s="1161" t="str">
        <f t="shared" si="203"/>
        <v/>
      </c>
      <c r="L140" s="1118" t="str">
        <f t="shared" si="203"/>
        <v/>
      </c>
      <c r="M140" s="1118" t="str">
        <f t="shared" si="203"/>
        <v/>
      </c>
      <c r="N140" s="1119" t="str">
        <f t="shared" si="203"/>
        <v/>
      </c>
      <c r="O140" s="1117" t="str">
        <f t="shared" ref="O140:AL140" si="208">IF(ISBLANK(O283),"",O283)</f>
        <v/>
      </c>
      <c r="P140" s="1118" t="str">
        <f t="shared" si="208"/>
        <v/>
      </c>
      <c r="Q140" s="1118" t="str">
        <f t="shared" si="208"/>
        <v/>
      </c>
      <c r="R140" s="1119" t="str">
        <f t="shared" si="208"/>
        <v/>
      </c>
      <c r="S140" s="1117" t="str">
        <f t="shared" si="208"/>
        <v/>
      </c>
      <c r="T140" s="1118" t="str">
        <f t="shared" si="208"/>
        <v/>
      </c>
      <c r="U140" s="1118" t="str">
        <f t="shared" si="208"/>
        <v/>
      </c>
      <c r="V140" s="1119" t="str">
        <f t="shared" si="208"/>
        <v/>
      </c>
      <c r="W140" s="1118" t="str">
        <f t="shared" si="208"/>
        <v/>
      </c>
      <c r="X140" s="1118" t="str">
        <f t="shared" si="208"/>
        <v/>
      </c>
      <c r="Y140" s="1118" t="str">
        <f t="shared" si="208"/>
        <v/>
      </c>
      <c r="Z140" s="1119" t="str">
        <f t="shared" si="208"/>
        <v/>
      </c>
      <c r="AA140" s="1118" t="str">
        <f t="shared" si="208"/>
        <v/>
      </c>
      <c r="AB140" s="1118" t="str">
        <f t="shared" si="208"/>
        <v/>
      </c>
      <c r="AC140" s="1118" t="str">
        <f t="shared" si="208"/>
        <v/>
      </c>
      <c r="AD140" s="1119" t="str">
        <f t="shared" si="208"/>
        <v/>
      </c>
      <c r="AE140" s="1118" t="str">
        <f t="shared" si="208"/>
        <v/>
      </c>
      <c r="AF140" s="1118" t="str">
        <f t="shared" si="208"/>
        <v/>
      </c>
      <c r="AG140" s="1118" t="str">
        <f t="shared" si="208"/>
        <v/>
      </c>
      <c r="AH140" s="1119" t="str">
        <f t="shared" si="208"/>
        <v/>
      </c>
      <c r="AI140" s="1118" t="str">
        <f t="shared" si="208"/>
        <v/>
      </c>
      <c r="AJ140" s="1118" t="str">
        <f t="shared" si="208"/>
        <v/>
      </c>
      <c r="AK140" s="1118" t="str">
        <f t="shared" si="208"/>
        <v/>
      </c>
      <c r="AL140" s="1119" t="str">
        <f t="shared" si="208"/>
        <v/>
      </c>
      <c r="AM140" s="1118" t="str">
        <f t="shared" si="205"/>
        <v/>
      </c>
      <c r="AN140" s="1118" t="str">
        <f t="shared" si="205"/>
        <v/>
      </c>
      <c r="AO140" s="1118" t="str">
        <f t="shared" si="205"/>
        <v/>
      </c>
      <c r="AP140" s="1119" t="str">
        <f t="shared" si="205"/>
        <v/>
      </c>
      <c r="AQ140" s="1118" t="str">
        <f t="shared" si="205"/>
        <v/>
      </c>
      <c r="AR140" s="1118" t="str">
        <f t="shared" si="205"/>
        <v/>
      </c>
      <c r="AS140" s="1118" t="str">
        <f t="shared" si="205"/>
        <v/>
      </c>
      <c r="AT140" s="1119" t="str">
        <f t="shared" si="205"/>
        <v/>
      </c>
      <c r="AU140" s="1118" t="str">
        <f t="shared" si="206"/>
        <v/>
      </c>
      <c r="AV140" s="1118" t="str">
        <f t="shared" si="206"/>
        <v/>
      </c>
      <c r="AW140" s="1118" t="str">
        <f t="shared" si="206"/>
        <v/>
      </c>
      <c r="AX140" s="1119" t="str">
        <f t="shared" si="206"/>
        <v/>
      </c>
      <c r="AY140" s="1118" t="str">
        <f t="shared" si="207"/>
        <v/>
      </c>
      <c r="AZ140" s="1118" t="str">
        <f>IF(ISBLANK(AZ283),"",AZ283)</f>
        <v/>
      </c>
      <c r="BA140" s="1118" t="str">
        <f t="shared" si="207"/>
        <v/>
      </c>
      <c r="BB140" s="1119" t="str">
        <f t="shared" si="207"/>
        <v/>
      </c>
      <c r="BC140" s="1162"/>
      <c r="BD140" s="1162"/>
      <c r="BE140" s="1162"/>
      <c r="BF140" s="1162"/>
      <c r="BG140" s="1162"/>
      <c r="BH140" s="1162"/>
      <c r="BI140" s="1162"/>
      <c r="BJ140" s="1162"/>
      <c r="BK140" s="1162"/>
      <c r="BL140" s="1162"/>
      <c r="BM140" s="1350"/>
      <c r="BN140" s="1350"/>
      <c r="BO140" s="1350"/>
      <c r="BP140" s="1350"/>
      <c r="BQ140" s="1114"/>
      <c r="BR140" s="1141"/>
      <c r="BU140" s="1087"/>
      <c r="BV140" s="1086"/>
      <c r="BW140" s="1086"/>
      <c r="BX140" s="1086"/>
    </row>
    <row r="141" spans="1:76" ht="12.75" customHeight="1">
      <c r="A141" s="1163"/>
      <c r="B141" s="1281"/>
      <c r="C141" s="1282" t="str">
        <f t="shared" si="202"/>
        <v/>
      </c>
      <c r="D141" s="1282" t="str">
        <f t="shared" si="202"/>
        <v/>
      </c>
      <c r="E141" s="1282" t="str">
        <f t="shared" si="202"/>
        <v/>
      </c>
      <c r="F141" s="1283"/>
      <c r="G141" s="1161" t="str">
        <f>IF(ISBLANK(G284),"",G284)</f>
        <v/>
      </c>
      <c r="H141" s="1164" t="str">
        <f t="shared" si="203"/>
        <v/>
      </c>
      <c r="I141" s="1164" t="str">
        <f t="shared" si="203"/>
        <v/>
      </c>
      <c r="J141" s="1165" t="str">
        <f t="shared" si="203"/>
        <v/>
      </c>
      <c r="K141" s="1164" t="str">
        <f t="shared" si="203"/>
        <v/>
      </c>
      <c r="L141" s="1164" t="str">
        <f t="shared" si="203"/>
        <v/>
      </c>
      <c r="M141" s="1164" t="str">
        <f t="shared" si="203"/>
        <v/>
      </c>
      <c r="N141" s="1165" t="str">
        <f t="shared" si="203"/>
        <v/>
      </c>
      <c r="O141" s="1161" t="str">
        <f t="shared" ref="O141:AL141" si="209">IF(ISBLANK(O284),"",O284)</f>
        <v/>
      </c>
      <c r="P141" s="1164" t="str">
        <f t="shared" si="209"/>
        <v/>
      </c>
      <c r="Q141" s="1164" t="str">
        <f t="shared" si="209"/>
        <v/>
      </c>
      <c r="R141" s="1165" t="str">
        <f t="shared" si="209"/>
        <v/>
      </c>
      <c r="S141" s="1161" t="str">
        <f t="shared" si="209"/>
        <v/>
      </c>
      <c r="T141" s="1164" t="str">
        <f t="shared" si="209"/>
        <v/>
      </c>
      <c r="U141" s="1164" t="str">
        <f t="shared" si="209"/>
        <v/>
      </c>
      <c r="V141" s="1165" t="str">
        <f t="shared" si="209"/>
        <v/>
      </c>
      <c r="W141" s="1164" t="str">
        <f t="shared" si="209"/>
        <v/>
      </c>
      <c r="X141" s="1164" t="str">
        <f t="shared" si="209"/>
        <v/>
      </c>
      <c r="Y141" s="1164" t="str">
        <f t="shared" si="209"/>
        <v/>
      </c>
      <c r="Z141" s="1165" t="str">
        <f t="shared" si="209"/>
        <v/>
      </c>
      <c r="AA141" s="1164" t="str">
        <f t="shared" si="209"/>
        <v/>
      </c>
      <c r="AB141" s="1164" t="str">
        <f t="shared" si="209"/>
        <v/>
      </c>
      <c r="AC141" s="1164" t="str">
        <f t="shared" si="209"/>
        <v/>
      </c>
      <c r="AD141" s="1165" t="str">
        <f t="shared" si="209"/>
        <v/>
      </c>
      <c r="AE141" s="1164" t="str">
        <f t="shared" si="209"/>
        <v/>
      </c>
      <c r="AF141" s="1164" t="str">
        <f t="shared" si="209"/>
        <v/>
      </c>
      <c r="AG141" s="1164" t="str">
        <f t="shared" si="209"/>
        <v/>
      </c>
      <c r="AH141" s="1165" t="str">
        <f t="shared" si="209"/>
        <v/>
      </c>
      <c r="AI141" s="1164" t="str">
        <f t="shared" si="209"/>
        <v/>
      </c>
      <c r="AJ141" s="1164" t="str">
        <f t="shared" si="209"/>
        <v/>
      </c>
      <c r="AK141" s="1164" t="str">
        <f t="shared" si="209"/>
        <v/>
      </c>
      <c r="AL141" s="1165" t="str">
        <f t="shared" si="209"/>
        <v/>
      </c>
      <c r="AM141" s="1164" t="str">
        <f t="shared" si="205"/>
        <v/>
      </c>
      <c r="AN141" s="1164" t="str">
        <f t="shared" si="205"/>
        <v/>
      </c>
      <c r="AO141" s="1164" t="str">
        <f t="shared" si="205"/>
        <v/>
      </c>
      <c r="AP141" s="1165" t="str">
        <f t="shared" si="205"/>
        <v/>
      </c>
      <c r="AQ141" s="1164" t="str">
        <f t="shared" si="205"/>
        <v/>
      </c>
      <c r="AR141" s="1164" t="str">
        <f t="shared" si="205"/>
        <v/>
      </c>
      <c r="AS141" s="1164" t="str">
        <f t="shared" si="205"/>
        <v/>
      </c>
      <c r="AT141" s="1165" t="str">
        <f t="shared" si="205"/>
        <v/>
      </c>
      <c r="AU141" s="1164" t="str">
        <f t="shared" si="206"/>
        <v/>
      </c>
      <c r="AV141" s="1164" t="str">
        <f t="shared" si="206"/>
        <v/>
      </c>
      <c r="AW141" s="1164" t="str">
        <f t="shared" si="206"/>
        <v/>
      </c>
      <c r="AX141" s="1165" t="str">
        <f t="shared" si="206"/>
        <v/>
      </c>
      <c r="AY141" s="1164" t="str">
        <f t="shared" si="207"/>
        <v/>
      </c>
      <c r="AZ141" s="1164" t="str">
        <f>IF(ISBLANK(AZ284),"",AZ284)</f>
        <v/>
      </c>
      <c r="BA141" s="1164" t="str">
        <f t="shared" si="207"/>
        <v/>
      </c>
      <c r="BB141" s="1165" t="str">
        <f t="shared" si="207"/>
        <v/>
      </c>
      <c r="BC141" s="1140"/>
      <c r="BD141" s="1140"/>
      <c r="BE141" s="1140"/>
      <c r="BF141" s="1140"/>
      <c r="BG141" s="1140"/>
      <c r="BH141" s="1140"/>
      <c r="BI141" s="1140"/>
      <c r="BJ141" s="1140"/>
      <c r="BK141" s="1140"/>
      <c r="BL141" s="1140"/>
      <c r="BM141" s="1181"/>
      <c r="BN141" s="1181"/>
      <c r="BO141" s="1181"/>
      <c r="BP141" s="1181"/>
      <c r="BQ141" s="1114"/>
      <c r="BR141" s="1141"/>
      <c r="BU141" s="1087"/>
      <c r="BV141" s="1086"/>
      <c r="BW141" s="1086"/>
      <c r="BX141" s="1086"/>
    </row>
    <row r="142" spans="1:76" ht="12.75" customHeight="1">
      <c r="A142" s="1166"/>
      <c r="B142" s="1166"/>
      <c r="C142" s="1167" t="str">
        <f t="shared" si="202"/>
        <v/>
      </c>
      <c r="D142" s="1167" t="str">
        <f t="shared" si="202"/>
        <v/>
      </c>
      <c r="E142" s="1167" t="str">
        <f t="shared" si="202"/>
        <v/>
      </c>
      <c r="F142" s="1284"/>
      <c r="G142" s="1168" t="str">
        <f>IF(ISBLANK(G285),"",G285)</f>
        <v/>
      </c>
      <c r="H142" s="1166" t="str">
        <f t="shared" si="203"/>
        <v/>
      </c>
      <c r="I142" s="1169" t="str">
        <f t="shared" si="203"/>
        <v/>
      </c>
      <c r="J142" s="1169" t="str">
        <f t="shared" si="203"/>
        <v/>
      </c>
      <c r="K142" s="1169" t="str">
        <f t="shared" si="203"/>
        <v/>
      </c>
      <c r="L142" s="1169" t="str">
        <f t="shared" si="203"/>
        <v/>
      </c>
      <c r="M142" s="1169" t="str">
        <f t="shared" si="203"/>
        <v/>
      </c>
      <c r="N142" s="1169" t="str">
        <f t="shared" si="203"/>
        <v/>
      </c>
      <c r="O142" s="1169" t="str">
        <f t="shared" ref="O142:AL142" si="210">IF(ISBLANK(O285),"",O285)</f>
        <v/>
      </c>
      <c r="P142" s="1169" t="str">
        <f t="shared" si="210"/>
        <v/>
      </c>
      <c r="Q142" s="1169" t="str">
        <f t="shared" si="210"/>
        <v/>
      </c>
      <c r="R142" s="1169" t="str">
        <f t="shared" si="210"/>
        <v/>
      </c>
      <c r="S142" s="1168" t="str">
        <f t="shared" si="210"/>
        <v/>
      </c>
      <c r="T142" s="1169" t="str">
        <f t="shared" si="210"/>
        <v/>
      </c>
      <c r="U142" s="1169" t="str">
        <f t="shared" si="210"/>
        <v/>
      </c>
      <c r="V142" s="1169" t="str">
        <f t="shared" si="210"/>
        <v/>
      </c>
      <c r="W142" s="1169" t="str">
        <f t="shared" si="210"/>
        <v/>
      </c>
      <c r="X142" s="1169" t="str">
        <f t="shared" si="210"/>
        <v/>
      </c>
      <c r="Y142" s="1169" t="str">
        <f t="shared" si="210"/>
        <v/>
      </c>
      <c r="Z142" s="1168" t="str">
        <f t="shared" si="210"/>
        <v/>
      </c>
      <c r="AA142" s="1169" t="str">
        <f t="shared" si="210"/>
        <v/>
      </c>
      <c r="AB142" s="1169" t="str">
        <f t="shared" si="210"/>
        <v/>
      </c>
      <c r="AC142" s="1169" t="str">
        <f t="shared" si="210"/>
        <v/>
      </c>
      <c r="AD142" s="1169" t="str">
        <f t="shared" si="210"/>
        <v/>
      </c>
      <c r="AE142" s="1169" t="str">
        <f t="shared" si="210"/>
        <v/>
      </c>
      <c r="AF142" s="1169" t="str">
        <f t="shared" si="210"/>
        <v/>
      </c>
      <c r="AG142" s="1169" t="str">
        <f t="shared" si="210"/>
        <v/>
      </c>
      <c r="AH142" s="1169" t="str">
        <f t="shared" si="210"/>
        <v/>
      </c>
      <c r="AI142" s="1169" t="str">
        <f t="shared" si="210"/>
        <v/>
      </c>
      <c r="AJ142" s="1169" t="str">
        <f t="shared" si="210"/>
        <v/>
      </c>
      <c r="AK142" s="1169" t="str">
        <f t="shared" si="210"/>
        <v/>
      </c>
      <c r="AL142" s="1169" t="str">
        <f t="shared" si="210"/>
        <v/>
      </c>
      <c r="AM142" s="1169" t="str">
        <f t="shared" si="205"/>
        <v/>
      </c>
      <c r="AN142" s="1169" t="str">
        <f t="shared" si="205"/>
        <v/>
      </c>
      <c r="AO142" s="1169" t="str">
        <f t="shared" si="205"/>
        <v/>
      </c>
      <c r="AP142" s="1169" t="str">
        <f t="shared" si="205"/>
        <v/>
      </c>
      <c r="AQ142" s="1169" t="str">
        <f t="shared" si="205"/>
        <v/>
      </c>
      <c r="AR142" s="1169" t="str">
        <f t="shared" si="205"/>
        <v/>
      </c>
      <c r="AS142" s="1169" t="str">
        <f t="shared" si="205"/>
        <v/>
      </c>
      <c r="AT142" s="1169" t="str">
        <f t="shared" si="205"/>
        <v/>
      </c>
      <c r="AU142" s="1169" t="str">
        <f t="shared" si="206"/>
        <v/>
      </c>
      <c r="AV142" s="1169" t="str">
        <f t="shared" si="206"/>
        <v/>
      </c>
      <c r="AW142" s="1169" t="str">
        <f t="shared" si="206"/>
        <v/>
      </c>
      <c r="AX142" s="1169" t="str">
        <f t="shared" si="206"/>
        <v/>
      </c>
      <c r="AY142" s="1169" t="str">
        <f t="shared" si="207"/>
        <v/>
      </c>
      <c r="AZ142" s="1169" t="str">
        <f>IF(ISBLANK(AZ285),"",AZ285)</f>
        <v/>
      </c>
      <c r="BA142" s="1169" t="str">
        <f t="shared" si="207"/>
        <v/>
      </c>
      <c r="BB142" s="1169" t="str">
        <f t="shared" si="207"/>
        <v/>
      </c>
      <c r="BC142" s="1169"/>
      <c r="BD142" s="1169"/>
      <c r="BE142" s="1169"/>
      <c r="BF142" s="1169"/>
      <c r="BG142" s="1169"/>
      <c r="BH142" s="1169"/>
      <c r="BI142" s="1169"/>
      <c r="BJ142" s="1169"/>
      <c r="BK142" s="1169"/>
      <c r="BL142" s="1169"/>
      <c r="BM142" s="1169"/>
      <c r="BN142" s="1169"/>
      <c r="BO142" s="1169"/>
      <c r="BP142" s="1169"/>
      <c r="BQ142" s="1169"/>
      <c r="BR142" s="1141"/>
      <c r="BU142" s="1087"/>
      <c r="BV142" s="1086"/>
      <c r="BW142" s="1086"/>
      <c r="BX142" s="1086"/>
    </row>
    <row r="143" spans="1:76" ht="12.75" customHeight="1">
      <c r="G143" s="1061"/>
      <c r="H143" s="1061"/>
      <c r="I143" s="1061"/>
      <c r="J143" s="1061"/>
      <c r="L143" s="1114"/>
      <c r="M143" s="1114"/>
      <c r="N143" s="1114"/>
      <c r="O143" s="1114"/>
      <c r="BG143" s="1061"/>
      <c r="BH143" s="1061"/>
      <c r="BI143" s="1061"/>
      <c r="BJ143" s="1061"/>
      <c r="BK143" s="1061"/>
      <c r="BL143" s="1061"/>
      <c r="BM143" s="1061"/>
      <c r="BN143" s="1061"/>
      <c r="BO143" s="1061"/>
      <c r="BP143" s="1061"/>
      <c r="BQ143" s="1061"/>
      <c r="BR143" s="1115"/>
      <c r="BU143" s="1087"/>
      <c r="BV143" s="1086"/>
      <c r="BW143" s="1086"/>
      <c r="BX143" s="1086"/>
    </row>
    <row r="144" spans="1:76" ht="12.75" customHeight="1">
      <c r="G144" s="1061"/>
      <c r="H144" s="1061"/>
      <c r="I144" s="1061"/>
      <c r="J144" s="1061"/>
      <c r="L144" s="1114"/>
      <c r="M144" s="1114"/>
      <c r="N144" s="1114"/>
      <c r="O144" s="1114"/>
      <c r="BG144" s="1061"/>
      <c r="BH144" s="1061"/>
      <c r="BI144" s="1061"/>
      <c r="BJ144" s="1061"/>
      <c r="BK144" s="1061"/>
      <c r="BL144" s="1061"/>
      <c r="BM144" s="1061"/>
      <c r="BN144" s="1061"/>
      <c r="BO144" s="1061"/>
      <c r="BP144" s="1061"/>
      <c r="BQ144" s="1061"/>
      <c r="BR144" s="1115"/>
      <c r="BU144" s="1087"/>
      <c r="BV144" s="1086"/>
      <c r="BW144" s="1086"/>
      <c r="BX144" s="1086"/>
    </row>
    <row r="145" spans="3:76" ht="12.75" customHeight="1">
      <c r="G145" s="1061"/>
      <c r="H145" s="1061"/>
      <c r="I145" s="1061"/>
      <c r="J145" s="1061"/>
      <c r="L145" s="1114"/>
      <c r="M145" s="1114"/>
      <c r="N145" s="1114"/>
      <c r="O145" s="1114"/>
      <c r="BG145" s="1061"/>
      <c r="BH145" s="1061"/>
      <c r="BI145" s="1061"/>
      <c r="BJ145" s="1061"/>
      <c r="BK145" s="1061"/>
      <c r="BL145" s="1061"/>
      <c r="BM145" s="1061"/>
      <c r="BN145" s="1061"/>
      <c r="BO145" s="1061"/>
      <c r="BP145" s="1061"/>
      <c r="BQ145" s="1061"/>
      <c r="BR145" s="1115"/>
      <c r="BU145" s="1087"/>
      <c r="BV145" s="1086"/>
      <c r="BW145" s="1086"/>
      <c r="BX145" s="1086"/>
    </row>
    <row r="146" spans="3:76" ht="12.75" customHeight="1">
      <c r="G146" s="1061"/>
      <c r="H146" s="1061"/>
      <c r="I146" s="1061"/>
      <c r="J146" s="1061"/>
      <c r="L146" s="1114"/>
      <c r="M146" s="1114"/>
      <c r="N146" s="1114"/>
      <c r="O146" s="1114"/>
      <c r="BG146" s="1061"/>
      <c r="BH146" s="1061"/>
      <c r="BI146" s="1061"/>
      <c r="BJ146" s="1061"/>
      <c r="BK146" s="1061"/>
      <c r="BL146" s="1061"/>
      <c r="BM146" s="1061"/>
      <c r="BN146" s="1061"/>
      <c r="BO146" s="1061"/>
      <c r="BP146" s="1061"/>
      <c r="BQ146" s="1061"/>
      <c r="BR146" s="1115"/>
      <c r="BU146" s="1087"/>
      <c r="BV146" s="1086"/>
      <c r="BW146" s="1086"/>
      <c r="BX146" s="1086"/>
    </row>
    <row r="147" spans="3:76" ht="12.75" customHeight="1">
      <c r="G147" s="1061"/>
      <c r="H147" s="1061"/>
      <c r="I147" s="1061"/>
      <c r="J147" s="1061"/>
      <c r="L147" s="1114"/>
      <c r="M147" s="1114"/>
      <c r="N147" s="1114"/>
      <c r="O147" s="1114"/>
      <c r="BG147" s="1061"/>
      <c r="BH147" s="1061"/>
      <c r="BI147" s="1061"/>
      <c r="BJ147" s="1061"/>
      <c r="BK147" s="1061"/>
      <c r="BL147" s="1061"/>
      <c r="BM147" s="1061"/>
      <c r="BN147" s="1061"/>
      <c r="BO147" s="1061"/>
      <c r="BP147" s="1061"/>
      <c r="BQ147" s="1061"/>
      <c r="BR147" s="1115"/>
      <c r="BU147" s="1087"/>
      <c r="BV147" s="1086"/>
      <c r="BW147" s="1086"/>
      <c r="BX147" s="1086"/>
    </row>
    <row r="148" spans="3:76" ht="12.75" customHeight="1" thickBot="1">
      <c r="G148" s="1061"/>
      <c r="H148" s="1061"/>
      <c r="I148" s="1061"/>
      <c r="J148" s="1061"/>
      <c r="L148" s="1114"/>
      <c r="M148" s="1114"/>
      <c r="N148" s="1114"/>
      <c r="O148" s="1114"/>
      <c r="BG148" s="1061"/>
      <c r="BH148" s="1061"/>
      <c r="BI148" s="1061"/>
      <c r="BJ148" s="1061"/>
      <c r="BK148" s="1061"/>
      <c r="BL148" s="1061"/>
      <c r="BM148" s="1061"/>
      <c r="BN148" s="1061"/>
      <c r="BO148" s="1061"/>
      <c r="BP148" s="1061"/>
      <c r="BQ148" s="1061"/>
      <c r="BR148" s="1115"/>
      <c r="BU148" s="1087"/>
      <c r="BV148" s="1086"/>
      <c r="BW148" s="1086"/>
      <c r="BX148" s="1086"/>
    </row>
    <row r="149" spans="3:76" ht="12.75" customHeight="1">
      <c r="C149" s="1171" t="s">
        <v>531</v>
      </c>
      <c r="D149" s="1172"/>
      <c r="E149" s="1172"/>
      <c r="F149" s="1285"/>
      <c r="G149" s="1173"/>
      <c r="H149" s="1174"/>
      <c r="I149" s="1174"/>
      <c r="J149" s="1175"/>
      <c r="K149" s="1173"/>
      <c r="L149" s="1174"/>
      <c r="M149" s="1174"/>
      <c r="N149" s="1175"/>
      <c r="O149" s="1173"/>
      <c r="P149" s="1174"/>
      <c r="Q149" s="1174"/>
      <c r="R149" s="1175"/>
      <c r="S149" s="1173"/>
      <c r="T149" s="1174"/>
      <c r="U149" s="1174"/>
      <c r="V149" s="1175"/>
      <c r="W149" s="1174"/>
      <c r="X149" s="1174"/>
      <c r="Y149" s="1174"/>
      <c r="Z149" s="1176"/>
      <c r="AA149" s="1177"/>
      <c r="AB149" s="1177"/>
      <c r="AC149" s="1177"/>
      <c r="AD149" s="1176"/>
      <c r="AE149" s="1177"/>
      <c r="AF149" s="1177"/>
      <c r="AG149" s="1177"/>
      <c r="AH149" s="1176"/>
      <c r="AI149" s="1177"/>
      <c r="AJ149" s="1177"/>
      <c r="AK149" s="1177"/>
      <c r="AL149" s="1176"/>
      <c r="AM149" s="1177"/>
      <c r="AN149" s="1177"/>
      <c r="AO149" s="1177"/>
      <c r="AP149" s="1176"/>
      <c r="AQ149" s="1177"/>
      <c r="AR149" s="1177"/>
      <c r="AS149" s="1177"/>
      <c r="AT149" s="1176"/>
      <c r="AU149" s="1177"/>
      <c r="AV149" s="1177"/>
      <c r="AW149" s="1177"/>
      <c r="AX149" s="1176"/>
      <c r="AY149" s="1177"/>
      <c r="AZ149" s="1177"/>
      <c r="BA149" s="1177"/>
      <c r="BB149" s="1176"/>
      <c r="BC149" s="1100"/>
      <c r="BD149" s="1101"/>
      <c r="BE149" s="1101"/>
      <c r="BF149" s="1101"/>
      <c r="BG149" s="1101"/>
      <c r="BH149" s="1101"/>
      <c r="BI149" s="1101"/>
      <c r="BJ149" s="1101"/>
      <c r="BK149" s="1101"/>
      <c r="BL149" s="1101"/>
      <c r="BM149" s="1351"/>
      <c r="BN149" s="1351"/>
      <c r="BO149" s="1351"/>
      <c r="BP149" s="1351"/>
      <c r="BQ149" s="1102"/>
      <c r="BR149" s="1103"/>
      <c r="BS149" s="1104"/>
      <c r="BU149" s="1087"/>
      <c r="BV149" s="1086"/>
      <c r="BW149" s="1086"/>
      <c r="BX149" s="1086"/>
    </row>
    <row r="150" spans="3:76" ht="12.75" customHeight="1">
      <c r="C150" s="1178"/>
      <c r="D150" s="1140"/>
      <c r="E150" s="1140"/>
      <c r="F150" s="1245"/>
      <c r="G150" s="1107"/>
      <c r="H150" s="1108"/>
      <c r="I150" s="1108"/>
      <c r="J150" s="1109"/>
      <c r="K150" s="1107"/>
      <c r="L150" s="1108"/>
      <c r="M150" s="1108"/>
      <c r="N150" s="1109"/>
      <c r="O150" s="1107"/>
      <c r="P150" s="1108"/>
      <c r="Q150" s="1108"/>
      <c r="R150" s="1110"/>
      <c r="S150" s="1111"/>
      <c r="T150" s="1112"/>
      <c r="U150" s="1112"/>
      <c r="V150" s="1110"/>
      <c r="W150" s="1112"/>
      <c r="X150" s="1112"/>
      <c r="Y150" s="1112"/>
      <c r="Z150" s="1110"/>
      <c r="AA150" s="1112"/>
      <c r="AB150" s="1112"/>
      <c r="AC150" s="1112"/>
      <c r="AD150" s="1110"/>
      <c r="AE150" s="1112"/>
      <c r="AF150" s="1112"/>
      <c r="AG150" s="1112"/>
      <c r="AH150" s="1110"/>
      <c r="AI150" s="1112"/>
      <c r="AJ150" s="1112"/>
      <c r="AK150" s="1112"/>
      <c r="AL150" s="1110"/>
      <c r="AM150" s="1112"/>
      <c r="AN150" s="1112"/>
      <c r="AO150" s="1112"/>
      <c r="AP150" s="1110"/>
      <c r="AQ150" s="1112"/>
      <c r="AR150" s="1112"/>
      <c r="AS150" s="1112"/>
      <c r="AT150" s="1110"/>
      <c r="AU150" s="1112"/>
      <c r="AV150" s="1112"/>
      <c r="AW150" s="1112"/>
      <c r="AX150" s="1110"/>
      <c r="AY150" s="1112"/>
      <c r="AZ150" s="1112"/>
      <c r="BA150" s="1112"/>
      <c r="BB150" s="1110"/>
      <c r="BC150" s="1113"/>
      <c r="BD150" s="1113"/>
      <c r="BE150" s="1113"/>
      <c r="BF150" s="1113"/>
      <c r="BG150" s="1113"/>
      <c r="BH150" s="1113"/>
      <c r="BI150" s="1113"/>
      <c r="BJ150" s="1113"/>
      <c r="BK150" s="1113"/>
      <c r="BL150" s="1113"/>
      <c r="BM150" s="1113"/>
      <c r="BN150" s="1113"/>
      <c r="BO150" s="1113"/>
      <c r="BP150" s="1113"/>
      <c r="BQ150" s="1114"/>
      <c r="BR150" s="1115"/>
      <c r="BU150" s="1087"/>
      <c r="BV150" s="1086"/>
      <c r="BW150" s="1086"/>
      <c r="BX150" s="1086"/>
    </row>
    <row r="151" spans="3:76" ht="12.75" customHeight="1">
      <c r="C151" s="1178" t="s">
        <v>751</v>
      </c>
      <c r="D151" s="1416"/>
      <c r="E151" s="1416"/>
      <c r="F151" s="1116"/>
      <c r="G151" s="1476">
        <v>5.1241129032258064</v>
      </c>
      <c r="H151" s="1477">
        <v>4.3247460317460309</v>
      </c>
      <c r="I151" s="1477">
        <v>4.2905156250000003</v>
      </c>
      <c r="J151" s="1478">
        <v>3.8051846153846145</v>
      </c>
      <c r="K151" s="1476">
        <v>4.1753749999999998</v>
      </c>
      <c r="L151" s="1477">
        <v>4.3679218749999995</v>
      </c>
      <c r="M151" s="1477">
        <v>4.1250937499999987</v>
      </c>
      <c r="N151" s="1478">
        <v>3.3347142857142864</v>
      </c>
      <c r="O151" s="1476">
        <v>2.4596984126984123</v>
      </c>
      <c r="P151" s="1477">
        <v>2.2776984126984123</v>
      </c>
      <c r="Q151" s="1477">
        <v>2.8780317460317462</v>
      </c>
      <c r="R151" s="1477">
        <v>3.3929375000000004</v>
      </c>
      <c r="S151" s="1476">
        <v>3.4791000000000003</v>
      </c>
      <c r="T151" s="1477">
        <v>4.0243281250000011</v>
      </c>
      <c r="U151" s="1477">
        <v>3.5578281250000003</v>
      </c>
      <c r="V151" s="1477">
        <v>3.8364218749999996</v>
      </c>
      <c r="W151" s="1476">
        <v>5.1762950819672131</v>
      </c>
      <c r="X151" s="1477">
        <v>4.6069687499999992</v>
      </c>
      <c r="Y151" s="1477">
        <v>3.9690625000000006</v>
      </c>
      <c r="Z151" s="1478">
        <v>3.7758906249999988</v>
      </c>
      <c r="AA151" s="1476">
        <v>2.8932580645161292</v>
      </c>
      <c r="AB151" s="1477">
        <v>2.7407301587301576</v>
      </c>
      <c r="AC151" s="1477">
        <v>2.7644218749999996</v>
      </c>
      <c r="AD151" s="1478">
        <v>2.1331111111111114</v>
      </c>
      <c r="AE151" s="1476">
        <v>1.9876885245901643</v>
      </c>
      <c r="AF151" s="1477">
        <v>2.135984375</v>
      </c>
      <c r="AG151" s="1477">
        <v>2.8751562499999994</v>
      </c>
      <c r="AH151" s="1478">
        <v>3.0312419354838709</v>
      </c>
      <c r="AI151" s="1476">
        <v>3.0098387096774188</v>
      </c>
      <c r="AJ151" s="1479">
        <v>3.076171875</v>
      </c>
      <c r="AK151" s="1479">
        <v>2.9540158730158725</v>
      </c>
      <c r="AL151" s="1480">
        <v>2.8899677419354837</v>
      </c>
      <c r="AM151" s="1479">
        <v>3.1108032786885249</v>
      </c>
      <c r="AN151" s="1479">
        <v>2.6796666666666664</v>
      </c>
      <c r="AO151" s="1479">
        <v>2.8149999999999999</v>
      </c>
      <c r="AP151" s="1480">
        <v>2.9016666666666668</v>
      </c>
      <c r="AQ151" s="1479">
        <v>2.9026943643004919</v>
      </c>
      <c r="AR151" s="1479">
        <v>2.5441789597993276</v>
      </c>
      <c r="AS151" s="1479">
        <v>2.5777897789713125</v>
      </c>
      <c r="AT151" s="1480">
        <v>3.0133368969288674</v>
      </c>
      <c r="AU151" s="1479">
        <v>2.9460848852381236</v>
      </c>
      <c r="AV151" s="1479">
        <v>2.5822102633295767</v>
      </c>
      <c r="AW151" s="1479">
        <v>2.6163235091335033</v>
      </c>
      <c r="AX151" s="1480">
        <v>3.0583813422987949</v>
      </c>
      <c r="AY151" s="1479">
        <v>3.0034129674466312</v>
      </c>
      <c r="AZ151" s="1479">
        <v>2.632457682539239</v>
      </c>
      <c r="BA151" s="1479">
        <v>2.6672347404993073</v>
      </c>
      <c r="BB151" s="1480">
        <v>3.117894609514821</v>
      </c>
      <c r="BC151" s="1123"/>
      <c r="BD151" s="1123"/>
      <c r="BE151" s="1041">
        <f>AVERAGE(G151:J151)</f>
        <v>4.3861397938391136</v>
      </c>
      <c r="BF151" s="1041">
        <f>AVERAGE(K151:N151)</f>
        <v>4.0007762276785712</v>
      </c>
      <c r="BG151" s="1041">
        <f>AVERAGE(O151:R151)</f>
        <v>2.752091517857143</v>
      </c>
      <c r="BH151" s="1041">
        <f>AVERAGE(S151:V151)</f>
        <v>3.7244195312500001</v>
      </c>
      <c r="BI151" s="1041">
        <f>AVERAGE(W151:Z151)</f>
        <v>4.3820542392418025</v>
      </c>
      <c r="BJ151" s="1041">
        <f>AVERAGE(AA151:AD151)</f>
        <v>2.6328803023393492</v>
      </c>
      <c r="BK151" s="1041">
        <f>AVERAGE(AE151:AH151)</f>
        <v>2.5075177712685086</v>
      </c>
      <c r="BL151" s="1041">
        <f>AVERAGE(AI151:AL151)</f>
        <v>2.9824985499071941</v>
      </c>
      <c r="BM151" s="1249">
        <f>AVERAGE(AM151:AP151)</f>
        <v>2.8767841530054645</v>
      </c>
      <c r="BN151" s="1249">
        <f>AVERAGE(AQ151:AT151)</f>
        <v>2.7594999999999996</v>
      </c>
      <c r="BO151" s="1249">
        <f>AVERAGE(AU151:AX151)</f>
        <v>2.8007499999999994</v>
      </c>
      <c r="BP151" s="1249">
        <f>AVERAGE(AY151:BB151)</f>
        <v>2.8552499999999994</v>
      </c>
      <c r="BQ151" s="1114"/>
      <c r="BR151" s="1115"/>
      <c r="BU151" s="1087"/>
      <c r="BV151" s="1086"/>
      <c r="BW151" s="1086"/>
      <c r="BX151" s="1086"/>
    </row>
    <row r="152" spans="3:76" ht="12.75" customHeight="1">
      <c r="C152" s="1503" t="s">
        <v>520</v>
      </c>
      <c r="D152" s="1416"/>
      <c r="E152" s="1416"/>
      <c r="F152" s="1116"/>
      <c r="G152" s="1476">
        <v>57.876923076923077</v>
      </c>
      <c r="H152" s="1477">
        <v>62.742307692307698</v>
      </c>
      <c r="I152" s="1477">
        <v>67.830769230769235</v>
      </c>
      <c r="J152" s="1478">
        <v>70.910714285714263</v>
      </c>
      <c r="K152" s="1476">
        <v>77.237500000000026</v>
      </c>
      <c r="L152" s="1477">
        <v>78.430769230769243</v>
      </c>
      <c r="M152" s="1477">
        <v>80.007142857142853</v>
      </c>
      <c r="N152" s="1478">
        <v>78.934615384615398</v>
      </c>
      <c r="O152" s="1476">
        <v>70.069230769230771</v>
      </c>
      <c r="P152" s="1477">
        <v>59.92307692307692</v>
      </c>
      <c r="Q152" s="1477">
        <v>61.334615384615397</v>
      </c>
      <c r="R152" s="1477">
        <v>66.634615384615373</v>
      </c>
      <c r="S152" s="1476">
        <v>66.511538461538478</v>
      </c>
      <c r="T152" s="1477">
        <v>66.914615384615374</v>
      </c>
      <c r="U152" s="1477">
        <v>64.0053846153846</v>
      </c>
      <c r="V152" s="1477">
        <v>62.446153846153841</v>
      </c>
      <c r="W152" s="1476">
        <v>63.813846153846164</v>
      </c>
      <c r="X152" s="1477">
        <v>60.582307692307708</v>
      </c>
      <c r="Y152" s="1477">
        <v>57.336923076923085</v>
      </c>
      <c r="Z152" s="1478">
        <v>56.106923076923081</v>
      </c>
      <c r="AA152" s="1476">
        <v>53.513846153846139</v>
      </c>
      <c r="AB152" s="1477">
        <v>52.858461538461547</v>
      </c>
      <c r="AC152" s="1477">
        <v>50.784615384615385</v>
      </c>
      <c r="AD152" s="1478">
        <v>46.303846153846159</v>
      </c>
      <c r="AE152" s="1476">
        <v>42.380769230769232</v>
      </c>
      <c r="AF152" s="1477">
        <v>41.192307692307693</v>
      </c>
      <c r="AG152" s="1477">
        <v>40.928571428571438</v>
      </c>
      <c r="AH152" s="1478">
        <v>44.896153846153844</v>
      </c>
      <c r="AI152" s="1476">
        <v>50.057692307692314</v>
      </c>
      <c r="AJ152" s="1479">
        <v>52.46153846153846</v>
      </c>
      <c r="AK152" s="1479">
        <v>52.98846153846155</v>
      </c>
      <c r="AL152" s="1480">
        <v>58.261538461538478</v>
      </c>
      <c r="AM152" s="1479">
        <v>60.850000000000009</v>
      </c>
      <c r="AN152" s="1479">
        <v>49</v>
      </c>
      <c r="AO152" s="1479">
        <v>49</v>
      </c>
      <c r="AP152" s="1480">
        <v>49</v>
      </c>
      <c r="AQ152" s="1479">
        <v>48.154286333412259</v>
      </c>
      <c r="AR152" s="1479">
        <v>48.154286333412259</v>
      </c>
      <c r="AS152" s="1479">
        <v>48.154286333412259</v>
      </c>
      <c r="AT152" s="1480">
        <v>55.537140999763238</v>
      </c>
      <c r="AU152" s="1479">
        <v>48.154286333412259</v>
      </c>
      <c r="AV152" s="1479">
        <v>48.154286333412259</v>
      </c>
      <c r="AW152" s="1479">
        <v>48.154286333412259</v>
      </c>
      <c r="AX152" s="1480">
        <v>55.537140999763238</v>
      </c>
      <c r="AY152" s="1479">
        <v>48.154286333412259</v>
      </c>
      <c r="AZ152" s="1479">
        <v>48.154286333412259</v>
      </c>
      <c r="BA152" s="1479">
        <v>48.154286333412259</v>
      </c>
      <c r="BB152" s="1480">
        <v>55.537140999763238</v>
      </c>
      <c r="BC152" s="1125"/>
      <c r="BD152" s="1123"/>
      <c r="BE152" s="1041">
        <f>AVERAGE(G152:J152)</f>
        <v>64.840178571428567</v>
      </c>
      <c r="BF152" s="1041">
        <f>AVERAGE(K152:N152)</f>
        <v>78.652506868131894</v>
      </c>
      <c r="BG152" s="1041">
        <f>AVERAGE(O152:R152)</f>
        <v>64.490384615384613</v>
      </c>
      <c r="BH152" s="1041">
        <f>AVERAGE(S152:V152)</f>
        <v>64.969423076923078</v>
      </c>
      <c r="BI152" s="1041">
        <f>AVERAGE(W152:Z152)</f>
        <v>59.460000000000008</v>
      </c>
      <c r="BJ152" s="1041">
        <f>AVERAGE(AA152:AD152)</f>
        <v>50.865192307692311</v>
      </c>
      <c r="BK152" s="1041">
        <f>AVERAGE(AE152:AH152)</f>
        <v>42.349450549450552</v>
      </c>
      <c r="BL152" s="1041">
        <f>AVERAGE(AI152:AL152)</f>
        <v>53.442307692307693</v>
      </c>
      <c r="BM152" s="1249">
        <f>AVERAGE(AM152:AP152)</f>
        <v>51.962500000000006</v>
      </c>
      <c r="BN152" s="1249">
        <f>AVERAGE(AQ152:AT152)</f>
        <v>50.000000000000007</v>
      </c>
      <c r="BO152" s="1249">
        <f>AVERAGE(AU152:AX152)</f>
        <v>50.000000000000007</v>
      </c>
      <c r="BP152" s="1249">
        <f>AVERAGE(AY152:BB152)</f>
        <v>50.000000000000007</v>
      </c>
      <c r="BQ152" s="1114"/>
      <c r="BR152" s="1115"/>
      <c r="BU152" s="1087"/>
      <c r="BV152" s="1086"/>
      <c r="BW152" s="1086"/>
      <c r="BX152" s="1086"/>
    </row>
    <row r="153" spans="3:76" ht="12.75" customHeight="1">
      <c r="C153" s="1503" t="s">
        <v>514</v>
      </c>
      <c r="D153" s="1416"/>
      <c r="E153" s="1416"/>
      <c r="F153" s="1116"/>
      <c r="G153" s="1476">
        <v>10.753846153846155</v>
      </c>
      <c r="H153" s="1477">
        <v>12.153846153846153</v>
      </c>
      <c r="I153" s="1477">
        <v>14.249999999999998</v>
      </c>
      <c r="J153" s="1478">
        <v>13.750000000000002</v>
      </c>
      <c r="K153" s="1476">
        <v>13.887499999999998</v>
      </c>
      <c r="L153" s="1477">
        <v>12.738461538461538</v>
      </c>
      <c r="M153" s="1477">
        <v>14.228571428571428</v>
      </c>
      <c r="N153" s="1478">
        <v>13.626923076923076</v>
      </c>
      <c r="O153" s="1476">
        <v>9.8423076923076955</v>
      </c>
      <c r="P153" s="1477">
        <v>9.1000000000000014</v>
      </c>
      <c r="Q153" s="1477">
        <v>8.8346153846153861</v>
      </c>
      <c r="R153" s="1477">
        <v>10.123076923076923</v>
      </c>
      <c r="S153" s="1476">
        <v>10.238461538461538</v>
      </c>
      <c r="T153" s="1477">
        <v>10.513846153846153</v>
      </c>
      <c r="U153" s="1477">
        <v>10.403846153846152</v>
      </c>
      <c r="V153" s="1477">
        <v>10.982307692307691</v>
      </c>
      <c r="W153" s="1476">
        <v>12.356153846153846</v>
      </c>
      <c r="X153" s="1477">
        <v>12.986153846153845</v>
      </c>
      <c r="Y153" s="1477">
        <v>11.965384615384615</v>
      </c>
      <c r="Z153" s="1478">
        <v>11.526923076923076</v>
      </c>
      <c r="AA153" s="1476">
        <v>11.592307692307692</v>
      </c>
      <c r="AB153" s="1477">
        <v>11.55</v>
      </c>
      <c r="AC153" s="1477">
        <v>11.592307692307692</v>
      </c>
      <c r="AD153" s="1478">
        <v>11.342307692307694</v>
      </c>
      <c r="AE153" s="1476">
        <v>9.7807692307692307</v>
      </c>
      <c r="AF153" s="1477">
        <v>9.1807692307692292</v>
      </c>
      <c r="AG153" s="1477">
        <v>8.6428571428571441</v>
      </c>
      <c r="AH153" s="1478">
        <v>9.3461538461538467</v>
      </c>
      <c r="AI153" s="1476">
        <v>11.473076923076921</v>
      </c>
      <c r="AJ153" s="1479">
        <v>11.597692307692309</v>
      </c>
      <c r="AK153" s="1479">
        <v>11.516153846153847</v>
      </c>
      <c r="AL153" s="1480">
        <v>11.923076923076922</v>
      </c>
      <c r="AM153" s="1479">
        <v>12.296153846153848</v>
      </c>
      <c r="AN153" s="1479">
        <v>11</v>
      </c>
      <c r="AO153" s="1479">
        <v>11.35</v>
      </c>
      <c r="AP153" s="1480">
        <v>11.65</v>
      </c>
      <c r="AQ153" s="1479">
        <v>11.728652443964354</v>
      </c>
      <c r="AR153" s="1479">
        <v>11.728652443964354</v>
      </c>
      <c r="AS153" s="1479">
        <v>11.728652443964354</v>
      </c>
      <c r="AT153" s="1480">
        <v>11.414042668106942</v>
      </c>
      <c r="AU153" s="1479">
        <v>11.728652443964354</v>
      </c>
      <c r="AV153" s="1479">
        <v>11.728652443964354</v>
      </c>
      <c r="AW153" s="1479">
        <v>11.728652443964354</v>
      </c>
      <c r="AX153" s="1480">
        <v>11.414042668106942</v>
      </c>
      <c r="AY153" s="1479">
        <v>11.728652443964354</v>
      </c>
      <c r="AZ153" s="1479">
        <v>11.728652443964354</v>
      </c>
      <c r="BA153" s="1479">
        <v>11.728652443964354</v>
      </c>
      <c r="BB153" s="1480">
        <v>11.414042668106942</v>
      </c>
      <c r="BC153" s="1125"/>
      <c r="BD153" s="1123"/>
      <c r="BE153" s="1041">
        <f>AVERAGE(G153:J153)</f>
        <v>12.726923076923077</v>
      </c>
      <c r="BF153" s="1041">
        <f>AVERAGE(K153:N153)</f>
        <v>13.620364010989011</v>
      </c>
      <c r="BG153" s="1041">
        <f>AVERAGE(O153:R153)</f>
        <v>9.4750000000000014</v>
      </c>
      <c r="BH153" s="1041">
        <f>AVERAGE(S153:V153)</f>
        <v>10.534615384615384</v>
      </c>
      <c r="BI153" s="1041">
        <f>AVERAGE(W153:Z153)</f>
        <v>12.208653846153846</v>
      </c>
      <c r="BJ153" s="1041">
        <f>AVERAGE(AA153:AD153)</f>
        <v>11.519230769230768</v>
      </c>
      <c r="BK153" s="1041">
        <f>AVERAGE(AE153:AH153)</f>
        <v>9.2376373626373631</v>
      </c>
      <c r="BL153" s="1041">
        <f>AVERAGE(AI153:AL153)</f>
        <v>11.6275</v>
      </c>
      <c r="BM153" s="1249">
        <f>AVERAGE(AM153:AP153)</f>
        <v>11.574038461538462</v>
      </c>
      <c r="BN153" s="1249">
        <f>AVERAGE(AQ153:AT153)</f>
        <v>11.650000000000002</v>
      </c>
      <c r="BO153" s="1249">
        <f>AVERAGE(AU153:AX153)</f>
        <v>11.650000000000002</v>
      </c>
      <c r="BP153" s="1249">
        <f>AVERAGE(AY153:BB153)</f>
        <v>11.650000000000002</v>
      </c>
      <c r="BQ153" s="1114"/>
      <c r="BR153" s="1115"/>
      <c r="BU153" s="1087"/>
      <c r="BV153" s="1086"/>
      <c r="BW153" s="1086"/>
      <c r="BX153" s="1086"/>
    </row>
    <row r="154" spans="3:76" ht="12.75" customHeight="1">
      <c r="C154" s="1503" t="s">
        <v>701</v>
      </c>
      <c r="D154" s="1416"/>
      <c r="E154" s="1416"/>
      <c r="F154" s="1116"/>
      <c r="G154" s="1476">
        <v>57.360769230769236</v>
      </c>
      <c r="H154" s="1477">
        <v>61.346153846153847</v>
      </c>
      <c r="I154" s="1477">
        <v>65.019230769230774</v>
      </c>
      <c r="J154" s="1478">
        <v>69.714285714285708</v>
      </c>
      <c r="K154" s="1476">
        <v>73.291666666666657</v>
      </c>
      <c r="L154" s="1477">
        <v>77.380769230769218</v>
      </c>
      <c r="M154" s="1477">
        <v>77.203571428571422</v>
      </c>
      <c r="N154" s="1478">
        <v>76.461538461538453</v>
      </c>
      <c r="O154" s="1476">
        <v>70.211538461538439</v>
      </c>
      <c r="P154" s="1477">
        <v>64.988461538461522</v>
      </c>
      <c r="Q154" s="1477">
        <v>64.992307692307705</v>
      </c>
      <c r="R154" s="1477">
        <v>64.276923076923083</v>
      </c>
      <c r="S154" s="1476">
        <v>62.246153846153859</v>
      </c>
      <c r="T154" s="1477">
        <v>64.961538461538467</v>
      </c>
      <c r="U154" s="1477">
        <v>68.230769230769226</v>
      </c>
      <c r="V154" s="1477">
        <v>68.615384615384613</v>
      </c>
      <c r="W154" s="1476">
        <v>68.453846153846143</v>
      </c>
      <c r="X154" s="1477">
        <v>67.120769230769227</v>
      </c>
      <c r="Y154" s="1477">
        <v>63.607692307692297</v>
      </c>
      <c r="Z154" s="1478">
        <v>53.301576923076922</v>
      </c>
      <c r="AA154" s="1476">
        <v>50.83815384615383</v>
      </c>
      <c r="AB154" s="1477">
        <v>50.215538461538465</v>
      </c>
      <c r="AC154" s="1477">
        <v>48.245384615384616</v>
      </c>
      <c r="AD154" s="1478">
        <v>43.988653846153852</v>
      </c>
      <c r="AE154" s="1476">
        <v>40.261730769230766</v>
      </c>
      <c r="AF154" s="1477">
        <v>39.132692307692309</v>
      </c>
      <c r="AG154" s="1477">
        <v>38.882142857142867</v>
      </c>
      <c r="AH154" s="1478">
        <v>42.651346153846148</v>
      </c>
      <c r="AI154" s="1476">
        <v>47.554807692307698</v>
      </c>
      <c r="AJ154" s="1479">
        <v>49.838461538461537</v>
      </c>
      <c r="AK154" s="1479">
        <v>50.339038461538472</v>
      </c>
      <c r="AL154" s="1480">
        <v>55.348461538461549</v>
      </c>
      <c r="AM154" s="1479">
        <v>57.807500000000005</v>
      </c>
      <c r="AN154" s="1479">
        <v>46.55</v>
      </c>
      <c r="AO154" s="1479">
        <v>46.55</v>
      </c>
      <c r="AP154" s="1480">
        <v>46.55</v>
      </c>
      <c r="AQ154" s="1479">
        <v>45.746572016741645</v>
      </c>
      <c r="AR154" s="1479">
        <v>45.746572016741645</v>
      </c>
      <c r="AS154" s="1479">
        <v>45.746572016741645</v>
      </c>
      <c r="AT154" s="1480">
        <v>52.760283949775072</v>
      </c>
      <c r="AU154" s="1479">
        <v>45.746572016741645</v>
      </c>
      <c r="AV154" s="1479">
        <v>45.746572016741645</v>
      </c>
      <c r="AW154" s="1479">
        <v>45.746572016741645</v>
      </c>
      <c r="AX154" s="1480">
        <v>52.760283949775072</v>
      </c>
      <c r="AY154" s="1479">
        <v>45.746572016741645</v>
      </c>
      <c r="AZ154" s="1479">
        <v>45.746572016741645</v>
      </c>
      <c r="BA154" s="1479">
        <v>45.746572016741645</v>
      </c>
      <c r="BB154" s="1480">
        <v>52.760283949775072</v>
      </c>
      <c r="BC154" s="1125"/>
      <c r="BD154" s="1123"/>
      <c r="BE154" s="1041">
        <f>AVERAGE(G154:J154)</f>
        <v>63.360109890109896</v>
      </c>
      <c r="BF154" s="1041">
        <f>AVERAGE(K154:N154)</f>
        <v>76.084386446886441</v>
      </c>
      <c r="BG154" s="1041">
        <f>AVERAGE(O154:R154)</f>
        <v>66.117307692307691</v>
      </c>
      <c r="BH154" s="1041">
        <f>AVERAGE(S154:V154)</f>
        <v>66.013461538461542</v>
      </c>
      <c r="BI154" s="1041">
        <f>AVERAGE(W154:Z154)</f>
        <v>63.120971153846142</v>
      </c>
      <c r="BJ154" s="1041">
        <f>AVERAGE(AA154:AD154)</f>
        <v>48.321932692307691</v>
      </c>
      <c r="BK154" s="1041">
        <f>AVERAGE(AE154:AH154)</f>
        <v>40.231978021978023</v>
      </c>
      <c r="BL154" s="1041">
        <f>AVERAGE(AI154:AL154)</f>
        <v>50.770192307692312</v>
      </c>
      <c r="BM154" s="1249">
        <f>AVERAGE(AM154:AP154)</f>
        <v>49.364374999999995</v>
      </c>
      <c r="BN154" s="1249">
        <f>AVERAGE(AQ154:AT154)</f>
        <v>47.5</v>
      </c>
      <c r="BO154" s="1249">
        <f>AVERAGE(AU154:AX154)</f>
        <v>47.5</v>
      </c>
      <c r="BP154" s="1249">
        <f>AVERAGE(AY154:BB154)</f>
        <v>47.5</v>
      </c>
      <c r="BQ154" s="1114"/>
      <c r="BR154" s="1115"/>
      <c r="BU154" s="1087"/>
      <c r="BV154" s="1086"/>
      <c r="BW154" s="1086"/>
      <c r="BX154" s="1086"/>
    </row>
    <row r="155" spans="3:76" ht="12.75" customHeight="1">
      <c r="C155" s="1503" t="s">
        <v>702</v>
      </c>
      <c r="D155" s="1416"/>
      <c r="E155" s="1416"/>
      <c r="F155" s="1116"/>
      <c r="G155" s="1476">
        <v>41.269230769230766</v>
      </c>
      <c r="H155" s="1477">
        <v>41.919230769230765</v>
      </c>
      <c r="I155" s="1477">
        <v>42.634615384615387</v>
      </c>
      <c r="J155" s="1478">
        <v>47.214285714285715</v>
      </c>
      <c r="K155" s="1476">
        <v>47.5</v>
      </c>
      <c r="L155" s="1477">
        <v>47.730769230769234</v>
      </c>
      <c r="M155" s="1477">
        <v>47.8</v>
      </c>
      <c r="N155" s="1478">
        <v>48.323076923076918</v>
      </c>
      <c r="O155" s="1476">
        <v>52.46153846153846</v>
      </c>
      <c r="P155" s="1477">
        <v>48.615384615384613</v>
      </c>
      <c r="Q155" s="1477">
        <v>47.42307692307692</v>
      </c>
      <c r="R155" s="1477">
        <v>47.888461538461527</v>
      </c>
      <c r="S155" s="1476">
        <v>46.630769230769218</v>
      </c>
      <c r="T155" s="1477">
        <v>45.149999999999984</v>
      </c>
      <c r="U155" s="1477">
        <v>45.534615384615371</v>
      </c>
      <c r="V155" s="1477">
        <v>46.149999999999984</v>
      </c>
      <c r="W155" s="1476">
        <v>46.578461538461518</v>
      </c>
      <c r="X155" s="1477">
        <v>46.272307692307692</v>
      </c>
      <c r="Y155" s="1477">
        <v>44.207692307692305</v>
      </c>
      <c r="Z155" s="1478">
        <v>39.274846153846156</v>
      </c>
      <c r="AA155" s="1476">
        <v>37.459692307692293</v>
      </c>
      <c r="AB155" s="1477">
        <v>37.00092307692308</v>
      </c>
      <c r="AC155" s="1477">
        <v>35.549230769230768</v>
      </c>
      <c r="AD155" s="1478">
        <v>32.412692307692311</v>
      </c>
      <c r="AE155" s="1476">
        <v>29.666538461538462</v>
      </c>
      <c r="AF155" s="1477">
        <v>28.834615384615383</v>
      </c>
      <c r="AG155" s="1477">
        <v>28.650000000000006</v>
      </c>
      <c r="AH155" s="1478">
        <v>31.427307692307689</v>
      </c>
      <c r="AI155" s="1476">
        <v>35.040384615384617</v>
      </c>
      <c r="AJ155" s="1479">
        <v>36.723076923076917</v>
      </c>
      <c r="AK155" s="1479">
        <v>37.091923076923081</v>
      </c>
      <c r="AL155" s="1480">
        <v>40.783076923076933</v>
      </c>
      <c r="AM155" s="1479">
        <v>42.595000000000006</v>
      </c>
      <c r="AN155" s="1479">
        <v>34.299999999999997</v>
      </c>
      <c r="AO155" s="1479">
        <v>34.299999999999997</v>
      </c>
      <c r="AP155" s="1480">
        <v>34.299999999999997</v>
      </c>
      <c r="AQ155" s="1479">
        <v>33.708000433388577</v>
      </c>
      <c r="AR155" s="1479">
        <v>33.708000433388577</v>
      </c>
      <c r="AS155" s="1479">
        <v>33.708000433388577</v>
      </c>
      <c r="AT155" s="1480">
        <v>38.875998699834263</v>
      </c>
      <c r="AU155" s="1479">
        <v>33.708000433388577</v>
      </c>
      <c r="AV155" s="1479">
        <v>33.708000433388577</v>
      </c>
      <c r="AW155" s="1479">
        <v>33.708000433388577</v>
      </c>
      <c r="AX155" s="1480">
        <v>38.875998699834263</v>
      </c>
      <c r="AY155" s="1479">
        <v>33.708000433388577</v>
      </c>
      <c r="AZ155" s="1479">
        <v>33.708000433388577</v>
      </c>
      <c r="BA155" s="1479">
        <v>33.708000433388577</v>
      </c>
      <c r="BB155" s="1480">
        <v>38.875998699834263</v>
      </c>
      <c r="BC155" s="1125"/>
      <c r="BD155" s="1123"/>
      <c r="BE155" s="1041">
        <f>AVERAGE(G155:J155)</f>
        <v>43.259340659340658</v>
      </c>
      <c r="BF155" s="1041">
        <f>AVERAGE(K155:N155)</f>
        <v>47.838461538461537</v>
      </c>
      <c r="BG155" s="1041">
        <f>AVERAGE(O155:R155)</f>
        <v>49.097115384615378</v>
      </c>
      <c r="BH155" s="1041">
        <f>AVERAGE(S155:V155)</f>
        <v>45.866346153846138</v>
      </c>
      <c r="BI155" s="1041">
        <f>AVERAGE(W155:Z155)</f>
        <v>44.08332692307691</v>
      </c>
      <c r="BJ155" s="1041">
        <f>AVERAGE(AA155:AD155)</f>
        <v>35.605634615384616</v>
      </c>
      <c r="BK155" s="1041">
        <f>AVERAGE(AE155:AH155)</f>
        <v>29.644615384615385</v>
      </c>
      <c r="BL155" s="1041">
        <f>AVERAGE(AI155:AL155)</f>
        <v>37.409615384615392</v>
      </c>
      <c r="BM155" s="1249">
        <f>AVERAGE(AM155:AP155)</f>
        <v>36.373750000000001</v>
      </c>
      <c r="BN155" s="1249">
        <f>AVERAGE(AQ155:AT155)</f>
        <v>35</v>
      </c>
      <c r="BO155" s="1249">
        <f>AVERAGE(AU155:AX155)</f>
        <v>35</v>
      </c>
      <c r="BP155" s="1249">
        <f>AVERAGE(AY155:BB155)</f>
        <v>35</v>
      </c>
      <c r="BQ155" s="1114"/>
      <c r="BR155" s="1115"/>
      <c r="BU155" s="1087"/>
      <c r="BV155" s="1086"/>
      <c r="BW155" s="1086"/>
      <c r="BX155" s="1086"/>
    </row>
    <row r="156" spans="3:76" ht="12.75" customHeight="1">
      <c r="C156" s="1503"/>
      <c r="D156" s="1416"/>
      <c r="E156" s="1416"/>
      <c r="F156" s="1417"/>
      <c r="G156" s="1476"/>
      <c r="H156" s="1477"/>
      <c r="I156" s="1477"/>
      <c r="J156" s="1478"/>
      <c r="K156" s="1476"/>
      <c r="L156" s="1477"/>
      <c r="M156" s="1477"/>
      <c r="N156" s="1478"/>
      <c r="O156" s="1476"/>
      <c r="P156" s="1477"/>
      <c r="Q156" s="1477"/>
      <c r="R156" s="1479"/>
      <c r="S156" s="1630"/>
      <c r="T156" s="1479"/>
      <c r="U156" s="1479"/>
      <c r="V156" s="1480"/>
      <c r="W156" s="1479"/>
      <c r="X156" s="1479"/>
      <c r="Y156" s="1479"/>
      <c r="Z156" s="1480"/>
      <c r="AA156" s="1479"/>
      <c r="AB156" s="1479"/>
      <c r="AC156" s="1479"/>
      <c r="AD156" s="1480"/>
      <c r="AE156" s="1479"/>
      <c r="AF156" s="1479"/>
      <c r="AG156" s="1479"/>
      <c r="AH156" s="1480"/>
      <c r="AI156" s="1479"/>
      <c r="AJ156" s="1479"/>
      <c r="AK156" s="1479"/>
      <c r="AL156" s="1480"/>
      <c r="AM156" s="1479"/>
      <c r="AN156" s="1479"/>
      <c r="AO156" s="1479"/>
      <c r="AP156" s="1480"/>
      <c r="AQ156" s="1479"/>
      <c r="AR156" s="1479"/>
      <c r="AS156" s="1479"/>
      <c r="AT156" s="1480"/>
      <c r="AU156" s="1479"/>
      <c r="AV156" s="1479"/>
      <c r="AW156" s="1479"/>
      <c r="AX156" s="1480"/>
      <c r="AY156" s="1479"/>
      <c r="AZ156" s="1479"/>
      <c r="BA156" s="1479"/>
      <c r="BB156" s="1480"/>
      <c r="BC156" s="1123"/>
      <c r="BD156" s="1123"/>
      <c r="BE156" s="1042"/>
      <c r="BF156" s="1042"/>
      <c r="BG156" s="1042"/>
      <c r="BH156" s="1042"/>
      <c r="BI156" s="1042"/>
      <c r="BJ156" s="1042"/>
      <c r="BK156" s="1042"/>
      <c r="BL156" s="1042"/>
      <c r="BM156" s="1254"/>
      <c r="BN156" s="1254"/>
      <c r="BO156" s="1254"/>
      <c r="BP156" s="1254"/>
      <c r="BQ156" s="1127"/>
      <c r="BR156" s="1128"/>
      <c r="BU156" s="1087"/>
      <c r="BV156" s="1086"/>
      <c r="BW156" s="1086"/>
      <c r="BX156" s="1086"/>
    </row>
    <row r="157" spans="3:76" ht="12.75" customHeight="1">
      <c r="C157" s="1503"/>
      <c r="D157" s="1416"/>
      <c r="E157" s="1416"/>
      <c r="F157" s="1417"/>
      <c r="G157" s="1656"/>
      <c r="H157" s="1490"/>
      <c r="I157" s="1490"/>
      <c r="J157" s="1657"/>
      <c r="K157" s="1656"/>
      <c r="L157" s="1490"/>
      <c r="M157" s="1490"/>
      <c r="N157" s="1657"/>
      <c r="O157" s="1656"/>
      <c r="P157" s="1490"/>
      <c r="Q157" s="1490"/>
      <c r="R157" s="1481"/>
      <c r="S157" s="1658"/>
      <c r="T157" s="1481"/>
      <c r="U157" s="1481"/>
      <c r="V157" s="1482"/>
      <c r="W157" s="1481"/>
      <c r="X157" s="1481"/>
      <c r="Y157" s="1481"/>
      <c r="Z157" s="1482"/>
      <c r="AA157" s="1481"/>
      <c r="AB157" s="1483"/>
      <c r="AC157" s="1483"/>
      <c r="AD157" s="1484"/>
      <c r="AE157" s="1481"/>
      <c r="AF157" s="1483"/>
      <c r="AG157" s="1483"/>
      <c r="AH157" s="1484"/>
      <c r="AI157" s="1481"/>
      <c r="AJ157" s="1483"/>
      <c r="AK157" s="1483"/>
      <c r="AL157" s="1484"/>
      <c r="AM157" s="1483"/>
      <c r="AN157" s="1483"/>
      <c r="AO157" s="1483"/>
      <c r="AP157" s="1484"/>
      <c r="AQ157" s="1483"/>
      <c r="AR157" s="1483"/>
      <c r="AS157" s="1483"/>
      <c r="AT157" s="1484"/>
      <c r="AU157" s="1483"/>
      <c r="AV157" s="1483"/>
      <c r="AW157" s="1483"/>
      <c r="AX157" s="1484"/>
      <c r="AY157" s="1483"/>
      <c r="AZ157" s="1483"/>
      <c r="BA157" s="1483"/>
      <c r="BB157" s="1484"/>
      <c r="BC157" s="1132"/>
      <c r="BD157" s="1133"/>
      <c r="BE157" s="1043"/>
      <c r="BF157" s="1043"/>
      <c r="BG157" s="1043"/>
      <c r="BH157" s="1043"/>
      <c r="BI157" s="1043"/>
      <c r="BJ157" s="1043"/>
      <c r="BK157" s="1043"/>
      <c r="BL157" s="1043"/>
      <c r="BM157" s="1256"/>
      <c r="BN157" s="1256"/>
      <c r="BO157" s="1256"/>
      <c r="BP157" s="1256"/>
      <c r="BQ157" s="1127"/>
      <c r="BR157" s="1128"/>
      <c r="BU157" s="1087"/>
      <c r="BV157" s="1086"/>
      <c r="BW157" s="1086"/>
      <c r="BX157" s="1086"/>
    </row>
    <row r="158" spans="3:76" ht="12.75" customHeight="1">
      <c r="C158" s="1504" t="s">
        <v>617</v>
      </c>
      <c r="D158" s="1373"/>
      <c r="E158" s="1373"/>
      <c r="F158" s="1374"/>
      <c r="G158" s="1476"/>
      <c r="H158" s="1477"/>
      <c r="I158" s="1477"/>
      <c r="J158" s="1478"/>
      <c r="K158" s="1476"/>
      <c r="L158" s="1477"/>
      <c r="M158" s="1477"/>
      <c r="N158" s="1478"/>
      <c r="O158" s="1476"/>
      <c r="P158" s="1477"/>
      <c r="Q158" s="1477"/>
      <c r="R158" s="1479"/>
      <c r="S158" s="1630"/>
      <c r="T158" s="1479"/>
      <c r="U158" s="1479"/>
      <c r="V158" s="1480"/>
      <c r="W158" s="1477"/>
      <c r="X158" s="1479"/>
      <c r="Y158" s="1479"/>
      <c r="Z158" s="1480"/>
      <c r="AA158" s="1477"/>
      <c r="AB158" s="1479"/>
      <c r="AC158" s="1479"/>
      <c r="AD158" s="1480"/>
      <c r="AE158" s="1477"/>
      <c r="AF158" s="1479"/>
      <c r="AG158" s="1479"/>
      <c r="AH158" s="1480"/>
      <c r="AI158" s="1477"/>
      <c r="AJ158" s="1479"/>
      <c r="AK158" s="1479"/>
      <c r="AL158" s="1480"/>
      <c r="AM158" s="1479"/>
      <c r="AN158" s="1479"/>
      <c r="AO158" s="1479"/>
      <c r="AP158" s="1480"/>
      <c r="AQ158" s="1479"/>
      <c r="AR158" s="1479"/>
      <c r="AS158" s="1479"/>
      <c r="AT158" s="1480"/>
      <c r="AU158" s="1479"/>
      <c r="AV158" s="1479"/>
      <c r="AW158" s="1479"/>
      <c r="AX158" s="1480"/>
      <c r="AY158" s="1479"/>
      <c r="AZ158" s="1479"/>
      <c r="BA158" s="1479"/>
      <c r="BB158" s="1480"/>
      <c r="BC158" s="1123"/>
      <c r="BD158" s="1123"/>
      <c r="BE158" s="1042"/>
      <c r="BF158" s="1042"/>
      <c r="BG158" s="1042"/>
      <c r="BH158" s="1044"/>
      <c r="BI158" s="1044"/>
      <c r="BJ158" s="1044"/>
      <c r="BK158" s="1044"/>
      <c r="BL158" s="1044"/>
      <c r="BM158" s="1260"/>
      <c r="BN158" s="1260"/>
      <c r="BO158" s="1260"/>
      <c r="BP158" s="1260"/>
      <c r="BQ158" s="1127"/>
      <c r="BR158" s="1134"/>
      <c r="BS158" s="1134"/>
      <c r="BU158" s="1087"/>
      <c r="BV158" s="1086"/>
      <c r="BW158" s="1086"/>
      <c r="BX158" s="1086"/>
    </row>
    <row r="159" spans="3:76" ht="12.75" customHeight="1">
      <c r="C159" s="1503" t="s">
        <v>611</v>
      </c>
      <c r="D159" s="1416"/>
      <c r="E159" s="1180"/>
      <c r="F159" s="1136"/>
      <c r="G159" s="1476">
        <v>55.301269841269843</v>
      </c>
      <c r="H159" s="1477">
        <v>51.354570312500016</v>
      </c>
      <c r="I159" s="1477">
        <v>67.22877929687499</v>
      </c>
      <c r="J159" s="1478">
        <v>51.534971153846179</v>
      </c>
      <c r="K159" s="1476">
        <v>63.793710937500023</v>
      </c>
      <c r="L159" s="1477">
        <v>48.444853515625013</v>
      </c>
      <c r="M159" s="1477">
        <v>55.141689453125004</v>
      </c>
      <c r="N159" s="1478">
        <v>41.796567460317455</v>
      </c>
      <c r="O159" s="1476">
        <v>33.353476562500006</v>
      </c>
      <c r="P159" s="1477">
        <v>34.616933593750005</v>
      </c>
      <c r="Q159" s="1477">
        <v>46.289513888888905</v>
      </c>
      <c r="R159" s="1477">
        <v>50.846972656250003</v>
      </c>
      <c r="S159" s="1476">
        <v>89.765515873015843</v>
      </c>
      <c r="T159" s="1477">
        <v>45.063007812499997</v>
      </c>
      <c r="U159" s="1477">
        <v>54.984013671875012</v>
      </c>
      <c r="V159" s="1478">
        <v>67.341074218749995</v>
      </c>
      <c r="W159" s="1476">
        <v>167.3350595238096</v>
      </c>
      <c r="X159" s="1477">
        <v>44.335244140625001</v>
      </c>
      <c r="Y159" s="1477">
        <v>41.33302734374999</v>
      </c>
      <c r="Z159" s="1478">
        <v>48.027636718749996</v>
      </c>
      <c r="AA159" s="1476">
        <v>87.659980158730164</v>
      </c>
      <c r="AB159" s="1477">
        <v>28.370332031249998</v>
      </c>
      <c r="AC159" s="1477">
        <v>42.395605769230762</v>
      </c>
      <c r="AD159" s="1478">
        <v>33.065136718749997</v>
      </c>
      <c r="AE159" s="1476">
        <v>30.31946289062499</v>
      </c>
      <c r="AF159" s="1477">
        <v>28.207148437500003</v>
      </c>
      <c r="AG159" s="1477">
        <v>42.730703124999998</v>
      </c>
      <c r="AH159" s="1478">
        <v>38.680972222222231</v>
      </c>
      <c r="AI159" s="1476">
        <v>33.978535156249983</v>
      </c>
      <c r="AJ159" s="1479">
        <v>33.298916015625018</v>
      </c>
      <c r="AK159" s="1479">
        <v>31.712827380952376</v>
      </c>
      <c r="AL159" s="1480">
        <v>52.552301587301585</v>
      </c>
      <c r="AM159" s="1479">
        <v>62.437333984375016</v>
      </c>
      <c r="AN159" s="1479">
        <v>32.65</v>
      </c>
      <c r="AO159" s="1479">
        <v>35.383333333333333</v>
      </c>
      <c r="AP159" s="1480">
        <v>42.35</v>
      </c>
      <c r="AQ159" s="1479">
        <v>73.199444871908256</v>
      </c>
      <c r="AR159" s="1479">
        <v>31.598138616301913</v>
      </c>
      <c r="AS159" s="1479">
        <v>36.852856695587477</v>
      </c>
      <c r="AT159" s="1480">
        <v>38.566226482602346</v>
      </c>
      <c r="AU159" s="1479">
        <v>73.199444871908256</v>
      </c>
      <c r="AV159" s="1479">
        <v>31.598138616301913</v>
      </c>
      <c r="AW159" s="1479">
        <v>36.852856695587477</v>
      </c>
      <c r="AX159" s="1480">
        <v>38.566226482602346</v>
      </c>
      <c r="AY159" s="1479">
        <v>73.361914739375962</v>
      </c>
      <c r="AZ159" s="1479">
        <v>31.668272281962913</v>
      </c>
      <c r="BA159" s="1479">
        <v>36.934653473604257</v>
      </c>
      <c r="BB159" s="1480">
        <v>38.651826171456854</v>
      </c>
      <c r="BC159" s="1123"/>
      <c r="BD159" s="1123"/>
      <c r="BE159" s="1042">
        <f t="shared" ref="BE159:BE174" si="211">AVERAGE(G159:J159)</f>
        <v>56.354897651122755</v>
      </c>
      <c r="BF159" s="1042">
        <f t="shared" ref="BF159:BF174" si="212">AVERAGE(K159:N159)</f>
        <v>52.29420534164187</v>
      </c>
      <c r="BG159" s="1042">
        <f t="shared" ref="BG159:BG174" si="213">AVERAGE(O159:R159)</f>
        <v>41.276724175347226</v>
      </c>
      <c r="BH159" s="1044">
        <f t="shared" ref="BH159:BH174" si="214">AVERAGE(S159:V159)</f>
        <v>64.288402894035215</v>
      </c>
      <c r="BI159" s="1044">
        <f t="shared" ref="BI159:BI174" si="215">AVERAGE(W159:Z159)</f>
        <v>75.257741931733648</v>
      </c>
      <c r="BJ159" s="1044">
        <f t="shared" ref="BJ159:BJ174" si="216">AVERAGE(AA159:AD159)</f>
        <v>47.872763669490226</v>
      </c>
      <c r="BK159" s="1044">
        <f t="shared" ref="BK159:BK174" si="217">AVERAGE(AE159:AH159)</f>
        <v>34.984571668836807</v>
      </c>
      <c r="BL159" s="1044">
        <f t="shared" ref="BL159:BL174" si="218">AVERAGE(AI159:AL159)</f>
        <v>37.88564503503224</v>
      </c>
      <c r="BM159" s="1260">
        <f t="shared" ref="BM159:BM174" si="219">AVERAGE(AM159:AP159)</f>
        <v>43.205166829427085</v>
      </c>
      <c r="BN159" s="1260">
        <f t="shared" ref="BN159:BN174" si="220">AVERAGE(AQ159:AT159)</f>
        <v>45.054166666599997</v>
      </c>
      <c r="BO159" s="1260">
        <f t="shared" ref="BO159:BO174" si="221">AVERAGE(AU159:AX159)</f>
        <v>45.054166666599997</v>
      </c>
      <c r="BP159" s="1260">
        <f t="shared" ref="BP159:BP174" si="222">AVERAGE(AY159:BB159)</f>
        <v>45.154166666599998</v>
      </c>
      <c r="BQ159" s="1114"/>
      <c r="BR159" s="1264"/>
      <c r="BS159" s="1260"/>
      <c r="BU159" s="1087"/>
      <c r="BV159" s="1086"/>
      <c r="BW159" s="1086"/>
      <c r="BX159" s="1086"/>
    </row>
    <row r="160" spans="3:76" ht="12.75" customHeight="1">
      <c r="C160" s="1503" t="s">
        <v>517</v>
      </c>
      <c r="D160" s="1416"/>
      <c r="E160" s="1180"/>
      <c r="F160" s="1136"/>
      <c r="G160" s="1476">
        <v>38.230565476190485</v>
      </c>
      <c r="H160" s="1477">
        <v>43.142958984374999</v>
      </c>
      <c r="I160" s="1477">
        <v>53.878339843750005</v>
      </c>
      <c r="J160" s="1478">
        <v>42.122894230769219</v>
      </c>
      <c r="K160" s="1476">
        <v>40.630429687500012</v>
      </c>
      <c r="L160" s="1477">
        <v>42.511806640624982</v>
      </c>
      <c r="M160" s="1477">
        <v>47.368398437499991</v>
      </c>
      <c r="N160" s="1478">
        <v>36.792847222222221</v>
      </c>
      <c r="O160" s="1476">
        <v>30.628144531250001</v>
      </c>
      <c r="P160" s="1477">
        <v>34.255439453125</v>
      </c>
      <c r="Q160" s="1477">
        <v>41.418353174603176</v>
      </c>
      <c r="R160" s="1477">
        <v>39.001152343749993</v>
      </c>
      <c r="S160" s="1476">
        <v>45.623531746031745</v>
      </c>
      <c r="T160" s="1477">
        <v>40.663671874999991</v>
      </c>
      <c r="U160" s="1477">
        <v>53.937705078124999</v>
      </c>
      <c r="V160" s="1478">
        <v>46.228017578124991</v>
      </c>
      <c r="W160" s="1476">
        <v>105.87010912698416</v>
      </c>
      <c r="X160" s="1477">
        <v>44.886210937499996</v>
      </c>
      <c r="Y160" s="1477">
        <v>43.024843750000009</v>
      </c>
      <c r="Z160" s="1478">
        <v>39.284560546874999</v>
      </c>
      <c r="AA160" s="1476">
        <v>53.16058531746031</v>
      </c>
      <c r="AB160" s="1477">
        <v>38.357529296875022</v>
      </c>
      <c r="AC160" s="1477">
        <v>40.580288461538458</v>
      </c>
      <c r="AD160" s="1478">
        <v>34.609042968749996</v>
      </c>
      <c r="AE160" s="1476">
        <v>30.752001953124992</v>
      </c>
      <c r="AF160" s="1477">
        <v>35.769550781249997</v>
      </c>
      <c r="AG160" s="1477">
        <v>46.082998046874998</v>
      </c>
      <c r="AH160" s="1478">
        <v>27.32274801587301</v>
      </c>
      <c r="AI160" s="1476">
        <v>27.648046875000006</v>
      </c>
      <c r="AJ160" s="1479">
        <v>33.630214843749989</v>
      </c>
      <c r="AK160" s="1479">
        <v>34.760575396825409</v>
      </c>
      <c r="AL160" s="1480">
        <v>35.233521825396821</v>
      </c>
      <c r="AM160" s="1479">
        <v>36.453183593749991</v>
      </c>
      <c r="AN160" s="1479">
        <v>37.466666666666661</v>
      </c>
      <c r="AO160" s="1479">
        <v>33.733333333333327</v>
      </c>
      <c r="AP160" s="1480">
        <v>37.766666666666666</v>
      </c>
      <c r="AQ160" s="1479">
        <v>52.984877086683952</v>
      </c>
      <c r="AR160" s="1479">
        <v>34.892480032694301</v>
      </c>
      <c r="AS160" s="1479">
        <v>31.661694844481872</v>
      </c>
      <c r="AT160" s="1480">
        <v>28.460948036139868</v>
      </c>
      <c r="AU160" s="1479">
        <v>52.579137036825585</v>
      </c>
      <c r="AV160" s="1479">
        <v>34.625285365714404</v>
      </c>
      <c r="AW160" s="1479">
        <v>31.419240424444556</v>
      </c>
      <c r="AX160" s="1480">
        <v>28.243003839415444</v>
      </c>
      <c r="AY160" s="1479">
        <v>52.937142963086963</v>
      </c>
      <c r="AZ160" s="1479">
        <v>34.861045365935311</v>
      </c>
      <c r="BA160" s="1479">
        <v>31.633170795015378</v>
      </c>
      <c r="BB160" s="1480">
        <v>28.435307542362334</v>
      </c>
      <c r="BC160" s="1123"/>
      <c r="BD160" s="1123"/>
      <c r="BE160" s="1042">
        <f t="shared" si="211"/>
        <v>44.343689633771177</v>
      </c>
      <c r="BF160" s="1042">
        <f t="shared" si="212"/>
        <v>41.825870496961798</v>
      </c>
      <c r="BG160" s="1042">
        <f t="shared" si="213"/>
        <v>36.325772375682043</v>
      </c>
      <c r="BH160" s="1044">
        <f t="shared" si="214"/>
        <v>46.613231569320433</v>
      </c>
      <c r="BI160" s="1044">
        <f t="shared" si="215"/>
        <v>58.266431090339793</v>
      </c>
      <c r="BJ160" s="1044">
        <f t="shared" si="216"/>
        <v>41.676861511155948</v>
      </c>
      <c r="BK160" s="1044">
        <f t="shared" si="217"/>
        <v>34.98182469928075</v>
      </c>
      <c r="BL160" s="1044">
        <f t="shared" si="218"/>
        <v>32.818089735243056</v>
      </c>
      <c r="BM160" s="1260">
        <f t="shared" si="219"/>
        <v>36.354962565104159</v>
      </c>
      <c r="BN160" s="1260">
        <f t="shared" si="220"/>
        <v>37</v>
      </c>
      <c r="BO160" s="1260">
        <f t="shared" si="221"/>
        <v>36.716666666599998</v>
      </c>
      <c r="BP160" s="1260">
        <f t="shared" si="222"/>
        <v>36.966666666599998</v>
      </c>
      <c r="BQ160" s="1114"/>
      <c r="BR160" s="1264"/>
      <c r="BS160" s="1260"/>
      <c r="BU160" s="1087"/>
      <c r="BV160" s="1086"/>
      <c r="BW160" s="1086"/>
      <c r="BX160" s="1086"/>
    </row>
    <row r="161" spans="2:76" ht="12.75" customHeight="1">
      <c r="C161" s="1503" t="s">
        <v>515</v>
      </c>
      <c r="D161" s="1416"/>
      <c r="E161" s="1180"/>
      <c r="F161" s="1136"/>
      <c r="G161" s="1476">
        <v>55.40223214285713</v>
      </c>
      <c r="H161" s="1477">
        <v>55.080830078125018</v>
      </c>
      <c r="I161" s="1477">
        <v>72.568281249999998</v>
      </c>
      <c r="J161" s="1478">
        <v>55.060048076923088</v>
      </c>
      <c r="K161" s="1476">
        <v>61.319755859375</v>
      </c>
      <c r="L161" s="1477">
        <v>56.261513671875008</v>
      </c>
      <c r="M161" s="1477">
        <v>64.744736328125001</v>
      </c>
      <c r="N161" s="1478">
        <v>42.035863095238099</v>
      </c>
      <c r="O161" s="1476">
        <v>35.479599609374993</v>
      </c>
      <c r="P161" s="1477">
        <v>42.463750000000005</v>
      </c>
      <c r="Q161" s="1477">
        <v>49.926091269841251</v>
      </c>
      <c r="R161" s="1477">
        <v>46.815820312500001</v>
      </c>
      <c r="S161" s="1476">
        <v>71.969464285714295</v>
      </c>
      <c r="T161" s="1477">
        <v>47.40742187499999</v>
      </c>
      <c r="U161" s="1477">
        <v>63.43471679687498</v>
      </c>
      <c r="V161" s="1478">
        <v>49.675136718749997</v>
      </c>
      <c r="W161" s="1476">
        <v>145.08544642857149</v>
      </c>
      <c r="X161" s="1477">
        <v>45.55554687499999</v>
      </c>
      <c r="Y161" s="1477">
        <v>40.321435546875001</v>
      </c>
      <c r="Z161" s="1478">
        <v>42.091767578124994</v>
      </c>
      <c r="AA161" s="1476">
        <v>77.999513888888885</v>
      </c>
      <c r="AB161" s="1477">
        <v>32.442470703124989</v>
      </c>
      <c r="AC161" s="1477">
        <v>38.379144230769235</v>
      </c>
      <c r="AD161" s="1478">
        <v>27.262890625000001</v>
      </c>
      <c r="AE161" s="1476">
        <v>30.82033203124999</v>
      </c>
      <c r="AF161" s="1477">
        <v>28.172070312500008</v>
      </c>
      <c r="AG161" s="1477">
        <v>39.596083984375014</v>
      </c>
      <c r="AH161" s="1478">
        <v>34.996567460317451</v>
      </c>
      <c r="AI161" s="1476">
        <v>34.973046875000001</v>
      </c>
      <c r="AJ161" s="1479">
        <v>33.375703125000008</v>
      </c>
      <c r="AK161" s="1479">
        <v>32.778422619047618</v>
      </c>
      <c r="AL161" s="1480">
        <v>41.835218253968264</v>
      </c>
      <c r="AM161" s="1479">
        <v>50.315361328125007</v>
      </c>
      <c r="AN161" s="1479">
        <v>37.133333333333333</v>
      </c>
      <c r="AO161" s="1479">
        <v>29.216666666666669</v>
      </c>
      <c r="AP161" s="1480">
        <v>41.81666666666667</v>
      </c>
      <c r="AQ161" s="1479">
        <v>72.206176601284838</v>
      </c>
      <c r="AR161" s="1479">
        <v>35.335679660435538</v>
      </c>
      <c r="AS161" s="1479">
        <v>28.167385316684786</v>
      </c>
      <c r="AT161" s="1480">
        <v>29.507425087994822</v>
      </c>
      <c r="AU161" s="1479">
        <v>73.276922890037596</v>
      </c>
      <c r="AV161" s="1479">
        <v>35.859672892564298</v>
      </c>
      <c r="AW161" s="1479">
        <v>28.585079823046065</v>
      </c>
      <c r="AX161" s="1480">
        <v>29.944991060752034</v>
      </c>
      <c r="AY161" s="1479">
        <v>73.888777912182022</v>
      </c>
      <c r="AZ161" s="1479">
        <v>36.159097596637878</v>
      </c>
      <c r="BA161" s="1479">
        <v>28.823762398109654</v>
      </c>
      <c r="BB161" s="1480">
        <v>30.195028759470443</v>
      </c>
      <c r="BC161" s="1123"/>
      <c r="BD161" s="1123"/>
      <c r="BE161" s="1042">
        <f t="shared" si="211"/>
        <v>59.527847886976311</v>
      </c>
      <c r="BF161" s="1042">
        <f t="shared" si="212"/>
        <v>56.090467238653275</v>
      </c>
      <c r="BG161" s="1042">
        <f t="shared" si="213"/>
        <v>43.671315297929063</v>
      </c>
      <c r="BH161" s="1044">
        <f t="shared" si="214"/>
        <v>58.121684919084821</v>
      </c>
      <c r="BI161" s="1044">
        <f t="shared" si="215"/>
        <v>68.263549107142865</v>
      </c>
      <c r="BJ161" s="1044">
        <f t="shared" si="216"/>
        <v>44.021004861945784</v>
      </c>
      <c r="BK161" s="1044">
        <f t="shared" si="217"/>
        <v>33.396263447110613</v>
      </c>
      <c r="BL161" s="1044">
        <f t="shared" si="218"/>
        <v>35.740597718253973</v>
      </c>
      <c r="BM161" s="1260">
        <f t="shared" si="219"/>
        <v>39.62050699869792</v>
      </c>
      <c r="BN161" s="1260">
        <f t="shared" si="220"/>
        <v>41.304166666599997</v>
      </c>
      <c r="BO161" s="1260">
        <f t="shared" si="221"/>
        <v>41.916666666600001</v>
      </c>
      <c r="BP161" s="1260">
        <f t="shared" si="222"/>
        <v>42.266666666599995</v>
      </c>
      <c r="BQ161" s="1114"/>
      <c r="BR161" s="1264"/>
      <c r="BS161" s="1260"/>
      <c r="BU161" s="1087"/>
      <c r="BV161" s="1086"/>
      <c r="BW161" s="1086"/>
      <c r="BX161" s="1086"/>
    </row>
    <row r="162" spans="2:76" ht="12.75" customHeight="1">
      <c r="C162" s="1505" t="s">
        <v>516</v>
      </c>
      <c r="D162" s="1416"/>
      <c r="E162" s="1180"/>
      <c r="F162" s="1136"/>
      <c r="G162" s="1476">
        <v>60.907093253968256</v>
      </c>
      <c r="H162" s="1477">
        <v>64.299941406249999</v>
      </c>
      <c r="I162" s="1477">
        <v>80.573457031249987</v>
      </c>
      <c r="J162" s="1478">
        <v>59.753067307692298</v>
      </c>
      <c r="K162" s="1476">
        <v>70.866767578124993</v>
      </c>
      <c r="L162" s="1477">
        <v>61.81411132812498</v>
      </c>
      <c r="M162" s="1477">
        <v>68.602324218750013</v>
      </c>
      <c r="N162" s="1478">
        <v>45.84968253968254</v>
      </c>
      <c r="O162" s="1476">
        <v>40.598867187499984</v>
      </c>
      <c r="P162" s="1477">
        <v>44.787695312499999</v>
      </c>
      <c r="Q162" s="1477">
        <v>52.449682539682534</v>
      </c>
      <c r="R162" s="1477">
        <v>48.760292968750008</v>
      </c>
      <c r="S162" s="1476">
        <v>82.751825396825382</v>
      </c>
      <c r="T162" s="1477">
        <v>51.984208984375009</v>
      </c>
      <c r="U162" s="1477">
        <v>67.099775390625013</v>
      </c>
      <c r="V162" s="1478">
        <v>50.633037109375017</v>
      </c>
      <c r="W162" s="1476">
        <v>156.84135912698406</v>
      </c>
      <c r="X162" s="1477">
        <v>47.093769531249976</v>
      </c>
      <c r="Y162" s="1477">
        <v>41.267587890624995</v>
      </c>
      <c r="Z162" s="1478">
        <v>42.321269531250003</v>
      </c>
      <c r="AA162" s="1476">
        <v>80.378015873015883</v>
      </c>
      <c r="AB162" s="1477">
        <v>34.555751953125004</v>
      </c>
      <c r="AC162" s="1477">
        <v>41.128067307692319</v>
      </c>
      <c r="AD162" s="1478">
        <v>28.156972656249998</v>
      </c>
      <c r="AE162" s="1476">
        <v>32.810527343750003</v>
      </c>
      <c r="AF162" s="1477">
        <v>29.281435546875006</v>
      </c>
      <c r="AG162" s="1477">
        <v>42.594873046874994</v>
      </c>
      <c r="AH162" s="1478">
        <v>35.888214285714291</v>
      </c>
      <c r="AI162" s="1476">
        <v>35.824277343750005</v>
      </c>
      <c r="AJ162" s="1479">
        <v>38.990224609374998</v>
      </c>
      <c r="AK162" s="1479">
        <v>35.719781746031757</v>
      </c>
      <c r="AL162" s="1480">
        <v>42.862331349206364</v>
      </c>
      <c r="AM162" s="1479">
        <v>61.037626953124992</v>
      </c>
      <c r="AN162" s="1479">
        <v>41.31666666666667</v>
      </c>
      <c r="AO162" s="1479">
        <v>34.133333333333333</v>
      </c>
      <c r="AP162" s="1480">
        <v>45.383333333333333</v>
      </c>
      <c r="AQ162" s="1479">
        <v>76.012753062656998</v>
      </c>
      <c r="AR162" s="1479">
        <v>38.217946206964925</v>
      </c>
      <c r="AS162" s="1479">
        <v>32.581730048010407</v>
      </c>
      <c r="AT162" s="1480">
        <v>37.154237348767644</v>
      </c>
      <c r="AU162" s="1479">
        <v>77.355612896616023</v>
      </c>
      <c r="AV162" s="1479">
        <v>38.893113765432851</v>
      </c>
      <c r="AW162" s="1479">
        <v>33.157326837226861</v>
      </c>
      <c r="AX162" s="1480">
        <v>37.810613167124252</v>
      </c>
      <c r="AY162" s="1479">
        <v>78.264625707295977</v>
      </c>
      <c r="AZ162" s="1479">
        <v>39.350150266549605</v>
      </c>
      <c r="BA162" s="1479">
        <v>33.546961586850315</v>
      </c>
      <c r="BB162" s="1480">
        <v>38.254929105704107</v>
      </c>
      <c r="BC162" s="1123"/>
      <c r="BD162" s="1123"/>
      <c r="BE162" s="1042">
        <f t="shared" si="211"/>
        <v>66.383389749790126</v>
      </c>
      <c r="BF162" s="1042">
        <f t="shared" si="212"/>
        <v>61.783221416170633</v>
      </c>
      <c r="BG162" s="1042">
        <f t="shared" si="213"/>
        <v>46.649134502108133</v>
      </c>
      <c r="BH162" s="1044">
        <f t="shared" si="214"/>
        <v>63.117211720300105</v>
      </c>
      <c r="BI162" s="1044">
        <f t="shared" si="215"/>
        <v>71.880996520027253</v>
      </c>
      <c r="BJ162" s="1044">
        <f t="shared" si="216"/>
        <v>46.054701947520797</v>
      </c>
      <c r="BK162" s="1044">
        <f t="shared" si="217"/>
        <v>35.143762555803576</v>
      </c>
      <c r="BL162" s="1044">
        <f t="shared" si="218"/>
        <v>38.349153762090779</v>
      </c>
      <c r="BM162" s="1260">
        <f t="shared" si="219"/>
        <v>45.467740071614578</v>
      </c>
      <c r="BN162" s="1260">
        <f t="shared" si="220"/>
        <v>45.991666666599997</v>
      </c>
      <c r="BO162" s="1260">
        <f t="shared" si="221"/>
        <v>46.804166666599997</v>
      </c>
      <c r="BP162" s="1260">
        <f t="shared" si="222"/>
        <v>47.354166666599994</v>
      </c>
      <c r="BQ162" s="1114"/>
      <c r="BR162" s="1264"/>
      <c r="BS162" s="1260"/>
      <c r="BU162" s="1087"/>
      <c r="BV162" s="1086"/>
      <c r="BW162" s="1086"/>
      <c r="BX162" s="1086"/>
    </row>
    <row r="163" spans="2:76" ht="12.75" customHeight="1">
      <c r="C163" s="1505" t="s">
        <v>512</v>
      </c>
      <c r="D163" s="1181"/>
      <c r="E163" s="1180"/>
      <c r="F163" s="1136"/>
      <c r="G163" s="1476">
        <v>48.020902807539699</v>
      </c>
      <c r="H163" s="1477">
        <v>51.584562626953129</v>
      </c>
      <c r="I163" s="1477">
        <v>66.121800654296877</v>
      </c>
      <c r="J163" s="1478">
        <v>49.490597307692312</v>
      </c>
      <c r="K163" s="1476">
        <v>50.059908115234371</v>
      </c>
      <c r="L163" s="1477">
        <v>59.78809870117189</v>
      </c>
      <c r="M163" s="1477">
        <v>57.162939843749975</v>
      </c>
      <c r="N163" s="1478">
        <v>39.320604523809529</v>
      </c>
      <c r="O163" s="1476">
        <v>34.398327744140623</v>
      </c>
      <c r="P163" s="1477">
        <v>38.54343235351562</v>
      </c>
      <c r="Q163" s="1477">
        <v>48.952091091269828</v>
      </c>
      <c r="R163" s="1477">
        <v>41.477144667968737</v>
      </c>
      <c r="S163" s="1476">
        <v>41.997815863095234</v>
      </c>
      <c r="T163" s="1477">
        <v>45.530304316406237</v>
      </c>
      <c r="U163" s="1477">
        <v>48.136464199218764</v>
      </c>
      <c r="V163" s="1478">
        <v>40.193486718750002</v>
      </c>
      <c r="W163" s="1476">
        <v>113.57858770833333</v>
      </c>
      <c r="X163" s="1477">
        <v>50.488559589843774</v>
      </c>
      <c r="Y163" s="1477">
        <v>41.389708935546885</v>
      </c>
      <c r="Z163" s="1478">
        <v>40.371172851562484</v>
      </c>
      <c r="AA163" s="1476">
        <v>56.866776517857168</v>
      </c>
      <c r="AB163" s="1477">
        <v>39.147263818359377</v>
      </c>
      <c r="AC163" s="1477">
        <v>39.464831807692299</v>
      </c>
      <c r="AD163" s="1478">
        <v>31.895178447265625</v>
      </c>
      <c r="AE163" s="1476">
        <v>30.103148642578116</v>
      </c>
      <c r="AF163" s="1477">
        <v>32.701806339843749</v>
      </c>
      <c r="AG163" s="1477">
        <v>38.936782353515625</v>
      </c>
      <c r="AH163" s="1478">
        <v>33.269796091269853</v>
      </c>
      <c r="AI163" s="1476">
        <v>32.144072138671881</v>
      </c>
      <c r="AJ163" s="1479">
        <v>32.803312458984372</v>
      </c>
      <c r="AK163" s="1479">
        <v>35.491018034722238</v>
      </c>
      <c r="AL163" s="1480">
        <v>37.447859950396833</v>
      </c>
      <c r="AM163" s="1479">
        <v>48.149713212890617</v>
      </c>
      <c r="AN163" s="1479">
        <v>34.5</v>
      </c>
      <c r="AO163" s="1479">
        <v>36.9</v>
      </c>
      <c r="AP163" s="1480">
        <v>34.68333333333333</v>
      </c>
      <c r="AQ163" s="1479">
        <v>40.501333218824747</v>
      </c>
      <c r="AR163" s="1479">
        <v>29.678493986239484</v>
      </c>
      <c r="AS163" s="1479">
        <v>32.100602483050345</v>
      </c>
      <c r="AT163" s="1480">
        <v>39.002903645085446</v>
      </c>
      <c r="AU163" s="1479">
        <v>40.405777401430235</v>
      </c>
      <c r="AV163" s="1479">
        <v>29.608472766528742</v>
      </c>
      <c r="AW163" s="1479">
        <v>32.024866721648337</v>
      </c>
      <c r="AX163" s="1480">
        <v>38.910883110392696</v>
      </c>
      <c r="AY163" s="1479">
        <v>40.52044438234951</v>
      </c>
      <c r="AZ163" s="1479">
        <v>29.692498230215239</v>
      </c>
      <c r="BA163" s="1479">
        <v>32.115749635367095</v>
      </c>
      <c r="BB163" s="1480">
        <v>39.021307752068161</v>
      </c>
      <c r="BC163" s="1123"/>
      <c r="BD163" s="1123"/>
      <c r="BE163" s="1042">
        <f t="shared" si="211"/>
        <v>53.804465849120504</v>
      </c>
      <c r="BF163" s="1042">
        <f t="shared" si="212"/>
        <v>51.582887795991439</v>
      </c>
      <c r="BG163" s="1042">
        <f t="shared" si="213"/>
        <v>40.842748964223702</v>
      </c>
      <c r="BH163" s="1044">
        <f t="shared" si="214"/>
        <v>43.964517774367557</v>
      </c>
      <c r="BI163" s="1044">
        <f t="shared" si="215"/>
        <v>61.457007271321615</v>
      </c>
      <c r="BJ163" s="1044">
        <f t="shared" si="216"/>
        <v>41.843512647793617</v>
      </c>
      <c r="BK163" s="1044">
        <f t="shared" si="217"/>
        <v>33.752883356801831</v>
      </c>
      <c r="BL163" s="1044">
        <f t="shared" si="218"/>
        <v>34.471565645693829</v>
      </c>
      <c r="BM163" s="1260">
        <f t="shared" si="219"/>
        <v>38.55826163655599</v>
      </c>
      <c r="BN163" s="1260">
        <f t="shared" si="220"/>
        <v>35.320833333300001</v>
      </c>
      <c r="BO163" s="1260">
        <f t="shared" si="221"/>
        <v>35.237500000000004</v>
      </c>
      <c r="BP163" s="1260">
        <f t="shared" si="222"/>
        <v>35.337499999999999</v>
      </c>
      <c r="BQ163" s="1138"/>
      <c r="BR163" s="1264"/>
      <c r="BS163" s="1260"/>
      <c r="BU163" s="1087"/>
      <c r="BV163" s="1086"/>
      <c r="BW163" s="1086"/>
      <c r="BX163" s="1086"/>
    </row>
    <row r="164" spans="2:76" ht="12.75" customHeight="1">
      <c r="C164" s="1505" t="s">
        <v>703</v>
      </c>
      <c r="D164" s="1181"/>
      <c r="E164" s="1180"/>
      <c r="F164" s="1136"/>
      <c r="G164" s="1476">
        <v>52.409421755952401</v>
      </c>
      <c r="H164" s="1477">
        <v>56.777662714843743</v>
      </c>
      <c r="I164" s="1477">
        <v>79.80542767578126</v>
      </c>
      <c r="J164" s="1478">
        <v>53.380955625000034</v>
      </c>
      <c r="K164" s="1476">
        <v>56.349727597656255</v>
      </c>
      <c r="L164" s="1477">
        <v>65.570403749999997</v>
      </c>
      <c r="M164" s="1477">
        <v>66.498248447265624</v>
      </c>
      <c r="N164" s="1478">
        <v>40.979681686507909</v>
      </c>
      <c r="O164" s="1476">
        <v>38.512803037109371</v>
      </c>
      <c r="P164" s="1477">
        <v>36.974501874023439</v>
      </c>
      <c r="Q164" s="1477">
        <v>55.885414017857158</v>
      </c>
      <c r="R164" s="1477">
        <v>46.126044788085935</v>
      </c>
      <c r="S164" s="1476">
        <v>42.607887670634931</v>
      </c>
      <c r="T164" s="1477">
        <v>47.166300820312507</v>
      </c>
      <c r="U164" s="1477">
        <v>55.200128388671871</v>
      </c>
      <c r="V164" s="1478">
        <v>42.192332373046867</v>
      </c>
      <c r="W164" s="1476">
        <v>132.34547472222224</v>
      </c>
      <c r="X164" s="1477">
        <v>53.88701666992187</v>
      </c>
      <c r="Y164" s="1477">
        <v>45.337472450195328</v>
      </c>
      <c r="Z164" s="1478">
        <v>49.12051941503907</v>
      </c>
      <c r="AA164" s="1476">
        <v>67.284598143849209</v>
      </c>
      <c r="AB164" s="1477">
        <v>36.819058058593754</v>
      </c>
      <c r="AC164" s="1477">
        <v>39.89850856153847</v>
      </c>
      <c r="AD164" s="1478">
        <v>30.041686161132823</v>
      </c>
      <c r="AE164" s="1476">
        <v>31.266320479492187</v>
      </c>
      <c r="AF164" s="1477">
        <v>28.707086242187497</v>
      </c>
      <c r="AG164" s="1477">
        <v>40.605906624023433</v>
      </c>
      <c r="AH164" s="1478">
        <v>28.828253920634918</v>
      </c>
      <c r="AI164" s="1476">
        <v>33.256564817382809</v>
      </c>
      <c r="AJ164" s="1479">
        <v>32.387231337890618</v>
      </c>
      <c r="AK164" s="1479">
        <v>34.354411583333331</v>
      </c>
      <c r="AL164" s="1480">
        <v>39.044797251984129</v>
      </c>
      <c r="AM164" s="1479">
        <v>49.504310380859373</v>
      </c>
      <c r="AN164" s="1479">
        <v>34.371333333333332</v>
      </c>
      <c r="AO164" s="1479">
        <v>38.062833333333337</v>
      </c>
      <c r="AP164" s="1480">
        <v>34.614333333333327</v>
      </c>
      <c r="AQ164" s="1479">
        <v>46.510944725679025</v>
      </c>
      <c r="AR164" s="1479">
        <v>30.296280173373429</v>
      </c>
      <c r="AS164" s="1479">
        <v>33.947384063861342</v>
      </c>
      <c r="AT164" s="1480">
        <v>36.41005770348621</v>
      </c>
      <c r="AU164" s="1479">
        <v>46.479340030218317</v>
      </c>
      <c r="AV164" s="1479">
        <v>30.275693519756327</v>
      </c>
      <c r="AW164" s="1479">
        <v>33.924316445231923</v>
      </c>
      <c r="AX164" s="1480">
        <v>36.385316671193436</v>
      </c>
      <c r="AY164" s="1479">
        <v>46.837526578857272</v>
      </c>
      <c r="AZ164" s="1479">
        <v>30.509008927471708</v>
      </c>
      <c r="BA164" s="1479">
        <v>34.185749456426855</v>
      </c>
      <c r="BB164" s="1480">
        <v>36.665715037244176</v>
      </c>
      <c r="BC164" s="1123"/>
      <c r="BD164" s="1123"/>
      <c r="BE164" s="1042">
        <f t="shared" si="211"/>
        <v>60.593366942894363</v>
      </c>
      <c r="BF164" s="1042">
        <f t="shared" si="212"/>
        <v>57.349515370357445</v>
      </c>
      <c r="BG164" s="1042">
        <f t="shared" si="213"/>
        <v>44.374690929268979</v>
      </c>
      <c r="BH164" s="1044">
        <f t="shared" si="214"/>
        <v>46.791662313166547</v>
      </c>
      <c r="BI164" s="1044">
        <f t="shared" si="215"/>
        <v>70.172620814344626</v>
      </c>
      <c r="BJ164" s="1044">
        <f t="shared" si="216"/>
        <v>43.510962731278561</v>
      </c>
      <c r="BK164" s="1044">
        <f t="shared" si="217"/>
        <v>32.351891816584505</v>
      </c>
      <c r="BL164" s="1044">
        <f t="shared" si="218"/>
        <v>34.760751247647725</v>
      </c>
      <c r="BM164" s="1260">
        <f t="shared" si="219"/>
        <v>39.138202595214842</v>
      </c>
      <c r="BN164" s="1260">
        <f t="shared" si="220"/>
        <v>36.791166666600006</v>
      </c>
      <c r="BO164" s="1260">
        <f t="shared" si="221"/>
        <v>36.7661666666</v>
      </c>
      <c r="BP164" s="1260">
        <f t="shared" si="222"/>
        <v>37.049500000000002</v>
      </c>
      <c r="BQ164" s="1138"/>
      <c r="BR164" s="1264"/>
      <c r="BS164" s="1260"/>
      <c r="BU164" s="1087"/>
      <c r="BV164" s="1086"/>
      <c r="BW164" s="1086"/>
      <c r="BX164" s="1086"/>
    </row>
    <row r="165" spans="2:76" ht="12.75" customHeight="1">
      <c r="C165" s="1505" t="s">
        <v>532</v>
      </c>
      <c r="D165" s="1416"/>
      <c r="E165" s="1180"/>
      <c r="F165" s="1136"/>
      <c r="G165" s="1476">
        <v>42.318757033730158</v>
      </c>
      <c r="H165" s="1477">
        <v>43.07423765625002</v>
      </c>
      <c r="I165" s="1477">
        <v>51.328195917968742</v>
      </c>
      <c r="J165" s="1478">
        <v>38.933001861538465</v>
      </c>
      <c r="K165" s="1476">
        <v>41.451086953125014</v>
      </c>
      <c r="L165" s="1477">
        <v>51.097349746093769</v>
      </c>
      <c r="M165" s="1477">
        <v>50.310268931640643</v>
      </c>
      <c r="N165" s="1478">
        <v>37.410923978174601</v>
      </c>
      <c r="O165" s="1476">
        <v>32.153772558593758</v>
      </c>
      <c r="P165" s="1477">
        <v>34.709669501953115</v>
      </c>
      <c r="Q165" s="1477">
        <v>44.635360783730164</v>
      </c>
      <c r="R165" s="1477">
        <v>38.089502343749999</v>
      </c>
      <c r="S165" s="1476">
        <v>38.017161944444446</v>
      </c>
      <c r="T165" s="1477">
        <v>41.806956083984382</v>
      </c>
      <c r="U165" s="1477">
        <v>41.772417763671875</v>
      </c>
      <c r="V165" s="1478">
        <v>36.018476103515631</v>
      </c>
      <c r="W165" s="1476">
        <v>79.351583283730179</v>
      </c>
      <c r="X165" s="1477">
        <v>50.487840683593745</v>
      </c>
      <c r="Y165" s="1477">
        <v>38.234623320312501</v>
      </c>
      <c r="Z165" s="1478">
        <v>40.068190000000001</v>
      </c>
      <c r="AA165" s="1476">
        <v>43.107304533730151</v>
      </c>
      <c r="AB165" s="1477">
        <v>36.571755771484384</v>
      </c>
      <c r="AC165" s="1477">
        <v>35.906114451923074</v>
      </c>
      <c r="AD165" s="1478">
        <v>30.830603544921882</v>
      </c>
      <c r="AE165" s="1476">
        <v>27.466274697265614</v>
      </c>
      <c r="AF165" s="1477">
        <v>31.331062939453119</v>
      </c>
      <c r="AG165" s="1477">
        <v>37.764263886718759</v>
      </c>
      <c r="AH165" s="1478">
        <v>32.442105446428577</v>
      </c>
      <c r="AI165" s="1476">
        <v>30.987138056640639</v>
      </c>
      <c r="AJ165" s="1479">
        <v>33.05749094726562</v>
      </c>
      <c r="AK165" s="1479">
        <v>36.590803630952387</v>
      </c>
      <c r="AL165" s="1480">
        <v>32.10412905753968</v>
      </c>
      <c r="AM165" s="1479">
        <v>39.582188720703122</v>
      </c>
      <c r="AN165" s="1479">
        <v>35.416666666666664</v>
      </c>
      <c r="AO165" s="1479">
        <v>37.699999999999996</v>
      </c>
      <c r="AP165" s="1480">
        <v>34.06666666666667</v>
      </c>
      <c r="AQ165" s="1479">
        <v>37.104731797582915</v>
      </c>
      <c r="AR165" s="1479">
        <v>31.21709085897621</v>
      </c>
      <c r="AS165" s="1479">
        <v>33.846064219263162</v>
      </c>
      <c r="AT165" s="1480">
        <v>36.098779790577716</v>
      </c>
      <c r="AU165" s="1479">
        <v>36.757952834841539</v>
      </c>
      <c r="AV165" s="1479">
        <v>30.925337493207795</v>
      </c>
      <c r="AW165" s="1479">
        <v>33.52974060030094</v>
      </c>
      <c r="AX165" s="1480">
        <v>35.761402404849747</v>
      </c>
      <c r="AY165" s="1479">
        <v>36.863032218779693</v>
      </c>
      <c r="AZ165" s="1479">
        <v>31.013743271039516</v>
      </c>
      <c r="BA165" s="1479">
        <v>33.625591544495691</v>
      </c>
      <c r="BB165" s="1480">
        <v>35.86363296568512</v>
      </c>
      <c r="BC165" s="1123"/>
      <c r="BD165" s="1123"/>
      <c r="BE165" s="1042">
        <f t="shared" si="211"/>
        <v>43.913548117371846</v>
      </c>
      <c r="BF165" s="1042">
        <f t="shared" si="212"/>
        <v>45.067407402258503</v>
      </c>
      <c r="BG165" s="1042">
        <f t="shared" si="213"/>
        <v>37.397076297006763</v>
      </c>
      <c r="BH165" s="1044">
        <f t="shared" si="214"/>
        <v>39.403752973904083</v>
      </c>
      <c r="BI165" s="1044">
        <f t="shared" si="215"/>
        <v>52.035559321909105</v>
      </c>
      <c r="BJ165" s="1044">
        <f t="shared" si="216"/>
        <v>36.603944575514873</v>
      </c>
      <c r="BK165" s="1044">
        <f t="shared" si="217"/>
        <v>32.250926742466518</v>
      </c>
      <c r="BL165" s="1044">
        <f t="shared" si="218"/>
        <v>33.184890423099588</v>
      </c>
      <c r="BM165" s="1260">
        <f t="shared" si="219"/>
        <v>36.69138051350911</v>
      </c>
      <c r="BN165" s="1260">
        <f t="shared" si="220"/>
        <v>34.5666666666</v>
      </c>
      <c r="BO165" s="1260">
        <f t="shared" si="221"/>
        <v>34.243608333300003</v>
      </c>
      <c r="BP165" s="1260">
        <f t="shared" si="222"/>
        <v>34.341500000000003</v>
      </c>
      <c r="BQ165" s="1114"/>
      <c r="BR165" s="1264"/>
      <c r="BS165" s="1260"/>
      <c r="BU165" s="1087"/>
      <c r="BV165" s="1086"/>
      <c r="BW165" s="1086"/>
      <c r="BX165" s="1086"/>
    </row>
    <row r="166" spans="2:76" ht="12.75" customHeight="1">
      <c r="C166" s="1505" t="s">
        <v>281</v>
      </c>
      <c r="D166" s="1416"/>
      <c r="E166" s="1180"/>
      <c r="F166" s="1136"/>
      <c r="G166" s="1476">
        <v>42.324658253968252</v>
      </c>
      <c r="H166" s="1477">
        <v>43.262810498046875</v>
      </c>
      <c r="I166" s="1477">
        <v>51.606527089843752</v>
      </c>
      <c r="J166" s="1478">
        <v>38.918928847115382</v>
      </c>
      <c r="K166" s="1476">
        <v>41.488797080078136</v>
      </c>
      <c r="L166" s="1477">
        <v>50.985843300781255</v>
      </c>
      <c r="M166" s="1477">
        <v>50.268828780273431</v>
      </c>
      <c r="N166" s="1478">
        <v>37.525041934523813</v>
      </c>
      <c r="O166" s="1476">
        <v>32.221690878906244</v>
      </c>
      <c r="P166" s="1477">
        <v>34.827419687500004</v>
      </c>
      <c r="Q166" s="1477">
        <v>44.932445357142846</v>
      </c>
      <c r="R166" s="1477">
        <v>38.199312265625004</v>
      </c>
      <c r="S166" s="1476">
        <v>37.715632986111103</v>
      </c>
      <c r="T166" s="1477">
        <v>41.987925156249993</v>
      </c>
      <c r="U166" s="1477">
        <v>41.924110576171877</v>
      </c>
      <c r="V166" s="1478">
        <v>36.103588144531251</v>
      </c>
      <c r="W166" s="1476">
        <v>79.291454067460307</v>
      </c>
      <c r="X166" s="1477">
        <v>50.610264160156234</v>
      </c>
      <c r="Y166" s="1477">
        <v>38.224814638671887</v>
      </c>
      <c r="Z166" s="1478">
        <v>39.049467128906258</v>
      </c>
      <c r="AA166" s="1476">
        <v>42.983203065476189</v>
      </c>
      <c r="AB166" s="1477">
        <v>35.431994833984376</v>
      </c>
      <c r="AC166" s="1477">
        <v>35.234762865384596</v>
      </c>
      <c r="AD166" s="1478">
        <v>30.793894384765622</v>
      </c>
      <c r="AE166" s="1476">
        <v>27.255926289062497</v>
      </c>
      <c r="AF166" s="1477">
        <v>31.587512695312501</v>
      </c>
      <c r="AG166" s="1477">
        <v>38.382545029296871</v>
      </c>
      <c r="AH166" s="1478">
        <v>32.453721736111113</v>
      </c>
      <c r="AI166" s="1476">
        <v>31.073804345703124</v>
      </c>
      <c r="AJ166" s="1479">
        <v>33.234170273437506</v>
      </c>
      <c r="AK166" s="1479">
        <v>36.864877966269844</v>
      </c>
      <c r="AL166" s="1480">
        <v>32.037018710317462</v>
      </c>
      <c r="AM166" s="1479">
        <v>38.43211967773437</v>
      </c>
      <c r="AN166" s="1479">
        <v>33.833333333333336</v>
      </c>
      <c r="AO166" s="1479">
        <v>36.31666666666667</v>
      </c>
      <c r="AP166" s="1480">
        <v>33.616666666666667</v>
      </c>
      <c r="AQ166" s="1479">
        <v>34.505559751881279</v>
      </c>
      <c r="AR166" s="1479">
        <v>30.200278902105268</v>
      </c>
      <c r="AS166" s="1479">
        <v>33.302613632090925</v>
      </c>
      <c r="AT166" s="1480">
        <v>36.708214380322516</v>
      </c>
      <c r="AU166" s="1479">
        <v>34.591868474798638</v>
      </c>
      <c r="AV166" s="1479">
        <v>30.275818830236602</v>
      </c>
      <c r="AW166" s="1479">
        <v>33.385913427053367</v>
      </c>
      <c r="AX166" s="1480">
        <v>36.800032601111397</v>
      </c>
      <c r="AY166" s="1479">
        <v>34.815106597023615</v>
      </c>
      <c r="AZ166" s="1479">
        <v>30.471203388587639</v>
      </c>
      <c r="BA166" s="1479">
        <v>33.601368935842977</v>
      </c>
      <c r="BB166" s="1480">
        <v>37.037521078545765</v>
      </c>
      <c r="BC166" s="1123"/>
      <c r="BD166" s="1123"/>
      <c r="BE166" s="1042">
        <f t="shared" si="211"/>
        <v>44.028231172243565</v>
      </c>
      <c r="BF166" s="1042">
        <f t="shared" si="212"/>
        <v>45.067127773914159</v>
      </c>
      <c r="BG166" s="1042">
        <f t="shared" si="213"/>
        <v>37.545217047293526</v>
      </c>
      <c r="BH166" s="1044">
        <f t="shared" si="214"/>
        <v>39.432814215766051</v>
      </c>
      <c r="BI166" s="1044">
        <f t="shared" si="215"/>
        <v>51.793999998798668</v>
      </c>
      <c r="BJ166" s="1044">
        <f t="shared" si="216"/>
        <v>36.110963787402696</v>
      </c>
      <c r="BK166" s="1044">
        <f t="shared" si="217"/>
        <v>32.419926437445746</v>
      </c>
      <c r="BL166" s="1044">
        <f t="shared" si="218"/>
        <v>33.302467823931984</v>
      </c>
      <c r="BM166" s="1260">
        <f t="shared" si="219"/>
        <v>35.549696586100261</v>
      </c>
      <c r="BN166" s="1260">
        <f t="shared" si="220"/>
        <v>33.679166666599997</v>
      </c>
      <c r="BO166" s="1260">
        <f t="shared" si="221"/>
        <v>33.763408333300006</v>
      </c>
      <c r="BP166" s="1260">
        <f t="shared" si="222"/>
        <v>33.981300000000005</v>
      </c>
      <c r="BQ166" s="1114"/>
      <c r="BR166" s="1264"/>
      <c r="BS166" s="1260"/>
      <c r="BU166" s="1087"/>
      <c r="BV166" s="1086"/>
      <c r="BW166" s="1086"/>
      <c r="BX166" s="1086"/>
    </row>
    <row r="167" spans="2:76" ht="12.75" customHeight="1">
      <c r="C167" s="1505" t="s">
        <v>549</v>
      </c>
      <c r="D167" s="1416"/>
      <c r="E167" s="1180"/>
      <c r="F167" s="1136"/>
      <c r="G167" s="1476">
        <v>40.373286190476193</v>
      </c>
      <c r="H167" s="1477">
        <v>41.051071525390626</v>
      </c>
      <c r="I167" s="1477">
        <v>50.072542607421866</v>
      </c>
      <c r="J167" s="1478">
        <v>34.412752877884607</v>
      </c>
      <c r="K167" s="1476">
        <v>39.612896863281264</v>
      </c>
      <c r="L167" s="1477">
        <v>45.46599732519531</v>
      </c>
      <c r="M167" s="1477">
        <v>47.308313137695315</v>
      </c>
      <c r="N167" s="1478">
        <v>31.727422125992067</v>
      </c>
      <c r="O167" s="1476">
        <v>30.441801791015621</v>
      </c>
      <c r="P167" s="1477">
        <v>32.770161261718748</v>
      </c>
      <c r="Q167" s="1477">
        <v>44.877897271825397</v>
      </c>
      <c r="R167" s="1477">
        <v>35.019350765624992</v>
      </c>
      <c r="S167" s="1476">
        <v>34.838090073412694</v>
      </c>
      <c r="T167" s="1477">
        <v>39.428378864257809</v>
      </c>
      <c r="U167" s="1477">
        <v>41.11704862597658</v>
      </c>
      <c r="V167" s="1478">
        <v>34.355717211914069</v>
      </c>
      <c r="W167" s="1476">
        <v>72.99622284523808</v>
      </c>
      <c r="X167" s="1477">
        <v>48.442515457031263</v>
      </c>
      <c r="Y167" s="1477">
        <v>37.030601145507809</v>
      </c>
      <c r="Z167" s="1478">
        <v>38.673259170898433</v>
      </c>
      <c r="AA167" s="1476">
        <v>39.963556904761916</v>
      </c>
      <c r="AB167" s="1477">
        <v>30.605513267578125</v>
      </c>
      <c r="AC167" s="1477">
        <v>33.950207826923084</v>
      </c>
      <c r="AD167" s="1478">
        <v>29.947609584960937</v>
      </c>
      <c r="AE167" s="1476">
        <v>26.738570957031257</v>
      </c>
      <c r="AF167" s="1477">
        <v>29.587132090820305</v>
      </c>
      <c r="AG167" s="1477">
        <v>37.576820068359396</v>
      </c>
      <c r="AH167" s="1478">
        <v>31.571357599206348</v>
      </c>
      <c r="AI167" s="1476">
        <v>29.354624452148443</v>
      </c>
      <c r="AJ167" s="1479">
        <v>33.630935440429681</v>
      </c>
      <c r="AK167" s="1479">
        <v>34.552619896825405</v>
      </c>
      <c r="AL167" s="1480">
        <v>30.295690178571437</v>
      </c>
      <c r="AM167" s="1479">
        <v>31.943508934570318</v>
      </c>
      <c r="AN167" s="1479">
        <v>30.066666666666666</v>
      </c>
      <c r="AO167" s="1479">
        <v>34.6</v>
      </c>
      <c r="AP167" s="1480">
        <v>30.166666666666668</v>
      </c>
      <c r="AQ167" s="1479">
        <v>33.929172095569285</v>
      </c>
      <c r="AR167" s="1479">
        <v>28.660363159574629</v>
      </c>
      <c r="AS167" s="1479">
        <v>32.36321030654301</v>
      </c>
      <c r="AT167" s="1480">
        <v>28.947254438313074</v>
      </c>
      <c r="AU167" s="1479">
        <v>33.932622519850185</v>
      </c>
      <c r="AV167" s="1479">
        <v>28.663277772777295</v>
      </c>
      <c r="AW167" s="1479">
        <v>32.366501480472486</v>
      </c>
      <c r="AX167" s="1480">
        <v>28.950198226900017</v>
      </c>
      <c r="AY167" s="1479">
        <v>34.171295122086242</v>
      </c>
      <c r="AZ167" s="1479">
        <v>28.864887273800733</v>
      </c>
      <c r="BA167" s="1479">
        <v>32.594158424143806</v>
      </c>
      <c r="BB167" s="1480">
        <v>29.153825846369212</v>
      </c>
      <c r="BC167" s="1123"/>
      <c r="BD167" s="1123"/>
      <c r="BE167" s="1042">
        <f t="shared" si="211"/>
        <v>41.477413300293321</v>
      </c>
      <c r="BF167" s="1042">
        <f t="shared" si="212"/>
        <v>41.028657363040985</v>
      </c>
      <c r="BG167" s="1042">
        <f t="shared" si="213"/>
        <v>35.777302772546193</v>
      </c>
      <c r="BH167" s="1044">
        <f t="shared" si="214"/>
        <v>37.43480869389029</v>
      </c>
      <c r="BI167" s="1044">
        <f t="shared" si="215"/>
        <v>49.285649654668894</v>
      </c>
      <c r="BJ167" s="1044">
        <f t="shared" si="216"/>
        <v>33.616721896056013</v>
      </c>
      <c r="BK167" s="1044">
        <f t="shared" si="217"/>
        <v>31.368470178854327</v>
      </c>
      <c r="BL167" s="1044">
        <f t="shared" si="218"/>
        <v>31.958467491993741</v>
      </c>
      <c r="BM167" s="1260">
        <f t="shared" si="219"/>
        <v>31.694210566975915</v>
      </c>
      <c r="BN167" s="1260">
        <f t="shared" si="220"/>
        <v>30.975000000000001</v>
      </c>
      <c r="BO167" s="1260">
        <f t="shared" si="221"/>
        <v>30.978149999999996</v>
      </c>
      <c r="BP167" s="1260">
        <f t="shared" si="222"/>
        <v>31.196041666599999</v>
      </c>
      <c r="BQ167" s="1114"/>
      <c r="BR167" s="1264"/>
      <c r="BS167" s="1260"/>
      <c r="BU167" s="1087"/>
      <c r="BV167" s="1086"/>
      <c r="BW167" s="1086"/>
      <c r="BX167" s="1086"/>
    </row>
    <row r="168" spans="2:76" ht="12.75" customHeight="1">
      <c r="C168" s="1505" t="s">
        <v>518</v>
      </c>
      <c r="D168" s="1416"/>
      <c r="E168" s="1180"/>
      <c r="F168" s="1136"/>
      <c r="G168" s="1476">
        <v>41.339221230158728</v>
      </c>
      <c r="H168" s="1477">
        <v>39.390153808593752</v>
      </c>
      <c r="I168" s="1477">
        <v>48.872324218750009</v>
      </c>
      <c r="J168" s="1478">
        <v>32.494792444029855</v>
      </c>
      <c r="K168" s="1476">
        <v>49.694167480468757</v>
      </c>
      <c r="L168" s="1477">
        <v>41.930664062500007</v>
      </c>
      <c r="M168" s="1477">
        <v>111.00009521484377</v>
      </c>
      <c r="N168" s="1478">
        <v>29.544866071428554</v>
      </c>
      <c r="O168" s="1476">
        <v>25.356325683593752</v>
      </c>
      <c r="P168" s="1477">
        <v>30.825715332031248</v>
      </c>
      <c r="Q168" s="1477">
        <v>31.618534226190476</v>
      </c>
      <c r="R168" s="1477">
        <v>27.927487792968755</v>
      </c>
      <c r="S168" s="1476">
        <v>28.835245535714289</v>
      </c>
      <c r="T168" s="1477">
        <v>36.626384277343753</v>
      </c>
      <c r="U168" s="1477">
        <v>43.148923339843755</v>
      </c>
      <c r="V168" s="1478">
        <v>36.768386230468735</v>
      </c>
      <c r="W168" s="1476">
        <v>57.726661706349176</v>
      </c>
      <c r="X168" s="1477">
        <v>44.823835449218755</v>
      </c>
      <c r="Y168" s="1477">
        <v>38.568947753906251</v>
      </c>
      <c r="Z168" s="1478">
        <v>33.674279785156259</v>
      </c>
      <c r="AA168" s="1476">
        <v>26.530957341269843</v>
      </c>
      <c r="AB168" s="1477">
        <v>27.875180664062505</v>
      </c>
      <c r="AC168" s="1477">
        <v>34.771600961538461</v>
      </c>
      <c r="AD168" s="1478">
        <v>23.322177734375007</v>
      </c>
      <c r="AE168" s="1476">
        <v>20.53059082031249</v>
      </c>
      <c r="AF168" s="1477">
        <v>24.409040527343741</v>
      </c>
      <c r="AG168" s="1477">
        <v>33.207656250000007</v>
      </c>
      <c r="AH168" s="1478">
        <v>29.754362599206353</v>
      </c>
      <c r="AI168" s="1476">
        <v>27.700273437500005</v>
      </c>
      <c r="AJ168" s="1479">
        <v>46.152717285156264</v>
      </c>
      <c r="AK168" s="1479">
        <v>33.043561507936509</v>
      </c>
      <c r="AL168" s="1480">
        <v>29.19860119047619</v>
      </c>
      <c r="AM168" s="1479">
        <v>33.29329345703124</v>
      </c>
      <c r="AN168" s="1479">
        <v>37.382000000000005</v>
      </c>
      <c r="AO168" s="1479">
        <v>118.87111666666665</v>
      </c>
      <c r="AP168" s="1480">
        <v>27.205766666666666</v>
      </c>
      <c r="AQ168" s="1479">
        <v>24.525092123733586</v>
      </c>
      <c r="AR168" s="1479">
        <v>26.33436343081933</v>
      </c>
      <c r="AS168" s="1479">
        <v>72.001306158597217</v>
      </c>
      <c r="AT168" s="1480">
        <v>45.433288286849844</v>
      </c>
      <c r="AU168" s="1479">
        <v>22.536414554517716</v>
      </c>
      <c r="AV168" s="1479">
        <v>24.198976636338397</v>
      </c>
      <c r="AW168" s="1479">
        <v>66.162902706759411</v>
      </c>
      <c r="AX168" s="1480">
        <v>41.749218075984459</v>
      </c>
      <c r="AY168" s="1479">
        <v>21.446763815512227</v>
      </c>
      <c r="AZ168" s="1479">
        <v>23.028939907062984</v>
      </c>
      <c r="BA168" s="1479">
        <v>62.96388204378902</v>
      </c>
      <c r="BB168" s="1480">
        <v>39.730615417635761</v>
      </c>
      <c r="BC168" s="1123"/>
      <c r="BD168" s="1123"/>
      <c r="BE168" s="1042">
        <f t="shared" si="211"/>
        <v>40.524122925383089</v>
      </c>
      <c r="BF168" s="1042">
        <f t="shared" si="212"/>
        <v>58.042448207310272</v>
      </c>
      <c r="BG168" s="1042">
        <f t="shared" si="213"/>
        <v>28.93201575869606</v>
      </c>
      <c r="BH168" s="1044">
        <f t="shared" si="214"/>
        <v>36.34473484584263</v>
      </c>
      <c r="BI168" s="1044">
        <f t="shared" si="215"/>
        <v>43.69843117365761</v>
      </c>
      <c r="BJ168" s="1044">
        <f t="shared" si="216"/>
        <v>28.124979175311452</v>
      </c>
      <c r="BK168" s="1044">
        <f t="shared" si="217"/>
        <v>26.975412549215648</v>
      </c>
      <c r="BL168" s="1044">
        <f t="shared" si="218"/>
        <v>34.023788355267243</v>
      </c>
      <c r="BM168" s="1260">
        <f t="shared" si="219"/>
        <v>54.188044197591147</v>
      </c>
      <c r="BN168" s="1260">
        <f t="shared" si="220"/>
        <v>42.073512499999993</v>
      </c>
      <c r="BO168" s="1260">
        <f t="shared" si="221"/>
        <v>38.661877993399997</v>
      </c>
      <c r="BP168" s="1260">
        <f t="shared" si="222"/>
        <v>36.792550296000002</v>
      </c>
      <c r="BQ168" s="1114"/>
      <c r="BR168" s="1264"/>
      <c r="BS168" s="1260"/>
      <c r="BU168" s="1087"/>
      <c r="BV168" s="1086"/>
      <c r="BW168" s="1086"/>
      <c r="BX168" s="1086"/>
    </row>
    <row r="169" spans="2:76" ht="12.75" customHeight="1">
      <c r="C169" s="1503" t="s">
        <v>550</v>
      </c>
      <c r="D169" s="1416"/>
      <c r="E169" s="1180"/>
      <c r="F169" s="1136"/>
      <c r="G169" s="1476">
        <v>41.463162202380943</v>
      </c>
      <c r="H169" s="1477">
        <v>39.232558593749999</v>
      </c>
      <c r="I169" s="1477">
        <v>48.767795410156261</v>
      </c>
      <c r="J169" s="1478">
        <v>32.77672574626866</v>
      </c>
      <c r="K169" s="1476">
        <v>50.755690917968764</v>
      </c>
      <c r="L169" s="1477">
        <v>40.202160644531247</v>
      </c>
      <c r="M169" s="1477">
        <v>106.84378173828125</v>
      </c>
      <c r="N169" s="1478">
        <v>28.962276785714291</v>
      </c>
      <c r="O169" s="1476">
        <v>25.273820800781262</v>
      </c>
      <c r="P169" s="1477">
        <v>31.306391601562503</v>
      </c>
      <c r="Q169" s="1477">
        <v>32.226475694444453</v>
      </c>
      <c r="R169" s="1477">
        <v>28.259047851562507</v>
      </c>
      <c r="S169" s="1476">
        <v>29.044474206349211</v>
      </c>
      <c r="T169" s="1477">
        <v>35.193894042968758</v>
      </c>
      <c r="U169" s="1477">
        <v>38.431984863281251</v>
      </c>
      <c r="V169" s="1478">
        <v>35.855332031250001</v>
      </c>
      <c r="W169" s="1476">
        <v>60.188559027777771</v>
      </c>
      <c r="X169" s="1477">
        <v>40.574257812500001</v>
      </c>
      <c r="Y169" s="1477">
        <v>37.938735351562507</v>
      </c>
      <c r="Z169" s="1478">
        <v>34.462575683593748</v>
      </c>
      <c r="AA169" s="1476">
        <v>26.624528769841273</v>
      </c>
      <c r="AB169" s="1477">
        <v>27.696826171875006</v>
      </c>
      <c r="AC169" s="1477">
        <v>35.113086538461538</v>
      </c>
      <c r="AD169" s="1478">
        <v>20.858798828125007</v>
      </c>
      <c r="AE169" s="1476">
        <v>19.673029785156263</v>
      </c>
      <c r="AF169" s="1477">
        <v>22.350983886718744</v>
      </c>
      <c r="AG169" s="1477">
        <v>30.610273437499995</v>
      </c>
      <c r="AH169" s="1478">
        <v>25.720223214285713</v>
      </c>
      <c r="AI169" s="1476">
        <v>22.746433105468753</v>
      </c>
      <c r="AJ169" s="1479">
        <v>27.890290527343748</v>
      </c>
      <c r="AK169" s="1479">
        <v>29.419799107142854</v>
      </c>
      <c r="AL169" s="1480">
        <v>23.559124503968256</v>
      </c>
      <c r="AM169" s="1479">
        <v>31.786008300781262</v>
      </c>
      <c r="AN169" s="1479">
        <v>35.332000000000001</v>
      </c>
      <c r="AO169" s="1479">
        <v>118.57111666666667</v>
      </c>
      <c r="AP169" s="1480">
        <v>26.272433333333336</v>
      </c>
      <c r="AQ169" s="1479">
        <v>23.582895883834407</v>
      </c>
      <c r="AR169" s="1479">
        <v>24.58750024208658</v>
      </c>
      <c r="AS169" s="1479">
        <v>70.499208350188795</v>
      </c>
      <c r="AT169" s="1480">
        <v>43.541112190290235</v>
      </c>
      <c r="AU169" s="1479">
        <v>21.356595924499164</v>
      </c>
      <c r="AV169" s="1479">
        <v>22.266362453973152</v>
      </c>
      <c r="AW169" s="1479">
        <v>63.843860107279404</v>
      </c>
      <c r="AX169" s="1480">
        <v>39.430693487848274</v>
      </c>
      <c r="AY169" s="1479">
        <v>20.153204665518864</v>
      </c>
      <c r="AZ169" s="1479">
        <v>21.011708105446548</v>
      </c>
      <c r="BA169" s="1479">
        <v>60.246416794484098</v>
      </c>
      <c r="BB169" s="1480">
        <v>37.208871618550496</v>
      </c>
      <c r="BC169" s="1123"/>
      <c r="BD169" s="1123"/>
      <c r="BE169" s="1042">
        <f t="shared" si="211"/>
        <v>40.560060488138966</v>
      </c>
      <c r="BF169" s="1042">
        <f t="shared" si="212"/>
        <v>56.690977521623886</v>
      </c>
      <c r="BG169" s="1042">
        <f t="shared" si="213"/>
        <v>29.26643398708768</v>
      </c>
      <c r="BH169" s="1044">
        <f t="shared" si="214"/>
        <v>34.631421285962304</v>
      </c>
      <c r="BI169" s="1044">
        <f t="shared" si="215"/>
        <v>43.291031968858505</v>
      </c>
      <c r="BJ169" s="1044">
        <f t="shared" si="216"/>
        <v>27.573310077075703</v>
      </c>
      <c r="BK169" s="1044">
        <f t="shared" si="217"/>
        <v>24.58862758091518</v>
      </c>
      <c r="BL169" s="1044">
        <f t="shared" si="218"/>
        <v>25.903911810980901</v>
      </c>
      <c r="BM169" s="1260">
        <f t="shared" si="219"/>
        <v>52.990389575195316</v>
      </c>
      <c r="BN169" s="1260">
        <f t="shared" si="220"/>
        <v>40.552679166600001</v>
      </c>
      <c r="BO169" s="1260">
        <f t="shared" si="221"/>
        <v>36.724377993399997</v>
      </c>
      <c r="BP169" s="1260">
        <f t="shared" si="222"/>
        <v>34.655050295999999</v>
      </c>
      <c r="BQ169" s="1114"/>
      <c r="BR169" s="1264"/>
      <c r="BS169" s="1260"/>
      <c r="BU169" s="1087"/>
      <c r="BV169" s="1086"/>
      <c r="BW169" s="1086"/>
      <c r="BX169" s="1086"/>
    </row>
    <row r="170" spans="2:76" ht="12.75" customHeight="1">
      <c r="C170" s="1503" t="s">
        <v>519</v>
      </c>
      <c r="D170" s="1416"/>
      <c r="E170" s="1180"/>
      <c r="F170" s="1136"/>
      <c r="G170" s="1476">
        <v>41.207070932539686</v>
      </c>
      <c r="H170" s="1477">
        <v>39.192001953125001</v>
      </c>
      <c r="I170" s="1477">
        <v>48.72686279296876</v>
      </c>
      <c r="J170" s="1478">
        <v>31.765543376865669</v>
      </c>
      <c r="K170" s="1476">
        <v>55.323972167968762</v>
      </c>
      <c r="L170" s="1477">
        <v>39.6252978515625</v>
      </c>
      <c r="M170" s="1477">
        <v>106.81442871093749</v>
      </c>
      <c r="N170" s="1478">
        <v>29.354828869047626</v>
      </c>
      <c r="O170" s="1476">
        <v>25.648288574218743</v>
      </c>
      <c r="P170" s="1477">
        <v>29.951386718749998</v>
      </c>
      <c r="Q170" s="1477">
        <v>31.210275297619049</v>
      </c>
      <c r="R170" s="1477">
        <v>28.586511230468751</v>
      </c>
      <c r="S170" s="1476">
        <v>28.708407738095232</v>
      </c>
      <c r="T170" s="1477">
        <v>36.230866699218758</v>
      </c>
      <c r="U170" s="1477">
        <v>40.352358398437502</v>
      </c>
      <c r="V170" s="1478">
        <v>36.304406738281251</v>
      </c>
      <c r="W170" s="1476">
        <v>59.069300595238097</v>
      </c>
      <c r="X170" s="1477">
        <v>41.673994140624984</v>
      </c>
      <c r="Y170" s="1477">
        <v>38.124675292968753</v>
      </c>
      <c r="Z170" s="1478">
        <v>34.437966308593751</v>
      </c>
      <c r="AA170" s="1476">
        <v>26.435344742063496</v>
      </c>
      <c r="AB170" s="1477">
        <v>27.865429687499994</v>
      </c>
      <c r="AC170" s="1477">
        <v>34.586947115384625</v>
      </c>
      <c r="AD170" s="1478">
        <v>23.201174316406249</v>
      </c>
      <c r="AE170" s="1476">
        <v>20.267778320312491</v>
      </c>
      <c r="AF170" s="1477">
        <v>22.831770019531245</v>
      </c>
      <c r="AG170" s="1477">
        <v>30.974855957031252</v>
      </c>
      <c r="AH170" s="1478">
        <v>28.905121527777784</v>
      </c>
      <c r="AI170" s="1476">
        <v>24.182224121093753</v>
      </c>
      <c r="AJ170" s="1479">
        <v>35.500275878906244</v>
      </c>
      <c r="AK170" s="1479">
        <v>30.679335317460314</v>
      </c>
      <c r="AL170" s="1480">
        <v>26.539970238095233</v>
      </c>
      <c r="AM170" s="1479">
        <v>33.080983886718748</v>
      </c>
      <c r="AN170" s="1479">
        <v>38.148666666666664</v>
      </c>
      <c r="AO170" s="1479">
        <v>119.77111666666667</v>
      </c>
      <c r="AP170" s="1480">
        <v>27.555766666666667</v>
      </c>
      <c r="AQ170" s="1479">
        <v>25.311841025847244</v>
      </c>
      <c r="AR170" s="1479">
        <v>26.536363358265632</v>
      </c>
      <c r="AS170" s="1479">
        <v>72.644761515096988</v>
      </c>
      <c r="AT170" s="1480">
        <v>44.901084100790143</v>
      </c>
      <c r="AU170" s="1479">
        <v>23.143193839184796</v>
      </c>
      <c r="AV170" s="1479">
        <v>24.262802550010321</v>
      </c>
      <c r="AW170" s="1479">
        <v>66.420763129337274</v>
      </c>
      <c r="AX170" s="1480">
        <v>41.054085788267628</v>
      </c>
      <c r="AY170" s="1479">
        <v>21.966120391696254</v>
      </c>
      <c r="AZ170" s="1479">
        <v>23.028785290261158</v>
      </c>
      <c r="BA170" s="1479">
        <v>63.042572669337098</v>
      </c>
      <c r="BB170" s="1480">
        <v>38.966056165905499</v>
      </c>
      <c r="BC170" s="1123"/>
      <c r="BD170" s="1123"/>
      <c r="BE170" s="1042">
        <f t="shared" si="211"/>
        <v>40.222869763874776</v>
      </c>
      <c r="BF170" s="1042">
        <f t="shared" si="212"/>
        <v>57.779631899879099</v>
      </c>
      <c r="BG170" s="1042">
        <f t="shared" si="213"/>
        <v>28.849115455264133</v>
      </c>
      <c r="BH170" s="1044">
        <f t="shared" si="214"/>
        <v>35.399009893508186</v>
      </c>
      <c r="BI170" s="1044">
        <f t="shared" si="215"/>
        <v>43.326484084356402</v>
      </c>
      <c r="BJ170" s="1044">
        <f t="shared" si="216"/>
        <v>28.02222396533859</v>
      </c>
      <c r="BK170" s="1044">
        <f t="shared" si="217"/>
        <v>25.744881456163192</v>
      </c>
      <c r="BL170" s="1044">
        <f t="shared" si="218"/>
        <v>29.225451388888885</v>
      </c>
      <c r="BM170" s="1260">
        <f t="shared" si="219"/>
        <v>54.639133471679685</v>
      </c>
      <c r="BN170" s="1260">
        <f t="shared" si="220"/>
        <v>42.348512499999998</v>
      </c>
      <c r="BO170" s="1260">
        <f t="shared" si="221"/>
        <v>38.720211326700003</v>
      </c>
      <c r="BP170" s="1260">
        <f t="shared" si="222"/>
        <v>36.750883629300006</v>
      </c>
      <c r="BQ170" s="1114"/>
      <c r="BR170" s="1264"/>
      <c r="BS170" s="1260"/>
      <c r="BU170" s="1087"/>
      <c r="BV170" s="1086"/>
      <c r="BW170" s="1086"/>
      <c r="BX170" s="1086"/>
    </row>
    <row r="171" spans="2:76" ht="12.75" customHeight="1">
      <c r="C171" s="1503" t="s">
        <v>551</v>
      </c>
      <c r="D171" s="1416"/>
      <c r="E171" s="1149"/>
      <c r="F171" s="1136"/>
      <c r="G171" s="1476">
        <v>44.912666666666681</v>
      </c>
      <c r="H171" s="1477">
        <v>35.874838709677434</v>
      </c>
      <c r="I171" s="1477">
        <v>40.575468749999999</v>
      </c>
      <c r="J171" s="1478">
        <v>34.270317460317472</v>
      </c>
      <c r="K171" s="1476">
        <v>32.430468750000003</v>
      </c>
      <c r="L171" s="1477">
        <v>36.866093749999997</v>
      </c>
      <c r="M171" s="1477">
        <v>42.871093750000007</v>
      </c>
      <c r="N171" s="1478">
        <v>33.560156250000006</v>
      </c>
      <c r="O171" s="1476">
        <v>25.353281250000002</v>
      </c>
      <c r="P171" s="1477">
        <v>25.953076923076935</v>
      </c>
      <c r="Q171" s="1477">
        <v>36.29349206349206</v>
      </c>
      <c r="R171" s="1477">
        <v>31.014769230769229</v>
      </c>
      <c r="S171" s="1476">
        <v>32.511999999999993</v>
      </c>
      <c r="T171" s="1477">
        <v>38.131384615384611</v>
      </c>
      <c r="U171" s="1477">
        <v>42.04296875</v>
      </c>
      <c r="V171" s="1478">
        <v>37.624062500000001</v>
      </c>
      <c r="W171" s="1476">
        <v>47.590967741935479</v>
      </c>
      <c r="X171" s="1477">
        <v>42.762769230769244</v>
      </c>
      <c r="Y171" s="1477">
        <v>43.211212121212121</v>
      </c>
      <c r="Z171" s="1478">
        <v>36.127031249999987</v>
      </c>
      <c r="AA171" s="1476">
        <v>25.419180327868858</v>
      </c>
      <c r="AB171" s="1477">
        <v>26.831111111111106</v>
      </c>
      <c r="AC171" s="1477">
        <v>33.160312500000011</v>
      </c>
      <c r="AD171" s="1478">
        <v>23.980158730158735</v>
      </c>
      <c r="AE171" s="1476">
        <v>19.007377049180324</v>
      </c>
      <c r="AF171" s="1477">
        <v>22.532187499999996</v>
      </c>
      <c r="AG171" s="1477">
        <v>34.896093749999999</v>
      </c>
      <c r="AH171" s="1478">
        <v>25.215322580645164</v>
      </c>
      <c r="AI171" s="1476">
        <v>23.400322580645167</v>
      </c>
      <c r="AJ171" s="1479">
        <v>32.938906250000002</v>
      </c>
      <c r="AK171" s="1479">
        <v>44.240952380952386</v>
      </c>
      <c r="AL171" s="1480">
        <v>30.908548387096779</v>
      </c>
      <c r="AM171" s="1479">
        <v>26.38622950819672</v>
      </c>
      <c r="AN171" s="1479">
        <v>27.183333333333334</v>
      </c>
      <c r="AO171" s="1479">
        <v>42.599999999999994</v>
      </c>
      <c r="AP171" s="1480">
        <v>25.099999999999998</v>
      </c>
      <c r="AQ171" s="1479">
        <v>25.992977359392921</v>
      </c>
      <c r="AR171" s="1479">
        <v>25.589202953810119</v>
      </c>
      <c r="AS171" s="1479">
        <v>40.377440558280256</v>
      </c>
      <c r="AT171" s="1480">
        <v>30.457045794916699</v>
      </c>
      <c r="AU171" s="1479">
        <v>28.466645320489615</v>
      </c>
      <c r="AV171" s="1479">
        <v>28.024445004831527</v>
      </c>
      <c r="AW171" s="1479">
        <v>44.220031565809109</v>
      </c>
      <c r="AX171" s="1480">
        <v>33.355544775269749</v>
      </c>
      <c r="AY171" s="1479">
        <v>30.466105117398659</v>
      </c>
      <c r="AZ171" s="1479">
        <v>29.992845232079848</v>
      </c>
      <c r="BA171" s="1479">
        <v>47.325988531881407</v>
      </c>
      <c r="BB171" s="1480">
        <v>35.69839445184008</v>
      </c>
      <c r="BC171" s="1123"/>
      <c r="BD171" s="1123"/>
      <c r="BE171" s="1042">
        <f t="shared" si="211"/>
        <v>38.908322896665396</v>
      </c>
      <c r="BF171" s="1042">
        <f t="shared" si="212"/>
        <v>36.431953125</v>
      </c>
      <c r="BG171" s="1042">
        <f t="shared" si="213"/>
        <v>29.653654866834557</v>
      </c>
      <c r="BH171" s="1044">
        <f t="shared" si="214"/>
        <v>37.577603966346153</v>
      </c>
      <c r="BI171" s="1044">
        <f t="shared" si="215"/>
        <v>42.42299508597921</v>
      </c>
      <c r="BJ171" s="1044">
        <f t="shared" si="216"/>
        <v>27.347690667284677</v>
      </c>
      <c r="BK171" s="1044">
        <f t="shared" si="217"/>
        <v>25.412745219956371</v>
      </c>
      <c r="BL171" s="1044">
        <f t="shared" si="218"/>
        <v>32.872182399673584</v>
      </c>
      <c r="BM171" s="1260">
        <f t="shared" si="219"/>
        <v>30.317390710382512</v>
      </c>
      <c r="BN171" s="1260">
        <f t="shared" si="220"/>
        <v>30.604166666599998</v>
      </c>
      <c r="BO171" s="1260">
        <f t="shared" si="221"/>
        <v>33.516666666600003</v>
      </c>
      <c r="BP171" s="1260">
        <f t="shared" si="222"/>
        <v>35.870833333299998</v>
      </c>
      <c r="BQ171" s="1114"/>
      <c r="BR171" s="1264"/>
      <c r="BS171" s="1260"/>
      <c r="BU171" s="1087"/>
      <c r="BV171" s="1086"/>
      <c r="BW171" s="1086"/>
      <c r="BX171" s="1086"/>
    </row>
    <row r="172" spans="2:76" ht="12.75" customHeight="1">
      <c r="C172" s="1503" t="s">
        <v>552</v>
      </c>
      <c r="D172" s="1416"/>
      <c r="E172" s="1180"/>
      <c r="F172" s="1136"/>
      <c r="G172" s="1476">
        <v>60.128553647202374</v>
      </c>
      <c r="H172" s="1477">
        <v>31.946377822646106</v>
      </c>
      <c r="I172" s="1477">
        <v>37.433810982142873</v>
      </c>
      <c r="J172" s="1478">
        <v>33.962447284902595</v>
      </c>
      <c r="K172" s="1476">
        <v>30.515116445312522</v>
      </c>
      <c r="L172" s="1477">
        <v>33.011711513798716</v>
      </c>
      <c r="M172" s="1477">
        <v>42.068564527191569</v>
      </c>
      <c r="N172" s="1478">
        <v>32.950429456168834</v>
      </c>
      <c r="O172" s="1476">
        <v>25.307843413149342</v>
      </c>
      <c r="P172" s="1477">
        <v>22.80274092532467</v>
      </c>
      <c r="Q172" s="1477">
        <v>35.896205914884867</v>
      </c>
      <c r="R172" s="1477">
        <v>42.475329612418847</v>
      </c>
      <c r="S172" s="1476">
        <v>42.911978651315792</v>
      </c>
      <c r="T172" s="1477">
        <v>45.579805629058441</v>
      </c>
      <c r="U172" s="1477">
        <v>48.084160511363628</v>
      </c>
      <c r="V172" s="1478">
        <v>45.337906345373376</v>
      </c>
      <c r="W172" s="1476">
        <v>53.600572129934207</v>
      </c>
      <c r="X172" s="1477">
        <v>40.900113140016224</v>
      </c>
      <c r="Y172" s="1477">
        <v>46.183565756087653</v>
      </c>
      <c r="Z172" s="1478">
        <v>41.445947460091979</v>
      </c>
      <c r="AA172" s="1476">
        <v>28.829850453771133</v>
      </c>
      <c r="AB172" s="1477">
        <v>29.03807379386982</v>
      </c>
      <c r="AC172" s="1477">
        <v>35.943119470128089</v>
      </c>
      <c r="AD172" s="1478">
        <v>32.371010031004026</v>
      </c>
      <c r="AE172" s="1476">
        <v>21.909217117018397</v>
      </c>
      <c r="AF172" s="1477">
        <v>21.147224745129879</v>
      </c>
      <c r="AG172" s="1477">
        <v>35.217113687499996</v>
      </c>
      <c r="AH172" s="1478">
        <v>32.804729900021115</v>
      </c>
      <c r="AI172" s="1476">
        <v>27.142658075794955</v>
      </c>
      <c r="AJ172" s="1479">
        <v>32.083006007440474</v>
      </c>
      <c r="AK172" s="1479">
        <v>43.369349766774882</v>
      </c>
      <c r="AL172" s="1480">
        <v>48.204032704495603</v>
      </c>
      <c r="AM172" s="1479">
        <v>34.474168695211048</v>
      </c>
      <c r="AN172" s="1479">
        <v>27.633333333333336</v>
      </c>
      <c r="AO172" s="1479">
        <v>46.35</v>
      </c>
      <c r="AP172" s="1480">
        <v>39.75</v>
      </c>
      <c r="AQ172" s="1479">
        <v>35.039319558003335</v>
      </c>
      <c r="AR172" s="1479">
        <v>25.220609132408999</v>
      </c>
      <c r="AS172" s="1479">
        <v>40.23746037155329</v>
      </c>
      <c r="AT172" s="1480">
        <v>42.319277604434383</v>
      </c>
      <c r="AU172" s="1479">
        <v>37.701310109094798</v>
      </c>
      <c r="AV172" s="1479">
        <v>27.136657276326481</v>
      </c>
      <c r="AW172" s="1479">
        <v>43.29436160879569</v>
      </c>
      <c r="AX172" s="1480">
        <v>45.534337672183035</v>
      </c>
      <c r="AY172" s="1479">
        <v>39.12839874558054</v>
      </c>
      <c r="AZ172" s="1479">
        <v>28.16384744874204</v>
      </c>
      <c r="BA172" s="1479">
        <v>44.93316119684799</v>
      </c>
      <c r="BB172" s="1480">
        <v>47.257925942029424</v>
      </c>
      <c r="BC172" s="1123"/>
      <c r="BD172" s="1123"/>
      <c r="BE172" s="1042">
        <f t="shared" si="211"/>
        <v>40.867797434223483</v>
      </c>
      <c r="BF172" s="1042">
        <f t="shared" si="212"/>
        <v>34.636455485617915</v>
      </c>
      <c r="BG172" s="1042">
        <f t="shared" si="213"/>
        <v>31.62052996644443</v>
      </c>
      <c r="BH172" s="1044">
        <f t="shared" si="214"/>
        <v>45.478462784277809</v>
      </c>
      <c r="BI172" s="1044">
        <f t="shared" si="215"/>
        <v>45.532549621532517</v>
      </c>
      <c r="BJ172" s="1044">
        <f t="shared" si="216"/>
        <v>31.545513437193271</v>
      </c>
      <c r="BK172" s="1044">
        <f t="shared" si="217"/>
        <v>27.769571362417349</v>
      </c>
      <c r="BL172" s="1044">
        <f t="shared" si="218"/>
        <v>37.699761638626477</v>
      </c>
      <c r="BM172" s="1260">
        <f t="shared" si="219"/>
        <v>37.051875507136096</v>
      </c>
      <c r="BN172" s="1260">
        <f t="shared" si="220"/>
        <v>35.704166666600003</v>
      </c>
      <c r="BO172" s="1260">
        <f t="shared" si="221"/>
        <v>38.416666666600001</v>
      </c>
      <c r="BP172" s="1260">
        <f t="shared" si="222"/>
        <v>39.870833333299998</v>
      </c>
      <c r="BQ172" s="1114"/>
      <c r="BR172" s="1264"/>
      <c r="BS172" s="1260"/>
      <c r="BU172" s="1087"/>
      <c r="BV172" s="1086"/>
      <c r="BW172" s="1086"/>
      <c r="BX172" s="1086"/>
    </row>
    <row r="173" spans="2:76" ht="12.75" customHeight="1">
      <c r="C173" s="1503" t="s">
        <v>553</v>
      </c>
      <c r="D173" s="1416"/>
      <c r="E173" s="1180"/>
      <c r="F173" s="1136"/>
      <c r="G173" s="1476">
        <v>45.136661350916356</v>
      </c>
      <c r="H173" s="1477">
        <v>31.276324283685071</v>
      </c>
      <c r="I173" s="1477">
        <v>35.895895022321419</v>
      </c>
      <c r="J173" s="1478">
        <v>34.310879216720778</v>
      </c>
      <c r="K173" s="1476">
        <v>30.24114454975328</v>
      </c>
      <c r="L173" s="1477">
        <v>31.702068581574675</v>
      </c>
      <c r="M173" s="1477">
        <v>41.130466008522738</v>
      </c>
      <c r="N173" s="1478">
        <v>32.790118090503235</v>
      </c>
      <c r="O173" s="1476">
        <v>25.843621564529215</v>
      </c>
      <c r="P173" s="1477">
        <v>26.883430413961047</v>
      </c>
      <c r="Q173" s="1477">
        <v>32.092331157483542</v>
      </c>
      <c r="R173" s="1477">
        <v>35.354487767857144</v>
      </c>
      <c r="S173" s="1476">
        <v>38.341412275904609</v>
      </c>
      <c r="T173" s="1477">
        <v>53.221846702516224</v>
      </c>
      <c r="U173" s="1477">
        <v>43.118555716314944</v>
      </c>
      <c r="V173" s="1478">
        <v>47.006490310470774</v>
      </c>
      <c r="W173" s="1476">
        <v>54.453317212171072</v>
      </c>
      <c r="X173" s="1477">
        <v>43.800113599161243</v>
      </c>
      <c r="Y173" s="1477">
        <v>46.219888831825891</v>
      </c>
      <c r="Z173" s="1478">
        <v>42.75064843777055</v>
      </c>
      <c r="AA173" s="1476">
        <v>30.826490857906492</v>
      </c>
      <c r="AB173" s="1477">
        <v>36.661938962643021</v>
      </c>
      <c r="AC173" s="1477">
        <v>36.175045137228835</v>
      </c>
      <c r="AD173" s="1478">
        <v>31.309796634826355</v>
      </c>
      <c r="AE173" s="1476">
        <v>23.238426047889615</v>
      </c>
      <c r="AF173" s="1477">
        <v>25.958117773133125</v>
      </c>
      <c r="AG173" s="1477">
        <v>35.980332387929025</v>
      </c>
      <c r="AH173" s="1478">
        <v>36.942520320092108</v>
      </c>
      <c r="AI173" s="1476">
        <v>29.92399809991776</v>
      </c>
      <c r="AJ173" s="1479">
        <v>36.316399976055195</v>
      </c>
      <c r="AK173" s="1479">
        <v>47.946497504058435</v>
      </c>
      <c r="AL173" s="1480">
        <v>48.663296223684213</v>
      </c>
      <c r="AM173" s="1479">
        <v>34.379404778409103</v>
      </c>
      <c r="AN173" s="1479">
        <v>28.966666666666669</v>
      </c>
      <c r="AO173" s="1479">
        <v>44.1</v>
      </c>
      <c r="AP173" s="1480">
        <v>40.25</v>
      </c>
      <c r="AQ173" s="1479">
        <v>38.255538918101109</v>
      </c>
      <c r="AR173" s="1479">
        <v>29.023202192532711</v>
      </c>
      <c r="AS173" s="1479">
        <v>41.520011572445739</v>
      </c>
      <c r="AT173" s="1480">
        <v>42.017913983320447</v>
      </c>
      <c r="AU173" s="1479">
        <v>41.312092640925286</v>
      </c>
      <c r="AV173" s="1479">
        <v>31.342107616915317</v>
      </c>
      <c r="AW173" s="1479">
        <v>44.837391212950912</v>
      </c>
      <c r="AX173" s="1480">
        <v>45.375075195608474</v>
      </c>
      <c r="AY173" s="1479">
        <v>42.787524520994573</v>
      </c>
      <c r="AZ173" s="1479">
        <v>32.461468603261217</v>
      </c>
      <c r="BA173" s="1479">
        <v>46.438726613452779</v>
      </c>
      <c r="BB173" s="1480">
        <v>46.995613595491442</v>
      </c>
      <c r="BC173" s="1123"/>
      <c r="BD173" s="1123"/>
      <c r="BE173" s="1042">
        <f t="shared" si="211"/>
        <v>36.654939968410901</v>
      </c>
      <c r="BF173" s="1042">
        <f t="shared" si="212"/>
        <v>33.965949307588481</v>
      </c>
      <c r="BG173" s="1042">
        <f t="shared" si="213"/>
        <v>30.04346772595774</v>
      </c>
      <c r="BH173" s="1044">
        <f t="shared" si="214"/>
        <v>45.42207625130164</v>
      </c>
      <c r="BI173" s="1044">
        <f t="shared" si="215"/>
        <v>46.805992020232196</v>
      </c>
      <c r="BJ173" s="1044">
        <f t="shared" si="216"/>
        <v>33.743317898151176</v>
      </c>
      <c r="BK173" s="1044">
        <f t="shared" si="217"/>
        <v>30.529849132260971</v>
      </c>
      <c r="BL173" s="1044">
        <f t="shared" si="218"/>
        <v>40.712547950928908</v>
      </c>
      <c r="BM173" s="1260">
        <f t="shared" si="219"/>
        <v>36.924017861268943</v>
      </c>
      <c r="BN173" s="1260">
        <f t="shared" si="220"/>
        <v>37.704166666600003</v>
      </c>
      <c r="BO173" s="1260">
        <f t="shared" si="221"/>
        <v>40.716666666599998</v>
      </c>
      <c r="BP173" s="1260">
        <f t="shared" si="222"/>
        <v>42.170833333300003</v>
      </c>
      <c r="BQ173" s="1114"/>
      <c r="BR173" s="1264"/>
      <c r="BS173" s="1260"/>
      <c r="BU173" s="1087"/>
      <c r="BV173" s="1086"/>
      <c r="BW173" s="1086"/>
      <c r="BX173" s="1086"/>
    </row>
    <row r="174" spans="2:76" ht="12.75" customHeight="1">
      <c r="C174" s="1503" t="s">
        <v>554</v>
      </c>
      <c r="D174" s="1416"/>
      <c r="E174" s="1416"/>
      <c r="F174" s="1136"/>
      <c r="G174" s="1476">
        <v>43.829666666666668</v>
      </c>
      <c r="H174" s="1477">
        <v>28.54564516129032</v>
      </c>
      <c r="I174" s="1477">
        <v>38.119531250000001</v>
      </c>
      <c r="J174" s="1478">
        <v>33.579047619047621</v>
      </c>
      <c r="K174" s="1476">
        <v>26.340468749999999</v>
      </c>
      <c r="L174" s="1477">
        <v>27.286249999999995</v>
      </c>
      <c r="M174" s="1477">
        <v>33.397500000000015</v>
      </c>
      <c r="N174" s="1478">
        <v>30.906093749999997</v>
      </c>
      <c r="O174" s="1476">
        <v>23.229218750000008</v>
      </c>
      <c r="P174" s="1477">
        <v>12.017692307692307</v>
      </c>
      <c r="Q174" s="1477">
        <v>26.9057142857143</v>
      </c>
      <c r="R174" s="1477">
        <v>29.446000000000005</v>
      </c>
      <c r="S174" s="1476">
        <v>30.320000000000007</v>
      </c>
      <c r="T174" s="1477">
        <v>33.439538461538454</v>
      </c>
      <c r="U174" s="1477">
        <v>42.477500000000006</v>
      </c>
      <c r="V174" s="1478">
        <v>43.603750000000005</v>
      </c>
      <c r="W174" s="1476">
        <v>47.446612903225798</v>
      </c>
      <c r="X174" s="1477">
        <v>33.838307692307687</v>
      </c>
      <c r="Y174" s="1477">
        <v>40.372878787878776</v>
      </c>
      <c r="Z174" s="1478">
        <v>32.739843750000006</v>
      </c>
      <c r="AA174" s="1476">
        <v>20.717049180327873</v>
      </c>
      <c r="AB174" s="1477">
        <v>28.650317460317464</v>
      </c>
      <c r="AC174" s="1477">
        <v>33.344531250000003</v>
      </c>
      <c r="AD174" s="1478">
        <v>21.909841269841273</v>
      </c>
      <c r="AE174" s="1476">
        <v>17.523114754098362</v>
      </c>
      <c r="AF174" s="1477">
        <v>16.668125</v>
      </c>
      <c r="AG174" s="1477">
        <v>32.027968749999999</v>
      </c>
      <c r="AH174" s="1478">
        <v>25.693387096774195</v>
      </c>
      <c r="AI174" s="1476">
        <v>23.318548387096779</v>
      </c>
      <c r="AJ174" s="1479">
        <v>16.274843750000002</v>
      </c>
      <c r="AK174" s="1479">
        <v>38.276507936507947</v>
      </c>
      <c r="AL174" s="1480">
        <v>27.148064516129033</v>
      </c>
      <c r="AM174" s="1479">
        <v>21.811311475409838</v>
      </c>
      <c r="AN174" s="1479">
        <v>13.183333333333332</v>
      </c>
      <c r="AO174" s="1479">
        <v>28.649999999999995</v>
      </c>
      <c r="AP174" s="1480">
        <v>23.75</v>
      </c>
      <c r="AQ174" s="1479">
        <v>27.40712890369376</v>
      </c>
      <c r="AR174" s="1479">
        <v>18.328876562466629</v>
      </c>
      <c r="AS174" s="1479">
        <v>32.290998834121375</v>
      </c>
      <c r="AT174" s="1480">
        <v>22.389662366118252</v>
      </c>
      <c r="AU174" s="1479">
        <v>30.859744810408912</v>
      </c>
      <c r="AV174" s="1479">
        <v>20.637858688765235</v>
      </c>
      <c r="AW174" s="1479">
        <v>36.358860761949288</v>
      </c>
      <c r="AX174" s="1480">
        <v>25.210202405276569</v>
      </c>
      <c r="AY174" s="1479">
        <v>33.047766221683759</v>
      </c>
      <c r="AZ174" s="1479">
        <v>22.101126676601996</v>
      </c>
      <c r="BA174" s="1479">
        <v>38.936781166847538</v>
      </c>
      <c r="BB174" s="1480">
        <v>26.997659268066712</v>
      </c>
      <c r="BC174" s="1123"/>
      <c r="BD174" s="1123"/>
      <c r="BE174" s="1042">
        <f t="shared" si="211"/>
        <v>36.018472674251157</v>
      </c>
      <c r="BF174" s="1042">
        <f t="shared" si="212"/>
        <v>29.482578125000003</v>
      </c>
      <c r="BG174" s="1042">
        <f t="shared" si="213"/>
        <v>22.899656335851652</v>
      </c>
      <c r="BH174" s="1044">
        <f t="shared" si="214"/>
        <v>37.460197115384616</v>
      </c>
      <c r="BI174" s="1044">
        <f t="shared" si="215"/>
        <v>38.599410783353065</v>
      </c>
      <c r="BJ174" s="1044">
        <f t="shared" si="216"/>
        <v>26.155434790121653</v>
      </c>
      <c r="BK174" s="1044">
        <f t="shared" si="217"/>
        <v>22.978148900218137</v>
      </c>
      <c r="BL174" s="1044">
        <f t="shared" si="218"/>
        <v>26.254491147433441</v>
      </c>
      <c r="BM174" s="1260">
        <f t="shared" si="219"/>
        <v>21.848661202185792</v>
      </c>
      <c r="BN174" s="1260">
        <f t="shared" si="220"/>
        <v>25.104166666600001</v>
      </c>
      <c r="BO174" s="1260">
        <f t="shared" si="221"/>
        <v>28.266666666600003</v>
      </c>
      <c r="BP174" s="1260">
        <f t="shared" si="222"/>
        <v>30.270833333300001</v>
      </c>
      <c r="BQ174" s="1114"/>
      <c r="BR174" s="1264"/>
      <c r="BS174" s="1260"/>
      <c r="BU174" s="1087"/>
      <c r="BV174" s="1086"/>
      <c r="BW174" s="1086"/>
      <c r="BX174" s="1086"/>
    </row>
    <row r="175" spans="2:76" ht="12.75" customHeight="1">
      <c r="C175" s="1503"/>
      <c r="D175" s="1416"/>
      <c r="E175" s="1416"/>
      <c r="F175" s="1418"/>
      <c r="G175" s="1476">
        <v>0</v>
      </c>
      <c r="H175" s="1477">
        <v>0</v>
      </c>
      <c r="I175" s="1477">
        <v>0</v>
      </c>
      <c r="J175" s="1478">
        <v>26.057656249999997</v>
      </c>
      <c r="K175" s="1476">
        <v>44.045515136718748</v>
      </c>
      <c r="L175" s="1477">
        <v>32.527326660156241</v>
      </c>
      <c r="M175" s="1477">
        <v>107.99931884765626</v>
      </c>
      <c r="N175" s="1478">
        <v>25.141532738095243</v>
      </c>
      <c r="O175" s="1476">
        <v>22.386582031250001</v>
      </c>
      <c r="P175" s="1477">
        <v>30.746459960937493</v>
      </c>
      <c r="Q175" s="1477">
        <v>32.112728174603177</v>
      </c>
      <c r="R175" s="1477">
        <v>28.814428710937499</v>
      </c>
      <c r="S175" s="1476">
        <v>26.779603174603171</v>
      </c>
      <c r="T175" s="1479">
        <v>33.793859863281241</v>
      </c>
      <c r="U175" s="1479">
        <v>38.988039550781245</v>
      </c>
      <c r="V175" s="1480">
        <v>36.511301269531252</v>
      </c>
      <c r="W175" s="1479">
        <v>60.688715277777789</v>
      </c>
      <c r="X175" s="1479">
        <v>40.715671386718761</v>
      </c>
      <c r="Y175" s="1479">
        <v>37.175153808593763</v>
      </c>
      <c r="Z175" s="1480">
        <v>34.137402343750011</v>
      </c>
      <c r="AA175" s="1479">
        <v>26.590034722222224</v>
      </c>
      <c r="AB175" s="1479">
        <v>28.270329589843762</v>
      </c>
      <c r="AC175" s="1479">
        <v>35.146574519230789</v>
      </c>
      <c r="AD175" s="1480">
        <v>20.522995605468758</v>
      </c>
      <c r="AE175" s="1479">
        <v>18.654545898437501</v>
      </c>
      <c r="AF175" s="1479">
        <v>20.813508300781255</v>
      </c>
      <c r="AG175" s="1479">
        <v>30.13850830078125</v>
      </c>
      <c r="AH175" s="1480">
        <v>26.087876984126982</v>
      </c>
      <c r="AI175" s="1479">
        <v>21.219472656250005</v>
      </c>
      <c r="AJ175" s="1479">
        <v>26.678684082031253</v>
      </c>
      <c r="AK175" s="1479">
        <v>28.632579365079362</v>
      </c>
      <c r="AL175" s="1480">
        <v>23.46141865079365</v>
      </c>
      <c r="AM175" s="1479">
        <v>30.740278320312502</v>
      </c>
      <c r="AN175" s="1479">
        <v>33.448666666666668</v>
      </c>
      <c r="AO175" s="1479">
        <v>117.70445000000001</v>
      </c>
      <c r="AP175" s="1480">
        <v>24.139100000000003</v>
      </c>
      <c r="AQ175" s="1479">
        <v>21.658071060828828</v>
      </c>
      <c r="AR175" s="1479">
        <v>22.479432962685426</v>
      </c>
      <c r="AS175" s="1479">
        <v>68.504257165159913</v>
      </c>
      <c r="AT175" s="1480">
        <v>41.785622144525846</v>
      </c>
      <c r="AU175" s="1479">
        <v>19.257985044248056</v>
      </c>
      <c r="AV175" s="1479">
        <v>19.988325949375007</v>
      </c>
      <c r="AW175" s="1479">
        <v>60.912809651825292</v>
      </c>
      <c r="AX175" s="1480">
        <v>37.155057994951648</v>
      </c>
      <c r="AY175" s="1479">
        <v>17.900765357978706</v>
      </c>
      <c r="AZ175" s="1479">
        <v>18.579634987588069</v>
      </c>
      <c r="BA175" s="1479">
        <v>56.619937670904982</v>
      </c>
      <c r="BB175" s="1480">
        <v>34.536529834328249</v>
      </c>
      <c r="BC175" s="1123"/>
      <c r="BD175" s="1123"/>
      <c r="BE175" s="1042"/>
      <c r="BF175" s="1042"/>
      <c r="BG175" s="1042"/>
      <c r="BH175" s="1044"/>
      <c r="BI175" s="1044"/>
      <c r="BJ175" s="1044"/>
      <c r="BK175" s="1044"/>
      <c r="BL175" s="1044"/>
      <c r="BM175" s="1260"/>
      <c r="BN175" s="1260"/>
      <c r="BO175" s="1260"/>
      <c r="BP175" s="1260"/>
      <c r="BQ175" s="1114"/>
      <c r="BR175" s="1141"/>
      <c r="BU175" s="1087"/>
      <c r="BV175" s="1086"/>
      <c r="BW175" s="1086"/>
      <c r="BX175" s="1086"/>
    </row>
    <row r="176" spans="2:76" ht="12.75" customHeight="1">
      <c r="B176" s="1286"/>
      <c r="C176" s="1506" t="s">
        <v>618</v>
      </c>
      <c r="D176" s="1142"/>
      <c r="E176" s="1142"/>
      <c r="F176" s="1269"/>
      <c r="G176" s="1656"/>
      <c r="H176" s="1490"/>
      <c r="I176" s="1490"/>
      <c r="J176" s="1657"/>
      <c r="K176" s="1656"/>
      <c r="L176" s="1490"/>
      <c r="M176" s="1490"/>
      <c r="N176" s="1657"/>
      <c r="O176" s="1656"/>
      <c r="P176" s="1490"/>
      <c r="Q176" s="1490"/>
      <c r="R176" s="1490"/>
      <c r="S176" s="1659"/>
      <c r="T176" s="1481"/>
      <c r="U176" s="1481"/>
      <c r="V176" s="1482"/>
      <c r="W176" s="1481"/>
      <c r="X176" s="1481"/>
      <c r="Y176" s="1481"/>
      <c r="Z176" s="1482"/>
      <c r="AA176" s="1481"/>
      <c r="AB176" s="1483"/>
      <c r="AC176" s="1483"/>
      <c r="AD176" s="1484"/>
      <c r="AE176" s="1481"/>
      <c r="AF176" s="1483"/>
      <c r="AG176" s="1483"/>
      <c r="AH176" s="1484"/>
      <c r="AI176" s="1481"/>
      <c r="AJ176" s="1483"/>
      <c r="AK176" s="1483"/>
      <c r="AL176" s="1484"/>
      <c r="AM176" s="1483"/>
      <c r="AN176" s="1483"/>
      <c r="AO176" s="1483"/>
      <c r="AP176" s="1484"/>
      <c r="AQ176" s="1483"/>
      <c r="AR176" s="1483"/>
      <c r="AS176" s="1483"/>
      <c r="AT176" s="1484"/>
      <c r="AU176" s="1483"/>
      <c r="AV176" s="1483"/>
      <c r="AW176" s="1483"/>
      <c r="AX176" s="1484"/>
      <c r="AY176" s="1483"/>
      <c r="AZ176" s="1483"/>
      <c r="BA176" s="1483"/>
      <c r="BB176" s="1484"/>
      <c r="BC176" s="1132"/>
      <c r="BD176" s="1133"/>
      <c r="BE176" s="1043"/>
      <c r="BF176" s="1043"/>
      <c r="BG176" s="1043"/>
      <c r="BH176" s="1043"/>
      <c r="BI176" s="1043"/>
      <c r="BJ176" s="1043"/>
      <c r="BK176" s="1043"/>
      <c r="BL176" s="1043"/>
      <c r="BM176" s="1256"/>
      <c r="BN176" s="1256"/>
      <c r="BO176" s="1256"/>
      <c r="BP176" s="1256"/>
      <c r="BQ176" s="1114"/>
      <c r="BR176" s="1141"/>
      <c r="BU176" s="1087"/>
      <c r="BV176" s="1086"/>
      <c r="BW176" s="1086"/>
      <c r="BX176" s="1086"/>
    </row>
    <row r="177" spans="2:76" ht="12.75" customHeight="1">
      <c r="B177" s="1286"/>
      <c r="C177" s="1503" t="s">
        <v>611</v>
      </c>
      <c r="D177" s="1416"/>
      <c r="E177" s="1416"/>
      <c r="F177" s="1136"/>
      <c r="G177" s="1476">
        <v>44.804086956521751</v>
      </c>
      <c r="H177" s="1477">
        <v>38.409404761904753</v>
      </c>
      <c r="I177" s="1477">
        <v>41.222355072463778</v>
      </c>
      <c r="J177" s="1478">
        <v>42.090868115942037</v>
      </c>
      <c r="K177" s="1476">
        <v>51.30131863929148</v>
      </c>
      <c r="L177" s="1477">
        <v>37.850595238095231</v>
      </c>
      <c r="M177" s="1477">
        <v>39.460384963768135</v>
      </c>
      <c r="N177" s="1478">
        <v>32.516622101449258</v>
      </c>
      <c r="O177" s="1476">
        <v>27.601070632266282</v>
      </c>
      <c r="P177" s="1477">
        <v>22.926753663003662</v>
      </c>
      <c r="Q177" s="1477">
        <v>30.926911231884059</v>
      </c>
      <c r="R177" s="1477">
        <v>38.427999456521725</v>
      </c>
      <c r="S177" s="1476">
        <v>72.617844806763287</v>
      </c>
      <c r="T177" s="1477">
        <v>34.133154761904763</v>
      </c>
      <c r="U177" s="1477">
        <v>30.454148550724629</v>
      </c>
      <c r="V177" s="1478">
        <v>51.12213387681161</v>
      </c>
      <c r="W177" s="1477">
        <v>125.17613546698865</v>
      </c>
      <c r="X177" s="1477">
        <v>32.324491758241756</v>
      </c>
      <c r="Y177" s="1477">
        <v>26.776259057971</v>
      </c>
      <c r="Z177" s="1478">
        <v>31.050057065217377</v>
      </c>
      <c r="AA177" s="1477">
        <v>74.709404790660244</v>
      </c>
      <c r="AB177" s="1477">
        <v>18.747051282051284</v>
      </c>
      <c r="AC177" s="1477">
        <v>22.344044384057977</v>
      </c>
      <c r="AD177" s="1478">
        <v>20.198206884057964</v>
      </c>
      <c r="AE177" s="1477">
        <v>22.403306059882148</v>
      </c>
      <c r="AF177" s="1477">
        <v>18.611707875457874</v>
      </c>
      <c r="AG177" s="1477">
        <v>21.732721920289862</v>
      </c>
      <c r="AH177" s="1478">
        <v>28.745413949275392</v>
      </c>
      <c r="AI177" s="1477">
        <v>30.265937600644122</v>
      </c>
      <c r="AJ177" s="1479">
        <v>22.968333333333337</v>
      </c>
      <c r="AK177" s="1479">
        <v>19.421938405797103</v>
      </c>
      <c r="AL177" s="1480">
        <v>41.756125543478241</v>
      </c>
      <c r="AM177" s="1479">
        <v>55.496529991948492</v>
      </c>
      <c r="AN177" s="1479">
        <v>24.166666666666668</v>
      </c>
      <c r="AO177" s="1479">
        <v>23.3</v>
      </c>
      <c r="AP177" s="1480">
        <v>33.699999999999996</v>
      </c>
      <c r="AQ177" s="1479">
        <v>56.863680246618699</v>
      </c>
      <c r="AR177" s="1479">
        <v>22.402357917897525</v>
      </c>
      <c r="AS177" s="1479">
        <v>23.701528116853666</v>
      </c>
      <c r="AT177" s="1480">
        <v>32.932400385030085</v>
      </c>
      <c r="AU177" s="1479">
        <v>56.696324969164479</v>
      </c>
      <c r="AV177" s="1479">
        <v>22.336425624934453</v>
      </c>
      <c r="AW177" s="1479">
        <v>23.631772241101658</v>
      </c>
      <c r="AX177" s="1480">
        <v>32.8354771647994</v>
      </c>
      <c r="AY177" s="1479">
        <v>57.030965787007425</v>
      </c>
      <c r="AZ177" s="1479">
        <v>22.468262736826301</v>
      </c>
      <c r="BA177" s="1479">
        <v>23.771254925281653</v>
      </c>
      <c r="BB177" s="1480">
        <v>33.0292832172846</v>
      </c>
      <c r="BC177" s="1123"/>
      <c r="BD177" s="1123"/>
      <c r="BE177" s="1042">
        <f t="shared" ref="BE177:BE192" si="223">AVERAGE(G177:J177)</f>
        <v>41.631678726708081</v>
      </c>
      <c r="BF177" s="1042">
        <f t="shared" ref="BF177:BF192" si="224">AVERAGE(K177:N177)</f>
        <v>40.282230235651021</v>
      </c>
      <c r="BG177" s="1042">
        <f t="shared" ref="BG177:BG192" si="225">AVERAGE(O177:R177)</f>
        <v>29.970683745918933</v>
      </c>
      <c r="BH177" s="1042">
        <f t="shared" ref="BH177:BH192" si="226">AVERAGE(S177:V177)</f>
        <v>47.081820499051069</v>
      </c>
      <c r="BI177" s="1042">
        <f t="shared" ref="BI177:BI192" si="227">AVERAGE(W177:Z177)</f>
        <v>53.831735837104695</v>
      </c>
      <c r="BJ177" s="1042">
        <f t="shared" ref="BJ177:BJ192" si="228">AVERAGE(AA177:AD177)</f>
        <v>33.99967683520687</v>
      </c>
      <c r="BK177" s="1044">
        <f t="shared" ref="BK177:BK192" si="229">AVERAGE(AE177:AH177)</f>
        <v>22.873287451226318</v>
      </c>
      <c r="BL177" s="1044">
        <f t="shared" ref="BL177:BL192" si="230">AVERAGE(AI177:AL177)</f>
        <v>28.603083720813203</v>
      </c>
      <c r="BM177" s="1260">
        <f t="shared" ref="BM177:BM192" si="231">AVERAGE(AM177:AP177)</f>
        <v>34.165799164653791</v>
      </c>
      <c r="BN177" s="1260">
        <f t="shared" ref="BN177:BN192" si="232">AVERAGE(AQ177:AT177)</f>
        <v>33.974991666599998</v>
      </c>
      <c r="BO177" s="1260">
        <f t="shared" ref="BO177:BO192" si="233">AVERAGE(AU177:AX177)</f>
        <v>33.875</v>
      </c>
      <c r="BP177" s="1260">
        <f t="shared" ref="BP177:BP192" si="234">AVERAGE(AY177:BB177)</f>
        <v>34.074941666599997</v>
      </c>
      <c r="BQ177" s="1114"/>
      <c r="BR177" s="1143"/>
      <c r="BS177" s="1144"/>
      <c r="BU177" s="1087"/>
      <c r="BV177" s="1086"/>
      <c r="BW177" s="1086"/>
      <c r="BX177" s="1086"/>
    </row>
    <row r="178" spans="2:76" ht="12.75" customHeight="1">
      <c r="B178" s="1286"/>
      <c r="C178" s="1503" t="s">
        <v>517</v>
      </c>
      <c r="D178" s="1416"/>
      <c r="E178" s="1416"/>
      <c r="F178" s="1136"/>
      <c r="G178" s="1476">
        <v>30.611880233494375</v>
      </c>
      <c r="H178" s="1477">
        <v>32.835989010988996</v>
      </c>
      <c r="I178" s="1477">
        <v>38.537432065217374</v>
      </c>
      <c r="J178" s="1478">
        <v>34.208417028985515</v>
      </c>
      <c r="K178" s="1476">
        <v>35.779313405797105</v>
      </c>
      <c r="L178" s="1477">
        <v>31.184803113553112</v>
      </c>
      <c r="M178" s="1477">
        <v>33.652490942028983</v>
      </c>
      <c r="N178" s="1478">
        <v>27.712640036231885</v>
      </c>
      <c r="O178" s="1476">
        <v>23.968829033285562</v>
      </c>
      <c r="P178" s="1477">
        <v>20.569913003663</v>
      </c>
      <c r="Q178" s="1477">
        <v>27.271308876811592</v>
      </c>
      <c r="R178" s="1477">
        <v>30.6151650362319</v>
      </c>
      <c r="S178" s="1476">
        <v>35.609952294685982</v>
      </c>
      <c r="T178" s="1477">
        <v>28.352330586080591</v>
      </c>
      <c r="U178" s="1477">
        <v>26.087404891304349</v>
      </c>
      <c r="V178" s="1478">
        <v>29.252230615942018</v>
      </c>
      <c r="W178" s="1477">
        <v>74.738565619967801</v>
      </c>
      <c r="X178" s="1477">
        <v>27.261304945054935</v>
      </c>
      <c r="Y178" s="1477">
        <v>23.849180253623189</v>
      </c>
      <c r="Z178" s="1478">
        <v>21.799227355072471</v>
      </c>
      <c r="AA178" s="1477">
        <v>37.643325281803556</v>
      </c>
      <c r="AB178" s="1477">
        <v>18.227133699633701</v>
      </c>
      <c r="AC178" s="1477">
        <v>20.449230072463759</v>
      </c>
      <c r="AD178" s="1478">
        <v>14.298236956521748</v>
      </c>
      <c r="AE178" s="1477">
        <v>13.624288899506292</v>
      </c>
      <c r="AF178" s="1477">
        <v>15.5952152014652</v>
      </c>
      <c r="AG178" s="1477">
        <v>19.290855978260876</v>
      </c>
      <c r="AH178" s="1478">
        <v>17.244110869565226</v>
      </c>
      <c r="AI178" s="1477">
        <v>19.385393719806771</v>
      </c>
      <c r="AJ178" s="1479">
        <v>14.500613553113546</v>
      </c>
      <c r="AK178" s="1479">
        <v>17.318980978260868</v>
      </c>
      <c r="AL178" s="1480">
        <v>19.652653804347828</v>
      </c>
      <c r="AM178" s="1479">
        <v>32.735488727858289</v>
      </c>
      <c r="AN178" s="1479">
        <v>32.93333333333333</v>
      </c>
      <c r="AO178" s="1479">
        <v>29.3</v>
      </c>
      <c r="AP178" s="1480">
        <v>33.083333333333336</v>
      </c>
      <c r="AQ178" s="1479">
        <v>50.208915257706202</v>
      </c>
      <c r="AR178" s="1479">
        <v>32.014743875122768</v>
      </c>
      <c r="AS178" s="1479">
        <v>27.396223447236203</v>
      </c>
      <c r="AT178" s="1480">
        <v>24.304750753134826</v>
      </c>
      <c r="AU178" s="1479">
        <v>49.683624405377643</v>
      </c>
      <c r="AV178" s="1479">
        <v>31.679802321198988</v>
      </c>
      <c r="AW178" s="1479">
        <v>27.109601330599784</v>
      </c>
      <c r="AX178" s="1480">
        <v>24.050471942823588</v>
      </c>
      <c r="AY178" s="1479">
        <v>49.75851777917272</v>
      </c>
      <c r="AZ178" s="1479">
        <v>31.727556632712918</v>
      </c>
      <c r="BA178" s="1479">
        <v>27.150466495534658</v>
      </c>
      <c r="BB178" s="1480">
        <v>24.0867257589797</v>
      </c>
      <c r="BC178" s="1123"/>
      <c r="BD178" s="1123"/>
      <c r="BE178" s="1042">
        <f t="shared" si="223"/>
        <v>34.048429584671567</v>
      </c>
      <c r="BF178" s="1042">
        <f t="shared" si="224"/>
        <v>32.08231187440277</v>
      </c>
      <c r="BG178" s="1042">
        <f t="shared" si="225"/>
        <v>25.606303987498013</v>
      </c>
      <c r="BH178" s="1042">
        <f t="shared" si="226"/>
        <v>29.825479597003238</v>
      </c>
      <c r="BI178" s="1042">
        <f t="shared" si="227"/>
        <v>36.912069543429595</v>
      </c>
      <c r="BJ178" s="1042">
        <f t="shared" si="228"/>
        <v>22.654481502605691</v>
      </c>
      <c r="BK178" s="1044">
        <f t="shared" si="229"/>
        <v>16.438617737199401</v>
      </c>
      <c r="BL178" s="1044">
        <f t="shared" si="230"/>
        <v>17.714410513882253</v>
      </c>
      <c r="BM178" s="1260">
        <f t="shared" si="231"/>
        <v>32.01303884863124</v>
      </c>
      <c r="BN178" s="1260">
        <f t="shared" si="232"/>
        <v>33.481158333300002</v>
      </c>
      <c r="BO178" s="1260">
        <f t="shared" si="233"/>
        <v>33.130875000000003</v>
      </c>
      <c r="BP178" s="1260">
        <f t="shared" si="234"/>
        <v>33.180816666600002</v>
      </c>
      <c r="BQ178" s="1114"/>
      <c r="BR178" s="1143"/>
      <c r="BS178" s="1144"/>
      <c r="BU178" s="1087"/>
      <c r="BV178" s="1086"/>
      <c r="BW178" s="1086"/>
      <c r="BX178" s="1086"/>
    </row>
    <row r="179" spans="2:76" ht="12.75" customHeight="1">
      <c r="B179" s="1286"/>
      <c r="C179" s="1503" t="s">
        <v>515</v>
      </c>
      <c r="D179" s="1416"/>
      <c r="E179" s="1416"/>
      <c r="F179" s="1136"/>
      <c r="G179" s="1476">
        <v>42.842352657004845</v>
      </c>
      <c r="H179" s="1477">
        <v>38.993859890109889</v>
      </c>
      <c r="I179" s="1477">
        <v>43.926820652173916</v>
      </c>
      <c r="J179" s="1478">
        <v>40.879857427536237</v>
      </c>
      <c r="K179" s="1476">
        <v>49.229429347826084</v>
      </c>
      <c r="L179" s="1477">
        <v>35.886799450549439</v>
      </c>
      <c r="M179" s="1477">
        <v>39.740421195652168</v>
      </c>
      <c r="N179" s="1478">
        <v>30.484731521739121</v>
      </c>
      <c r="O179" s="1476">
        <v>27.569314580347193</v>
      </c>
      <c r="P179" s="1477">
        <v>22.281291208791199</v>
      </c>
      <c r="Q179" s="1477">
        <v>30.822210144927531</v>
      </c>
      <c r="R179" s="1477">
        <v>36.205649818840577</v>
      </c>
      <c r="S179" s="1476">
        <v>56.707361111111105</v>
      </c>
      <c r="T179" s="1477">
        <v>33.444134615384613</v>
      </c>
      <c r="U179" s="1477">
        <v>31.241820652173907</v>
      </c>
      <c r="V179" s="1478">
        <v>36.510255434782614</v>
      </c>
      <c r="W179" s="1477">
        <v>104.25991747181963</v>
      </c>
      <c r="X179" s="1477">
        <v>30.387303113553116</v>
      </c>
      <c r="Y179" s="1477">
        <v>25.834510869565232</v>
      </c>
      <c r="Z179" s="1478">
        <v>26.259342210144922</v>
      </c>
      <c r="AA179" s="1477">
        <v>58.731627415458931</v>
      </c>
      <c r="AB179" s="1477">
        <v>19.32760989010988</v>
      </c>
      <c r="AC179" s="1477">
        <v>22.11728713768116</v>
      </c>
      <c r="AD179" s="1478">
        <v>17.28061014492754</v>
      </c>
      <c r="AE179" s="1477">
        <v>20.397999084249086</v>
      </c>
      <c r="AF179" s="1477">
        <v>19.320544871794873</v>
      </c>
      <c r="AG179" s="1477">
        <v>22.198464673913044</v>
      </c>
      <c r="AH179" s="1478">
        <v>25.744134963768118</v>
      </c>
      <c r="AI179" s="1477">
        <v>29.326884259259263</v>
      </c>
      <c r="AJ179" s="1479">
        <v>21.279184981684978</v>
      </c>
      <c r="AK179" s="1479">
        <v>19.207495471014489</v>
      </c>
      <c r="AL179" s="1480">
        <v>28.660226630434785</v>
      </c>
      <c r="AM179" s="1479">
        <v>44.676771739130423</v>
      </c>
      <c r="AN179" s="1479">
        <v>38.200000000000003</v>
      </c>
      <c r="AO179" s="1479">
        <v>32.6</v>
      </c>
      <c r="AP179" s="1480">
        <v>41.800000000000004</v>
      </c>
      <c r="AQ179" s="1479">
        <v>67.7166668198211</v>
      </c>
      <c r="AR179" s="1479">
        <v>38.042079509049643</v>
      </c>
      <c r="AS179" s="1479">
        <v>31.175086966580828</v>
      </c>
      <c r="AT179" s="1480">
        <v>28.982800037748426</v>
      </c>
      <c r="AU179" s="1479">
        <v>68.226851296430993</v>
      </c>
      <c r="AV179" s="1479">
        <v>38.328692529668608</v>
      </c>
      <c r="AW179" s="1479">
        <v>31.409963344498731</v>
      </c>
      <c r="AX179" s="1480">
        <v>29.201159495801665</v>
      </c>
      <c r="AY179" s="1479">
        <v>68.716520101812705</v>
      </c>
      <c r="AZ179" s="1479">
        <v>38.603780192754527</v>
      </c>
      <c r="BA179" s="1479">
        <v>31.635394812252667</v>
      </c>
      <c r="BB179" s="1480">
        <v>29.410738226380104</v>
      </c>
      <c r="BC179" s="1123"/>
      <c r="BD179" s="1123"/>
      <c r="BE179" s="1042">
        <f t="shared" si="223"/>
        <v>41.660722656706227</v>
      </c>
      <c r="BF179" s="1042">
        <f t="shared" si="224"/>
        <v>38.835345378941703</v>
      </c>
      <c r="BG179" s="1042">
        <f t="shared" si="225"/>
        <v>29.219616438226623</v>
      </c>
      <c r="BH179" s="1042">
        <f t="shared" si="226"/>
        <v>39.475892953363058</v>
      </c>
      <c r="BI179" s="1042">
        <f t="shared" si="227"/>
        <v>46.685268416270723</v>
      </c>
      <c r="BJ179" s="1042">
        <f t="shared" si="228"/>
        <v>29.364283647044378</v>
      </c>
      <c r="BK179" s="1044">
        <f t="shared" si="229"/>
        <v>21.915285898431279</v>
      </c>
      <c r="BL179" s="1044">
        <f t="shared" si="230"/>
        <v>24.618447835598374</v>
      </c>
      <c r="BM179" s="1260">
        <f t="shared" si="231"/>
        <v>39.319192934782606</v>
      </c>
      <c r="BN179" s="1260">
        <f t="shared" si="232"/>
        <v>41.479158333299999</v>
      </c>
      <c r="BO179" s="1260">
        <f t="shared" si="233"/>
        <v>41.791666666600001</v>
      </c>
      <c r="BP179" s="1260">
        <f t="shared" si="234"/>
        <v>42.091608333300002</v>
      </c>
      <c r="BQ179" s="1114"/>
      <c r="BR179" s="1143"/>
      <c r="BS179" s="1144"/>
      <c r="BU179" s="1087"/>
      <c r="BV179" s="1086"/>
      <c r="BW179" s="1086"/>
      <c r="BX179" s="1086"/>
    </row>
    <row r="180" spans="2:76" ht="12.75" customHeight="1">
      <c r="B180" s="1286"/>
      <c r="C180" s="1505" t="s">
        <v>516</v>
      </c>
      <c r="D180" s="1416"/>
      <c r="E180" s="1416"/>
      <c r="F180" s="1136"/>
      <c r="G180" s="1476">
        <v>43.763039855072456</v>
      </c>
      <c r="H180" s="1477">
        <v>41.705434981684988</v>
      </c>
      <c r="I180" s="1477">
        <v>47.003220108695643</v>
      </c>
      <c r="J180" s="1478">
        <v>41.219209057971007</v>
      </c>
      <c r="K180" s="1476">
        <v>51.080749798711743</v>
      </c>
      <c r="L180" s="1477">
        <v>37.080599816849826</v>
      </c>
      <c r="M180" s="1477">
        <v>42.037432065217381</v>
      </c>
      <c r="N180" s="1478">
        <v>30.768373369565197</v>
      </c>
      <c r="O180" s="1476">
        <v>28.248588549132045</v>
      </c>
      <c r="P180" s="1477">
        <v>22.741620879120877</v>
      </c>
      <c r="Q180" s="1477">
        <v>32.049044384057972</v>
      </c>
      <c r="R180" s="1477">
        <v>36.959637137681163</v>
      </c>
      <c r="S180" s="1476">
        <v>58.074166062801964</v>
      </c>
      <c r="T180" s="1477">
        <v>34.010100732600726</v>
      </c>
      <c r="U180" s="1477">
        <v>33.497015398550722</v>
      </c>
      <c r="V180" s="1478">
        <v>35.902980434782606</v>
      </c>
      <c r="W180" s="1477">
        <v>104.53095511272141</v>
      </c>
      <c r="X180" s="1477">
        <v>30.633470695970686</v>
      </c>
      <c r="Y180" s="1477">
        <v>26.27728260869565</v>
      </c>
      <c r="Z180" s="1478">
        <v>26.346719927536238</v>
      </c>
      <c r="AA180" s="1477">
        <v>59.086149154589357</v>
      </c>
      <c r="AB180" s="1477">
        <v>19.830306776556778</v>
      </c>
      <c r="AC180" s="1477">
        <v>23.797971014492759</v>
      </c>
      <c r="AD180" s="1478">
        <v>17.491895833333331</v>
      </c>
      <c r="AE180" s="1477">
        <v>21.25929785793916</v>
      </c>
      <c r="AF180" s="1477">
        <v>20.53872252747253</v>
      </c>
      <c r="AG180" s="1477">
        <v>24.140729166666659</v>
      </c>
      <c r="AH180" s="1478">
        <v>25.848853442028986</v>
      </c>
      <c r="AI180" s="1477">
        <v>29.471096215781014</v>
      </c>
      <c r="AJ180" s="1479">
        <v>22.852271062271065</v>
      </c>
      <c r="AK180" s="1479">
        <v>20.054769021739126</v>
      </c>
      <c r="AL180" s="1480">
        <v>29.040597463768133</v>
      </c>
      <c r="AM180" s="1479">
        <v>46.970595410628015</v>
      </c>
      <c r="AN180" s="1479">
        <v>39.85</v>
      </c>
      <c r="AO180" s="1479">
        <v>34.283333333333331</v>
      </c>
      <c r="AP180" s="1480">
        <v>43.066666666666663</v>
      </c>
      <c r="AQ180" s="1479">
        <v>70.748332973984347</v>
      </c>
      <c r="AR180" s="1479">
        <v>40.060601265759729</v>
      </c>
      <c r="AS180" s="1479">
        <v>33.256854743843881</v>
      </c>
      <c r="AT180" s="1480">
        <v>29.784177682812054</v>
      </c>
      <c r="AU180" s="1479">
        <v>71.419814884174826</v>
      </c>
      <c r="AV180" s="1479">
        <v>40.440821801432321</v>
      </c>
      <c r="AW180" s="1479">
        <v>33.572500009415513</v>
      </c>
      <c r="AX180" s="1480">
        <v>30.066863304977336</v>
      </c>
      <c r="AY180" s="1479">
        <v>72.233620953267874</v>
      </c>
      <c r="AZ180" s="1479">
        <v>40.901632100009685</v>
      </c>
      <c r="BA180" s="1479">
        <v>33.955047966261908</v>
      </c>
      <c r="BB180" s="1480">
        <v>30.409465646860522</v>
      </c>
      <c r="BC180" s="1123"/>
      <c r="BD180" s="1123"/>
      <c r="BE180" s="1042">
        <f t="shared" si="223"/>
        <v>43.422726000856024</v>
      </c>
      <c r="BF180" s="1042">
        <f t="shared" si="224"/>
        <v>40.24178876258604</v>
      </c>
      <c r="BG180" s="1042">
        <f t="shared" si="225"/>
        <v>29.999722737498018</v>
      </c>
      <c r="BH180" s="1042">
        <f t="shared" si="226"/>
        <v>40.371065657184005</v>
      </c>
      <c r="BI180" s="1042">
        <f t="shared" si="227"/>
        <v>46.947107086231</v>
      </c>
      <c r="BJ180" s="1042">
        <f t="shared" si="228"/>
        <v>30.051580694743055</v>
      </c>
      <c r="BK180" s="1044">
        <f t="shared" si="229"/>
        <v>22.946900748526833</v>
      </c>
      <c r="BL180" s="1044">
        <f t="shared" si="230"/>
        <v>25.354683440889836</v>
      </c>
      <c r="BM180" s="1260">
        <f t="shared" si="231"/>
        <v>41.042648852657003</v>
      </c>
      <c r="BN180" s="1260">
        <f t="shared" si="232"/>
        <v>43.462491666600002</v>
      </c>
      <c r="BO180" s="1260">
        <f t="shared" si="233"/>
        <v>43.875</v>
      </c>
      <c r="BP180" s="1260">
        <f t="shared" si="234"/>
        <v>44.374941666599995</v>
      </c>
      <c r="BQ180" s="1114"/>
      <c r="BR180" s="1143"/>
      <c r="BS180" s="1144"/>
      <c r="BU180" s="1087"/>
      <c r="BV180" s="1086"/>
      <c r="BW180" s="1086"/>
      <c r="BX180" s="1086"/>
    </row>
    <row r="181" spans="2:76" ht="12.75" customHeight="1">
      <c r="B181" s="1286"/>
      <c r="C181" s="1505" t="s">
        <v>512</v>
      </c>
      <c r="D181" s="1416"/>
      <c r="E181" s="1416"/>
      <c r="F181" s="1136"/>
      <c r="G181" s="1476">
        <v>39.448182602375198</v>
      </c>
      <c r="H181" s="1477">
        <v>32.95930132783883</v>
      </c>
      <c r="I181" s="1477">
        <v>37.786714411684756</v>
      </c>
      <c r="J181" s="1478">
        <v>38.127121226902197</v>
      </c>
      <c r="K181" s="1476">
        <v>40.858928955797097</v>
      </c>
      <c r="L181" s="1477">
        <v>33.916098321428571</v>
      </c>
      <c r="M181" s="1477">
        <v>34.068597563405802</v>
      </c>
      <c r="N181" s="1478">
        <v>31.114616296105076</v>
      </c>
      <c r="O181" s="1476">
        <v>27.303063772177097</v>
      </c>
      <c r="P181" s="1477">
        <v>22.034301452838829</v>
      </c>
      <c r="Q181" s="1477">
        <v>26.919559772644931</v>
      </c>
      <c r="R181" s="1477">
        <v>30.869201327717395</v>
      </c>
      <c r="S181" s="1476">
        <v>33.486062323832535</v>
      </c>
      <c r="T181" s="1477">
        <v>29.612168522893782</v>
      </c>
      <c r="U181" s="1477">
        <v>28.466996774909425</v>
      </c>
      <c r="V181" s="1478">
        <v>31.005893446105066</v>
      </c>
      <c r="W181" s="1477">
        <v>78.280771197463764</v>
      </c>
      <c r="X181" s="1477">
        <v>30.680673397435903</v>
      </c>
      <c r="Y181" s="1477">
        <v>27.413026009963772</v>
      </c>
      <c r="Z181" s="1478">
        <v>29.952876293025369</v>
      </c>
      <c r="AA181" s="1477">
        <v>44.217764477254434</v>
      </c>
      <c r="AB181" s="1477">
        <v>25.028568056318672</v>
      </c>
      <c r="AC181" s="1477">
        <v>23.224815237318836</v>
      </c>
      <c r="AD181" s="1478">
        <v>22.109061745018124</v>
      </c>
      <c r="AE181" s="1477">
        <v>23.988923446826721</v>
      </c>
      <c r="AF181" s="1477">
        <v>21.266628026098903</v>
      </c>
      <c r="AG181" s="1477">
        <v>22.910100094655796</v>
      </c>
      <c r="AH181" s="1478">
        <v>25.259746692934794</v>
      </c>
      <c r="AI181" s="1477">
        <v>27.075569670692435</v>
      </c>
      <c r="AJ181" s="1479">
        <v>22.121270426282045</v>
      </c>
      <c r="AK181" s="1479">
        <v>21.948979516304348</v>
      </c>
      <c r="AL181" s="1480">
        <v>28.679605414130428</v>
      </c>
      <c r="AM181" s="1479">
        <v>43.803590137359109</v>
      </c>
      <c r="AN181" s="1479">
        <v>24.95</v>
      </c>
      <c r="AO181" s="1479">
        <v>24.783333333333331</v>
      </c>
      <c r="AP181" s="1480">
        <v>25.683333333333334</v>
      </c>
      <c r="AQ181" s="1479">
        <v>32.710239316820804</v>
      </c>
      <c r="AR181" s="1479">
        <v>20.631697104333988</v>
      </c>
      <c r="AS181" s="1479">
        <v>20.527571740433242</v>
      </c>
      <c r="AT181" s="1480">
        <v>31.93845850481198</v>
      </c>
      <c r="AU181" s="1479">
        <v>32.33891227956417</v>
      </c>
      <c r="AV181" s="1479">
        <v>20.397485826173483</v>
      </c>
      <c r="AW181" s="1479">
        <v>20.29454249467874</v>
      </c>
      <c r="AX181" s="1480">
        <v>31.575892732783615</v>
      </c>
      <c r="AY181" s="1479">
        <v>32.400669590326544</v>
      </c>
      <c r="AZ181" s="1479">
        <v>20.436438709314643</v>
      </c>
      <c r="BA181" s="1479">
        <v>20.333298787926616</v>
      </c>
      <c r="BB181" s="1480">
        <v>31.636192912432207</v>
      </c>
      <c r="BC181" s="1123"/>
      <c r="BD181" s="1123"/>
      <c r="BE181" s="1042">
        <f t="shared" si="223"/>
        <v>37.080329892200247</v>
      </c>
      <c r="BF181" s="1042">
        <f t="shared" si="224"/>
        <v>34.989560284184137</v>
      </c>
      <c r="BG181" s="1042">
        <f t="shared" si="225"/>
        <v>26.781531581344563</v>
      </c>
      <c r="BH181" s="1042">
        <f t="shared" si="226"/>
        <v>30.642780266935201</v>
      </c>
      <c r="BI181" s="1042">
        <f t="shared" si="227"/>
        <v>41.581836724472197</v>
      </c>
      <c r="BJ181" s="1042">
        <f t="shared" si="228"/>
        <v>28.645052378977518</v>
      </c>
      <c r="BK181" s="1044">
        <f t="shared" si="229"/>
        <v>23.356349565129054</v>
      </c>
      <c r="BL181" s="1044">
        <f t="shared" si="230"/>
        <v>24.956356256852317</v>
      </c>
      <c r="BM181" s="1260">
        <f t="shared" si="231"/>
        <v>29.805064201006445</v>
      </c>
      <c r="BN181" s="1260">
        <f t="shared" si="232"/>
        <v>26.451991666600001</v>
      </c>
      <c r="BO181" s="1260">
        <f t="shared" si="233"/>
        <v>26.1517083333</v>
      </c>
      <c r="BP181" s="1260">
        <f t="shared" si="234"/>
        <v>26.201650000000004</v>
      </c>
      <c r="BQ181" s="1114"/>
      <c r="BR181" s="1143"/>
      <c r="BS181" s="1144"/>
      <c r="BU181" s="1087"/>
      <c r="BV181" s="1086"/>
      <c r="BW181" s="1086"/>
      <c r="BX181" s="1086"/>
    </row>
    <row r="182" spans="2:76" ht="12.75" customHeight="1">
      <c r="B182" s="1286"/>
      <c r="C182" s="1505" t="s">
        <v>703</v>
      </c>
      <c r="D182" s="1416"/>
      <c r="E182" s="1416"/>
      <c r="F182" s="1136"/>
      <c r="G182" s="1476">
        <v>43.12788123345409</v>
      </c>
      <c r="H182" s="1477">
        <v>35.696539456043951</v>
      </c>
      <c r="I182" s="1477">
        <v>41.941960537590575</v>
      </c>
      <c r="J182" s="1478">
        <v>39.099061662771746</v>
      </c>
      <c r="K182" s="1476">
        <v>45.558643104669883</v>
      </c>
      <c r="L182" s="1477">
        <v>35.489017982600728</v>
      </c>
      <c r="M182" s="1477">
        <v>37.110367609148561</v>
      </c>
      <c r="N182" s="1478">
        <v>30.853395797826089</v>
      </c>
      <c r="O182" s="1476">
        <v>28.838922174609813</v>
      </c>
      <c r="P182" s="1477">
        <v>21.591528022435909</v>
      </c>
      <c r="Q182" s="1477">
        <v>30.122786553894926</v>
      </c>
      <c r="R182" s="1477">
        <v>32.447619825815202</v>
      </c>
      <c r="S182" s="1476">
        <v>34.55972632302737</v>
      </c>
      <c r="T182" s="1477">
        <v>31.325106590201472</v>
      </c>
      <c r="U182" s="1477">
        <v>30.007325350543471</v>
      </c>
      <c r="V182" s="1478">
        <v>32.19676385769926</v>
      </c>
      <c r="W182" s="1477">
        <v>90.786707820652168</v>
      </c>
      <c r="X182" s="1477">
        <v>30.634786767857143</v>
      </c>
      <c r="Y182" s="1477">
        <v>26.507552103713767</v>
      </c>
      <c r="Z182" s="1478">
        <v>37.660706784782626</v>
      </c>
      <c r="AA182" s="1477">
        <v>52.91501483514493</v>
      </c>
      <c r="AB182" s="1477">
        <v>25.152664907509156</v>
      </c>
      <c r="AC182" s="1477">
        <v>20.837114357789854</v>
      </c>
      <c r="AD182" s="1478">
        <v>25.347991754166664</v>
      </c>
      <c r="AE182" s="1477">
        <v>25.346020121237455</v>
      </c>
      <c r="AF182" s="1477">
        <v>19.254250642399267</v>
      </c>
      <c r="AG182" s="1477">
        <v>21.072814450181166</v>
      </c>
      <c r="AH182" s="1478">
        <v>21.316599519927536</v>
      </c>
      <c r="AI182" s="1477">
        <v>29.336510980555559</v>
      </c>
      <c r="AJ182" s="1479">
        <v>21.736222810439564</v>
      </c>
      <c r="AK182" s="1479">
        <v>19.181085373188402</v>
      </c>
      <c r="AL182" s="1480">
        <v>33.856300585507235</v>
      </c>
      <c r="AM182" s="1479">
        <v>46.651077805173117</v>
      </c>
      <c r="AN182" s="1479">
        <v>25.158666666666665</v>
      </c>
      <c r="AO182" s="1479">
        <v>25.266666666666666</v>
      </c>
      <c r="AP182" s="1480">
        <v>25.499833333333331</v>
      </c>
      <c r="AQ182" s="1479">
        <v>37.348531597794079</v>
      </c>
      <c r="AR182" s="1479">
        <v>20.745010650110846</v>
      </c>
      <c r="AS182" s="1479">
        <v>21.194398638146534</v>
      </c>
      <c r="AT182" s="1480">
        <v>30.991359113948537</v>
      </c>
      <c r="AU182" s="1479">
        <v>37.020764656216237</v>
      </c>
      <c r="AV182" s="1479">
        <v>20.562954531626438</v>
      </c>
      <c r="AW182" s="1479">
        <v>21.008398736061569</v>
      </c>
      <c r="AX182" s="1480">
        <v>30.719382076095741</v>
      </c>
      <c r="AY182" s="1479">
        <v>37.359357818581813</v>
      </c>
      <c r="AZ182" s="1479">
        <v>20.751024007421933</v>
      </c>
      <c r="BA182" s="1479">
        <v>21.200542259576977</v>
      </c>
      <c r="BB182" s="1480">
        <v>31.000342580819272</v>
      </c>
      <c r="BC182" s="1123"/>
      <c r="BD182" s="1123"/>
      <c r="BE182" s="1042">
        <f t="shared" si="223"/>
        <v>39.96636072246509</v>
      </c>
      <c r="BF182" s="1042">
        <f t="shared" si="224"/>
        <v>37.252856123561315</v>
      </c>
      <c r="BG182" s="1042">
        <f t="shared" si="225"/>
        <v>28.250214144188959</v>
      </c>
      <c r="BH182" s="1042">
        <f t="shared" si="226"/>
        <v>32.022230530367892</v>
      </c>
      <c r="BI182" s="1042">
        <f t="shared" si="227"/>
        <v>46.397438369251432</v>
      </c>
      <c r="BJ182" s="1042">
        <f t="shared" si="228"/>
        <v>31.063196463652652</v>
      </c>
      <c r="BK182" s="1044">
        <f t="shared" si="229"/>
        <v>21.747421183436355</v>
      </c>
      <c r="BL182" s="1044">
        <f t="shared" si="230"/>
        <v>26.027529937422692</v>
      </c>
      <c r="BM182" s="1260">
        <f t="shared" si="231"/>
        <v>30.644061117959943</v>
      </c>
      <c r="BN182" s="1260">
        <f t="shared" si="232"/>
        <v>27.569824999999998</v>
      </c>
      <c r="BO182" s="1260">
        <f t="shared" si="233"/>
        <v>27.327874999999995</v>
      </c>
      <c r="BP182" s="1260">
        <f t="shared" si="234"/>
        <v>27.5778166666</v>
      </c>
      <c r="BQ182" s="1114"/>
      <c r="BR182" s="1143"/>
      <c r="BS182" s="1144"/>
      <c r="BU182" s="1087"/>
      <c r="BV182" s="1086"/>
      <c r="BW182" s="1086"/>
      <c r="BX182" s="1086"/>
    </row>
    <row r="183" spans="2:76" ht="12.75" customHeight="1">
      <c r="B183" s="1286"/>
      <c r="C183" s="1505" t="s">
        <v>532</v>
      </c>
      <c r="D183" s="1416"/>
      <c r="E183" s="1416"/>
      <c r="F183" s="1136"/>
      <c r="G183" s="1476">
        <v>33.65507139897344</v>
      </c>
      <c r="H183" s="1477">
        <v>27.940983067765572</v>
      </c>
      <c r="I183" s="1477">
        <v>31.064639944746379</v>
      </c>
      <c r="J183" s="1478">
        <v>31.179066678713756</v>
      </c>
      <c r="K183" s="1476">
        <v>33.366856885466987</v>
      </c>
      <c r="L183" s="1477">
        <v>30.988586447802195</v>
      </c>
      <c r="M183" s="1477">
        <v>31.983560708333318</v>
      </c>
      <c r="N183" s="1478">
        <v>30.553551319112341</v>
      </c>
      <c r="O183" s="1476">
        <v>25.678486559862229</v>
      </c>
      <c r="P183" s="1477">
        <v>21.65716656639195</v>
      </c>
      <c r="Q183" s="1477">
        <v>25.59958281884057</v>
      </c>
      <c r="R183" s="1477">
        <v>29.691809545561608</v>
      </c>
      <c r="S183" s="1476">
        <v>30.712843264895323</v>
      </c>
      <c r="T183" s="1477">
        <v>28.683858509157513</v>
      </c>
      <c r="U183" s="1477">
        <v>26.289797765398554</v>
      </c>
      <c r="V183" s="1478">
        <v>28.58454812028986</v>
      </c>
      <c r="W183" s="1477">
        <v>55.582024361513675</v>
      </c>
      <c r="X183" s="1477">
        <v>30.848939755952369</v>
      </c>
      <c r="Y183" s="1477">
        <v>26.474229680253622</v>
      </c>
      <c r="Z183" s="1478">
        <v>30.106497532518123</v>
      </c>
      <c r="AA183" s="1477">
        <v>33.672197658071667</v>
      </c>
      <c r="AB183" s="1477">
        <v>24.408332260531143</v>
      </c>
      <c r="AC183" s="1477">
        <v>22.758183921195638</v>
      </c>
      <c r="AD183" s="1478">
        <v>22.005480128297094</v>
      </c>
      <c r="AE183" s="1477">
        <v>21.940509499422674</v>
      </c>
      <c r="AF183" s="1477">
        <v>21.194626118131868</v>
      </c>
      <c r="AG183" s="1477">
        <v>22.397125852355067</v>
      </c>
      <c r="AH183" s="1478">
        <v>25.119274915036236</v>
      </c>
      <c r="AI183" s="1477">
        <v>25.609943032206107</v>
      </c>
      <c r="AJ183" s="1479">
        <v>22.558270758241754</v>
      </c>
      <c r="AK183" s="1479">
        <v>22.753793536231882</v>
      </c>
      <c r="AL183" s="1480">
        <v>26.193597912862309</v>
      </c>
      <c r="AM183" s="1479">
        <v>34.436698074516897</v>
      </c>
      <c r="AN183" s="1479">
        <v>25.55</v>
      </c>
      <c r="AO183" s="1479">
        <v>25.216666666666669</v>
      </c>
      <c r="AP183" s="1480">
        <v>25.316666666666663</v>
      </c>
      <c r="AQ183" s="1479">
        <v>30.065523917280856</v>
      </c>
      <c r="AR183" s="1479">
        <v>21.597016408139439</v>
      </c>
      <c r="AS183" s="1479">
        <v>21.984059712944806</v>
      </c>
      <c r="AT183" s="1480">
        <v>28.678033294834901</v>
      </c>
      <c r="AU183" s="1479">
        <v>29.607950419373292</v>
      </c>
      <c r="AV183" s="1479">
        <v>21.268326897541574</v>
      </c>
      <c r="AW183" s="1479">
        <v>21.649479709325476</v>
      </c>
      <c r="AX183" s="1480">
        <v>28.241576306959669</v>
      </c>
      <c r="AY183" s="1479">
        <v>29.616706401032346</v>
      </c>
      <c r="AZ183" s="1479">
        <v>21.274616596004179</v>
      </c>
      <c r="BA183" s="1479">
        <v>21.65588212639852</v>
      </c>
      <c r="BB183" s="1480">
        <v>28.24992820976496</v>
      </c>
      <c r="BC183" s="1123"/>
      <c r="BD183" s="1123"/>
      <c r="BE183" s="1042">
        <f t="shared" si="223"/>
        <v>30.959940272549787</v>
      </c>
      <c r="BF183" s="1042">
        <f t="shared" si="224"/>
        <v>31.723138840178709</v>
      </c>
      <c r="BG183" s="1042">
        <f t="shared" si="225"/>
        <v>25.656761372664089</v>
      </c>
      <c r="BH183" s="1042">
        <f t="shared" si="226"/>
        <v>28.567761914935311</v>
      </c>
      <c r="BI183" s="1042">
        <f t="shared" si="227"/>
        <v>35.752922832559449</v>
      </c>
      <c r="BJ183" s="1042">
        <f t="shared" si="228"/>
        <v>25.711048492023885</v>
      </c>
      <c r="BK183" s="1044">
        <f t="shared" si="229"/>
        <v>22.662884096236461</v>
      </c>
      <c r="BL183" s="1044">
        <f t="shared" si="230"/>
        <v>24.278901309885512</v>
      </c>
      <c r="BM183" s="1260">
        <f t="shared" si="231"/>
        <v>27.630007851962556</v>
      </c>
      <c r="BN183" s="1260">
        <f t="shared" si="232"/>
        <v>25.581158333300003</v>
      </c>
      <c r="BO183" s="1260">
        <f t="shared" si="233"/>
        <v>25.191833333300004</v>
      </c>
      <c r="BP183" s="1260">
        <f t="shared" si="234"/>
        <v>25.199283333300002</v>
      </c>
      <c r="BQ183" s="1114"/>
      <c r="BR183" s="1143"/>
      <c r="BS183" s="1144"/>
      <c r="BU183" s="1087"/>
      <c r="BV183" s="1086"/>
      <c r="BW183" s="1086"/>
      <c r="BX183" s="1086"/>
    </row>
    <row r="184" spans="2:76" ht="12.75" customHeight="1">
      <c r="B184" s="1286"/>
      <c r="C184" s="1505" t="s">
        <v>281</v>
      </c>
      <c r="D184" s="1416"/>
      <c r="E184" s="1416"/>
      <c r="F184" s="1136"/>
      <c r="G184" s="1476">
        <v>33.577120008313223</v>
      </c>
      <c r="H184" s="1477">
        <v>28.007368155677657</v>
      </c>
      <c r="I184" s="1477">
        <v>31.199241193840571</v>
      </c>
      <c r="J184" s="1478">
        <v>31.280175134510877</v>
      </c>
      <c r="K184" s="1476">
        <v>33.316046651227865</v>
      </c>
      <c r="L184" s="1477">
        <v>31.034006899725281</v>
      </c>
      <c r="M184" s="1477">
        <v>32.137521466938395</v>
      </c>
      <c r="N184" s="1478">
        <v>30.682761882608698</v>
      </c>
      <c r="O184" s="1476">
        <v>25.679288122073572</v>
      </c>
      <c r="P184" s="1477">
        <v>21.775065671703299</v>
      </c>
      <c r="Q184" s="1477">
        <v>25.7171560271739</v>
      </c>
      <c r="R184" s="1477">
        <v>29.781977215851452</v>
      </c>
      <c r="S184" s="1476">
        <v>30.59628365193236</v>
      </c>
      <c r="T184" s="1477">
        <v>28.85574062912087</v>
      </c>
      <c r="U184" s="1477">
        <v>26.426258410326099</v>
      </c>
      <c r="V184" s="1478">
        <v>28.631262306884061</v>
      </c>
      <c r="W184" s="1477">
        <v>55.245883308574896</v>
      </c>
      <c r="X184" s="1477">
        <v>31.092236393315009</v>
      </c>
      <c r="Y184" s="1477">
        <v>26.565221706068847</v>
      </c>
      <c r="Z184" s="1478">
        <v>29.935611420199269</v>
      </c>
      <c r="AA184" s="1477">
        <v>33.546102769424323</v>
      </c>
      <c r="AB184" s="1477">
        <v>24.350682732600731</v>
      </c>
      <c r="AC184" s="1477">
        <v>22.832639235507255</v>
      </c>
      <c r="AD184" s="1478">
        <v>21.995092569728257</v>
      </c>
      <c r="AE184" s="1477">
        <v>22.062136905279502</v>
      </c>
      <c r="AF184" s="1477">
        <v>21.344116594322344</v>
      </c>
      <c r="AG184" s="1477">
        <v>22.51157196376812</v>
      </c>
      <c r="AH184" s="1478">
        <v>25.05356571974637</v>
      </c>
      <c r="AI184" s="1477">
        <v>25.637689978663452</v>
      </c>
      <c r="AJ184" s="1479">
        <v>22.658216380036624</v>
      </c>
      <c r="AK184" s="1479">
        <v>22.877026026268119</v>
      </c>
      <c r="AL184" s="1480">
        <v>26.103430919021747</v>
      </c>
      <c r="AM184" s="1479">
        <v>33.49635729142512</v>
      </c>
      <c r="AN184" s="1479">
        <v>24.3</v>
      </c>
      <c r="AO184" s="1479">
        <v>24.716666666666669</v>
      </c>
      <c r="AP184" s="1480">
        <v>24.833333333333332</v>
      </c>
      <c r="AQ184" s="1479">
        <v>26.535204784504245</v>
      </c>
      <c r="AR184" s="1479">
        <v>20.510009202701678</v>
      </c>
      <c r="AS184" s="1479">
        <v>20.875172571295771</v>
      </c>
      <c r="AT184" s="1480">
        <v>29.770913441498301</v>
      </c>
      <c r="AU184" s="1479">
        <v>26.434034268000321</v>
      </c>
      <c r="AV184" s="1479">
        <v>20.43181089063328</v>
      </c>
      <c r="AW184" s="1479">
        <v>20.795582004413099</v>
      </c>
      <c r="AX184" s="1480">
        <v>29.657406170153298</v>
      </c>
      <c r="AY184" s="1479">
        <v>26.496453235293</v>
      </c>
      <c r="AZ184" s="1479">
        <v>20.480056743792986</v>
      </c>
      <c r="BA184" s="1479">
        <v>20.844686834186923</v>
      </c>
      <c r="BB184" s="1480">
        <v>29.727436519927089</v>
      </c>
      <c r="BC184" s="1123"/>
      <c r="BD184" s="1123"/>
      <c r="BE184" s="1042">
        <f t="shared" si="223"/>
        <v>31.015976123085579</v>
      </c>
      <c r="BF184" s="1042">
        <f t="shared" si="224"/>
        <v>31.792584225125061</v>
      </c>
      <c r="BG184" s="1042">
        <f t="shared" si="225"/>
        <v>25.738371759200557</v>
      </c>
      <c r="BH184" s="1042">
        <f t="shared" si="226"/>
        <v>28.627386249565845</v>
      </c>
      <c r="BI184" s="1042">
        <f t="shared" si="227"/>
        <v>35.709738207039507</v>
      </c>
      <c r="BJ184" s="1042">
        <f t="shared" si="228"/>
        <v>25.681129326815142</v>
      </c>
      <c r="BK184" s="1044">
        <f t="shared" si="229"/>
        <v>22.742847795779085</v>
      </c>
      <c r="BL184" s="1044">
        <f t="shared" si="230"/>
        <v>24.319090825997485</v>
      </c>
      <c r="BM184" s="1260">
        <f t="shared" si="231"/>
        <v>26.83658932285628</v>
      </c>
      <c r="BN184" s="1260">
        <f t="shared" si="232"/>
        <v>24.422824999999996</v>
      </c>
      <c r="BO184" s="1260">
        <f t="shared" si="233"/>
        <v>24.329708333300001</v>
      </c>
      <c r="BP184" s="1260">
        <f t="shared" si="234"/>
        <v>24.3871583333</v>
      </c>
      <c r="BQ184" s="1114"/>
      <c r="BR184" s="1143"/>
      <c r="BS184" s="1144"/>
      <c r="BU184" s="1087"/>
      <c r="BV184" s="1086"/>
      <c r="BW184" s="1086"/>
      <c r="BX184" s="1086"/>
    </row>
    <row r="185" spans="2:76" ht="12.75" customHeight="1">
      <c r="B185" s="1286"/>
      <c r="C185" s="1505" t="s">
        <v>549</v>
      </c>
      <c r="D185" s="1416"/>
      <c r="E185" s="1416"/>
      <c r="F185" s="1136"/>
      <c r="G185" s="1476">
        <v>27.647922274134451</v>
      </c>
      <c r="H185" s="1477">
        <v>22.058756606684991</v>
      </c>
      <c r="I185" s="1477">
        <v>25.77205439356884</v>
      </c>
      <c r="J185" s="1478">
        <v>20.233505312028988</v>
      </c>
      <c r="K185" s="1476">
        <v>28.117182428522533</v>
      </c>
      <c r="L185" s="1477">
        <v>24.030010341117219</v>
      </c>
      <c r="M185" s="1477">
        <v>25.858050654891304</v>
      </c>
      <c r="N185" s="1478">
        <v>19.96068864096015</v>
      </c>
      <c r="O185" s="1476">
        <v>23.311520222746449</v>
      </c>
      <c r="P185" s="1477">
        <v>18.617785842032969</v>
      </c>
      <c r="Q185" s="1477">
        <v>23.770870774456522</v>
      </c>
      <c r="R185" s="1477">
        <v>21.751328907065218</v>
      </c>
      <c r="S185" s="1476">
        <v>27.102873879810776</v>
      </c>
      <c r="T185" s="1477">
        <v>23.983492510531136</v>
      </c>
      <c r="U185" s="1477">
        <v>24.337539511322465</v>
      </c>
      <c r="V185" s="1478">
        <v>25.034081106974629</v>
      </c>
      <c r="W185" s="1477">
        <v>46.659030578200486</v>
      </c>
      <c r="X185" s="1477">
        <v>25.040844436355307</v>
      </c>
      <c r="Y185" s="1477">
        <v>24.573567941576091</v>
      </c>
      <c r="Z185" s="1478">
        <v>25.868583025362319</v>
      </c>
      <c r="AA185" s="1477">
        <v>29.701038306400971</v>
      </c>
      <c r="AB185" s="1477">
        <v>18.405672966575075</v>
      </c>
      <c r="AC185" s="1477">
        <v>21.186602595561595</v>
      </c>
      <c r="AD185" s="1478">
        <v>19.679295579764492</v>
      </c>
      <c r="AE185" s="1477">
        <v>19.228153737279026</v>
      </c>
      <c r="AF185" s="1477">
        <v>18.306781789377293</v>
      </c>
      <c r="AG185" s="1477">
        <v>21.426197764039859</v>
      </c>
      <c r="AH185" s="1478">
        <v>22.45641746277175</v>
      </c>
      <c r="AI185" s="1477">
        <v>23.077807067310793</v>
      </c>
      <c r="AJ185" s="1479">
        <v>19.554939797619053</v>
      </c>
      <c r="AK185" s="1479">
        <v>18.802316540760863</v>
      </c>
      <c r="AL185" s="1480">
        <v>22.818591313496391</v>
      </c>
      <c r="AM185" s="1479">
        <v>25.592786000905793</v>
      </c>
      <c r="AN185" s="1479">
        <v>19.816666666666666</v>
      </c>
      <c r="AO185" s="1479">
        <v>21.45</v>
      </c>
      <c r="AP185" s="1480">
        <v>20.516666666666669</v>
      </c>
      <c r="AQ185" s="1479">
        <v>27.334808227990884</v>
      </c>
      <c r="AR185" s="1479">
        <v>19.223933699175628</v>
      </c>
      <c r="AS185" s="1479">
        <v>19.937159884736072</v>
      </c>
      <c r="AT185" s="1480">
        <v>20.328731521297417</v>
      </c>
      <c r="AU185" s="1479">
        <v>27.753990948397757</v>
      </c>
      <c r="AV185" s="1479">
        <v>19.518735139073424</v>
      </c>
      <c r="AW185" s="1479">
        <v>20.242898737848368</v>
      </c>
      <c r="AX185" s="1480">
        <v>20.640475174680446</v>
      </c>
      <c r="AY185" s="1479">
        <v>27.7633728168137</v>
      </c>
      <c r="AZ185" s="1479">
        <v>19.52533318852371</v>
      </c>
      <c r="BA185" s="1479">
        <v>20.24974158119543</v>
      </c>
      <c r="BB185" s="1480">
        <v>20.647452413467164</v>
      </c>
      <c r="BC185" s="1123"/>
      <c r="BD185" s="1123"/>
      <c r="BE185" s="1042">
        <f t="shared" si="223"/>
        <v>23.928059646604318</v>
      </c>
      <c r="BF185" s="1042">
        <f t="shared" si="224"/>
        <v>24.491483016372804</v>
      </c>
      <c r="BG185" s="1042">
        <f t="shared" si="225"/>
        <v>21.862876436575288</v>
      </c>
      <c r="BH185" s="1042">
        <f t="shared" si="226"/>
        <v>25.114496752159749</v>
      </c>
      <c r="BI185" s="1042">
        <f t="shared" si="227"/>
        <v>30.535506495373554</v>
      </c>
      <c r="BJ185" s="1042">
        <f t="shared" si="228"/>
        <v>22.243152362075534</v>
      </c>
      <c r="BK185" s="1044">
        <f t="shared" si="229"/>
        <v>20.354387688366984</v>
      </c>
      <c r="BL185" s="1044">
        <f t="shared" si="230"/>
        <v>21.063413679796774</v>
      </c>
      <c r="BM185" s="1260">
        <f t="shared" si="231"/>
        <v>21.84402983355978</v>
      </c>
      <c r="BN185" s="1260">
        <f t="shared" si="232"/>
        <v>21.706158333299999</v>
      </c>
      <c r="BO185" s="1260">
        <f t="shared" si="233"/>
        <v>22.039024999999999</v>
      </c>
      <c r="BP185" s="1260">
        <f t="shared" si="234"/>
        <v>22.046475000000001</v>
      </c>
      <c r="BQ185" s="1114"/>
      <c r="BR185" s="1143"/>
      <c r="BS185" s="1144"/>
      <c r="BU185" s="1087"/>
      <c r="BV185" s="1086"/>
      <c r="BW185" s="1086"/>
      <c r="BX185" s="1086"/>
    </row>
    <row r="186" spans="2:76" ht="12.75" customHeight="1">
      <c r="B186" s="1286"/>
      <c r="C186" s="1505" t="s">
        <v>518</v>
      </c>
      <c r="D186" s="1416"/>
      <c r="E186" s="1416"/>
      <c r="F186" s="1136"/>
      <c r="G186" s="1476">
        <v>35.104179045893723</v>
      </c>
      <c r="H186" s="1477">
        <v>28.634282280219779</v>
      </c>
      <c r="I186" s="1477">
        <v>31.990215126811602</v>
      </c>
      <c r="J186" s="1478">
        <v>25.825695788043475</v>
      </c>
      <c r="K186" s="1476">
        <v>29.660326036634473</v>
      </c>
      <c r="L186" s="1477">
        <v>28.345022893772899</v>
      </c>
      <c r="M186" s="1477">
        <v>31.569142889492749</v>
      </c>
      <c r="N186" s="1478">
        <v>23.404596059782612</v>
      </c>
      <c r="O186" s="1476">
        <v>19.561595895046977</v>
      </c>
      <c r="P186" s="1477">
        <v>17.118434065934071</v>
      </c>
      <c r="Q186" s="1477">
        <v>21.168782835144924</v>
      </c>
      <c r="R186" s="1477">
        <v>22.251092119565214</v>
      </c>
      <c r="S186" s="1476">
        <v>23.22272348027375</v>
      </c>
      <c r="T186" s="1477">
        <v>26.715190018315013</v>
      </c>
      <c r="U186" s="1477">
        <v>25.701721014492755</v>
      </c>
      <c r="V186" s="1478">
        <v>27.180492210144916</v>
      </c>
      <c r="W186" s="1477">
        <v>31.78499773550724</v>
      </c>
      <c r="X186" s="1477">
        <v>31.412413003663001</v>
      </c>
      <c r="Y186" s="1477">
        <v>28.854929800724651</v>
      </c>
      <c r="Z186" s="1478">
        <v>25.233000181159419</v>
      </c>
      <c r="AA186" s="1477">
        <v>22.140641555958133</v>
      </c>
      <c r="AB186" s="1477">
        <v>21.621235119047622</v>
      </c>
      <c r="AC186" s="1477">
        <v>20.30612658514492</v>
      </c>
      <c r="AD186" s="1478">
        <v>16.061473550724639</v>
      </c>
      <c r="AE186" s="1477">
        <v>13.842845198279973</v>
      </c>
      <c r="AF186" s="1477">
        <v>14.911001602564097</v>
      </c>
      <c r="AG186" s="1477">
        <v>23.475191349637686</v>
      </c>
      <c r="AH186" s="1478">
        <v>18.614083197463771</v>
      </c>
      <c r="AI186" s="1477">
        <v>19.355630787037047</v>
      </c>
      <c r="AJ186" s="1479">
        <v>24.49456959706961</v>
      </c>
      <c r="AK186" s="1479">
        <v>22.786469655797116</v>
      </c>
      <c r="AL186" s="1480">
        <v>20.007914900362312</v>
      </c>
      <c r="AM186" s="1479">
        <v>20.159236262077297</v>
      </c>
      <c r="AN186" s="1479">
        <v>22.893873333333332</v>
      </c>
      <c r="AO186" s="1479">
        <v>28.907523333333334</v>
      </c>
      <c r="AP186" s="1480">
        <v>20.204750000000001</v>
      </c>
      <c r="AQ186" s="1479">
        <v>20.922026845642609</v>
      </c>
      <c r="AR186" s="1479">
        <v>19.193142488186361</v>
      </c>
      <c r="AS186" s="1479">
        <v>23.750424272466308</v>
      </c>
      <c r="AT186" s="1480">
        <v>20.145536393704717</v>
      </c>
      <c r="AU186" s="1479">
        <v>21.12106749399333</v>
      </c>
      <c r="AV186" s="1479">
        <v>19.375735482303082</v>
      </c>
      <c r="AW186" s="1479">
        <v>23.97637273724332</v>
      </c>
      <c r="AX186" s="1480">
        <v>20.337189939260277</v>
      </c>
      <c r="AY186" s="1479">
        <v>20.82675586398943</v>
      </c>
      <c r="AZ186" s="1479">
        <v>19.105744190719797</v>
      </c>
      <c r="BA186" s="1479">
        <v>23.642273840779588</v>
      </c>
      <c r="BB186" s="1480">
        <v>20.053801255311189</v>
      </c>
      <c r="BC186" s="1123"/>
      <c r="BD186" s="1123"/>
      <c r="BE186" s="1042">
        <f t="shared" si="223"/>
        <v>30.388593060242144</v>
      </c>
      <c r="BF186" s="1042">
        <f t="shared" si="224"/>
        <v>28.244771969920684</v>
      </c>
      <c r="BG186" s="1042">
        <f t="shared" si="225"/>
        <v>20.024976228922796</v>
      </c>
      <c r="BH186" s="1042">
        <f t="shared" si="226"/>
        <v>25.705031680806609</v>
      </c>
      <c r="BI186" s="1042">
        <f t="shared" si="227"/>
        <v>29.321335180263574</v>
      </c>
      <c r="BJ186" s="1042">
        <f t="shared" si="228"/>
        <v>20.032369202718829</v>
      </c>
      <c r="BK186" s="1044">
        <f t="shared" si="229"/>
        <v>17.710780336986382</v>
      </c>
      <c r="BL186" s="1044">
        <f t="shared" si="230"/>
        <v>21.661146235066521</v>
      </c>
      <c r="BM186" s="1260">
        <f t="shared" si="231"/>
        <v>23.041345732185992</v>
      </c>
      <c r="BN186" s="1260">
        <f t="shared" si="232"/>
        <v>21.002782499999999</v>
      </c>
      <c r="BO186" s="1260">
        <f t="shared" si="233"/>
        <v>21.202591413200004</v>
      </c>
      <c r="BP186" s="1260">
        <f t="shared" si="234"/>
        <v>20.907143787700001</v>
      </c>
      <c r="BQ186" s="1114"/>
      <c r="BR186" s="1143"/>
      <c r="BS186" s="1144"/>
      <c r="BU186" s="1087"/>
      <c r="BV186" s="1086"/>
      <c r="BW186" s="1086"/>
      <c r="BX186" s="1086"/>
    </row>
    <row r="187" spans="2:76" ht="12.75" customHeight="1">
      <c r="B187" s="1286"/>
      <c r="C187" s="1503" t="s">
        <v>550</v>
      </c>
      <c r="D187" s="1416"/>
      <c r="E187" s="1416"/>
      <c r="F187" s="1136"/>
      <c r="G187" s="1476">
        <v>35.080230324074073</v>
      </c>
      <c r="H187" s="1477">
        <v>28.455611263736266</v>
      </c>
      <c r="I187" s="1477">
        <v>31.678466938405812</v>
      </c>
      <c r="J187" s="1478">
        <v>25.7597316576087</v>
      </c>
      <c r="K187" s="1476">
        <v>30.071405696457326</v>
      </c>
      <c r="L187" s="1477">
        <v>28.042996794871794</v>
      </c>
      <c r="M187" s="1477">
        <v>31.24979846014493</v>
      </c>
      <c r="N187" s="1478">
        <v>23.630269338768127</v>
      </c>
      <c r="O187" s="1476">
        <v>19.53850324494346</v>
      </c>
      <c r="P187" s="1477">
        <v>17.141556776556776</v>
      </c>
      <c r="Q187" s="1477">
        <v>20.815947690217392</v>
      </c>
      <c r="R187" s="1477">
        <v>22.887461865942033</v>
      </c>
      <c r="S187" s="1476">
        <v>23.199066475442827</v>
      </c>
      <c r="T187" s="1477">
        <v>26.300711996337007</v>
      </c>
      <c r="U187" s="1477">
        <v>25.430877490942027</v>
      </c>
      <c r="V187" s="1478">
        <v>26.785470153985496</v>
      </c>
      <c r="W187" s="1477">
        <v>32.004984551127215</v>
      </c>
      <c r="X187" s="1477">
        <v>31.26213713369965</v>
      </c>
      <c r="Y187" s="1477">
        <v>28.32578691123188</v>
      </c>
      <c r="Z187" s="1478">
        <v>25.307324320652167</v>
      </c>
      <c r="AA187" s="1477">
        <v>22.17571215780999</v>
      </c>
      <c r="AB187" s="1477">
        <v>19.319275412087915</v>
      </c>
      <c r="AC187" s="1477">
        <v>19.897398097826084</v>
      </c>
      <c r="AD187" s="1478">
        <v>15.149004076086959</v>
      </c>
      <c r="AE187" s="1477">
        <v>13.804743092052874</v>
      </c>
      <c r="AF187" s="1477">
        <v>14.6552048992674</v>
      </c>
      <c r="AG187" s="1477">
        <v>20.848108016304352</v>
      </c>
      <c r="AH187" s="1478">
        <v>18.255682925724642</v>
      </c>
      <c r="AI187" s="1477">
        <v>17.694403532608696</v>
      </c>
      <c r="AJ187" s="1479">
        <v>19.575868818681322</v>
      </c>
      <c r="AK187" s="1479">
        <v>21.74405457427536</v>
      </c>
      <c r="AL187" s="1480">
        <v>18.065305072463772</v>
      </c>
      <c r="AM187" s="1479">
        <v>19.286005585748793</v>
      </c>
      <c r="AN187" s="1479">
        <v>20.677206666666667</v>
      </c>
      <c r="AO187" s="1479">
        <v>28.640856666666668</v>
      </c>
      <c r="AP187" s="1480">
        <v>19.388083333333331</v>
      </c>
      <c r="AQ187" s="1479">
        <v>20.204147210285914</v>
      </c>
      <c r="AR187" s="1479">
        <v>17.911730019517361</v>
      </c>
      <c r="AS187" s="1479">
        <v>23.181362548745142</v>
      </c>
      <c r="AT187" s="1480">
        <v>18.447223554651586</v>
      </c>
      <c r="AU187" s="1479">
        <v>20.13301243857838</v>
      </c>
      <c r="AV187" s="1479">
        <v>17.848666391413492</v>
      </c>
      <c r="AW187" s="1479">
        <v>23.099745595769516</v>
      </c>
      <c r="AX187" s="1480">
        <v>18.382274560638621</v>
      </c>
      <c r="AY187" s="1479">
        <v>19.630903760724049</v>
      </c>
      <c r="AZ187" s="1479">
        <v>17.403528322254854</v>
      </c>
      <c r="BA187" s="1479">
        <v>22.523647867958136</v>
      </c>
      <c r="BB187" s="1480">
        <v>17.923828533062963</v>
      </c>
      <c r="BC187" s="1123"/>
      <c r="BD187" s="1123"/>
      <c r="BE187" s="1042">
        <f t="shared" si="223"/>
        <v>30.24351004595621</v>
      </c>
      <c r="BF187" s="1042">
        <f t="shared" si="224"/>
        <v>28.248617572560544</v>
      </c>
      <c r="BG187" s="1042">
        <f t="shared" si="225"/>
        <v>20.095867394414917</v>
      </c>
      <c r="BH187" s="1042">
        <f t="shared" si="226"/>
        <v>25.429031529176839</v>
      </c>
      <c r="BI187" s="1042">
        <f t="shared" si="227"/>
        <v>29.22505822917773</v>
      </c>
      <c r="BJ187" s="1042">
        <f t="shared" si="228"/>
        <v>19.135347435952735</v>
      </c>
      <c r="BK187" s="1044">
        <f t="shared" si="229"/>
        <v>16.890934733337318</v>
      </c>
      <c r="BL187" s="1044">
        <f t="shared" si="230"/>
        <v>19.269907999507289</v>
      </c>
      <c r="BM187" s="1260">
        <f t="shared" si="231"/>
        <v>21.998038063103863</v>
      </c>
      <c r="BN187" s="1260">
        <f t="shared" si="232"/>
        <v>19.936115833300001</v>
      </c>
      <c r="BO187" s="1260">
        <f t="shared" si="233"/>
        <v>19.865924746600001</v>
      </c>
      <c r="BP187" s="1260">
        <f t="shared" si="234"/>
        <v>19.370477121</v>
      </c>
      <c r="BQ187" s="1114"/>
      <c r="BR187" s="1143"/>
      <c r="BS187" s="1144"/>
      <c r="BU187" s="1087"/>
      <c r="BV187" s="1086"/>
      <c r="BW187" s="1086"/>
      <c r="BX187" s="1086"/>
    </row>
    <row r="188" spans="2:76" ht="12.75" customHeight="1">
      <c r="B188" s="1286"/>
      <c r="C188" s="1503" t="s">
        <v>519</v>
      </c>
      <c r="D188" s="1416"/>
      <c r="E188" s="1416"/>
      <c r="F188" s="1136"/>
      <c r="G188" s="1476">
        <v>35.000784722222228</v>
      </c>
      <c r="H188" s="1477">
        <v>28.382862866300375</v>
      </c>
      <c r="I188" s="1477">
        <v>31.812933650362325</v>
      </c>
      <c r="J188" s="1478">
        <v>25.415262409420293</v>
      </c>
      <c r="K188" s="1476">
        <v>29.8071865942029</v>
      </c>
      <c r="L188" s="1477">
        <v>27.334835164835152</v>
      </c>
      <c r="M188" s="1477">
        <v>31.034110054347821</v>
      </c>
      <c r="N188" s="1478">
        <v>23.925171286231883</v>
      </c>
      <c r="O188" s="1476">
        <v>19.365880564182188</v>
      </c>
      <c r="P188" s="1477">
        <v>16.926233974358968</v>
      </c>
      <c r="Q188" s="1477">
        <v>21.107855525362321</v>
      </c>
      <c r="R188" s="1477">
        <v>22.343847056159426</v>
      </c>
      <c r="S188" s="1476">
        <v>23.143879981884069</v>
      </c>
      <c r="T188" s="1477">
        <v>26.316911630036625</v>
      </c>
      <c r="U188" s="1477">
        <v>25.562675498188408</v>
      </c>
      <c r="V188" s="1478">
        <v>26.801473958333329</v>
      </c>
      <c r="W188" s="1477">
        <v>31.796791113123987</v>
      </c>
      <c r="X188" s="1477">
        <v>30.898569139194134</v>
      </c>
      <c r="Y188" s="1477">
        <v>28.542640398550727</v>
      </c>
      <c r="Z188" s="1478">
        <v>25.265815081521733</v>
      </c>
      <c r="AA188" s="1477">
        <v>22.23049803743962</v>
      </c>
      <c r="AB188" s="1477">
        <v>20.495057234432235</v>
      </c>
      <c r="AC188" s="1477">
        <v>20.106205842391308</v>
      </c>
      <c r="AD188" s="1478">
        <v>15.567165081521738</v>
      </c>
      <c r="AE188" s="1477">
        <v>13.567103589345434</v>
      </c>
      <c r="AF188" s="1477">
        <v>14.551979166666674</v>
      </c>
      <c r="AG188" s="1477">
        <v>21.434193840579709</v>
      </c>
      <c r="AH188" s="1478">
        <v>18.581885235507244</v>
      </c>
      <c r="AI188" s="1477">
        <v>17.745814764492753</v>
      </c>
      <c r="AJ188" s="1479">
        <v>21.731801739926734</v>
      </c>
      <c r="AK188" s="1479">
        <v>23.207665307971009</v>
      </c>
      <c r="AL188" s="1480">
        <v>19.342823505434787</v>
      </c>
      <c r="AM188" s="1479">
        <v>19.624934933574881</v>
      </c>
      <c r="AN188" s="1479">
        <v>22.243873333333337</v>
      </c>
      <c r="AO188" s="1479">
        <v>29.724189999999997</v>
      </c>
      <c r="AP188" s="1480">
        <v>20.288083333333333</v>
      </c>
      <c r="AQ188" s="1479">
        <v>21.213743053469752</v>
      </c>
      <c r="AR188" s="1479">
        <v>19.267514968052225</v>
      </c>
      <c r="AS188" s="1479">
        <v>24.088177775796659</v>
      </c>
      <c r="AT188" s="1480">
        <v>19.651694202681362</v>
      </c>
      <c r="AU188" s="1479">
        <v>21.193400009991446</v>
      </c>
      <c r="AV188" s="1479">
        <v>19.249038271425608</v>
      </c>
      <c r="AW188" s="1479">
        <v>24.065078276261332</v>
      </c>
      <c r="AX188" s="1480">
        <v>19.632849095121614</v>
      </c>
      <c r="AY188" s="1479">
        <v>20.81512679245602</v>
      </c>
      <c r="AZ188" s="1479">
        <v>18.905469252865018</v>
      </c>
      <c r="BA188" s="1479">
        <v>23.635549527428598</v>
      </c>
      <c r="BB188" s="1480">
        <v>19.282429578050358</v>
      </c>
      <c r="BC188" s="1123"/>
      <c r="BD188" s="1123"/>
      <c r="BE188" s="1042">
        <f t="shared" si="223"/>
        <v>30.152960912076306</v>
      </c>
      <c r="BF188" s="1042">
        <f t="shared" si="224"/>
        <v>28.025325774904438</v>
      </c>
      <c r="BG188" s="1042">
        <f t="shared" si="225"/>
        <v>19.935954280015729</v>
      </c>
      <c r="BH188" s="1042">
        <f t="shared" si="226"/>
        <v>25.45623526711061</v>
      </c>
      <c r="BI188" s="1042">
        <f t="shared" si="227"/>
        <v>29.125953933097648</v>
      </c>
      <c r="BJ188" s="1042">
        <f t="shared" si="228"/>
        <v>19.599731548946224</v>
      </c>
      <c r="BK188" s="1044">
        <f t="shared" si="229"/>
        <v>17.033790458024765</v>
      </c>
      <c r="BL188" s="1044">
        <f t="shared" si="230"/>
        <v>20.507026329456323</v>
      </c>
      <c r="BM188" s="1260">
        <f t="shared" si="231"/>
        <v>22.970270400060386</v>
      </c>
      <c r="BN188" s="1260">
        <f t="shared" si="232"/>
        <v>21.055282500000004</v>
      </c>
      <c r="BO188" s="1260">
        <f t="shared" si="233"/>
        <v>21.0350914132</v>
      </c>
      <c r="BP188" s="1260">
        <f t="shared" si="234"/>
        <v>20.659643787699999</v>
      </c>
      <c r="BQ188" s="1114"/>
      <c r="BR188" s="1143"/>
      <c r="BS188" s="1144"/>
      <c r="BU188" s="1087"/>
      <c r="BV188" s="1086"/>
      <c r="BW188" s="1086"/>
      <c r="BX188" s="1086"/>
    </row>
    <row r="189" spans="2:76" ht="12.75" customHeight="1">
      <c r="B189" s="1286"/>
      <c r="C189" s="1503" t="s">
        <v>551</v>
      </c>
      <c r="D189" s="1416"/>
      <c r="E189" s="1416"/>
      <c r="F189" s="1136"/>
      <c r="G189" s="1476">
        <v>33.530322580645155</v>
      </c>
      <c r="H189" s="1477">
        <v>26.094333333333331</v>
      </c>
      <c r="I189" s="1477">
        <v>27.91</v>
      </c>
      <c r="J189" s="1478">
        <v>25.807647058823527</v>
      </c>
      <c r="K189" s="1476">
        <v>20.458235294117642</v>
      </c>
      <c r="L189" s="1477">
        <v>15.988181818181818</v>
      </c>
      <c r="M189" s="1477">
        <v>24.526097560975611</v>
      </c>
      <c r="N189" s="1478">
        <v>24.08657894736842</v>
      </c>
      <c r="O189" s="1476">
        <v>19.836734693877553</v>
      </c>
      <c r="P189" s="1477">
        <v>16.344545454545454</v>
      </c>
      <c r="Q189" s="1477">
        <v>20.018333333333338</v>
      </c>
      <c r="R189" s="1477">
        <v>25.022727272727277</v>
      </c>
      <c r="S189" s="1476">
        <v>27.013333333333335</v>
      </c>
      <c r="T189" s="1477">
        <v>26.58642857142857</v>
      </c>
      <c r="U189" s="1477">
        <v>24.336666666666662</v>
      </c>
      <c r="V189" s="1478">
        <v>29.902142857142856</v>
      </c>
      <c r="W189" s="1477">
        <v>37.216206896551725</v>
      </c>
      <c r="X189" s="1477">
        <v>31.198387096774194</v>
      </c>
      <c r="Y189" s="1477">
        <v>31.499310344827585</v>
      </c>
      <c r="Z189" s="1478">
        <v>26.848387096774196</v>
      </c>
      <c r="AA189" s="1477">
        <v>21.951388888888893</v>
      </c>
      <c r="AB189" s="1477">
        <v>21.208409090909093</v>
      </c>
      <c r="AC189" s="1477">
        <v>23.832173913043476</v>
      </c>
      <c r="AD189" s="1478">
        <v>19.805555555555557</v>
      </c>
      <c r="AE189" s="1477">
        <v>16.825681818181817</v>
      </c>
      <c r="AF189" s="1477">
        <v>16.068333333333332</v>
      </c>
      <c r="AG189" s="1477">
        <v>22.099565217391302</v>
      </c>
      <c r="AH189" s="1478">
        <v>21.735135135135135</v>
      </c>
      <c r="AI189" s="1477">
        <v>20.877073170731702</v>
      </c>
      <c r="AJ189" s="1479">
        <v>21.894222222222222</v>
      </c>
      <c r="AK189" s="1479">
        <v>23.702653061224492</v>
      </c>
      <c r="AL189" s="1480">
        <v>23.66375</v>
      </c>
      <c r="AM189" s="1479">
        <v>23.66375</v>
      </c>
      <c r="AN189" s="1479">
        <v>21.866666666666664</v>
      </c>
      <c r="AO189" s="1479">
        <v>25.5</v>
      </c>
      <c r="AP189" s="1480">
        <v>21.55</v>
      </c>
      <c r="AQ189" s="1479">
        <v>24.836427915484958</v>
      </c>
      <c r="AR189" s="1479">
        <v>21.765546372753509</v>
      </c>
      <c r="AS189" s="1479">
        <v>25.429054178110412</v>
      </c>
      <c r="AT189" s="1480">
        <v>25.75230486685113</v>
      </c>
      <c r="AU189" s="1479">
        <v>28.091790633507216</v>
      </c>
      <c r="AV189" s="1479">
        <v>24.61840220372709</v>
      </c>
      <c r="AW189" s="1479">
        <v>28.762093663807821</v>
      </c>
      <c r="AX189" s="1480">
        <v>29.127713498557874</v>
      </c>
      <c r="AY189" s="1479">
        <v>30.585169880556695</v>
      </c>
      <c r="AZ189" s="1479">
        <v>26.803489439749491</v>
      </c>
      <c r="BA189" s="1479">
        <v>31.314967860353057</v>
      </c>
      <c r="BB189" s="1480">
        <v>31.713039485740765</v>
      </c>
      <c r="BC189" s="1123"/>
      <c r="BD189" s="1123"/>
      <c r="BE189" s="1042">
        <f t="shared" si="223"/>
        <v>28.335575743200501</v>
      </c>
      <c r="BF189" s="1042">
        <f t="shared" si="224"/>
        <v>21.264773405160874</v>
      </c>
      <c r="BG189" s="1042">
        <f t="shared" si="225"/>
        <v>20.305585188620906</v>
      </c>
      <c r="BH189" s="1042">
        <f t="shared" si="226"/>
        <v>26.959642857142853</v>
      </c>
      <c r="BI189" s="1042">
        <f t="shared" si="227"/>
        <v>31.690572858731926</v>
      </c>
      <c r="BJ189" s="1042">
        <f t="shared" si="228"/>
        <v>21.699381862099255</v>
      </c>
      <c r="BK189" s="1044">
        <f t="shared" si="229"/>
        <v>19.182178876010397</v>
      </c>
      <c r="BL189" s="1044">
        <f t="shared" si="230"/>
        <v>22.534424613544601</v>
      </c>
      <c r="BM189" s="1260">
        <f t="shared" si="231"/>
        <v>23.145104166666666</v>
      </c>
      <c r="BN189" s="1260">
        <f t="shared" si="232"/>
        <v>24.445833333300005</v>
      </c>
      <c r="BO189" s="1260">
        <f t="shared" si="233"/>
        <v>27.649999999899997</v>
      </c>
      <c r="BP189" s="1260">
        <f t="shared" si="234"/>
        <v>30.104166666600005</v>
      </c>
      <c r="BQ189" s="1114"/>
      <c r="BR189" s="1143"/>
      <c r="BS189" s="1144"/>
      <c r="BU189" s="1087"/>
      <c r="BV189" s="1086"/>
      <c r="BW189" s="1086"/>
      <c r="BX189" s="1086"/>
    </row>
    <row r="190" spans="2:76" ht="12.75" customHeight="1">
      <c r="B190" s="1286"/>
      <c r="C190" s="1503" t="s">
        <v>552</v>
      </c>
      <c r="D190" s="1416"/>
      <c r="E190" s="1416"/>
      <c r="F190" s="1136"/>
      <c r="G190" s="1476">
        <v>39.792162207161546</v>
      </c>
      <c r="H190" s="1477">
        <v>18.396992540064101</v>
      </c>
      <c r="I190" s="1477">
        <v>24.471085883152178</v>
      </c>
      <c r="J190" s="1478">
        <v>26.837953423097826</v>
      </c>
      <c r="K190" s="1476">
        <v>18.974865649255229</v>
      </c>
      <c r="L190" s="1477">
        <v>10.592114644001832</v>
      </c>
      <c r="M190" s="1477">
        <v>23.428638822463746</v>
      </c>
      <c r="N190" s="1478">
        <v>24.040611232563403</v>
      </c>
      <c r="O190" s="1476">
        <v>19.574844206780533</v>
      </c>
      <c r="P190" s="1477">
        <v>14.132461858974361</v>
      </c>
      <c r="Q190" s="1477">
        <v>19.690949210824268</v>
      </c>
      <c r="R190" s="1477">
        <v>27.320213811911241</v>
      </c>
      <c r="S190" s="1476">
        <v>34.906394377365146</v>
      </c>
      <c r="T190" s="1477">
        <v>29.51015124084249</v>
      </c>
      <c r="U190" s="1477">
        <v>32.575099427083344</v>
      </c>
      <c r="V190" s="1478">
        <v>37.361519796557985</v>
      </c>
      <c r="W190" s="1477">
        <v>42.627117423409828</v>
      </c>
      <c r="X190" s="1477">
        <v>21.235009505690744</v>
      </c>
      <c r="Y190" s="1477">
        <v>33.125406867559512</v>
      </c>
      <c r="Z190" s="1478">
        <v>32.544144284297367</v>
      </c>
      <c r="AA190" s="1477">
        <v>24.552941132037905</v>
      </c>
      <c r="AB190" s="1477">
        <v>25.405648776654878</v>
      </c>
      <c r="AC190" s="1477">
        <v>28.41391110280798</v>
      </c>
      <c r="AD190" s="1478">
        <v>25.53134713495729</v>
      </c>
      <c r="AE190" s="1477">
        <v>20.780798292565343</v>
      </c>
      <c r="AF190" s="1477">
        <v>18.439791219093404</v>
      </c>
      <c r="AG190" s="1477">
        <v>27.717085095270448</v>
      </c>
      <c r="AH190" s="1478">
        <v>27.225998677746944</v>
      </c>
      <c r="AI190" s="1477">
        <v>23.502615202110384</v>
      </c>
      <c r="AJ190" s="1479">
        <v>22.058978634484564</v>
      </c>
      <c r="AK190" s="1479">
        <v>29.16276689554218</v>
      </c>
      <c r="AL190" s="1480">
        <v>31.166413735261386</v>
      </c>
      <c r="AM190" s="1479">
        <v>27.79077055530394</v>
      </c>
      <c r="AN190" s="1479">
        <v>23.866666666666671</v>
      </c>
      <c r="AO190" s="1479">
        <v>32.4</v>
      </c>
      <c r="AP190" s="1480">
        <v>31.849999999999998</v>
      </c>
      <c r="AQ190" s="1479">
        <v>32.001911923859012</v>
      </c>
      <c r="AR190" s="1479">
        <v>23.464576991634761</v>
      </c>
      <c r="AS190" s="1479">
        <v>31.792406772147991</v>
      </c>
      <c r="AT190" s="1480">
        <v>34.124437645558224</v>
      </c>
      <c r="AU190" s="1479">
        <v>35.011840479141661</v>
      </c>
      <c r="AV190" s="1479">
        <v>25.671529516621057</v>
      </c>
      <c r="AW190" s="1479">
        <v>34.782630394171832</v>
      </c>
      <c r="AX190" s="1480">
        <v>37.333999610065447</v>
      </c>
      <c r="AY190" s="1479">
        <v>36.703552148808996</v>
      </c>
      <c r="AZ190" s="1479">
        <v>26.911933490452423</v>
      </c>
      <c r="BA190" s="1479">
        <v>36.46326702835853</v>
      </c>
      <c r="BB190" s="1480">
        <v>39.137913998780029</v>
      </c>
      <c r="BC190" s="1123"/>
      <c r="BD190" s="1123"/>
      <c r="BE190" s="1042">
        <f t="shared" si="223"/>
        <v>27.374548513368911</v>
      </c>
      <c r="BF190" s="1042">
        <f t="shared" si="224"/>
        <v>19.259057587071052</v>
      </c>
      <c r="BG190" s="1042">
        <f t="shared" si="225"/>
        <v>20.179617272122602</v>
      </c>
      <c r="BH190" s="1042">
        <f t="shared" si="226"/>
        <v>33.588291210462245</v>
      </c>
      <c r="BI190" s="1042">
        <f t="shared" si="227"/>
        <v>32.382919520239362</v>
      </c>
      <c r="BJ190" s="1042">
        <f t="shared" si="228"/>
        <v>25.975962036614511</v>
      </c>
      <c r="BK190" s="1044">
        <f t="shared" si="229"/>
        <v>23.540918321169034</v>
      </c>
      <c r="BL190" s="1044">
        <f t="shared" si="230"/>
        <v>26.472693616849629</v>
      </c>
      <c r="BM190" s="1260">
        <f t="shared" si="231"/>
        <v>28.976859305492653</v>
      </c>
      <c r="BN190" s="1260">
        <f t="shared" si="232"/>
        <v>30.3458333333</v>
      </c>
      <c r="BO190" s="1260">
        <f t="shared" si="233"/>
        <v>33.200000000000003</v>
      </c>
      <c r="BP190" s="1260">
        <f t="shared" si="234"/>
        <v>34.804166666599997</v>
      </c>
      <c r="BQ190" s="1114"/>
      <c r="BR190" s="1143"/>
      <c r="BS190" s="1144"/>
      <c r="BU190" s="1087"/>
      <c r="BV190" s="1086"/>
      <c r="BW190" s="1086"/>
      <c r="BX190" s="1086"/>
    </row>
    <row r="191" spans="2:76" ht="12.75" customHeight="1">
      <c r="B191" s="1286"/>
      <c r="C191" s="1503" t="s">
        <v>553</v>
      </c>
      <c r="D191" s="1416"/>
      <c r="E191" s="1416"/>
      <c r="F191" s="1136"/>
      <c r="G191" s="1476">
        <v>37.117594064527246</v>
      </c>
      <c r="H191" s="1477">
        <v>19.113250432692308</v>
      </c>
      <c r="I191" s="1477">
        <v>25.547545279664849</v>
      </c>
      <c r="J191" s="1478">
        <v>27.749613651449284</v>
      </c>
      <c r="K191" s="1476">
        <v>18.722317882447662</v>
      </c>
      <c r="L191" s="1477">
        <v>9.3984892651098875</v>
      </c>
      <c r="M191" s="1477">
        <v>23.640035421195652</v>
      </c>
      <c r="N191" s="1478">
        <v>25.15623199827899</v>
      </c>
      <c r="O191" s="1476">
        <v>20.248332309583525</v>
      </c>
      <c r="P191" s="1477">
        <v>12.638521983745417</v>
      </c>
      <c r="Q191" s="1477">
        <v>18.538177578124998</v>
      </c>
      <c r="R191" s="1477">
        <v>27.611688596331518</v>
      </c>
      <c r="S191" s="1476">
        <v>32.535625475191225</v>
      </c>
      <c r="T191" s="1477">
        <v>29.389078711080582</v>
      </c>
      <c r="U191" s="1477">
        <v>33.408651492300713</v>
      </c>
      <c r="V191" s="1478">
        <v>39.111093514039872</v>
      </c>
      <c r="W191" s="1477">
        <v>43.573062782256443</v>
      </c>
      <c r="X191" s="1477">
        <v>25.133060753891947</v>
      </c>
      <c r="Y191" s="1477">
        <v>33.672098231107654</v>
      </c>
      <c r="Z191" s="1478">
        <v>32.79430912681805</v>
      </c>
      <c r="AA191" s="1477">
        <v>25.992472138601332</v>
      </c>
      <c r="AB191" s="1477">
        <v>27.16867147632129</v>
      </c>
      <c r="AC191" s="1477">
        <v>27.614825502717384</v>
      </c>
      <c r="AD191" s="1478">
        <v>26.110869571577393</v>
      </c>
      <c r="AE191" s="1477">
        <v>20.11139374158903</v>
      </c>
      <c r="AF191" s="1477">
        <v>21.2270874957483</v>
      </c>
      <c r="AG191" s="1477">
        <v>29.189901377458604</v>
      </c>
      <c r="AH191" s="1478">
        <v>28.44518337338728</v>
      </c>
      <c r="AI191" s="1477">
        <v>24.123383839646465</v>
      </c>
      <c r="AJ191" s="1479">
        <v>20.910626551641812</v>
      </c>
      <c r="AK191" s="1479">
        <v>30.198757360248454</v>
      </c>
      <c r="AL191" s="1480">
        <v>30.953927045121635</v>
      </c>
      <c r="AM191" s="1479">
        <v>29.637675953200478</v>
      </c>
      <c r="AN191" s="1479">
        <v>24.700000000000003</v>
      </c>
      <c r="AO191" s="1479">
        <v>32.199999999999996</v>
      </c>
      <c r="AP191" s="1480">
        <v>32.1</v>
      </c>
      <c r="AQ191" s="1479">
        <v>32.382642291161041</v>
      </c>
      <c r="AR191" s="1479">
        <v>24.129274044874869</v>
      </c>
      <c r="AS191" s="1479">
        <v>32.172365393166494</v>
      </c>
      <c r="AT191" s="1480">
        <v>36.099051603997601</v>
      </c>
      <c r="AU191" s="1479">
        <v>35.345392387291405</v>
      </c>
      <c r="AV191" s="1479">
        <v>26.336907639231747</v>
      </c>
      <c r="AW191" s="1479">
        <v>35.115876852309</v>
      </c>
      <c r="AX191" s="1480">
        <v>39.401823121167837</v>
      </c>
      <c r="AY191" s="1479">
        <v>37.010587696706686</v>
      </c>
      <c r="AZ191" s="1479">
        <v>27.577694403877224</v>
      </c>
      <c r="BA191" s="1479">
        <v>36.770259205169637</v>
      </c>
      <c r="BB191" s="1480">
        <v>41.258125360646446</v>
      </c>
      <c r="BC191" s="1123"/>
      <c r="BD191" s="1123"/>
      <c r="BE191" s="1042">
        <f t="shared" si="223"/>
        <v>27.382000857083419</v>
      </c>
      <c r="BF191" s="1042">
        <f t="shared" si="224"/>
        <v>19.229268641758047</v>
      </c>
      <c r="BG191" s="1042">
        <f t="shared" si="225"/>
        <v>19.759180116946364</v>
      </c>
      <c r="BH191" s="1042">
        <f t="shared" si="226"/>
        <v>33.611112298153103</v>
      </c>
      <c r="BI191" s="1042">
        <f t="shared" si="227"/>
        <v>33.793132723518525</v>
      </c>
      <c r="BJ191" s="1042">
        <f t="shared" si="228"/>
        <v>26.72170967230435</v>
      </c>
      <c r="BK191" s="1044">
        <f t="shared" si="229"/>
        <v>24.743391497045803</v>
      </c>
      <c r="BL191" s="1044">
        <f t="shared" si="230"/>
        <v>26.54667369916459</v>
      </c>
      <c r="BM191" s="1260">
        <f t="shared" si="231"/>
        <v>29.659418988300118</v>
      </c>
      <c r="BN191" s="1260">
        <f t="shared" si="232"/>
        <v>31.195833333300001</v>
      </c>
      <c r="BO191" s="1260">
        <f t="shared" si="233"/>
        <v>34.049999999999997</v>
      </c>
      <c r="BP191" s="1260">
        <f t="shared" si="234"/>
        <v>35.654166666599998</v>
      </c>
      <c r="BQ191" s="1114"/>
      <c r="BR191" s="1143"/>
      <c r="BS191" s="1144"/>
      <c r="BU191" s="1087"/>
      <c r="BV191" s="1086"/>
      <c r="BW191" s="1086"/>
      <c r="BX191" s="1086"/>
    </row>
    <row r="192" spans="2:76" ht="12.75" customHeight="1">
      <c r="B192" s="1286"/>
      <c r="C192" s="1503" t="s">
        <v>554</v>
      </c>
      <c r="D192" s="1416"/>
      <c r="E192" s="1416"/>
      <c r="F192" s="1136"/>
      <c r="G192" s="1660">
        <v>37.893934426229499</v>
      </c>
      <c r="H192" s="1485">
        <v>20.846551724137928</v>
      </c>
      <c r="I192" s="1485">
        <v>25.973666666666677</v>
      </c>
      <c r="J192" s="1486">
        <v>29.371206896551723</v>
      </c>
      <c r="K192" s="1660">
        <v>16.248095238095239</v>
      </c>
      <c r="L192" s="1485">
        <v>8.8706896551724146</v>
      </c>
      <c r="M192" s="1485">
        <v>19.931132075471702</v>
      </c>
      <c r="N192" s="1486">
        <v>27.305689655172419</v>
      </c>
      <c r="O192" s="1660">
        <v>19.371833333333331</v>
      </c>
      <c r="P192" s="1485">
        <v>7.370967741935433E-2</v>
      </c>
      <c r="Q192" s="1485">
        <v>13.051400000000001</v>
      </c>
      <c r="R192" s="1485">
        <v>25.025692307692317</v>
      </c>
      <c r="S192" s="1660">
        <v>26.816410256410261</v>
      </c>
      <c r="T192" s="1485">
        <v>17.528181818181817</v>
      </c>
      <c r="U192" s="1485">
        <v>23.521739130434778</v>
      </c>
      <c r="V192" s="1486">
        <v>37.909999999999997</v>
      </c>
      <c r="W192" s="1485">
        <v>24.855277777777776</v>
      </c>
      <c r="X192" s="1485">
        <v>13.964473684210526</v>
      </c>
      <c r="Y192" s="1485">
        <v>27.640666666666668</v>
      </c>
      <c r="Z192" s="1486">
        <v>27.14555555555555</v>
      </c>
      <c r="AA192" s="1485">
        <v>15.056279069767442</v>
      </c>
      <c r="AB192" s="1485">
        <v>22.67235294117647</v>
      </c>
      <c r="AC192" s="1485">
        <v>22.541666666666668</v>
      </c>
      <c r="AD192" s="1486">
        <v>19.292727272727276</v>
      </c>
      <c r="AE192" s="1485">
        <v>14.811363636363636</v>
      </c>
      <c r="AF192" s="1485">
        <v>10.678222222222219</v>
      </c>
      <c r="AG192" s="1485">
        <v>23.4837037037037</v>
      </c>
      <c r="AH192" s="1486">
        <v>18.550377358490564</v>
      </c>
      <c r="AI192" s="1485">
        <v>17.034905660377362</v>
      </c>
      <c r="AJ192" s="1487">
        <v>3.7259375000000001</v>
      </c>
      <c r="AK192" s="1487">
        <v>23.68</v>
      </c>
      <c r="AL192" s="1488">
        <v>22.81</v>
      </c>
      <c r="AM192" s="1487">
        <v>17.439166666666669</v>
      </c>
      <c r="AN192" s="1487">
        <v>5.3999999999999995</v>
      </c>
      <c r="AO192" s="1487">
        <v>17.400000000000002</v>
      </c>
      <c r="AP192" s="1488">
        <v>20.55</v>
      </c>
      <c r="AQ192" s="1487">
        <v>24.123736367380481</v>
      </c>
      <c r="AR192" s="1487">
        <v>9.8099081391649516</v>
      </c>
      <c r="AS192" s="1487">
        <v>22.519600445252877</v>
      </c>
      <c r="AT192" s="1488">
        <v>19.730088381401686</v>
      </c>
      <c r="AU192" s="1487">
        <v>28.308843114166567</v>
      </c>
      <c r="AV192" s="1487">
        <v>11.511780192205842</v>
      </c>
      <c r="AW192" s="1487">
        <v>26.426413648774417</v>
      </c>
      <c r="AX192" s="1488">
        <v>23.152963044853177</v>
      </c>
      <c r="AY192" s="1487">
        <v>30.974011975501607</v>
      </c>
      <c r="AZ192" s="1487">
        <v>12.59557008722444</v>
      </c>
      <c r="BA192" s="1487">
        <v>28.914359005263648</v>
      </c>
      <c r="BB192" s="1488">
        <v>25.332725598410299</v>
      </c>
      <c r="BC192" s="1123"/>
      <c r="BD192" s="1123"/>
      <c r="BE192" s="1042">
        <f t="shared" si="223"/>
        <v>28.521339928396458</v>
      </c>
      <c r="BF192" s="1042">
        <f t="shared" si="224"/>
        <v>18.088901655977942</v>
      </c>
      <c r="BG192" s="1042">
        <f t="shared" si="225"/>
        <v>14.380658829611251</v>
      </c>
      <c r="BH192" s="1042">
        <f t="shared" si="226"/>
        <v>26.444082801256712</v>
      </c>
      <c r="BI192" s="1042">
        <f t="shared" si="227"/>
        <v>23.401493421052628</v>
      </c>
      <c r="BJ192" s="1042">
        <f t="shared" si="228"/>
        <v>19.890756487584465</v>
      </c>
      <c r="BK192" s="1044">
        <f t="shared" si="229"/>
        <v>16.880916730195029</v>
      </c>
      <c r="BL192" s="1044">
        <f t="shared" si="230"/>
        <v>16.812710790094339</v>
      </c>
      <c r="BM192" s="1260">
        <f t="shared" si="231"/>
        <v>15.197291666666668</v>
      </c>
      <c r="BN192" s="1260">
        <f t="shared" si="232"/>
        <v>19.045833333299999</v>
      </c>
      <c r="BO192" s="1260">
        <f t="shared" si="233"/>
        <v>22.35</v>
      </c>
      <c r="BP192" s="1260">
        <f t="shared" si="234"/>
        <v>24.454166666599995</v>
      </c>
      <c r="BQ192" s="1114"/>
      <c r="BR192" s="1143"/>
      <c r="BS192" s="1144"/>
      <c r="BU192" s="1087"/>
      <c r="BV192" s="1086"/>
      <c r="BW192" s="1086"/>
      <c r="BX192" s="1086"/>
    </row>
    <row r="193" spans="2:76" ht="12.75" customHeight="1">
      <c r="B193" s="1286"/>
      <c r="C193" s="1503"/>
      <c r="D193" s="1416"/>
      <c r="E193" s="1416"/>
      <c r="F193" s="1418"/>
      <c r="G193" s="1476">
        <v>0</v>
      </c>
      <c r="H193" s="1477">
        <v>0</v>
      </c>
      <c r="I193" s="1477">
        <v>0</v>
      </c>
      <c r="J193" s="1478">
        <v>18.965745967741935</v>
      </c>
      <c r="K193" s="1476">
        <v>21.679500452898552</v>
      </c>
      <c r="L193" s="1477">
        <v>15.42058035714286</v>
      </c>
      <c r="M193" s="1477">
        <v>30.891255661231888</v>
      </c>
      <c r="N193" s="1478">
        <v>16.763071376811602</v>
      </c>
      <c r="O193" s="1476">
        <v>13.916985188724318</v>
      </c>
      <c r="P193" s="1477">
        <v>13.258952609890109</v>
      </c>
      <c r="Q193" s="1477">
        <v>19.372339221014496</v>
      </c>
      <c r="R193" s="1477">
        <v>20.709261096014483</v>
      </c>
      <c r="S193" s="1476">
        <v>20.440848782206118</v>
      </c>
      <c r="T193" s="1479">
        <v>23.552954441391933</v>
      </c>
      <c r="U193" s="1479">
        <v>25.64189198369565</v>
      </c>
      <c r="V193" s="1480">
        <v>26.4882361865942</v>
      </c>
      <c r="W193" s="1479">
        <v>32.272174315619957</v>
      </c>
      <c r="X193" s="1479">
        <v>31.134892399267407</v>
      </c>
      <c r="Y193" s="1479">
        <v>28.14129528985508</v>
      </c>
      <c r="Z193" s="1480">
        <v>25.026826811594209</v>
      </c>
      <c r="AA193" s="1479">
        <v>22.267231833735906</v>
      </c>
      <c r="AB193" s="1479">
        <v>19.322938415750922</v>
      </c>
      <c r="AC193" s="1479">
        <v>19.883229166666666</v>
      </c>
      <c r="AD193" s="1480">
        <v>14.538071105072467</v>
      </c>
      <c r="AE193" s="1479">
        <v>13.415166079391629</v>
      </c>
      <c r="AF193" s="1479">
        <v>13.686976877289379</v>
      </c>
      <c r="AG193" s="1479">
        <v>20.563768115942029</v>
      </c>
      <c r="AH193" s="1480">
        <v>17.754754528985508</v>
      </c>
      <c r="AI193" s="1479">
        <v>15.114614834943641</v>
      </c>
      <c r="AJ193" s="1479">
        <v>18.580832188644688</v>
      </c>
      <c r="AK193" s="1479">
        <v>21.66212522644927</v>
      </c>
      <c r="AL193" s="1480">
        <v>17.263756521739129</v>
      </c>
      <c r="AM193" s="1479">
        <v>17.088877969001611</v>
      </c>
      <c r="AN193" s="1479">
        <v>18.510540000000002</v>
      </c>
      <c r="AO193" s="1479">
        <v>27.807523333333336</v>
      </c>
      <c r="AP193" s="1480">
        <v>17.338083333333334</v>
      </c>
      <c r="AQ193" s="1479">
        <v>16.957303958202534</v>
      </c>
      <c r="AR193" s="1479">
        <v>14.649290816252094</v>
      </c>
      <c r="AS193" s="1479">
        <v>20.911155316984395</v>
      </c>
      <c r="AT193" s="1480">
        <v>16.626713241760964</v>
      </c>
      <c r="AU193" s="1479">
        <v>16.447007807315547</v>
      </c>
      <c r="AV193" s="1479">
        <v>14.208449705236832</v>
      </c>
      <c r="AW193" s="1479">
        <v>20.281875916487753</v>
      </c>
      <c r="AX193" s="1480">
        <v>16.126365557359861</v>
      </c>
      <c r="AY193" s="1479">
        <v>15.71573988720429</v>
      </c>
      <c r="AZ193" s="1479">
        <v>13.576712699595451</v>
      </c>
      <c r="BA193" s="1479">
        <v>19.380101843588751</v>
      </c>
      <c r="BB193" s="1480">
        <v>15.409354053611498</v>
      </c>
      <c r="BC193" s="1123"/>
      <c r="BD193" s="1123"/>
      <c r="BE193" s="1042"/>
      <c r="BF193" s="1042"/>
      <c r="BG193" s="1042"/>
      <c r="BH193" s="1042"/>
      <c r="BI193" s="1042"/>
      <c r="BJ193" s="1042"/>
      <c r="BK193" s="1042"/>
      <c r="BL193" s="1042"/>
      <c r="BM193" s="1254"/>
      <c r="BN193" s="1254"/>
      <c r="BO193" s="1254"/>
      <c r="BP193" s="1254"/>
      <c r="BQ193" s="1114"/>
      <c r="BR193" s="1115"/>
      <c r="BU193" s="1087"/>
      <c r="BV193" s="1086"/>
      <c r="BW193" s="1086"/>
      <c r="BX193" s="1086"/>
    </row>
    <row r="194" spans="2:76" ht="12.75" customHeight="1">
      <c r="B194" s="1286"/>
      <c r="C194" s="1506" t="s">
        <v>365</v>
      </c>
      <c r="D194" s="1373"/>
      <c r="E194" s="1373"/>
      <c r="F194" s="1374"/>
      <c r="G194" s="1656"/>
      <c r="H194" s="1490"/>
      <c r="I194" s="1490"/>
      <c r="J194" s="1657"/>
      <c r="K194" s="1656"/>
      <c r="L194" s="1490"/>
      <c r="M194" s="1490"/>
      <c r="N194" s="1657"/>
      <c r="O194" s="1656"/>
      <c r="P194" s="1490"/>
      <c r="Q194" s="1490"/>
      <c r="R194" s="1490"/>
      <c r="S194" s="1659"/>
      <c r="T194" s="1481"/>
      <c r="U194" s="1481"/>
      <c r="V194" s="1482"/>
      <c r="W194" s="1481"/>
      <c r="X194" s="1481"/>
      <c r="Y194" s="1481"/>
      <c r="Z194" s="1482"/>
      <c r="AA194" s="1481"/>
      <c r="AB194" s="1483"/>
      <c r="AC194" s="1483"/>
      <c r="AD194" s="1484"/>
      <c r="AE194" s="1481"/>
      <c r="AF194" s="1483"/>
      <c r="AG194" s="1483"/>
      <c r="AH194" s="1484"/>
      <c r="AI194" s="1481"/>
      <c r="AJ194" s="1483"/>
      <c r="AK194" s="1483"/>
      <c r="AL194" s="1484"/>
      <c r="AM194" s="1483"/>
      <c r="AN194" s="1483"/>
      <c r="AO194" s="1483"/>
      <c r="AP194" s="1484"/>
      <c r="AQ194" s="1483"/>
      <c r="AR194" s="1483"/>
      <c r="AS194" s="1483"/>
      <c r="AT194" s="1484"/>
      <c r="AU194" s="1483"/>
      <c r="AV194" s="1483"/>
      <c r="AW194" s="1483"/>
      <c r="AX194" s="1484"/>
      <c r="AY194" s="1483"/>
      <c r="AZ194" s="1483"/>
      <c r="BA194" s="1483"/>
      <c r="BB194" s="1484"/>
      <c r="BC194" s="1132"/>
      <c r="BD194" s="1133"/>
      <c r="BE194" s="1043"/>
      <c r="BF194" s="1043"/>
      <c r="BG194" s="1043"/>
      <c r="BH194" s="1043"/>
      <c r="BI194" s="1043"/>
      <c r="BJ194" s="1043"/>
      <c r="BK194" s="1043"/>
      <c r="BL194" s="1043"/>
      <c r="BM194" s="1348"/>
      <c r="BN194" s="1348"/>
      <c r="BO194" s="1348"/>
      <c r="BP194" s="1348"/>
      <c r="BQ194" s="1114"/>
      <c r="BR194" s="1141"/>
      <c r="BU194" s="1087"/>
      <c r="BV194" s="1086"/>
      <c r="BW194" s="1086"/>
      <c r="BX194" s="1086"/>
    </row>
    <row r="195" spans="2:76" ht="12.75" customHeight="1">
      <c r="B195" s="1286"/>
      <c r="C195" s="1507" t="s">
        <v>533</v>
      </c>
      <c r="D195" s="1416"/>
      <c r="E195" s="1416"/>
      <c r="F195" s="1418"/>
      <c r="G195" s="1476"/>
      <c r="H195" s="1477"/>
      <c r="I195" s="1477"/>
      <c r="J195" s="1478"/>
      <c r="K195" s="1476"/>
      <c r="L195" s="1477"/>
      <c r="M195" s="1477"/>
      <c r="N195" s="1478"/>
      <c r="O195" s="1476"/>
      <c r="P195" s="1477"/>
      <c r="Q195" s="1477"/>
      <c r="R195" s="1477"/>
      <c r="S195" s="1476"/>
      <c r="T195" s="1479"/>
      <c r="U195" s="1479"/>
      <c r="V195" s="1480"/>
      <c r="W195" s="1479"/>
      <c r="X195" s="1479"/>
      <c r="Y195" s="1479"/>
      <c r="Z195" s="1480"/>
      <c r="AA195" s="1479"/>
      <c r="AB195" s="1479"/>
      <c r="AC195" s="1479"/>
      <c r="AD195" s="1480"/>
      <c r="AE195" s="1479"/>
      <c r="AF195" s="1479"/>
      <c r="AG195" s="1479"/>
      <c r="AH195" s="1480"/>
      <c r="AI195" s="1479"/>
      <c r="AJ195" s="1479"/>
      <c r="AK195" s="1479"/>
      <c r="AL195" s="1480"/>
      <c r="AM195" s="1479"/>
      <c r="AN195" s="1479"/>
      <c r="AO195" s="1479"/>
      <c r="AP195" s="1480"/>
      <c r="AQ195" s="1479"/>
      <c r="AR195" s="1479"/>
      <c r="AS195" s="1479"/>
      <c r="AT195" s="1480"/>
      <c r="AU195" s="1479"/>
      <c r="AV195" s="1479"/>
      <c r="AW195" s="1479"/>
      <c r="AX195" s="1480"/>
      <c r="AY195" s="1479"/>
      <c r="AZ195" s="1479"/>
      <c r="BA195" s="1479"/>
      <c r="BB195" s="1480"/>
      <c r="BC195" s="1123"/>
      <c r="BD195" s="1123"/>
      <c r="BE195" s="1042"/>
      <c r="BF195" s="1042"/>
      <c r="BG195" s="1042"/>
      <c r="BH195" s="1044"/>
      <c r="BI195" s="1044"/>
      <c r="BJ195" s="1044"/>
      <c r="BK195" s="1044"/>
      <c r="BL195" s="1044"/>
      <c r="BM195" s="1260"/>
      <c r="BN195" s="1260"/>
      <c r="BO195" s="1260"/>
      <c r="BP195" s="1260"/>
      <c r="BQ195" s="1114"/>
      <c r="BR195" s="1141"/>
      <c r="BU195" s="1087"/>
      <c r="BV195" s="1086"/>
      <c r="BW195" s="1086"/>
      <c r="BX195" s="1086"/>
    </row>
    <row r="196" spans="2:76" ht="12.75" customHeight="1">
      <c r="B196" s="1286"/>
      <c r="C196" s="1503" t="s">
        <v>803</v>
      </c>
      <c r="D196" s="1416"/>
      <c r="E196" s="1416"/>
      <c r="F196" s="1418"/>
      <c r="G196" s="1476">
        <v>1.3604838709677409</v>
      </c>
      <c r="H196" s="1477">
        <v>0.36958730158730102</v>
      </c>
      <c r="I196" s="1477">
        <v>0.37103124999999881</v>
      </c>
      <c r="J196" s="1478">
        <v>2.0107384615384656</v>
      </c>
      <c r="K196" s="1476">
        <v>2.7836406250000012</v>
      </c>
      <c r="L196" s="1477">
        <v>0.38664062500000007</v>
      </c>
      <c r="M196" s="1477">
        <v>0.58382812500000192</v>
      </c>
      <c r="N196" s="1478">
        <v>0.35206349206349286</v>
      </c>
      <c r="O196" s="1476">
        <v>0.80777777777777793</v>
      </c>
      <c r="P196" s="1477">
        <v>0.20609523809523767</v>
      </c>
      <c r="Q196" s="1477">
        <v>0.18090476190476101</v>
      </c>
      <c r="R196" s="1477">
        <v>0.52926562499999807</v>
      </c>
      <c r="S196" s="1476">
        <v>4.3436166666666658</v>
      </c>
      <c r="T196" s="1477">
        <v>0.30776562499999827</v>
      </c>
      <c r="U196" s="1477">
        <v>0.20923437499999897</v>
      </c>
      <c r="V196" s="1478">
        <v>0.48042187499999889</v>
      </c>
      <c r="W196" s="1476">
        <v>11.865918032786885</v>
      </c>
      <c r="X196" s="1477">
        <v>-0.87728124999999935</v>
      </c>
      <c r="Y196" s="1477">
        <v>-1.3732187500000017</v>
      </c>
      <c r="Z196" s="1478">
        <v>-0.57965624999999754</v>
      </c>
      <c r="AA196" s="1476">
        <v>6.0189193548387117</v>
      </c>
      <c r="AB196" s="1477">
        <v>-0.25368253968253818</v>
      </c>
      <c r="AC196" s="1477">
        <v>-0.4931562499999993</v>
      </c>
      <c r="AD196" s="1478">
        <v>-0.2235238095238099</v>
      </c>
      <c r="AE196" s="1476">
        <v>0.49621311475409802</v>
      </c>
      <c r="AF196" s="1477">
        <v>-0.43893749999999998</v>
      </c>
      <c r="AG196" s="1477">
        <v>-0.95798437499999922</v>
      </c>
      <c r="AH196" s="1478">
        <v>-0.3514999999999997</v>
      </c>
      <c r="AI196" s="1476">
        <v>0.30054838709677556</v>
      </c>
      <c r="AJ196" s="1479">
        <v>-0.38845312499999896</v>
      </c>
      <c r="AK196" s="1479">
        <v>-0.54298412698412557</v>
      </c>
      <c r="AL196" s="1480">
        <v>0.63106451612903358</v>
      </c>
      <c r="AM196" s="1479">
        <v>4.698950819672131</v>
      </c>
      <c r="AN196" s="1479">
        <v>-0.19166666666666643</v>
      </c>
      <c r="AO196" s="1479">
        <v>-0.30999999999999961</v>
      </c>
      <c r="AP196" s="1480">
        <v>0.25666666666666638</v>
      </c>
      <c r="AQ196" s="1479">
        <v>1.637734667576852</v>
      </c>
      <c r="AR196" s="1479">
        <v>-0.69677150590554215</v>
      </c>
      <c r="AS196" s="1479">
        <v>-0.82532002718121711</v>
      </c>
      <c r="AT196" s="1480">
        <v>1.5445568651099078</v>
      </c>
      <c r="AU196" s="1479">
        <v>1.6691288195742207</v>
      </c>
      <c r="AV196" s="1479">
        <v>-0.704374459769459</v>
      </c>
      <c r="AW196" s="1479">
        <v>-0.83498911122825525</v>
      </c>
      <c r="AX196" s="1480">
        <v>1.5745847514234943</v>
      </c>
      <c r="AY196" s="1479">
        <v>1.7632770950378909</v>
      </c>
      <c r="AZ196" s="1479">
        <v>-0.69298925565485447</v>
      </c>
      <c r="BA196" s="1479">
        <v>-0.82743500086795607</v>
      </c>
      <c r="BB196" s="1480">
        <v>1.6671304946849221</v>
      </c>
      <c r="BC196" s="1123"/>
      <c r="BD196" s="1123"/>
      <c r="BE196" s="1042">
        <f t="shared" ref="BE196:BE211" si="235">AVERAGE(G196:J196)</f>
        <v>1.0279602210233767</v>
      </c>
      <c r="BF196" s="1042">
        <f t="shared" ref="BF196:BF211" si="236">AVERAGE(K196:N196)</f>
        <v>1.0265432167658739</v>
      </c>
      <c r="BG196" s="1042">
        <f t="shared" ref="BG196:BG211" si="237">AVERAGE(O196:R196)</f>
        <v>0.43101085069444367</v>
      </c>
      <c r="BH196" s="1044">
        <f t="shared" ref="BH196:BH211" si="238">AVERAGE(S196:V196)</f>
        <v>1.3352596354166657</v>
      </c>
      <c r="BI196" s="1044">
        <f t="shared" ref="BI196:BI211" si="239">AVERAGE(W196:Z196)</f>
        <v>2.2589404456967217</v>
      </c>
      <c r="BJ196" s="1044">
        <f t="shared" ref="BJ196:BJ211" si="240">AVERAGE(AA196:AD196)</f>
        <v>1.2621391889080911</v>
      </c>
      <c r="BK196" s="1044">
        <f t="shared" ref="BK196:BK211" si="241">AVERAGE(AE196:AH196)</f>
        <v>-0.31305219006147522</v>
      </c>
      <c r="BL196" s="1044">
        <f t="shared" ref="BL196:BL211" si="242">AVERAGE(AI196:AL196)</f>
        <v>4.3912810421153914E-5</v>
      </c>
      <c r="BM196" s="1260">
        <f t="shared" ref="BM196:BM211" si="243">AVERAGE(AM196:AP196)</f>
        <v>1.113487704918033</v>
      </c>
      <c r="BN196" s="1260">
        <f t="shared" ref="BN196:BN211" si="244">AVERAGE(AQ196:AT196)</f>
        <v>0.41504999990000013</v>
      </c>
      <c r="BO196" s="1260">
        <f t="shared" ref="BO196:BO211" si="245">AVERAGE(AU196:AX196)</f>
        <v>0.42608750000000017</v>
      </c>
      <c r="BP196" s="1260">
        <f t="shared" ref="BP196:BP211" si="246">AVERAGE(AY196:BB196)</f>
        <v>0.47749583330000062</v>
      </c>
      <c r="BQ196" s="1114"/>
      <c r="BR196" s="1143"/>
      <c r="BS196" s="1144"/>
      <c r="BU196" s="1087"/>
      <c r="BV196" s="1086"/>
      <c r="BW196" s="1086"/>
      <c r="BX196" s="1086"/>
    </row>
    <row r="197" spans="2:76" ht="12.75" customHeight="1">
      <c r="B197" s="1286"/>
      <c r="C197" s="1503" t="s">
        <v>534</v>
      </c>
      <c r="D197" s="1416"/>
      <c r="E197" s="1416"/>
      <c r="F197" s="1418"/>
      <c r="G197" s="1476">
        <v>0.89172580645161226</v>
      </c>
      <c r="H197" s="1477">
        <v>0.34730158730158944</v>
      </c>
      <c r="I197" s="1477">
        <v>0.35659375000000004</v>
      </c>
      <c r="J197" s="1478">
        <v>1.4691538461538483</v>
      </c>
      <c r="K197" s="1476">
        <v>1.7646250000000014</v>
      </c>
      <c r="L197" s="1477">
        <v>0.28798437500000063</v>
      </c>
      <c r="M197" s="1477">
        <v>0.25414062500000068</v>
      </c>
      <c r="N197" s="1478">
        <v>0.24365079365079412</v>
      </c>
      <c r="O197" s="1476">
        <v>0.31452380952380965</v>
      </c>
      <c r="P197" s="1477">
        <v>0.1599206349206348</v>
      </c>
      <c r="Q197" s="1477">
        <v>0.16882539682539655</v>
      </c>
      <c r="R197" s="1477">
        <v>0.26892187499999887</v>
      </c>
      <c r="S197" s="1476">
        <v>0.819599999999999</v>
      </c>
      <c r="T197" s="1477">
        <v>0.11882812499999851</v>
      </c>
      <c r="U197" s="1477">
        <v>-1.3265625000001169E-2</v>
      </c>
      <c r="V197" s="1478">
        <v>0.14118750000000091</v>
      </c>
      <c r="W197" s="1476">
        <v>7.5181639344262283</v>
      </c>
      <c r="X197" s="1477">
        <v>-0.89420312500000065</v>
      </c>
      <c r="Y197" s="1477">
        <v>-1.4395156250000012</v>
      </c>
      <c r="Z197" s="1478">
        <v>-1.017578125</v>
      </c>
      <c r="AA197" s="1476">
        <v>3.554258064516127</v>
      </c>
      <c r="AB197" s="1477">
        <v>-1.1179206349206339</v>
      </c>
      <c r="AC197" s="1477">
        <v>-1.3916093749999998</v>
      </c>
      <c r="AD197" s="1478">
        <v>-0.84366666666666723</v>
      </c>
      <c r="AE197" s="1476">
        <v>-0.15401639344262286</v>
      </c>
      <c r="AF197" s="1477">
        <v>-0.55339062499999958</v>
      </c>
      <c r="AG197" s="1477">
        <v>-1.5273593749999999</v>
      </c>
      <c r="AH197" s="1478">
        <v>-0.79788709677419334</v>
      </c>
      <c r="AI197" s="1476">
        <v>-1.6838709677418517E-2</v>
      </c>
      <c r="AJ197" s="1479">
        <v>-0.56160937500000019</v>
      </c>
      <c r="AK197" s="1479">
        <v>-1.2109841269841268</v>
      </c>
      <c r="AL197" s="1480">
        <v>-0.13975806451612982</v>
      </c>
      <c r="AM197" s="1479">
        <v>3.4441967213114757</v>
      </c>
      <c r="AN197" s="1479">
        <v>-0.46333333333333293</v>
      </c>
      <c r="AO197" s="1479">
        <v>-0.59499999999999975</v>
      </c>
      <c r="AP197" s="1480">
        <v>-0.21666666666666679</v>
      </c>
      <c r="AQ197" s="1479">
        <v>0.74457975965344758</v>
      </c>
      <c r="AR197" s="1479">
        <v>-0.76430483819771866</v>
      </c>
      <c r="AS197" s="1479">
        <v>-0.78296558457066712</v>
      </c>
      <c r="AT197" s="1480">
        <v>0.8235214539149398</v>
      </c>
      <c r="AU197" s="1479">
        <v>0.64485745238273218</v>
      </c>
      <c r="AV197" s="1479">
        <v>-0.82982612063011629</v>
      </c>
      <c r="AW197" s="1479">
        <v>-0.84922019602346377</v>
      </c>
      <c r="AX197" s="1480">
        <v>0.71921711267084909</v>
      </c>
      <c r="AY197" s="1479">
        <v>0.64402689825038939</v>
      </c>
      <c r="AZ197" s="1479">
        <v>-0.85250267876937125</v>
      </c>
      <c r="BA197" s="1479">
        <v>-0.87232898455971686</v>
      </c>
      <c r="BB197" s="1480">
        <v>0.71913809827870034</v>
      </c>
      <c r="BC197" s="1123"/>
      <c r="BD197" s="1123"/>
      <c r="BE197" s="1042">
        <f t="shared" si="235"/>
        <v>0.7661937474767625</v>
      </c>
      <c r="BF197" s="1042">
        <f t="shared" si="236"/>
        <v>0.63760019841269922</v>
      </c>
      <c r="BG197" s="1042">
        <f t="shared" si="237"/>
        <v>0.22804792906745996</v>
      </c>
      <c r="BH197" s="1044">
        <f t="shared" si="238"/>
        <v>0.26658749999999931</v>
      </c>
      <c r="BI197" s="1044">
        <f t="shared" si="239"/>
        <v>1.0417167648565566</v>
      </c>
      <c r="BJ197" s="1044">
        <f t="shared" si="240"/>
        <v>5.0265346982206582E-2</v>
      </c>
      <c r="BK197" s="1044">
        <f t="shared" si="241"/>
        <v>-0.75816337255420385</v>
      </c>
      <c r="BL197" s="1044">
        <f t="shared" si="242"/>
        <v>-0.48229756904441884</v>
      </c>
      <c r="BM197" s="1260">
        <f t="shared" si="243"/>
        <v>0.54229918032786906</v>
      </c>
      <c r="BN197" s="1260">
        <f t="shared" si="244"/>
        <v>5.2076977000004021E-3</v>
      </c>
      <c r="BO197" s="1260">
        <f t="shared" si="245"/>
        <v>-7.8742937899999699E-2</v>
      </c>
      <c r="BP197" s="1260">
        <f t="shared" si="246"/>
        <v>-9.0416666699999593E-2</v>
      </c>
      <c r="BQ197" s="1114"/>
      <c r="BR197" s="1115"/>
      <c r="BU197" s="1087"/>
      <c r="BV197" s="1086"/>
      <c r="BW197" s="1086"/>
      <c r="BX197" s="1086"/>
    </row>
    <row r="198" spans="2:76" ht="12.75" customHeight="1">
      <c r="B198" s="1286"/>
      <c r="C198" s="1503" t="s">
        <v>736</v>
      </c>
      <c r="D198" s="1416"/>
      <c r="E198" s="1416"/>
      <c r="F198" s="1418"/>
      <c r="G198" s="1476">
        <v>1.3604838709677409</v>
      </c>
      <c r="H198" s="1477">
        <v>0.36958730158730102</v>
      </c>
      <c r="I198" s="1477">
        <v>0.37103124999999881</v>
      </c>
      <c r="J198" s="1478">
        <v>2.0107384615384656</v>
      </c>
      <c r="K198" s="1476">
        <v>2.7836406250000012</v>
      </c>
      <c r="L198" s="1477">
        <v>0.38664062500000007</v>
      </c>
      <c r="M198" s="1477">
        <v>0.58382812500000192</v>
      </c>
      <c r="N198" s="1478">
        <v>0.35206349206349286</v>
      </c>
      <c r="O198" s="1476">
        <v>0.80777777777777793</v>
      </c>
      <c r="P198" s="1477">
        <v>0.20609523809523767</v>
      </c>
      <c r="Q198" s="1477">
        <v>0.18090476190476101</v>
      </c>
      <c r="R198" s="1477">
        <v>0.52926562499999807</v>
      </c>
      <c r="S198" s="1476">
        <v>4.3436166666666658</v>
      </c>
      <c r="T198" s="1477">
        <v>0.30776562499999827</v>
      </c>
      <c r="U198" s="1477">
        <v>0.20923437499999897</v>
      </c>
      <c r="V198" s="1478">
        <v>0.48042187499999889</v>
      </c>
      <c r="W198" s="1476">
        <v>11.865918032786885</v>
      </c>
      <c r="X198" s="1477">
        <v>-0.87728124999999935</v>
      </c>
      <c r="Y198" s="1477">
        <v>-1.3732187500000017</v>
      </c>
      <c r="Z198" s="1478">
        <v>-0.57965624999999754</v>
      </c>
      <c r="AA198" s="1476">
        <v>6.0189193548387117</v>
      </c>
      <c r="AB198" s="1477">
        <v>-0.25368253968253818</v>
      </c>
      <c r="AC198" s="1477">
        <v>-0.4931562499999993</v>
      </c>
      <c r="AD198" s="1478">
        <v>-0.2235238095238099</v>
      </c>
      <c r="AE198" s="1476">
        <v>0.49621311475409802</v>
      </c>
      <c r="AF198" s="1477">
        <v>-0.43893749999999998</v>
      </c>
      <c r="AG198" s="1477">
        <v>-0.95798437499999922</v>
      </c>
      <c r="AH198" s="1478">
        <v>-0.3514999999999997</v>
      </c>
      <c r="AI198" s="1476">
        <v>0.30054838709677556</v>
      </c>
      <c r="AJ198" s="1479">
        <v>-0.38845312499999896</v>
      </c>
      <c r="AK198" s="1479">
        <v>-0.54298412698412557</v>
      </c>
      <c r="AL198" s="1480">
        <v>0.63106451612903358</v>
      </c>
      <c r="AM198" s="1479">
        <v>4.698950819672131</v>
      </c>
      <c r="AN198" s="1479">
        <v>-0.19166666666666643</v>
      </c>
      <c r="AO198" s="1479">
        <v>-0.30999999999999961</v>
      </c>
      <c r="AP198" s="1480">
        <v>0.25666666666666638</v>
      </c>
      <c r="AQ198" s="1479">
        <v>1.637734667576852</v>
      </c>
      <c r="AR198" s="1479">
        <v>-0.69677150590554215</v>
      </c>
      <c r="AS198" s="1479">
        <v>-0.82532002718121711</v>
      </c>
      <c r="AT198" s="1480">
        <v>1.5445568651099078</v>
      </c>
      <c r="AU198" s="1479">
        <v>1.6691288195742207</v>
      </c>
      <c r="AV198" s="1479">
        <v>-0.704374459769459</v>
      </c>
      <c r="AW198" s="1479">
        <v>-0.83498911122825525</v>
      </c>
      <c r="AX198" s="1480">
        <v>1.5745847514234943</v>
      </c>
      <c r="AY198" s="1479">
        <v>1.7632770950378909</v>
      </c>
      <c r="AZ198" s="1479">
        <v>-0.69298925565485447</v>
      </c>
      <c r="BA198" s="1479">
        <v>-0.82743500086795607</v>
      </c>
      <c r="BB198" s="1480">
        <v>1.6671304946849221</v>
      </c>
      <c r="BC198" s="1123"/>
      <c r="BD198" s="1123"/>
      <c r="BE198" s="1042">
        <f t="shared" si="235"/>
        <v>1.0279602210233767</v>
      </c>
      <c r="BF198" s="1042">
        <f t="shared" si="236"/>
        <v>1.0265432167658739</v>
      </c>
      <c r="BG198" s="1042">
        <f t="shared" si="237"/>
        <v>0.43101085069444367</v>
      </c>
      <c r="BH198" s="1044">
        <f t="shared" si="238"/>
        <v>1.3352596354166657</v>
      </c>
      <c r="BI198" s="1044">
        <f t="shared" si="239"/>
        <v>2.2589404456967217</v>
      </c>
      <c r="BJ198" s="1044">
        <f t="shared" si="240"/>
        <v>1.2621391889080911</v>
      </c>
      <c r="BK198" s="1044">
        <f t="shared" si="241"/>
        <v>-0.31305219006147522</v>
      </c>
      <c r="BL198" s="1044">
        <f t="shared" si="242"/>
        <v>4.3912810421153914E-5</v>
      </c>
      <c r="BM198" s="1260">
        <f t="shared" si="243"/>
        <v>1.113487704918033</v>
      </c>
      <c r="BN198" s="1260">
        <f t="shared" si="244"/>
        <v>0.41504999990000013</v>
      </c>
      <c r="BO198" s="1260">
        <f t="shared" si="245"/>
        <v>0.42608750000000017</v>
      </c>
      <c r="BP198" s="1260">
        <f t="shared" si="246"/>
        <v>0.47749583330000062</v>
      </c>
      <c r="BQ198" s="1114"/>
      <c r="BR198" s="1115"/>
      <c r="BU198" s="1087"/>
      <c r="BV198" s="1086"/>
      <c r="BW198" s="1086"/>
      <c r="BX198" s="1086"/>
    </row>
    <row r="199" spans="2:76" ht="12.75" customHeight="1">
      <c r="B199" s="1286"/>
      <c r="C199" s="1503" t="s">
        <v>737</v>
      </c>
      <c r="D199" s="1416"/>
      <c r="E199" s="1416"/>
      <c r="F199" s="1418"/>
      <c r="G199" s="1476">
        <v>1.3604838709677409</v>
      </c>
      <c r="H199" s="1477">
        <v>0.36958730158730102</v>
      </c>
      <c r="I199" s="1477">
        <v>0.37103124999999881</v>
      </c>
      <c r="J199" s="1478">
        <v>2.0107384615384656</v>
      </c>
      <c r="K199" s="1476">
        <v>2.7836406250000012</v>
      </c>
      <c r="L199" s="1477">
        <v>0.38664062500000007</v>
      </c>
      <c r="M199" s="1477">
        <v>0.58382812500000192</v>
      </c>
      <c r="N199" s="1478">
        <v>0.35206349206349286</v>
      </c>
      <c r="O199" s="1476">
        <v>0.80777777777777793</v>
      </c>
      <c r="P199" s="1477">
        <v>0.20609523809523767</v>
      </c>
      <c r="Q199" s="1477">
        <v>0.18090476190476101</v>
      </c>
      <c r="R199" s="1477">
        <v>0.52926562499999807</v>
      </c>
      <c r="S199" s="1476">
        <v>4.3436166666666658</v>
      </c>
      <c r="T199" s="1477">
        <v>0.30776562499999827</v>
      </c>
      <c r="U199" s="1477">
        <v>0.20923437499999897</v>
      </c>
      <c r="V199" s="1478">
        <v>0.48042187499999889</v>
      </c>
      <c r="W199" s="1476">
        <v>11.865918032786885</v>
      </c>
      <c r="X199" s="1477">
        <v>-0.87728124999999935</v>
      </c>
      <c r="Y199" s="1477">
        <v>-1.3732187500000017</v>
      </c>
      <c r="Z199" s="1478">
        <v>-0.57965624999999754</v>
      </c>
      <c r="AA199" s="1476">
        <v>6.0189193548387117</v>
      </c>
      <c r="AB199" s="1477">
        <v>-0.25368253968253818</v>
      </c>
      <c r="AC199" s="1477">
        <v>-0.4931562499999993</v>
      </c>
      <c r="AD199" s="1478">
        <v>-0.2235238095238099</v>
      </c>
      <c r="AE199" s="1476">
        <v>0.49621311475409802</v>
      </c>
      <c r="AF199" s="1477">
        <v>-0.43893749999999998</v>
      </c>
      <c r="AG199" s="1477">
        <v>-0.95798437499999922</v>
      </c>
      <c r="AH199" s="1478">
        <v>-0.3514999999999997</v>
      </c>
      <c r="AI199" s="1476">
        <v>0.30054838709677556</v>
      </c>
      <c r="AJ199" s="1479">
        <v>-0.38845312499999896</v>
      </c>
      <c r="AK199" s="1479">
        <v>-0.54298412698412557</v>
      </c>
      <c r="AL199" s="1480">
        <v>0.63106451612903358</v>
      </c>
      <c r="AM199" s="1479">
        <v>4.698950819672131</v>
      </c>
      <c r="AN199" s="1479">
        <v>-0.19166666666666643</v>
      </c>
      <c r="AO199" s="1479">
        <v>-0.30999999999999961</v>
      </c>
      <c r="AP199" s="1480">
        <v>0.25666666666666638</v>
      </c>
      <c r="AQ199" s="1479">
        <v>1.637734667576852</v>
      </c>
      <c r="AR199" s="1479">
        <v>-0.69677150590554215</v>
      </c>
      <c r="AS199" s="1479">
        <v>-0.82532002718121711</v>
      </c>
      <c r="AT199" s="1480">
        <v>1.5445568651099078</v>
      </c>
      <c r="AU199" s="1479">
        <v>1.6691288195742207</v>
      </c>
      <c r="AV199" s="1479">
        <v>-0.704374459769459</v>
      </c>
      <c r="AW199" s="1479">
        <v>-0.83498911122825525</v>
      </c>
      <c r="AX199" s="1480">
        <v>1.5745847514234943</v>
      </c>
      <c r="AY199" s="1479">
        <v>1.7632770950378909</v>
      </c>
      <c r="AZ199" s="1479">
        <v>-0.69298925565485447</v>
      </c>
      <c r="BA199" s="1479">
        <v>-0.82743500086795607</v>
      </c>
      <c r="BB199" s="1480">
        <v>1.6671304946849221</v>
      </c>
      <c r="BC199" s="1123"/>
      <c r="BD199" s="1123"/>
      <c r="BE199" s="1042">
        <f t="shared" si="235"/>
        <v>1.0279602210233767</v>
      </c>
      <c r="BF199" s="1042">
        <f t="shared" si="236"/>
        <v>1.0265432167658739</v>
      </c>
      <c r="BG199" s="1042">
        <f t="shared" si="237"/>
        <v>0.43101085069444367</v>
      </c>
      <c r="BH199" s="1044">
        <f t="shared" si="238"/>
        <v>1.3352596354166657</v>
      </c>
      <c r="BI199" s="1044">
        <f t="shared" si="239"/>
        <v>2.2589404456967217</v>
      </c>
      <c r="BJ199" s="1044">
        <f t="shared" si="240"/>
        <v>1.2621391889080911</v>
      </c>
      <c r="BK199" s="1044">
        <f t="shared" si="241"/>
        <v>-0.31305219006147522</v>
      </c>
      <c r="BL199" s="1044">
        <f t="shared" si="242"/>
        <v>4.3912810421153914E-5</v>
      </c>
      <c r="BM199" s="1260">
        <f t="shared" si="243"/>
        <v>1.113487704918033</v>
      </c>
      <c r="BN199" s="1260">
        <f t="shared" si="244"/>
        <v>0.41504999990000013</v>
      </c>
      <c r="BO199" s="1260">
        <f t="shared" si="245"/>
        <v>0.42608750000000017</v>
      </c>
      <c r="BP199" s="1260">
        <f t="shared" si="246"/>
        <v>0.47749583330000062</v>
      </c>
      <c r="BQ199" s="1114"/>
      <c r="BR199" s="1115"/>
      <c r="BU199" s="1087"/>
      <c r="BV199" s="1086"/>
      <c r="BW199" s="1086"/>
      <c r="BX199" s="1086"/>
    </row>
    <row r="200" spans="2:76" ht="12.75" customHeight="1">
      <c r="B200" s="1286"/>
      <c r="C200" s="1505" t="s">
        <v>535</v>
      </c>
      <c r="D200" s="1149"/>
      <c r="E200" s="1149"/>
      <c r="F200" s="1275"/>
      <c r="G200" s="1476">
        <v>0.89172580645161226</v>
      </c>
      <c r="H200" s="1477">
        <v>0.34730158730158944</v>
      </c>
      <c r="I200" s="1477">
        <v>0.35659375000000004</v>
      </c>
      <c r="J200" s="1478">
        <v>1.4691538461538483</v>
      </c>
      <c r="K200" s="1476">
        <v>1.7646250000000014</v>
      </c>
      <c r="L200" s="1477">
        <v>0.28798437500000063</v>
      </c>
      <c r="M200" s="1477">
        <v>0.25414062500000068</v>
      </c>
      <c r="N200" s="1478">
        <v>0.24365079365079412</v>
      </c>
      <c r="O200" s="1476">
        <v>0.31452380952380965</v>
      </c>
      <c r="P200" s="1477">
        <v>0.1599206349206348</v>
      </c>
      <c r="Q200" s="1477">
        <v>0.16882539682539655</v>
      </c>
      <c r="R200" s="1477">
        <v>0.26892187499999887</v>
      </c>
      <c r="S200" s="1476">
        <v>0.819599999999999</v>
      </c>
      <c r="T200" s="1477">
        <v>0.11882812499999851</v>
      </c>
      <c r="U200" s="1477">
        <v>-1.3265625000001169E-2</v>
      </c>
      <c r="V200" s="1478">
        <v>0.14118750000000091</v>
      </c>
      <c r="W200" s="1476">
        <v>7.5181639344262283</v>
      </c>
      <c r="X200" s="1477">
        <v>-0.89420312500000065</v>
      </c>
      <c r="Y200" s="1477">
        <v>-1.4395156250000012</v>
      </c>
      <c r="Z200" s="1478">
        <v>-1.017578125</v>
      </c>
      <c r="AA200" s="1476">
        <v>3.554258064516127</v>
      </c>
      <c r="AB200" s="1477">
        <v>-1.1179206349206339</v>
      </c>
      <c r="AC200" s="1477">
        <v>-1.3916093749999998</v>
      </c>
      <c r="AD200" s="1478">
        <v>-0.84366666666666723</v>
      </c>
      <c r="AE200" s="1476">
        <v>-0.15401639344262286</v>
      </c>
      <c r="AF200" s="1477">
        <v>-0.55339062499999958</v>
      </c>
      <c r="AG200" s="1477">
        <v>-1.5273593749999999</v>
      </c>
      <c r="AH200" s="1478">
        <v>-0.79788709677419334</v>
      </c>
      <c r="AI200" s="1476">
        <v>-1.6838709677418517E-2</v>
      </c>
      <c r="AJ200" s="1479">
        <v>-0.56160937500000019</v>
      </c>
      <c r="AK200" s="1479">
        <v>-1.2109841269841268</v>
      </c>
      <c r="AL200" s="1480">
        <v>-0.13975806451612982</v>
      </c>
      <c r="AM200" s="1479">
        <v>3.4441967213114757</v>
      </c>
      <c r="AN200" s="1479">
        <v>-0.46333333333333293</v>
      </c>
      <c r="AO200" s="1479">
        <v>-0.59499999999999975</v>
      </c>
      <c r="AP200" s="1480">
        <v>-0.21666666666666679</v>
      </c>
      <c r="AQ200" s="1479">
        <v>0.74457975965344758</v>
      </c>
      <c r="AR200" s="1479">
        <v>-0.76430483819771866</v>
      </c>
      <c r="AS200" s="1479">
        <v>-0.78296558457066712</v>
      </c>
      <c r="AT200" s="1480">
        <v>0.8235214539149398</v>
      </c>
      <c r="AU200" s="1479">
        <v>0.64485745238273218</v>
      </c>
      <c r="AV200" s="1479">
        <v>-0.82982612063011629</v>
      </c>
      <c r="AW200" s="1479">
        <v>-0.84922019602346377</v>
      </c>
      <c r="AX200" s="1480">
        <v>0.71921711267084909</v>
      </c>
      <c r="AY200" s="1479">
        <v>0.64402689825038939</v>
      </c>
      <c r="AZ200" s="1479">
        <v>-0.85250267876937125</v>
      </c>
      <c r="BA200" s="1479">
        <v>-0.87232898455971686</v>
      </c>
      <c r="BB200" s="1480">
        <v>0.71913809827870034</v>
      </c>
      <c r="BC200" s="1123"/>
      <c r="BD200" s="1123"/>
      <c r="BE200" s="1042">
        <f t="shared" si="235"/>
        <v>0.7661937474767625</v>
      </c>
      <c r="BF200" s="1042">
        <f t="shared" si="236"/>
        <v>0.63760019841269922</v>
      </c>
      <c r="BG200" s="1042">
        <f t="shared" si="237"/>
        <v>0.22804792906745996</v>
      </c>
      <c r="BH200" s="1044">
        <f t="shared" si="238"/>
        <v>0.26658749999999931</v>
      </c>
      <c r="BI200" s="1044">
        <f t="shared" si="239"/>
        <v>1.0417167648565566</v>
      </c>
      <c r="BJ200" s="1044">
        <f t="shared" si="240"/>
        <v>5.0265346982206582E-2</v>
      </c>
      <c r="BK200" s="1044">
        <f t="shared" si="241"/>
        <v>-0.75816337255420385</v>
      </c>
      <c r="BL200" s="1044">
        <f t="shared" si="242"/>
        <v>-0.48229756904441884</v>
      </c>
      <c r="BM200" s="1260">
        <f t="shared" si="243"/>
        <v>0.54229918032786906</v>
      </c>
      <c r="BN200" s="1260">
        <f t="shared" si="244"/>
        <v>5.2076977000004021E-3</v>
      </c>
      <c r="BO200" s="1260">
        <f t="shared" si="245"/>
        <v>-7.8742937899999699E-2</v>
      </c>
      <c r="BP200" s="1260">
        <f t="shared" si="246"/>
        <v>-9.0416666699999593E-2</v>
      </c>
      <c r="BQ200" s="1114"/>
      <c r="BR200" s="1115"/>
      <c r="BU200" s="1087"/>
      <c r="BV200" s="1086"/>
      <c r="BW200" s="1086"/>
      <c r="BX200" s="1086"/>
    </row>
    <row r="201" spans="2:76" ht="12.75" customHeight="1">
      <c r="B201" s="1286"/>
      <c r="C201" s="1505" t="s">
        <v>804</v>
      </c>
      <c r="D201" s="1149"/>
      <c r="E201" s="1149"/>
      <c r="F201" s="1275"/>
      <c r="G201" s="1476">
        <v>0.89172580645161226</v>
      </c>
      <c r="H201" s="1477">
        <v>0.34730158730158944</v>
      </c>
      <c r="I201" s="1477">
        <v>0.35659375000000004</v>
      </c>
      <c r="J201" s="1478">
        <v>1.4691538461538483</v>
      </c>
      <c r="K201" s="1476">
        <v>1.7646250000000014</v>
      </c>
      <c r="L201" s="1477">
        <v>0.28798437500000063</v>
      </c>
      <c r="M201" s="1477">
        <v>0.25414062500000068</v>
      </c>
      <c r="N201" s="1478">
        <v>0.24365079365079412</v>
      </c>
      <c r="O201" s="1476">
        <v>0.31452380952380965</v>
      </c>
      <c r="P201" s="1477">
        <v>0.1599206349206348</v>
      </c>
      <c r="Q201" s="1477">
        <v>0.16882539682539655</v>
      </c>
      <c r="R201" s="1477">
        <v>0.26892187499999887</v>
      </c>
      <c r="S201" s="1476">
        <v>0.819599999999999</v>
      </c>
      <c r="T201" s="1477">
        <v>0.11882812499999851</v>
      </c>
      <c r="U201" s="1477">
        <v>-1.3265625000001169E-2</v>
      </c>
      <c r="V201" s="1478">
        <v>0.14118750000000091</v>
      </c>
      <c r="W201" s="1476">
        <v>7.5181639344262283</v>
      </c>
      <c r="X201" s="1477">
        <v>-0.89420312500000065</v>
      </c>
      <c r="Y201" s="1477">
        <v>-1.4395156250000012</v>
      </c>
      <c r="Z201" s="1478">
        <v>-1.017578125</v>
      </c>
      <c r="AA201" s="1476">
        <v>3.554258064516127</v>
      </c>
      <c r="AB201" s="1477">
        <v>-1.1179206349206339</v>
      </c>
      <c r="AC201" s="1477">
        <v>-1.3916093749999998</v>
      </c>
      <c r="AD201" s="1478">
        <v>-0.84366666666666723</v>
      </c>
      <c r="AE201" s="1476">
        <v>-0.15401639344262286</v>
      </c>
      <c r="AF201" s="1477">
        <v>-0.55339062499999958</v>
      </c>
      <c r="AG201" s="1477">
        <v>-1.5273593749999999</v>
      </c>
      <c r="AH201" s="1478">
        <v>-0.79788709677419334</v>
      </c>
      <c r="AI201" s="1476">
        <v>-1.6838709677418517E-2</v>
      </c>
      <c r="AJ201" s="1479">
        <v>-0.56160937500000019</v>
      </c>
      <c r="AK201" s="1479">
        <v>-1.2109841269841268</v>
      </c>
      <c r="AL201" s="1480">
        <v>-0.13975806451612982</v>
      </c>
      <c r="AM201" s="1479">
        <v>3.4441967213114757</v>
      </c>
      <c r="AN201" s="1479">
        <v>-0.46333333333333293</v>
      </c>
      <c r="AO201" s="1479">
        <v>-0.59499999999999975</v>
      </c>
      <c r="AP201" s="1480">
        <v>-0.21666666666666679</v>
      </c>
      <c r="AQ201" s="1479">
        <v>0.74457975965344758</v>
      </c>
      <c r="AR201" s="1479">
        <v>-0.76430483819771866</v>
      </c>
      <c r="AS201" s="1479">
        <v>-0.78296558457066712</v>
      </c>
      <c r="AT201" s="1480">
        <v>0.8235214539149398</v>
      </c>
      <c r="AU201" s="1479">
        <v>0.64485745238273218</v>
      </c>
      <c r="AV201" s="1479">
        <v>-0.82982612063011629</v>
      </c>
      <c r="AW201" s="1479">
        <v>-0.84922019602346377</v>
      </c>
      <c r="AX201" s="1480">
        <v>0.71921711267084909</v>
      </c>
      <c r="AY201" s="1479">
        <v>0.64402689825038939</v>
      </c>
      <c r="AZ201" s="1479">
        <v>-0.85250267876937125</v>
      </c>
      <c r="BA201" s="1479">
        <v>-0.87232898455971686</v>
      </c>
      <c r="BB201" s="1480">
        <v>0.71913809827870034</v>
      </c>
      <c r="BC201" s="1123"/>
      <c r="BD201" s="1123"/>
      <c r="BE201" s="1042">
        <f t="shared" si="235"/>
        <v>0.7661937474767625</v>
      </c>
      <c r="BF201" s="1042">
        <f t="shared" si="236"/>
        <v>0.63760019841269922</v>
      </c>
      <c r="BG201" s="1042">
        <f t="shared" si="237"/>
        <v>0.22804792906745996</v>
      </c>
      <c r="BH201" s="1044">
        <f t="shared" si="238"/>
        <v>0.26658749999999931</v>
      </c>
      <c r="BI201" s="1044">
        <f t="shared" si="239"/>
        <v>1.0417167648565566</v>
      </c>
      <c r="BJ201" s="1044">
        <f t="shared" si="240"/>
        <v>5.0265346982206582E-2</v>
      </c>
      <c r="BK201" s="1044">
        <f t="shared" si="241"/>
        <v>-0.75816337255420385</v>
      </c>
      <c r="BL201" s="1044">
        <f t="shared" si="242"/>
        <v>-0.48229756904441884</v>
      </c>
      <c r="BM201" s="1260">
        <f t="shared" si="243"/>
        <v>0.54229918032786906</v>
      </c>
      <c r="BN201" s="1260">
        <f t="shared" si="244"/>
        <v>5.2076977000004021E-3</v>
      </c>
      <c r="BO201" s="1260">
        <f t="shared" si="245"/>
        <v>-7.8742937899999699E-2</v>
      </c>
      <c r="BP201" s="1260">
        <f t="shared" si="246"/>
        <v>-9.0416666699999593E-2</v>
      </c>
      <c r="BQ201" s="1114"/>
      <c r="BR201" s="1115"/>
      <c r="BU201" s="1087"/>
      <c r="BV201" s="1086"/>
      <c r="BW201" s="1086"/>
      <c r="BX201" s="1086"/>
    </row>
    <row r="202" spans="2:76" ht="12.75" customHeight="1">
      <c r="B202" s="1286"/>
      <c r="C202" s="1503" t="s">
        <v>840</v>
      </c>
      <c r="D202" s="1416"/>
      <c r="E202" s="1416"/>
      <c r="F202" s="1418"/>
      <c r="G202" s="1476">
        <v>0.89172580645161226</v>
      </c>
      <c r="H202" s="1477">
        <v>0.34730158730158944</v>
      </c>
      <c r="I202" s="1477">
        <v>0.35659375000000004</v>
      </c>
      <c r="J202" s="1478">
        <v>1.4691538461538483</v>
      </c>
      <c r="K202" s="1476">
        <v>1.7646250000000014</v>
      </c>
      <c r="L202" s="1477">
        <v>0.28798437500000063</v>
      </c>
      <c r="M202" s="1477">
        <v>0.25414062500000068</v>
      </c>
      <c r="N202" s="1478">
        <v>0.24365079365079412</v>
      </c>
      <c r="O202" s="1476">
        <v>0.31452380952380965</v>
      </c>
      <c r="P202" s="1477">
        <v>0.1599206349206348</v>
      </c>
      <c r="Q202" s="1477">
        <v>0.16882539682539655</v>
      </c>
      <c r="R202" s="1477">
        <v>0.26892187499999887</v>
      </c>
      <c r="S202" s="1476">
        <v>0.819599999999999</v>
      </c>
      <c r="T202" s="1477">
        <v>0.11882812499999851</v>
      </c>
      <c r="U202" s="1477">
        <v>-1.3265625000001169E-2</v>
      </c>
      <c r="V202" s="1478">
        <v>0.14118750000000091</v>
      </c>
      <c r="W202" s="1476">
        <v>7.5181639344262283</v>
      </c>
      <c r="X202" s="1477">
        <v>-0.89420312500000065</v>
      </c>
      <c r="Y202" s="1477">
        <v>-1.4395156250000012</v>
      </c>
      <c r="Z202" s="1478">
        <v>-1.017578125</v>
      </c>
      <c r="AA202" s="1476">
        <v>3.554258064516127</v>
      </c>
      <c r="AB202" s="1477">
        <v>-1.1179206349206339</v>
      </c>
      <c r="AC202" s="1477">
        <v>-1.3916093749999998</v>
      </c>
      <c r="AD202" s="1478">
        <v>-0.84366666666666723</v>
      </c>
      <c r="AE202" s="1476">
        <v>-0.15401639344262286</v>
      </c>
      <c r="AF202" s="1477">
        <v>-0.55339062499999958</v>
      </c>
      <c r="AG202" s="1477">
        <v>-1.5273593749999999</v>
      </c>
      <c r="AH202" s="1478">
        <v>-0.79788709677419334</v>
      </c>
      <c r="AI202" s="1476">
        <v>-1.6838709677418517E-2</v>
      </c>
      <c r="AJ202" s="1479">
        <v>-0.56160937500000019</v>
      </c>
      <c r="AK202" s="1479">
        <v>-1.2109841269841268</v>
      </c>
      <c r="AL202" s="1480">
        <v>-0.13975806451612982</v>
      </c>
      <c r="AM202" s="1479">
        <v>3.4441967213114757</v>
      </c>
      <c r="AN202" s="1479">
        <v>0</v>
      </c>
      <c r="AO202" s="1479">
        <v>0</v>
      </c>
      <c r="AP202" s="1480">
        <v>0</v>
      </c>
      <c r="AQ202" s="1479">
        <v>0</v>
      </c>
      <c r="AR202" s="1479">
        <v>0</v>
      </c>
      <c r="AS202" s="1479">
        <v>0</v>
      </c>
      <c r="AT202" s="1480">
        <v>0</v>
      </c>
      <c r="AU202" s="1479">
        <v>0</v>
      </c>
      <c r="AV202" s="1479">
        <v>0</v>
      </c>
      <c r="AW202" s="1479">
        <v>0</v>
      </c>
      <c r="AX202" s="1480">
        <v>0</v>
      </c>
      <c r="AY202" s="1479">
        <v>0</v>
      </c>
      <c r="AZ202" s="1479">
        <v>0</v>
      </c>
      <c r="BA202" s="1479">
        <v>0</v>
      </c>
      <c r="BB202" s="1480">
        <v>0</v>
      </c>
      <c r="BC202" s="1123"/>
      <c r="BD202" s="1123"/>
      <c r="BE202" s="1042">
        <f t="shared" si="235"/>
        <v>0.7661937474767625</v>
      </c>
      <c r="BF202" s="1042">
        <f t="shared" si="236"/>
        <v>0.63760019841269922</v>
      </c>
      <c r="BG202" s="1042">
        <f t="shared" si="237"/>
        <v>0.22804792906745996</v>
      </c>
      <c r="BH202" s="1044">
        <f t="shared" si="238"/>
        <v>0.26658749999999931</v>
      </c>
      <c r="BI202" s="1044">
        <f t="shared" si="239"/>
        <v>1.0417167648565566</v>
      </c>
      <c r="BJ202" s="1044">
        <f t="shared" si="240"/>
        <v>5.0265346982206582E-2</v>
      </c>
      <c r="BK202" s="1044">
        <f t="shared" si="241"/>
        <v>-0.75816337255420385</v>
      </c>
      <c r="BL202" s="1044">
        <f t="shared" si="242"/>
        <v>-0.48229756904441884</v>
      </c>
      <c r="BM202" s="1260">
        <f t="shared" si="243"/>
        <v>0.86104918032786892</v>
      </c>
      <c r="BN202" s="1260">
        <f t="shared" si="244"/>
        <v>0</v>
      </c>
      <c r="BO202" s="1260">
        <f t="shared" si="245"/>
        <v>0</v>
      </c>
      <c r="BP202" s="1260">
        <f t="shared" si="246"/>
        <v>0</v>
      </c>
      <c r="BQ202" s="1114"/>
      <c r="BR202" s="1115"/>
      <c r="BU202" s="1087"/>
      <c r="BV202" s="1086"/>
      <c r="BW202" s="1086"/>
      <c r="BX202" s="1086"/>
    </row>
    <row r="203" spans="2:76" ht="12.75" customHeight="1">
      <c r="B203" s="1286"/>
      <c r="C203" s="1503" t="s">
        <v>727</v>
      </c>
      <c r="D203" s="1416"/>
      <c r="E203" s="1416"/>
      <c r="F203" s="1418"/>
      <c r="G203" s="1476">
        <v>0</v>
      </c>
      <c r="H203" s="1477">
        <v>0</v>
      </c>
      <c r="I203" s="1477">
        <v>0</v>
      </c>
      <c r="J203" s="1478">
        <v>0</v>
      </c>
      <c r="K203" s="1476">
        <v>0</v>
      </c>
      <c r="L203" s="1477">
        <v>0</v>
      </c>
      <c r="M203" s="1477">
        <v>0</v>
      </c>
      <c r="N203" s="1478">
        <v>0</v>
      </c>
      <c r="O203" s="1476">
        <v>0</v>
      </c>
      <c r="P203" s="1477">
        <v>0</v>
      </c>
      <c r="Q203" s="1477">
        <v>0</v>
      </c>
      <c r="R203" s="1477">
        <v>0</v>
      </c>
      <c r="S203" s="1476">
        <v>0</v>
      </c>
      <c r="T203" s="1477">
        <v>0</v>
      </c>
      <c r="U203" s="1477">
        <v>0</v>
      </c>
      <c r="V203" s="1478">
        <v>0</v>
      </c>
      <c r="W203" s="1476">
        <v>0</v>
      </c>
      <c r="X203" s="1477">
        <v>0</v>
      </c>
      <c r="Y203" s="1477">
        <v>0</v>
      </c>
      <c r="Z203" s="1478">
        <v>0</v>
      </c>
      <c r="AA203" s="1476">
        <v>0</v>
      </c>
      <c r="AB203" s="1477">
        <v>0</v>
      </c>
      <c r="AC203" s="1477">
        <v>0</v>
      </c>
      <c r="AD203" s="1478">
        <v>0</v>
      </c>
      <c r="AE203" s="1476">
        <v>0</v>
      </c>
      <c r="AF203" s="1477">
        <v>0</v>
      </c>
      <c r="AG203" s="1477">
        <v>0</v>
      </c>
      <c r="AH203" s="1478">
        <v>0</v>
      </c>
      <c r="AI203" s="1476">
        <v>0</v>
      </c>
      <c r="AJ203" s="1479">
        <v>0</v>
      </c>
      <c r="AK203" s="1479">
        <v>0</v>
      </c>
      <c r="AL203" s="1480">
        <v>0</v>
      </c>
      <c r="AM203" s="1479">
        <v>0</v>
      </c>
      <c r="AN203" s="1479">
        <v>0</v>
      </c>
      <c r="AO203" s="1479">
        <v>0</v>
      </c>
      <c r="AP203" s="1480">
        <v>0</v>
      </c>
      <c r="AQ203" s="1479">
        <v>0</v>
      </c>
      <c r="AR203" s="1479">
        <v>0</v>
      </c>
      <c r="AS203" s="1479">
        <v>0</v>
      </c>
      <c r="AT203" s="1480">
        <v>0</v>
      </c>
      <c r="AU203" s="1479">
        <v>0</v>
      </c>
      <c r="AV203" s="1479">
        <v>0</v>
      </c>
      <c r="AW203" s="1479">
        <v>0</v>
      </c>
      <c r="AX203" s="1480">
        <v>0</v>
      </c>
      <c r="AY203" s="1479">
        <v>0</v>
      </c>
      <c r="AZ203" s="1479">
        <v>0</v>
      </c>
      <c r="BA203" s="1479">
        <v>0</v>
      </c>
      <c r="BB203" s="1480">
        <v>0</v>
      </c>
      <c r="BC203" s="1123"/>
      <c r="BD203" s="1123"/>
      <c r="BE203" s="1042">
        <f t="shared" si="235"/>
        <v>0</v>
      </c>
      <c r="BF203" s="1042">
        <f t="shared" si="236"/>
        <v>0</v>
      </c>
      <c r="BG203" s="1042">
        <f t="shared" si="237"/>
        <v>0</v>
      </c>
      <c r="BH203" s="1044">
        <f t="shared" si="238"/>
        <v>0</v>
      </c>
      <c r="BI203" s="1044">
        <f t="shared" si="239"/>
        <v>0</v>
      </c>
      <c r="BJ203" s="1044">
        <f t="shared" si="240"/>
        <v>0</v>
      </c>
      <c r="BK203" s="1044">
        <f t="shared" si="241"/>
        <v>0</v>
      </c>
      <c r="BL203" s="1044">
        <f t="shared" si="242"/>
        <v>0</v>
      </c>
      <c r="BM203" s="1260">
        <f t="shared" si="243"/>
        <v>0</v>
      </c>
      <c r="BN203" s="1260">
        <f t="shared" si="244"/>
        <v>0</v>
      </c>
      <c r="BO203" s="1260">
        <f t="shared" si="245"/>
        <v>0</v>
      </c>
      <c r="BP203" s="1260">
        <f t="shared" si="246"/>
        <v>0</v>
      </c>
      <c r="BQ203" s="1114"/>
      <c r="BR203" s="1115"/>
      <c r="BU203" s="1087"/>
      <c r="BV203" s="1086"/>
      <c r="BW203" s="1086"/>
      <c r="BX203" s="1086"/>
    </row>
    <row r="204" spans="2:76" ht="12.75" customHeight="1">
      <c r="B204" s="1286"/>
      <c r="C204" s="1503" t="s">
        <v>728</v>
      </c>
      <c r="D204" s="1416"/>
      <c r="E204" s="1416"/>
      <c r="F204" s="1418"/>
      <c r="G204" s="1476">
        <v>0</v>
      </c>
      <c r="H204" s="1477">
        <v>0</v>
      </c>
      <c r="I204" s="1477">
        <v>0</v>
      </c>
      <c r="J204" s="1478">
        <v>0</v>
      </c>
      <c r="K204" s="1476">
        <v>0</v>
      </c>
      <c r="L204" s="1477">
        <v>0</v>
      </c>
      <c r="M204" s="1477">
        <v>0</v>
      </c>
      <c r="N204" s="1478">
        <v>0</v>
      </c>
      <c r="O204" s="1476">
        <v>0</v>
      </c>
      <c r="P204" s="1477">
        <v>0</v>
      </c>
      <c r="Q204" s="1477">
        <v>0</v>
      </c>
      <c r="R204" s="1477">
        <v>0</v>
      </c>
      <c r="S204" s="1476">
        <v>0</v>
      </c>
      <c r="T204" s="1477">
        <v>0</v>
      </c>
      <c r="U204" s="1477">
        <v>0</v>
      </c>
      <c r="V204" s="1478">
        <v>0</v>
      </c>
      <c r="W204" s="1476">
        <v>0</v>
      </c>
      <c r="X204" s="1477">
        <v>0</v>
      </c>
      <c r="Y204" s="1477">
        <v>0</v>
      </c>
      <c r="Z204" s="1478">
        <v>0</v>
      </c>
      <c r="AA204" s="1476">
        <v>0</v>
      </c>
      <c r="AB204" s="1477">
        <v>0</v>
      </c>
      <c r="AC204" s="1477">
        <v>0</v>
      </c>
      <c r="AD204" s="1478">
        <v>0</v>
      </c>
      <c r="AE204" s="1476">
        <v>0</v>
      </c>
      <c r="AF204" s="1477">
        <v>0</v>
      </c>
      <c r="AG204" s="1477">
        <v>0</v>
      </c>
      <c r="AH204" s="1478">
        <v>0</v>
      </c>
      <c r="AI204" s="1476">
        <v>0</v>
      </c>
      <c r="AJ204" s="1479">
        <v>0</v>
      </c>
      <c r="AK204" s="1479">
        <v>0</v>
      </c>
      <c r="AL204" s="1480">
        <v>0</v>
      </c>
      <c r="AM204" s="1479">
        <v>0</v>
      </c>
      <c r="AN204" s="1479">
        <v>0</v>
      </c>
      <c r="AO204" s="1479">
        <v>0</v>
      </c>
      <c r="AP204" s="1480">
        <v>0</v>
      </c>
      <c r="AQ204" s="1479">
        <v>0</v>
      </c>
      <c r="AR204" s="1479">
        <v>0</v>
      </c>
      <c r="AS204" s="1479">
        <v>0</v>
      </c>
      <c r="AT204" s="1480">
        <v>0</v>
      </c>
      <c r="AU204" s="1479">
        <v>0</v>
      </c>
      <c r="AV204" s="1479">
        <v>0</v>
      </c>
      <c r="AW204" s="1479">
        <v>0</v>
      </c>
      <c r="AX204" s="1480">
        <v>0</v>
      </c>
      <c r="AY204" s="1479">
        <v>0</v>
      </c>
      <c r="AZ204" s="1479">
        <v>0</v>
      </c>
      <c r="BA204" s="1479">
        <v>0</v>
      </c>
      <c r="BB204" s="1480">
        <v>0</v>
      </c>
      <c r="BC204" s="1123"/>
      <c r="BD204" s="1123"/>
      <c r="BE204" s="1042">
        <f t="shared" si="235"/>
        <v>0</v>
      </c>
      <c r="BF204" s="1042">
        <f t="shared" si="236"/>
        <v>0</v>
      </c>
      <c r="BG204" s="1042">
        <f t="shared" si="237"/>
        <v>0</v>
      </c>
      <c r="BH204" s="1044">
        <f t="shared" si="238"/>
        <v>0</v>
      </c>
      <c r="BI204" s="1044">
        <f t="shared" si="239"/>
        <v>0</v>
      </c>
      <c r="BJ204" s="1044">
        <f t="shared" si="240"/>
        <v>0</v>
      </c>
      <c r="BK204" s="1044">
        <f t="shared" si="241"/>
        <v>0</v>
      </c>
      <c r="BL204" s="1044">
        <f t="shared" si="242"/>
        <v>0</v>
      </c>
      <c r="BM204" s="1260">
        <f t="shared" si="243"/>
        <v>0</v>
      </c>
      <c r="BN204" s="1260">
        <f t="shared" si="244"/>
        <v>0</v>
      </c>
      <c r="BO204" s="1260">
        <f t="shared" si="245"/>
        <v>0</v>
      </c>
      <c r="BP204" s="1260">
        <f t="shared" si="246"/>
        <v>0</v>
      </c>
      <c r="BQ204" s="1114"/>
      <c r="BR204" s="1115"/>
      <c r="BU204" s="1087"/>
      <c r="BV204" s="1086"/>
      <c r="BW204" s="1086"/>
      <c r="BX204" s="1086"/>
    </row>
    <row r="205" spans="2:76" ht="12.75" customHeight="1">
      <c r="B205" s="1286"/>
      <c r="C205" s="1503" t="s">
        <v>729</v>
      </c>
      <c r="D205" s="1416"/>
      <c r="E205" s="1416"/>
      <c r="F205" s="1418"/>
      <c r="G205" s="1476">
        <v>0</v>
      </c>
      <c r="H205" s="1477">
        <v>0</v>
      </c>
      <c r="I205" s="1477">
        <v>0</v>
      </c>
      <c r="J205" s="1478">
        <v>0</v>
      </c>
      <c r="K205" s="1476">
        <v>0</v>
      </c>
      <c r="L205" s="1477">
        <v>0</v>
      </c>
      <c r="M205" s="1477">
        <v>0</v>
      </c>
      <c r="N205" s="1478">
        <v>0</v>
      </c>
      <c r="O205" s="1476">
        <v>0</v>
      </c>
      <c r="P205" s="1477">
        <v>0</v>
      </c>
      <c r="Q205" s="1477">
        <v>0</v>
      </c>
      <c r="R205" s="1477">
        <v>0</v>
      </c>
      <c r="S205" s="1476">
        <v>0</v>
      </c>
      <c r="T205" s="1477">
        <v>0</v>
      </c>
      <c r="U205" s="1477">
        <v>0</v>
      </c>
      <c r="V205" s="1478">
        <v>0</v>
      </c>
      <c r="W205" s="1476">
        <v>0</v>
      </c>
      <c r="X205" s="1477">
        <v>0</v>
      </c>
      <c r="Y205" s="1477">
        <v>0</v>
      </c>
      <c r="Z205" s="1478">
        <v>0</v>
      </c>
      <c r="AA205" s="1476">
        <v>0</v>
      </c>
      <c r="AB205" s="1477">
        <v>0</v>
      </c>
      <c r="AC205" s="1477">
        <v>0</v>
      </c>
      <c r="AD205" s="1478">
        <v>0</v>
      </c>
      <c r="AE205" s="1476">
        <v>0</v>
      </c>
      <c r="AF205" s="1477">
        <v>0</v>
      </c>
      <c r="AG205" s="1477">
        <v>0</v>
      </c>
      <c r="AH205" s="1478">
        <v>0</v>
      </c>
      <c r="AI205" s="1476">
        <v>0</v>
      </c>
      <c r="AJ205" s="1479">
        <v>0</v>
      </c>
      <c r="AK205" s="1479">
        <v>0</v>
      </c>
      <c r="AL205" s="1480">
        <v>0</v>
      </c>
      <c r="AM205" s="1479">
        <v>0</v>
      </c>
      <c r="AN205" s="1479">
        <v>0</v>
      </c>
      <c r="AO205" s="1479">
        <v>0</v>
      </c>
      <c r="AP205" s="1480">
        <v>0</v>
      </c>
      <c r="AQ205" s="1479">
        <v>0</v>
      </c>
      <c r="AR205" s="1479">
        <v>0</v>
      </c>
      <c r="AS205" s="1479">
        <v>0</v>
      </c>
      <c r="AT205" s="1480">
        <v>0</v>
      </c>
      <c r="AU205" s="1479">
        <v>0</v>
      </c>
      <c r="AV205" s="1479">
        <v>0</v>
      </c>
      <c r="AW205" s="1479">
        <v>0</v>
      </c>
      <c r="AX205" s="1480">
        <v>0</v>
      </c>
      <c r="AY205" s="1479">
        <v>0</v>
      </c>
      <c r="AZ205" s="1479">
        <v>0</v>
      </c>
      <c r="BA205" s="1479">
        <v>0</v>
      </c>
      <c r="BB205" s="1480">
        <v>0</v>
      </c>
      <c r="BC205" s="1123"/>
      <c r="BD205" s="1123"/>
      <c r="BE205" s="1042">
        <f t="shared" si="235"/>
        <v>0</v>
      </c>
      <c r="BF205" s="1042">
        <f t="shared" si="236"/>
        <v>0</v>
      </c>
      <c r="BG205" s="1042">
        <f t="shared" si="237"/>
        <v>0</v>
      </c>
      <c r="BH205" s="1044">
        <f t="shared" si="238"/>
        <v>0</v>
      </c>
      <c r="BI205" s="1044">
        <f t="shared" si="239"/>
        <v>0</v>
      </c>
      <c r="BJ205" s="1044">
        <f t="shared" si="240"/>
        <v>0</v>
      </c>
      <c r="BK205" s="1044">
        <f t="shared" si="241"/>
        <v>0</v>
      </c>
      <c r="BL205" s="1044">
        <f t="shared" si="242"/>
        <v>0</v>
      </c>
      <c r="BM205" s="1260">
        <f t="shared" si="243"/>
        <v>0</v>
      </c>
      <c r="BN205" s="1260">
        <f t="shared" si="244"/>
        <v>0</v>
      </c>
      <c r="BO205" s="1260">
        <f t="shared" si="245"/>
        <v>0</v>
      </c>
      <c r="BP205" s="1260">
        <f t="shared" si="246"/>
        <v>0</v>
      </c>
      <c r="BQ205" s="1114"/>
      <c r="BR205" s="1115"/>
      <c r="BU205" s="1087"/>
      <c r="BV205" s="1086"/>
      <c r="BW205" s="1086"/>
      <c r="BX205" s="1086"/>
    </row>
    <row r="206" spans="2:76" ht="12.75" customHeight="1">
      <c r="B206" s="1286"/>
      <c r="C206" s="1503" t="s">
        <v>730</v>
      </c>
      <c r="D206" s="1416"/>
      <c r="E206" s="1416"/>
      <c r="F206" s="1418"/>
      <c r="G206" s="1476">
        <v>0</v>
      </c>
      <c r="H206" s="1477">
        <v>0</v>
      </c>
      <c r="I206" s="1477">
        <v>0</v>
      </c>
      <c r="J206" s="1478">
        <v>0</v>
      </c>
      <c r="K206" s="1476">
        <v>0</v>
      </c>
      <c r="L206" s="1477">
        <v>0</v>
      </c>
      <c r="M206" s="1477">
        <v>0</v>
      </c>
      <c r="N206" s="1478">
        <v>0</v>
      </c>
      <c r="O206" s="1476">
        <v>0</v>
      </c>
      <c r="P206" s="1477">
        <v>0</v>
      </c>
      <c r="Q206" s="1477">
        <v>0</v>
      </c>
      <c r="R206" s="1477">
        <v>0</v>
      </c>
      <c r="S206" s="1476">
        <v>0</v>
      </c>
      <c r="T206" s="1477">
        <v>0</v>
      </c>
      <c r="U206" s="1477">
        <v>0</v>
      </c>
      <c r="V206" s="1478">
        <v>0</v>
      </c>
      <c r="W206" s="1476">
        <v>0</v>
      </c>
      <c r="X206" s="1477">
        <v>0</v>
      </c>
      <c r="Y206" s="1477">
        <v>0</v>
      </c>
      <c r="Z206" s="1478">
        <v>0</v>
      </c>
      <c r="AA206" s="1476">
        <v>0</v>
      </c>
      <c r="AB206" s="1477">
        <v>0</v>
      </c>
      <c r="AC206" s="1477">
        <v>0</v>
      </c>
      <c r="AD206" s="1478">
        <v>0</v>
      </c>
      <c r="AE206" s="1476">
        <v>0</v>
      </c>
      <c r="AF206" s="1477">
        <v>0</v>
      </c>
      <c r="AG206" s="1477">
        <v>0</v>
      </c>
      <c r="AH206" s="1478">
        <v>0</v>
      </c>
      <c r="AI206" s="1476">
        <v>0</v>
      </c>
      <c r="AJ206" s="1479">
        <v>0</v>
      </c>
      <c r="AK206" s="1479">
        <v>0</v>
      </c>
      <c r="AL206" s="1480">
        <v>0</v>
      </c>
      <c r="AM206" s="1479">
        <v>0</v>
      </c>
      <c r="AN206" s="1479">
        <v>0</v>
      </c>
      <c r="AO206" s="1479">
        <v>0</v>
      </c>
      <c r="AP206" s="1480">
        <v>0</v>
      </c>
      <c r="AQ206" s="1479">
        <v>0</v>
      </c>
      <c r="AR206" s="1479">
        <v>0</v>
      </c>
      <c r="AS206" s="1479">
        <v>0</v>
      </c>
      <c r="AT206" s="1480">
        <v>0</v>
      </c>
      <c r="AU206" s="1479">
        <v>0</v>
      </c>
      <c r="AV206" s="1479">
        <v>0</v>
      </c>
      <c r="AW206" s="1479">
        <v>0</v>
      </c>
      <c r="AX206" s="1480">
        <v>0</v>
      </c>
      <c r="AY206" s="1479">
        <v>0</v>
      </c>
      <c r="AZ206" s="1479">
        <v>0</v>
      </c>
      <c r="BA206" s="1479">
        <v>0</v>
      </c>
      <c r="BB206" s="1480">
        <v>0</v>
      </c>
      <c r="BC206" s="1123"/>
      <c r="BD206" s="1123"/>
      <c r="BE206" s="1042">
        <f t="shared" si="235"/>
        <v>0</v>
      </c>
      <c r="BF206" s="1042">
        <f t="shared" si="236"/>
        <v>0</v>
      </c>
      <c r="BG206" s="1042">
        <f t="shared" si="237"/>
        <v>0</v>
      </c>
      <c r="BH206" s="1044">
        <f t="shared" si="238"/>
        <v>0</v>
      </c>
      <c r="BI206" s="1044">
        <f t="shared" si="239"/>
        <v>0</v>
      </c>
      <c r="BJ206" s="1044">
        <f t="shared" si="240"/>
        <v>0</v>
      </c>
      <c r="BK206" s="1044">
        <f t="shared" si="241"/>
        <v>0</v>
      </c>
      <c r="BL206" s="1044">
        <f t="shared" si="242"/>
        <v>0</v>
      </c>
      <c r="BM206" s="1260">
        <f t="shared" si="243"/>
        <v>0</v>
      </c>
      <c r="BN206" s="1260">
        <f t="shared" si="244"/>
        <v>0</v>
      </c>
      <c r="BO206" s="1260">
        <f t="shared" si="245"/>
        <v>0</v>
      </c>
      <c r="BP206" s="1260">
        <f t="shared" si="246"/>
        <v>0</v>
      </c>
      <c r="BQ206" s="1114"/>
      <c r="BR206" s="1115"/>
      <c r="BU206" s="1087"/>
      <c r="BV206" s="1086"/>
      <c r="BW206" s="1086"/>
      <c r="BX206" s="1086"/>
    </row>
    <row r="207" spans="2:76" ht="12.75" customHeight="1">
      <c r="B207" s="1286"/>
      <c r="C207" s="1503" t="s">
        <v>731</v>
      </c>
      <c r="D207" s="1416"/>
      <c r="E207" s="1416"/>
      <c r="F207" s="1418"/>
      <c r="G207" s="1476">
        <v>0</v>
      </c>
      <c r="H207" s="1477">
        <v>0</v>
      </c>
      <c r="I207" s="1477">
        <v>0</v>
      </c>
      <c r="J207" s="1478">
        <v>0</v>
      </c>
      <c r="K207" s="1476">
        <v>0</v>
      </c>
      <c r="L207" s="1477">
        <v>0</v>
      </c>
      <c r="M207" s="1477">
        <v>0</v>
      </c>
      <c r="N207" s="1478">
        <v>0</v>
      </c>
      <c r="O207" s="1476">
        <v>0</v>
      </c>
      <c r="P207" s="1477">
        <v>0</v>
      </c>
      <c r="Q207" s="1477">
        <v>0</v>
      </c>
      <c r="R207" s="1477">
        <v>0</v>
      </c>
      <c r="S207" s="1476">
        <v>0</v>
      </c>
      <c r="T207" s="1477">
        <v>0</v>
      </c>
      <c r="U207" s="1477">
        <v>0</v>
      </c>
      <c r="V207" s="1478">
        <v>0</v>
      </c>
      <c r="W207" s="1476">
        <v>0</v>
      </c>
      <c r="X207" s="1477">
        <v>0</v>
      </c>
      <c r="Y207" s="1477">
        <v>0</v>
      </c>
      <c r="Z207" s="1478">
        <v>0</v>
      </c>
      <c r="AA207" s="1476">
        <v>0</v>
      </c>
      <c r="AB207" s="1477">
        <v>0</v>
      </c>
      <c r="AC207" s="1477">
        <v>0</v>
      </c>
      <c r="AD207" s="1478">
        <v>0</v>
      </c>
      <c r="AE207" s="1476">
        <v>0</v>
      </c>
      <c r="AF207" s="1477">
        <v>0</v>
      </c>
      <c r="AG207" s="1477">
        <v>0</v>
      </c>
      <c r="AH207" s="1478">
        <v>0</v>
      </c>
      <c r="AI207" s="1476">
        <v>0</v>
      </c>
      <c r="AJ207" s="1479">
        <v>0</v>
      </c>
      <c r="AK207" s="1479">
        <v>0</v>
      </c>
      <c r="AL207" s="1480">
        <v>0</v>
      </c>
      <c r="AM207" s="1479">
        <v>0</v>
      </c>
      <c r="AN207" s="1479">
        <v>0</v>
      </c>
      <c r="AO207" s="1479">
        <v>0</v>
      </c>
      <c r="AP207" s="1480">
        <v>0</v>
      </c>
      <c r="AQ207" s="1479">
        <v>0</v>
      </c>
      <c r="AR207" s="1479">
        <v>0</v>
      </c>
      <c r="AS207" s="1479">
        <v>0</v>
      </c>
      <c r="AT207" s="1480">
        <v>0</v>
      </c>
      <c r="AU207" s="1479">
        <v>0</v>
      </c>
      <c r="AV207" s="1479">
        <v>0</v>
      </c>
      <c r="AW207" s="1479">
        <v>0</v>
      </c>
      <c r="AX207" s="1480">
        <v>0</v>
      </c>
      <c r="AY207" s="1479">
        <v>0</v>
      </c>
      <c r="AZ207" s="1479">
        <v>0</v>
      </c>
      <c r="BA207" s="1479">
        <v>0</v>
      </c>
      <c r="BB207" s="1480">
        <v>0</v>
      </c>
      <c r="BC207" s="1123"/>
      <c r="BD207" s="1123"/>
      <c r="BE207" s="1042">
        <f t="shared" si="235"/>
        <v>0</v>
      </c>
      <c r="BF207" s="1042">
        <f t="shared" si="236"/>
        <v>0</v>
      </c>
      <c r="BG207" s="1042">
        <f t="shared" si="237"/>
        <v>0</v>
      </c>
      <c r="BH207" s="1044">
        <f t="shared" si="238"/>
        <v>0</v>
      </c>
      <c r="BI207" s="1044">
        <f t="shared" si="239"/>
        <v>0</v>
      </c>
      <c r="BJ207" s="1044">
        <f t="shared" si="240"/>
        <v>0</v>
      </c>
      <c r="BK207" s="1044">
        <f t="shared" si="241"/>
        <v>0</v>
      </c>
      <c r="BL207" s="1044">
        <f t="shared" si="242"/>
        <v>0</v>
      </c>
      <c r="BM207" s="1260">
        <f t="shared" si="243"/>
        <v>0</v>
      </c>
      <c r="BN207" s="1260">
        <f t="shared" si="244"/>
        <v>0</v>
      </c>
      <c r="BO207" s="1260">
        <f t="shared" si="245"/>
        <v>0</v>
      </c>
      <c r="BP207" s="1260">
        <f t="shared" si="246"/>
        <v>0</v>
      </c>
      <c r="BQ207" s="1114"/>
      <c r="BR207" s="1115"/>
      <c r="BU207" s="1087"/>
      <c r="BV207" s="1086"/>
      <c r="BW207" s="1086"/>
      <c r="BX207" s="1086"/>
    </row>
    <row r="208" spans="2:76" ht="12.75" customHeight="1">
      <c r="B208" s="1286"/>
      <c r="C208" s="1503" t="s">
        <v>732</v>
      </c>
      <c r="D208" s="1416"/>
      <c r="E208" s="1416"/>
      <c r="F208" s="1418"/>
      <c r="G208" s="1476">
        <v>-5.9550084889643529E-3</v>
      </c>
      <c r="H208" s="1477">
        <v>-0.1638730158730155</v>
      </c>
      <c r="I208" s="1477">
        <v>-0.31553124999999982</v>
      </c>
      <c r="J208" s="1478">
        <v>2.7430769230770924E-2</v>
      </c>
      <c r="K208" s="1476">
        <v>-4.0562500000001833E-2</v>
      </c>
      <c r="L208" s="1477">
        <v>2.5078125000001172E-2</v>
      </c>
      <c r="M208" s="1477">
        <v>0.14203125000000227</v>
      </c>
      <c r="N208" s="1478">
        <v>0.29906349206349114</v>
      </c>
      <c r="O208" s="1476">
        <v>0.31830158730158775</v>
      </c>
      <c r="P208" s="1477">
        <v>0.28319047619047666</v>
      </c>
      <c r="Q208" s="1477">
        <v>0.20952380952380834</v>
      </c>
      <c r="R208" s="1477">
        <v>0.32709374999999907</v>
      </c>
      <c r="S208" s="1476">
        <v>0.26973333333333294</v>
      </c>
      <c r="T208" s="1477">
        <v>0.15754687499999775</v>
      </c>
      <c r="U208" s="1477">
        <v>0.23087499999999972</v>
      </c>
      <c r="V208" s="1478">
        <v>0.29959375000000188</v>
      </c>
      <c r="W208" s="1476">
        <v>0.30404918032786998</v>
      </c>
      <c r="X208" s="1477">
        <v>0.30642187499999984</v>
      </c>
      <c r="Y208" s="1477">
        <v>0.50754687499999829</v>
      </c>
      <c r="Z208" s="1478">
        <v>0.25204687500000134</v>
      </c>
      <c r="AA208" s="1476">
        <v>-3.7548387096775215E-2</v>
      </c>
      <c r="AB208" s="1477">
        <v>6.8507936507938183E-2</v>
      </c>
      <c r="AC208" s="1477">
        <v>0.26343749999999932</v>
      </c>
      <c r="AD208" s="1478">
        <v>0.35907936507936444</v>
      </c>
      <c r="AE208" s="1476">
        <v>0.10468852459016342</v>
      </c>
      <c r="AF208" s="1477">
        <v>7.9562500000000203E-2</v>
      </c>
      <c r="AG208" s="1477">
        <v>3.6515625000000718E-2</v>
      </c>
      <c r="AH208" s="1478">
        <v>4.9693548387096609E-2</v>
      </c>
      <c r="AI208" s="1476">
        <v>0.15672580645161371</v>
      </c>
      <c r="AJ208" s="1479">
        <v>0.10859375000000027</v>
      </c>
      <c r="AK208" s="1479">
        <v>0.25880952380952404</v>
      </c>
      <c r="AL208" s="1480">
        <v>1.4901290322580647</v>
      </c>
      <c r="AM208" s="1479">
        <v>0.7802950819672132</v>
      </c>
      <c r="AN208" s="1479">
        <v>-0.66499999999999959</v>
      </c>
      <c r="AO208" s="1479">
        <v>-0.37199999999999989</v>
      </c>
      <c r="AP208" s="1480">
        <v>-0.49500000000000055</v>
      </c>
      <c r="AQ208" s="1479">
        <v>-0.30713417480557936</v>
      </c>
      <c r="AR208" s="1479">
        <v>-0.75064523540322092</v>
      </c>
      <c r="AS208" s="1479">
        <v>-0.53237727470099783</v>
      </c>
      <c r="AT208" s="1480">
        <v>-0.20050998189020053</v>
      </c>
      <c r="AU208" s="1479">
        <v>-0.26491667997570767</v>
      </c>
      <c r="AV208" s="1479">
        <v>-0.72952134616272168</v>
      </c>
      <c r="AW208" s="1479">
        <v>-0.50344822491097485</v>
      </c>
      <c r="AX208" s="1480">
        <v>-0.15278041575059387</v>
      </c>
      <c r="AY208" s="1479">
        <v>-0.18976284925876685</v>
      </c>
      <c r="AZ208" s="1479">
        <v>-0.6882236801665047</v>
      </c>
      <c r="BA208" s="1479">
        <v>-0.44995803943269674</v>
      </c>
      <c r="BB208" s="1480">
        <v>-6.8722097942030214E-2</v>
      </c>
      <c r="BC208" s="1123"/>
      <c r="BD208" s="1123"/>
      <c r="BE208" s="1042">
        <f t="shared" si="235"/>
        <v>-0.11448212628280219</v>
      </c>
      <c r="BF208" s="1042">
        <f t="shared" si="236"/>
        <v>0.10640259176587319</v>
      </c>
      <c r="BG208" s="1042">
        <f t="shared" si="237"/>
        <v>0.28452740575396795</v>
      </c>
      <c r="BH208" s="1044">
        <f t="shared" si="238"/>
        <v>0.23943723958333307</v>
      </c>
      <c r="BI208" s="1044">
        <f t="shared" si="239"/>
        <v>0.34251620133196736</v>
      </c>
      <c r="BJ208" s="1044">
        <f t="shared" si="240"/>
        <v>0.16336910362263168</v>
      </c>
      <c r="BK208" s="1044">
        <f t="shared" si="241"/>
        <v>6.7615049494315238E-2</v>
      </c>
      <c r="BL208" s="1044">
        <f t="shared" si="242"/>
        <v>0.50356452812980068</v>
      </c>
      <c r="BM208" s="1260">
        <f t="shared" si="243"/>
        <v>-0.18792622950819671</v>
      </c>
      <c r="BN208" s="1260">
        <f t="shared" si="244"/>
        <v>-0.44766666669999966</v>
      </c>
      <c r="BO208" s="1260">
        <f t="shared" si="245"/>
        <v>-0.41266666669999952</v>
      </c>
      <c r="BP208" s="1260">
        <f t="shared" si="246"/>
        <v>-0.34916666669999963</v>
      </c>
      <c r="BQ208" s="1114"/>
      <c r="BR208" s="1115"/>
      <c r="BU208" s="1087"/>
      <c r="BV208" s="1086"/>
      <c r="BW208" s="1086"/>
      <c r="BX208" s="1086"/>
    </row>
    <row r="209" spans="2:76" ht="12.75" customHeight="1">
      <c r="B209" s="1286"/>
      <c r="C209" s="1503" t="s">
        <v>733</v>
      </c>
      <c r="D209" s="1416"/>
      <c r="E209" s="1416"/>
      <c r="F209" s="1418"/>
      <c r="G209" s="1476">
        <v>-5.9550084889643529E-3</v>
      </c>
      <c r="H209" s="1477">
        <v>-0.1638730158730155</v>
      </c>
      <c r="I209" s="1477">
        <v>-0.31553124999999982</v>
      </c>
      <c r="J209" s="1478">
        <v>2.7430769230770924E-2</v>
      </c>
      <c r="K209" s="1476">
        <v>-4.0562500000001833E-2</v>
      </c>
      <c r="L209" s="1477">
        <v>2.5078125000001172E-2</v>
      </c>
      <c r="M209" s="1477">
        <v>0.14203125000000227</v>
      </c>
      <c r="N209" s="1478">
        <v>0.29906349206349114</v>
      </c>
      <c r="O209" s="1476">
        <v>0.31830158730158775</v>
      </c>
      <c r="P209" s="1477">
        <v>0.28319047619047666</v>
      </c>
      <c r="Q209" s="1477">
        <v>0.20952380952380834</v>
      </c>
      <c r="R209" s="1477">
        <v>0.32709374999999907</v>
      </c>
      <c r="S209" s="1476">
        <v>0.26973333333333294</v>
      </c>
      <c r="T209" s="1477">
        <v>0.15754687499999775</v>
      </c>
      <c r="U209" s="1477">
        <v>0.23087499999999972</v>
      </c>
      <c r="V209" s="1478">
        <v>0.29959375000000188</v>
      </c>
      <c r="W209" s="1476">
        <v>0.30404918032786998</v>
      </c>
      <c r="X209" s="1477">
        <v>0.30642187499999984</v>
      </c>
      <c r="Y209" s="1477">
        <v>0.50754687499999829</v>
      </c>
      <c r="Z209" s="1478">
        <v>0.25204687500000134</v>
      </c>
      <c r="AA209" s="1476">
        <v>-3.7548387096775215E-2</v>
      </c>
      <c r="AB209" s="1477">
        <v>6.8507936507938183E-2</v>
      </c>
      <c r="AC209" s="1477">
        <v>0.26343749999999932</v>
      </c>
      <c r="AD209" s="1478">
        <v>0.35907936507936444</v>
      </c>
      <c r="AE209" s="1476">
        <v>0.10468852459016342</v>
      </c>
      <c r="AF209" s="1477">
        <v>7.9562500000000203E-2</v>
      </c>
      <c r="AG209" s="1477">
        <v>3.6515625000000718E-2</v>
      </c>
      <c r="AH209" s="1478">
        <v>4.9693548387096609E-2</v>
      </c>
      <c r="AI209" s="1476">
        <v>0.15672580645161371</v>
      </c>
      <c r="AJ209" s="1479">
        <v>0.10859375000000027</v>
      </c>
      <c r="AK209" s="1479">
        <v>0.25880952380952404</v>
      </c>
      <c r="AL209" s="1480">
        <v>1.4901290322580647</v>
      </c>
      <c r="AM209" s="1479">
        <v>0.7802950819672132</v>
      </c>
      <c r="AN209" s="1479">
        <v>-0.66499999999999959</v>
      </c>
      <c r="AO209" s="1479">
        <v>-0.37199999999999989</v>
      </c>
      <c r="AP209" s="1480">
        <v>-0.49500000000000055</v>
      </c>
      <c r="AQ209" s="1479">
        <v>-0.30713417480557936</v>
      </c>
      <c r="AR209" s="1479">
        <v>-0.75064523540322092</v>
      </c>
      <c r="AS209" s="1479">
        <v>-0.53237727470099783</v>
      </c>
      <c r="AT209" s="1480">
        <v>-0.20050998189020053</v>
      </c>
      <c r="AU209" s="1479">
        <v>-0.26491667997570767</v>
      </c>
      <c r="AV209" s="1479">
        <v>-0.72952134616272168</v>
      </c>
      <c r="AW209" s="1479">
        <v>-0.50344822491097485</v>
      </c>
      <c r="AX209" s="1480">
        <v>-0.15278041575059387</v>
      </c>
      <c r="AY209" s="1479">
        <v>-0.18976284925876685</v>
      </c>
      <c r="AZ209" s="1479">
        <v>-0.6882236801665047</v>
      </c>
      <c r="BA209" s="1479">
        <v>-0.44995803943269674</v>
      </c>
      <c r="BB209" s="1480">
        <v>-6.8722097942030214E-2</v>
      </c>
      <c r="BC209" s="1123"/>
      <c r="BD209" s="1123"/>
      <c r="BE209" s="1042">
        <f t="shared" si="235"/>
        <v>-0.11448212628280219</v>
      </c>
      <c r="BF209" s="1042">
        <f t="shared" si="236"/>
        <v>0.10640259176587319</v>
      </c>
      <c r="BG209" s="1042">
        <f t="shared" si="237"/>
        <v>0.28452740575396795</v>
      </c>
      <c r="BH209" s="1044">
        <f t="shared" si="238"/>
        <v>0.23943723958333307</v>
      </c>
      <c r="BI209" s="1044">
        <f t="shared" si="239"/>
        <v>0.34251620133196736</v>
      </c>
      <c r="BJ209" s="1044">
        <f t="shared" si="240"/>
        <v>0.16336910362263168</v>
      </c>
      <c r="BK209" s="1044">
        <f t="shared" si="241"/>
        <v>6.7615049494315238E-2</v>
      </c>
      <c r="BL209" s="1044">
        <f t="shared" si="242"/>
        <v>0.50356452812980068</v>
      </c>
      <c r="BM209" s="1260">
        <f t="shared" si="243"/>
        <v>-0.18792622950819671</v>
      </c>
      <c r="BN209" s="1260">
        <f t="shared" si="244"/>
        <v>-0.44766666669999966</v>
      </c>
      <c r="BO209" s="1260">
        <f t="shared" si="245"/>
        <v>-0.41266666669999952</v>
      </c>
      <c r="BP209" s="1260">
        <f t="shared" si="246"/>
        <v>-0.34916666669999963</v>
      </c>
      <c r="BQ209" s="1114"/>
      <c r="BR209" s="1115"/>
      <c r="BU209" s="1087"/>
      <c r="BV209" s="1086"/>
      <c r="BW209" s="1086"/>
      <c r="BX209" s="1086"/>
    </row>
    <row r="210" spans="2:76" ht="12.75" customHeight="1">
      <c r="B210" s="1286"/>
      <c r="C210" s="1503" t="s">
        <v>734</v>
      </c>
      <c r="D210" s="1416"/>
      <c r="E210" s="1416"/>
      <c r="F210" s="1418"/>
      <c r="G210" s="1476">
        <v>-5.9550084889643529E-3</v>
      </c>
      <c r="H210" s="1477">
        <v>-0.1638730158730155</v>
      </c>
      <c r="I210" s="1477">
        <v>-0.31553124999999982</v>
      </c>
      <c r="J210" s="1478">
        <v>2.7430769230770924E-2</v>
      </c>
      <c r="K210" s="1476">
        <v>-4.0562500000001833E-2</v>
      </c>
      <c r="L210" s="1477">
        <v>2.5078125000001172E-2</v>
      </c>
      <c r="M210" s="1477">
        <v>0.14203125000000227</v>
      </c>
      <c r="N210" s="1478">
        <v>0.29906349206349114</v>
      </c>
      <c r="O210" s="1476">
        <v>0.31830158730158775</v>
      </c>
      <c r="P210" s="1477">
        <v>0.28319047619047666</v>
      </c>
      <c r="Q210" s="1477">
        <v>0.20952380952380834</v>
      </c>
      <c r="R210" s="1477">
        <v>0.32709374999999907</v>
      </c>
      <c r="S210" s="1476">
        <v>0.26973333333333294</v>
      </c>
      <c r="T210" s="1477">
        <v>0.15754687499999775</v>
      </c>
      <c r="U210" s="1477">
        <v>0.23087499999999972</v>
      </c>
      <c r="V210" s="1478">
        <v>0.29959375000000188</v>
      </c>
      <c r="W210" s="1476">
        <v>0.30404918032786998</v>
      </c>
      <c r="X210" s="1477">
        <v>0.30642187499999984</v>
      </c>
      <c r="Y210" s="1477">
        <v>0.50754687499999829</v>
      </c>
      <c r="Z210" s="1478">
        <v>0.25204687500000134</v>
      </c>
      <c r="AA210" s="1476">
        <v>-3.7548387096775215E-2</v>
      </c>
      <c r="AB210" s="1477">
        <v>6.8507936507938183E-2</v>
      </c>
      <c r="AC210" s="1477">
        <v>0.26343749999999932</v>
      </c>
      <c r="AD210" s="1478">
        <v>0.35907936507936444</v>
      </c>
      <c r="AE210" s="1476">
        <v>0.10468852459016342</v>
      </c>
      <c r="AF210" s="1477">
        <v>7.9562500000000203E-2</v>
      </c>
      <c r="AG210" s="1477">
        <v>3.6515625000000718E-2</v>
      </c>
      <c r="AH210" s="1478">
        <v>4.9693548387096609E-2</v>
      </c>
      <c r="AI210" s="1476">
        <v>0.15672580645161371</v>
      </c>
      <c r="AJ210" s="1479">
        <v>0.10859375000000027</v>
      </c>
      <c r="AK210" s="1479">
        <v>0.25880952380952404</v>
      </c>
      <c r="AL210" s="1480">
        <v>1.4901290322580647</v>
      </c>
      <c r="AM210" s="1479">
        <v>0.7802950819672132</v>
      </c>
      <c r="AN210" s="1479">
        <v>-0.66499999999999959</v>
      </c>
      <c r="AO210" s="1479">
        <v>-0.37199999999999989</v>
      </c>
      <c r="AP210" s="1480">
        <v>-0.49500000000000055</v>
      </c>
      <c r="AQ210" s="1479">
        <v>-0.30713417480557936</v>
      </c>
      <c r="AR210" s="1479">
        <v>-0.75064523540322092</v>
      </c>
      <c r="AS210" s="1479">
        <v>-0.53237727470099783</v>
      </c>
      <c r="AT210" s="1480">
        <v>-0.20050998189020053</v>
      </c>
      <c r="AU210" s="1479">
        <v>-0.26491667997570767</v>
      </c>
      <c r="AV210" s="1479">
        <v>-0.72952134616272168</v>
      </c>
      <c r="AW210" s="1479">
        <v>-0.50344822491097485</v>
      </c>
      <c r="AX210" s="1480">
        <v>-0.15278041575059387</v>
      </c>
      <c r="AY210" s="1479">
        <v>-0.18976284925876685</v>
      </c>
      <c r="AZ210" s="1479">
        <v>-0.6882236801665047</v>
      </c>
      <c r="BA210" s="1479">
        <v>-0.44995803943269674</v>
      </c>
      <c r="BB210" s="1480">
        <v>-6.8722097942030214E-2</v>
      </c>
      <c r="BC210" s="1123"/>
      <c r="BD210" s="1123"/>
      <c r="BE210" s="1042">
        <f t="shared" si="235"/>
        <v>-0.11448212628280219</v>
      </c>
      <c r="BF210" s="1042">
        <f t="shared" si="236"/>
        <v>0.10640259176587319</v>
      </c>
      <c r="BG210" s="1042">
        <f t="shared" si="237"/>
        <v>0.28452740575396795</v>
      </c>
      <c r="BH210" s="1044">
        <f t="shared" si="238"/>
        <v>0.23943723958333307</v>
      </c>
      <c r="BI210" s="1044">
        <f t="shared" si="239"/>
        <v>0.34251620133196736</v>
      </c>
      <c r="BJ210" s="1044">
        <f t="shared" si="240"/>
        <v>0.16336910362263168</v>
      </c>
      <c r="BK210" s="1044">
        <f t="shared" si="241"/>
        <v>6.7615049494315238E-2</v>
      </c>
      <c r="BL210" s="1044">
        <f t="shared" si="242"/>
        <v>0.50356452812980068</v>
      </c>
      <c r="BM210" s="1260">
        <f t="shared" si="243"/>
        <v>-0.18792622950819671</v>
      </c>
      <c r="BN210" s="1260">
        <f t="shared" si="244"/>
        <v>-0.44766666669999966</v>
      </c>
      <c r="BO210" s="1260">
        <f t="shared" si="245"/>
        <v>-0.41266666669999952</v>
      </c>
      <c r="BP210" s="1260">
        <f t="shared" si="246"/>
        <v>-0.34916666669999963</v>
      </c>
      <c r="BQ210" s="1114"/>
      <c r="BR210" s="1115"/>
      <c r="BU210" s="1087"/>
      <c r="BV210" s="1086"/>
      <c r="BW210" s="1086"/>
      <c r="BX210" s="1086"/>
    </row>
    <row r="211" spans="2:76" ht="12.75" customHeight="1">
      <c r="B211" s="1286"/>
      <c r="C211" s="1503" t="s">
        <v>735</v>
      </c>
      <c r="D211" s="1416"/>
      <c r="E211" s="1416"/>
      <c r="F211" s="1418"/>
      <c r="G211" s="1476">
        <v>-5.9550084889643529E-3</v>
      </c>
      <c r="H211" s="1477">
        <v>-0.1638730158730155</v>
      </c>
      <c r="I211" s="1477">
        <v>-0.31553124999999982</v>
      </c>
      <c r="J211" s="1478">
        <v>2.7430769230770924E-2</v>
      </c>
      <c r="K211" s="1476">
        <v>-4.0562500000001833E-2</v>
      </c>
      <c r="L211" s="1477">
        <v>2.5078125000001172E-2</v>
      </c>
      <c r="M211" s="1477">
        <v>0.14203125000000227</v>
      </c>
      <c r="N211" s="1478">
        <v>0.29906349206349114</v>
      </c>
      <c r="O211" s="1476">
        <v>0.31830158730158775</v>
      </c>
      <c r="P211" s="1477">
        <v>0.28319047619047666</v>
      </c>
      <c r="Q211" s="1477">
        <v>0.20952380952380834</v>
      </c>
      <c r="R211" s="1477">
        <v>0.32709374999999907</v>
      </c>
      <c r="S211" s="1476">
        <v>0.26973333333333294</v>
      </c>
      <c r="T211" s="1477">
        <v>0.15754687499999775</v>
      </c>
      <c r="U211" s="1477">
        <v>0.23087499999999972</v>
      </c>
      <c r="V211" s="1478">
        <v>0.29959375000000188</v>
      </c>
      <c r="W211" s="1476">
        <v>0.30404918032786998</v>
      </c>
      <c r="X211" s="1477">
        <v>0.30642187499999984</v>
      </c>
      <c r="Y211" s="1477">
        <v>0.50754687499999829</v>
      </c>
      <c r="Z211" s="1478">
        <v>0.25204687500000134</v>
      </c>
      <c r="AA211" s="1476">
        <v>-3.7548387096775215E-2</v>
      </c>
      <c r="AB211" s="1477">
        <v>6.8507936507938183E-2</v>
      </c>
      <c r="AC211" s="1477">
        <v>0.26343749999999932</v>
      </c>
      <c r="AD211" s="1478">
        <v>0.35907936507936444</v>
      </c>
      <c r="AE211" s="1476">
        <v>0.10468852459016342</v>
      </c>
      <c r="AF211" s="1477">
        <v>7.9562500000000203E-2</v>
      </c>
      <c r="AG211" s="1477">
        <v>3.6515625000000718E-2</v>
      </c>
      <c r="AH211" s="1478">
        <v>4.9693548387096609E-2</v>
      </c>
      <c r="AI211" s="1476">
        <v>0.15672580645161371</v>
      </c>
      <c r="AJ211" s="1479">
        <v>0.10859375000000027</v>
      </c>
      <c r="AK211" s="1479">
        <v>0.25880952380952404</v>
      </c>
      <c r="AL211" s="1480">
        <v>1.4901290322580647</v>
      </c>
      <c r="AM211" s="1479">
        <v>0.7802950819672132</v>
      </c>
      <c r="AN211" s="1479">
        <v>-0.66499999999999959</v>
      </c>
      <c r="AO211" s="1479">
        <v>-0.37199999999999989</v>
      </c>
      <c r="AP211" s="1480">
        <v>-0.49500000000000055</v>
      </c>
      <c r="AQ211" s="1479">
        <v>-0.30713417480557936</v>
      </c>
      <c r="AR211" s="1479">
        <v>-0.75064523540322092</v>
      </c>
      <c r="AS211" s="1479">
        <v>-0.53237727470099783</v>
      </c>
      <c r="AT211" s="1480">
        <v>-0.20050998189020053</v>
      </c>
      <c r="AU211" s="1479">
        <v>-0.26491667997570767</v>
      </c>
      <c r="AV211" s="1479">
        <v>-0.72952134616272168</v>
      </c>
      <c r="AW211" s="1479">
        <v>-0.50344822491097485</v>
      </c>
      <c r="AX211" s="1480">
        <v>-0.15278041575059387</v>
      </c>
      <c r="AY211" s="1479">
        <v>-0.18976284925876685</v>
      </c>
      <c r="AZ211" s="1479">
        <v>-0.6882236801665047</v>
      </c>
      <c r="BA211" s="1479">
        <v>-0.44995803943269674</v>
      </c>
      <c r="BB211" s="1480">
        <v>-6.8722097942030214E-2</v>
      </c>
      <c r="BC211" s="1123"/>
      <c r="BD211" s="1123"/>
      <c r="BE211" s="1042">
        <f t="shared" si="235"/>
        <v>-0.11448212628280219</v>
      </c>
      <c r="BF211" s="1042">
        <f t="shared" si="236"/>
        <v>0.10640259176587319</v>
      </c>
      <c r="BG211" s="1042">
        <f t="shared" si="237"/>
        <v>0.28452740575396795</v>
      </c>
      <c r="BH211" s="1044">
        <f t="shared" si="238"/>
        <v>0.23943723958333307</v>
      </c>
      <c r="BI211" s="1044">
        <f t="shared" si="239"/>
        <v>0.34251620133196736</v>
      </c>
      <c r="BJ211" s="1044">
        <f t="shared" si="240"/>
        <v>0.16336910362263168</v>
      </c>
      <c r="BK211" s="1044">
        <f t="shared" si="241"/>
        <v>6.7615049494315238E-2</v>
      </c>
      <c r="BL211" s="1044">
        <f t="shared" si="242"/>
        <v>0.50356452812980068</v>
      </c>
      <c r="BM211" s="1260">
        <f t="shared" si="243"/>
        <v>-0.18792622950819671</v>
      </c>
      <c r="BN211" s="1260">
        <f t="shared" si="244"/>
        <v>-0.44766666669999966</v>
      </c>
      <c r="BO211" s="1260">
        <f t="shared" si="245"/>
        <v>-0.41266666669999952</v>
      </c>
      <c r="BP211" s="1260">
        <f t="shared" si="246"/>
        <v>-0.34916666669999963</v>
      </c>
      <c r="BQ211" s="1114"/>
      <c r="BR211" s="1115"/>
      <c r="BU211" s="1087"/>
      <c r="BV211" s="1086"/>
      <c r="BW211" s="1086"/>
      <c r="BX211" s="1086"/>
    </row>
    <row r="212" spans="2:76" ht="12.75" customHeight="1">
      <c r="B212" s="1286"/>
      <c r="C212" s="1503"/>
      <c r="D212" s="1416"/>
      <c r="E212" s="1416"/>
      <c r="F212" s="1417"/>
      <c r="G212" s="1476">
        <v>-8.7661290322580854E-2</v>
      </c>
      <c r="H212" s="1477">
        <v>-0.16344444444444317</v>
      </c>
      <c r="I212" s="1477">
        <v>-0.26625000000000032</v>
      </c>
      <c r="J212" s="1478">
        <v>-0.10644615384615275</v>
      </c>
      <c r="K212" s="1476">
        <v>-3.8796875000000064E-2</v>
      </c>
      <c r="L212" s="1477">
        <v>-0.11246874999999878</v>
      </c>
      <c r="M212" s="1477">
        <v>-8.0437500000000384E-2</v>
      </c>
      <c r="N212" s="1478">
        <v>-7.6968253968253908E-2</v>
      </c>
      <c r="O212" s="1476">
        <v>-6.4174603174603106E-2</v>
      </c>
      <c r="P212" s="1477">
        <v>-5.0873015873015071E-2</v>
      </c>
      <c r="Q212" s="1477">
        <v>-6.5730158730158195E-2</v>
      </c>
      <c r="R212" s="1477">
        <v>-7.0828125000001574E-2</v>
      </c>
      <c r="S212" s="1476">
        <v>-6.5516666666667334E-2</v>
      </c>
      <c r="T212" s="1479">
        <v>-0.10400000000000054</v>
      </c>
      <c r="U212" s="1479">
        <v>-6.8781250000001126E-2</v>
      </c>
      <c r="V212" s="1480">
        <v>-4.9484375000000469E-2</v>
      </c>
      <c r="W212" s="1479">
        <v>0.13100000000000023</v>
      </c>
      <c r="X212" s="1479">
        <v>-0.1406093749999977</v>
      </c>
      <c r="Y212" s="1479">
        <v>-8.2046874999999631E-2</v>
      </c>
      <c r="Z212" s="1480">
        <v>-0.13220312499999887</v>
      </c>
      <c r="AA212" s="1479">
        <v>-0.18638709677419296</v>
      </c>
      <c r="AB212" s="1479">
        <v>-0.1698571428571416</v>
      </c>
      <c r="AC212" s="1479">
        <v>-9.4734374999999815E-2</v>
      </c>
      <c r="AD212" s="1480">
        <v>-7.3825396825397682E-2</v>
      </c>
      <c r="AE212" s="1479">
        <v>-0.13737704918032856</v>
      </c>
      <c r="AF212" s="1479">
        <v>-0.15981249999999947</v>
      </c>
      <c r="AG212" s="1479">
        <v>-0.16378125000000088</v>
      </c>
      <c r="AH212" s="1480">
        <v>-0.1974516129032251</v>
      </c>
      <c r="AI212" s="1479">
        <v>-0.2175806451612905</v>
      </c>
      <c r="AJ212" s="1479">
        <v>-0.31395312499999983</v>
      </c>
      <c r="AK212" s="1479">
        <v>-0.23814285714285521</v>
      </c>
      <c r="AL212" s="1480">
        <v>-0.332435483870968</v>
      </c>
      <c r="AM212" s="1479">
        <v>-0.44990163934426253</v>
      </c>
      <c r="AN212" s="1479">
        <v>-0.37966666666666615</v>
      </c>
      <c r="AO212" s="1479">
        <v>-0.39166666666666661</v>
      </c>
      <c r="AP212" s="1480">
        <v>-0.37166666666666703</v>
      </c>
      <c r="AQ212" s="1479">
        <v>-0.19602769763382533</v>
      </c>
      <c r="AR212" s="1479">
        <v>-0.300845626465994</v>
      </c>
      <c r="AS212" s="1479">
        <v>-0.18112311230464595</v>
      </c>
      <c r="AT212" s="1480">
        <v>-0.4933368969288674</v>
      </c>
      <c r="AU212" s="1479">
        <v>-0.21941821857145705</v>
      </c>
      <c r="AV212" s="1479">
        <v>-0.28887692999624326</v>
      </c>
      <c r="AW212" s="1479">
        <v>-0.1563235091335029</v>
      </c>
      <c r="AX212" s="1480">
        <v>-0.48504800896546163</v>
      </c>
      <c r="AY212" s="1479">
        <v>-0.2167463007799646</v>
      </c>
      <c r="AZ212" s="1479">
        <v>-0.28245768253923886</v>
      </c>
      <c r="BA212" s="1479">
        <v>-0.14056807383264047</v>
      </c>
      <c r="BB212" s="1480">
        <v>-0.47456127618148791</v>
      </c>
      <c r="BC212" s="1123"/>
      <c r="BD212" s="1123"/>
      <c r="BE212" s="1042"/>
      <c r="BF212" s="1042"/>
      <c r="BG212" s="1042"/>
      <c r="BH212" s="1044"/>
      <c r="BI212" s="1044"/>
      <c r="BJ212" s="1044"/>
      <c r="BK212" s="1044"/>
      <c r="BL212" s="1044"/>
      <c r="BM212" s="1260"/>
      <c r="BN212" s="1260"/>
      <c r="BO212" s="1260"/>
      <c r="BP212" s="1260"/>
      <c r="BQ212" s="1114"/>
      <c r="BR212" s="1141"/>
      <c r="BU212" s="1087"/>
      <c r="BV212" s="1086"/>
      <c r="BW212" s="1086"/>
      <c r="BX212" s="1086"/>
    </row>
    <row r="213" spans="2:76" ht="12.75" customHeight="1">
      <c r="B213" s="1286"/>
      <c r="C213" s="1503"/>
      <c r="D213" s="1416"/>
      <c r="E213" s="1416"/>
      <c r="F213" s="1417"/>
      <c r="G213" s="1476"/>
      <c r="H213" s="1477"/>
      <c r="I213" s="1477"/>
      <c r="J213" s="1478"/>
      <c r="K213" s="1476"/>
      <c r="L213" s="1477"/>
      <c r="M213" s="1477"/>
      <c r="N213" s="1478"/>
      <c r="O213" s="1476"/>
      <c r="P213" s="1477"/>
      <c r="Q213" s="1477"/>
      <c r="R213" s="1477"/>
      <c r="S213" s="1476"/>
      <c r="T213" s="1479"/>
      <c r="U213" s="1479"/>
      <c r="V213" s="1480"/>
      <c r="W213" s="1479"/>
      <c r="X213" s="1479"/>
      <c r="Y213" s="1479"/>
      <c r="Z213" s="1480"/>
      <c r="AA213" s="1479"/>
      <c r="AB213" s="1479"/>
      <c r="AC213" s="1479"/>
      <c r="AD213" s="1480"/>
      <c r="AE213" s="1479"/>
      <c r="AF213" s="1479"/>
      <c r="AG213" s="1479"/>
      <c r="AH213" s="1480"/>
      <c r="AI213" s="1479"/>
      <c r="AJ213" s="1479"/>
      <c r="AK213" s="1479"/>
      <c r="AL213" s="1480"/>
      <c r="AM213" s="1479"/>
      <c r="AN213" s="1479"/>
      <c r="AO213" s="1479"/>
      <c r="AP213" s="1480"/>
      <c r="AQ213" s="1479"/>
      <c r="AR213" s="1479"/>
      <c r="AS213" s="1479"/>
      <c r="AT213" s="1480"/>
      <c r="AU213" s="1479"/>
      <c r="AV213" s="1479"/>
      <c r="AW213" s="1479"/>
      <c r="AX213" s="1480"/>
      <c r="AY213" s="1479"/>
      <c r="AZ213" s="1479"/>
      <c r="BA213" s="1479"/>
      <c r="BB213" s="1480"/>
      <c r="BC213" s="1123"/>
      <c r="BD213" s="1123"/>
      <c r="BE213" s="1042"/>
      <c r="BF213" s="1042"/>
      <c r="BG213" s="1042"/>
      <c r="BH213" s="1044"/>
      <c r="BI213" s="1044"/>
      <c r="BJ213" s="1044"/>
      <c r="BK213" s="1044"/>
      <c r="BL213" s="1044"/>
      <c r="BM213" s="1260"/>
      <c r="BN213" s="1260"/>
      <c r="BO213" s="1260"/>
      <c r="BP213" s="1260"/>
      <c r="BQ213" s="1114"/>
      <c r="BR213" s="1115"/>
      <c r="BU213" s="1087"/>
      <c r="BV213" s="1086"/>
      <c r="BW213" s="1086"/>
      <c r="BX213" s="1086"/>
    </row>
    <row r="214" spans="2:76" ht="12.75" customHeight="1">
      <c r="B214" s="1286"/>
      <c r="C214" s="1504" t="s">
        <v>619</v>
      </c>
      <c r="D214" s="1419"/>
      <c r="E214" s="1419"/>
      <c r="F214" s="1272"/>
      <c r="G214" s="1476"/>
      <c r="H214" s="1477"/>
      <c r="I214" s="1477"/>
      <c r="J214" s="1478"/>
      <c r="K214" s="1476"/>
      <c r="L214" s="1477"/>
      <c r="M214" s="1477"/>
      <c r="N214" s="1478"/>
      <c r="O214" s="1476"/>
      <c r="P214" s="1477"/>
      <c r="Q214" s="1477"/>
      <c r="R214" s="1477"/>
      <c r="S214" s="1476"/>
      <c r="T214" s="1479"/>
      <c r="U214" s="1479"/>
      <c r="V214" s="1480"/>
      <c r="W214" s="1479"/>
      <c r="X214" s="1479"/>
      <c r="Y214" s="1479"/>
      <c r="Z214" s="1480"/>
      <c r="AA214" s="1479"/>
      <c r="AB214" s="1479"/>
      <c r="AC214" s="1479"/>
      <c r="AD214" s="1480"/>
      <c r="AE214" s="1479"/>
      <c r="AF214" s="1479"/>
      <c r="AG214" s="1479"/>
      <c r="AH214" s="1480"/>
      <c r="AI214" s="1479"/>
      <c r="AJ214" s="1479"/>
      <c r="AK214" s="1479"/>
      <c r="AL214" s="1480"/>
      <c r="AM214" s="1479"/>
      <c r="AN214" s="1479"/>
      <c r="AO214" s="1479"/>
      <c r="AP214" s="1480"/>
      <c r="AQ214" s="1479"/>
      <c r="AR214" s="1479"/>
      <c r="AS214" s="1479"/>
      <c r="AT214" s="1480"/>
      <c r="AU214" s="1479"/>
      <c r="AV214" s="1479"/>
      <c r="AW214" s="1479"/>
      <c r="AX214" s="1480"/>
      <c r="AY214" s="1479"/>
      <c r="AZ214" s="1479"/>
      <c r="BA214" s="1479"/>
      <c r="BB214" s="1480"/>
      <c r="BC214" s="1123"/>
      <c r="BD214" s="1123"/>
      <c r="BE214" s="1042"/>
      <c r="BF214" s="1042"/>
      <c r="BG214" s="1042"/>
      <c r="BH214" s="1042"/>
      <c r="BI214" s="1042"/>
      <c r="BJ214" s="1042"/>
      <c r="BK214" s="1042"/>
      <c r="BL214" s="1042"/>
      <c r="BM214" s="1254"/>
      <c r="BN214" s="1254"/>
      <c r="BO214" s="1254"/>
      <c r="BP214" s="1254"/>
      <c r="BQ214" s="1114"/>
      <c r="BR214" s="1115"/>
      <c r="BU214" s="1087"/>
      <c r="BV214" s="1086"/>
      <c r="BW214" s="1086"/>
      <c r="BX214" s="1086"/>
    </row>
    <row r="215" spans="2:76" ht="12.75" customHeight="1">
      <c r="B215" s="1286"/>
      <c r="C215" s="1503" t="s">
        <v>704</v>
      </c>
      <c r="D215" s="1416"/>
      <c r="E215" s="1416"/>
      <c r="F215" s="1417"/>
      <c r="G215" s="1630">
        <v>5</v>
      </c>
      <c r="H215" s="1479">
        <v>5</v>
      </c>
      <c r="I215" s="1479">
        <v>5</v>
      </c>
      <c r="J215" s="1480">
        <v>5</v>
      </c>
      <c r="K215" s="1630">
        <v>5</v>
      </c>
      <c r="L215" s="1479">
        <v>5</v>
      </c>
      <c r="M215" s="1479">
        <v>5</v>
      </c>
      <c r="N215" s="1480">
        <v>5</v>
      </c>
      <c r="O215" s="1630">
        <v>5</v>
      </c>
      <c r="P215" s="1479">
        <v>5</v>
      </c>
      <c r="Q215" s="1479">
        <v>5</v>
      </c>
      <c r="R215" s="1479">
        <v>5</v>
      </c>
      <c r="S215" s="1630">
        <v>5</v>
      </c>
      <c r="T215" s="1479">
        <v>5</v>
      </c>
      <c r="U215" s="1479">
        <v>5</v>
      </c>
      <c r="V215" s="1480">
        <v>5</v>
      </c>
      <c r="W215" s="1479">
        <v>5</v>
      </c>
      <c r="X215" s="1479">
        <v>5</v>
      </c>
      <c r="Y215" s="1479">
        <v>5</v>
      </c>
      <c r="Z215" s="1480">
        <v>5</v>
      </c>
      <c r="AA215" s="1479">
        <v>5</v>
      </c>
      <c r="AB215" s="1479">
        <v>5</v>
      </c>
      <c r="AC215" s="1479">
        <v>5</v>
      </c>
      <c r="AD215" s="1480">
        <v>5</v>
      </c>
      <c r="AE215" s="1479">
        <v>5</v>
      </c>
      <c r="AF215" s="1479">
        <v>5</v>
      </c>
      <c r="AG215" s="1479">
        <v>5</v>
      </c>
      <c r="AH215" s="1480">
        <v>5</v>
      </c>
      <c r="AI215" s="1479">
        <v>5</v>
      </c>
      <c r="AJ215" s="1479">
        <v>5</v>
      </c>
      <c r="AK215" s="1479">
        <v>5</v>
      </c>
      <c r="AL215" s="1480">
        <v>5</v>
      </c>
      <c r="AM215" s="1479">
        <v>5</v>
      </c>
      <c r="AN215" s="1479">
        <v>5</v>
      </c>
      <c r="AO215" s="1479">
        <v>5</v>
      </c>
      <c r="AP215" s="1480">
        <v>5</v>
      </c>
      <c r="AQ215" s="1479">
        <v>5</v>
      </c>
      <c r="AR215" s="1479">
        <v>5</v>
      </c>
      <c r="AS215" s="1479">
        <v>5</v>
      </c>
      <c r="AT215" s="1480">
        <v>5</v>
      </c>
      <c r="AU215" s="1479">
        <v>5</v>
      </c>
      <c r="AV215" s="1479">
        <v>5</v>
      </c>
      <c r="AW215" s="1479">
        <v>5</v>
      </c>
      <c r="AX215" s="1480">
        <v>5</v>
      </c>
      <c r="AY215" s="1479">
        <v>5</v>
      </c>
      <c r="AZ215" s="1479">
        <v>5</v>
      </c>
      <c r="BA215" s="1479">
        <v>5</v>
      </c>
      <c r="BB215" s="1480">
        <v>5</v>
      </c>
      <c r="BC215" s="1123"/>
      <c r="BD215" s="1123"/>
      <c r="BE215" s="1042">
        <f>AVERAGE(G215:J215)</f>
        <v>5</v>
      </c>
      <c r="BF215" s="1042">
        <f>AVERAGE(K215:N215)</f>
        <v>5</v>
      </c>
      <c r="BG215" s="1042">
        <f>AVERAGE(O215:R215)</f>
        <v>5</v>
      </c>
      <c r="BH215" s="1042">
        <f>AVERAGE(S215:V215)</f>
        <v>5</v>
      </c>
      <c r="BI215" s="1042">
        <f>AVERAGE(W215:Z215)</f>
        <v>5</v>
      </c>
      <c r="BJ215" s="1042">
        <f>AVERAGE(AA215:AD215)</f>
        <v>5</v>
      </c>
      <c r="BK215" s="1042">
        <f>AVERAGE(AE215:AH215)</f>
        <v>5</v>
      </c>
      <c r="BL215" s="1042">
        <f>AVERAGE(AI215:AL215)</f>
        <v>5</v>
      </c>
      <c r="BM215" s="1254">
        <f>AVERAGE(AM215:AP215)</f>
        <v>5</v>
      </c>
      <c r="BN215" s="1254">
        <f>AVERAGE(AQ215:AT215)</f>
        <v>5</v>
      </c>
      <c r="BO215" s="1254">
        <f>AVERAGE(AU215:AX215)</f>
        <v>5</v>
      </c>
      <c r="BP215" s="1254">
        <f>AVERAGE(AY215:BB215)</f>
        <v>5</v>
      </c>
      <c r="BQ215" s="1114"/>
      <c r="BR215" s="1115"/>
      <c r="BU215" s="1087"/>
      <c r="BV215" s="1086"/>
      <c r="BW215" s="1086"/>
      <c r="BX215" s="1086"/>
    </row>
    <row r="216" spans="2:76" ht="12.75" customHeight="1">
      <c r="B216" s="1286"/>
      <c r="C216" s="1503" t="s">
        <v>536</v>
      </c>
      <c r="D216" s="1416"/>
      <c r="E216" s="1416"/>
      <c r="F216" s="1417"/>
      <c r="G216" s="1630">
        <v>15</v>
      </c>
      <c r="H216" s="1479">
        <v>15</v>
      </c>
      <c r="I216" s="1479">
        <v>15</v>
      </c>
      <c r="J216" s="1480">
        <v>15</v>
      </c>
      <c r="K216" s="1630">
        <v>15</v>
      </c>
      <c r="L216" s="1479">
        <v>15</v>
      </c>
      <c r="M216" s="1479">
        <v>15</v>
      </c>
      <c r="N216" s="1480">
        <v>15</v>
      </c>
      <c r="O216" s="1630">
        <v>15</v>
      </c>
      <c r="P216" s="1479">
        <v>15</v>
      </c>
      <c r="Q216" s="1479">
        <v>15</v>
      </c>
      <c r="R216" s="1479">
        <v>15</v>
      </c>
      <c r="S216" s="1630">
        <v>15</v>
      </c>
      <c r="T216" s="1479">
        <v>15</v>
      </c>
      <c r="U216" s="1479">
        <v>15</v>
      </c>
      <c r="V216" s="1480">
        <v>15</v>
      </c>
      <c r="W216" s="1479">
        <v>15</v>
      </c>
      <c r="X216" s="1479">
        <v>15</v>
      </c>
      <c r="Y216" s="1479">
        <v>15</v>
      </c>
      <c r="Z216" s="1480">
        <v>15</v>
      </c>
      <c r="AA216" s="1479">
        <v>15</v>
      </c>
      <c r="AB216" s="1479">
        <v>15</v>
      </c>
      <c r="AC216" s="1479">
        <v>15</v>
      </c>
      <c r="AD216" s="1480">
        <v>15</v>
      </c>
      <c r="AE216" s="1479">
        <v>15</v>
      </c>
      <c r="AF216" s="1479">
        <v>15</v>
      </c>
      <c r="AG216" s="1479">
        <v>15</v>
      </c>
      <c r="AH216" s="1480">
        <v>15</v>
      </c>
      <c r="AI216" s="1479">
        <v>15</v>
      </c>
      <c r="AJ216" s="1479">
        <v>15</v>
      </c>
      <c r="AK216" s="1479">
        <v>15</v>
      </c>
      <c r="AL216" s="1480">
        <v>15</v>
      </c>
      <c r="AM216" s="1479">
        <v>15</v>
      </c>
      <c r="AN216" s="1479">
        <v>15</v>
      </c>
      <c r="AO216" s="1479">
        <v>15</v>
      </c>
      <c r="AP216" s="1480">
        <v>15</v>
      </c>
      <c r="AQ216" s="1479">
        <v>15</v>
      </c>
      <c r="AR216" s="1479">
        <v>15</v>
      </c>
      <c r="AS216" s="1479">
        <v>15</v>
      </c>
      <c r="AT216" s="1480">
        <v>15</v>
      </c>
      <c r="AU216" s="1479">
        <v>15</v>
      </c>
      <c r="AV216" s="1479">
        <v>15</v>
      </c>
      <c r="AW216" s="1479">
        <v>15</v>
      </c>
      <c r="AX216" s="1480">
        <v>15</v>
      </c>
      <c r="AY216" s="1479">
        <v>15</v>
      </c>
      <c r="AZ216" s="1479">
        <v>15</v>
      </c>
      <c r="BA216" s="1479">
        <v>15</v>
      </c>
      <c r="BB216" s="1480">
        <v>15</v>
      </c>
      <c r="BC216" s="1123"/>
      <c r="BD216" s="1123"/>
      <c r="BE216" s="1042">
        <f>AVERAGE(G216:J216)</f>
        <v>15</v>
      </c>
      <c r="BF216" s="1042">
        <f>AVERAGE(K216:N216)</f>
        <v>15</v>
      </c>
      <c r="BG216" s="1042">
        <f>AVERAGE(O216:R216)</f>
        <v>15</v>
      </c>
      <c r="BH216" s="1042">
        <f>AVERAGE(S216:V216)</f>
        <v>15</v>
      </c>
      <c r="BI216" s="1042">
        <f>AVERAGE(W216:Z216)</f>
        <v>15</v>
      </c>
      <c r="BJ216" s="1042">
        <f>AVERAGE(AA216:AD216)</f>
        <v>15</v>
      </c>
      <c r="BK216" s="1042">
        <f>AVERAGE(AE216:AH216)</f>
        <v>15</v>
      </c>
      <c r="BL216" s="1042">
        <f>AVERAGE(AI216:AL216)</f>
        <v>15</v>
      </c>
      <c r="BM216" s="1254">
        <f>AVERAGE(AM216:AP216)</f>
        <v>15</v>
      </c>
      <c r="BN216" s="1254">
        <f>AVERAGE(AQ216:AT216)</f>
        <v>15</v>
      </c>
      <c r="BO216" s="1254">
        <f>AVERAGE(AU216:AX216)</f>
        <v>15</v>
      </c>
      <c r="BP216" s="1254">
        <f>AVERAGE(AY216:BB216)</f>
        <v>15</v>
      </c>
      <c r="BQ216" s="1114"/>
      <c r="BR216" s="1115"/>
      <c r="BU216" s="1087"/>
      <c r="BV216" s="1086"/>
      <c r="BW216" s="1086"/>
      <c r="BX216" s="1086"/>
    </row>
    <row r="217" spans="2:76" ht="12.75" customHeight="1">
      <c r="B217" s="1286"/>
      <c r="C217" s="1503" t="s">
        <v>537</v>
      </c>
      <c r="D217" s="1416"/>
      <c r="E217" s="1416"/>
      <c r="F217" s="1417"/>
      <c r="G217" s="1630">
        <v>25</v>
      </c>
      <c r="H217" s="1479">
        <v>25</v>
      </c>
      <c r="I217" s="1479">
        <v>25</v>
      </c>
      <c r="J217" s="1480">
        <v>25</v>
      </c>
      <c r="K217" s="1630">
        <v>25</v>
      </c>
      <c r="L217" s="1479">
        <v>25</v>
      </c>
      <c r="M217" s="1479">
        <v>25</v>
      </c>
      <c r="N217" s="1480">
        <v>25</v>
      </c>
      <c r="O217" s="1630">
        <v>25</v>
      </c>
      <c r="P217" s="1479">
        <v>25</v>
      </c>
      <c r="Q217" s="1479">
        <v>25</v>
      </c>
      <c r="R217" s="1479">
        <v>25</v>
      </c>
      <c r="S217" s="1630">
        <v>25</v>
      </c>
      <c r="T217" s="1479">
        <v>25</v>
      </c>
      <c r="U217" s="1479">
        <v>25</v>
      </c>
      <c r="V217" s="1480">
        <v>25</v>
      </c>
      <c r="W217" s="1479">
        <v>25</v>
      </c>
      <c r="X217" s="1479">
        <v>25</v>
      </c>
      <c r="Y217" s="1479">
        <v>25</v>
      </c>
      <c r="Z217" s="1480">
        <v>25</v>
      </c>
      <c r="AA217" s="1479">
        <v>25</v>
      </c>
      <c r="AB217" s="1479">
        <v>25</v>
      </c>
      <c r="AC217" s="1479">
        <v>25</v>
      </c>
      <c r="AD217" s="1480">
        <v>25</v>
      </c>
      <c r="AE217" s="1479">
        <v>25</v>
      </c>
      <c r="AF217" s="1479">
        <v>25</v>
      </c>
      <c r="AG217" s="1479">
        <v>25</v>
      </c>
      <c r="AH217" s="1480">
        <v>25</v>
      </c>
      <c r="AI217" s="1479">
        <v>25</v>
      </c>
      <c r="AJ217" s="1479">
        <v>25</v>
      </c>
      <c r="AK217" s="1479">
        <v>25</v>
      </c>
      <c r="AL217" s="1480">
        <v>25</v>
      </c>
      <c r="AM217" s="1479">
        <v>25</v>
      </c>
      <c r="AN217" s="1479">
        <v>25</v>
      </c>
      <c r="AO217" s="1479">
        <v>25</v>
      </c>
      <c r="AP217" s="1480">
        <v>25</v>
      </c>
      <c r="AQ217" s="1479">
        <v>25</v>
      </c>
      <c r="AR217" s="1479">
        <v>25</v>
      </c>
      <c r="AS217" s="1479">
        <v>25</v>
      </c>
      <c r="AT217" s="1480">
        <v>25</v>
      </c>
      <c r="AU217" s="1479">
        <v>25</v>
      </c>
      <c r="AV217" s="1479">
        <v>25</v>
      </c>
      <c r="AW217" s="1479">
        <v>25</v>
      </c>
      <c r="AX217" s="1480">
        <v>25</v>
      </c>
      <c r="AY217" s="1479">
        <v>25</v>
      </c>
      <c r="AZ217" s="1479">
        <v>25</v>
      </c>
      <c r="BA217" s="1479">
        <v>25</v>
      </c>
      <c r="BB217" s="1480">
        <v>25</v>
      </c>
      <c r="BC217" s="1123"/>
      <c r="BD217" s="1123"/>
      <c r="BE217" s="1042">
        <f>AVERAGE(G217:J217)</f>
        <v>25</v>
      </c>
      <c r="BF217" s="1042">
        <f>AVERAGE(K217:N217)</f>
        <v>25</v>
      </c>
      <c r="BG217" s="1042">
        <f>AVERAGE(O217:R217)</f>
        <v>25</v>
      </c>
      <c r="BH217" s="1042">
        <f>AVERAGE(S217:V217)</f>
        <v>25</v>
      </c>
      <c r="BI217" s="1042">
        <f>AVERAGE(W217:Z217)</f>
        <v>25</v>
      </c>
      <c r="BJ217" s="1042">
        <f>AVERAGE(AA217:AD217)</f>
        <v>25</v>
      </c>
      <c r="BK217" s="1042">
        <f>AVERAGE(AE217:AH217)</f>
        <v>25</v>
      </c>
      <c r="BL217" s="1042">
        <f>AVERAGE(AI217:AL217)</f>
        <v>25</v>
      </c>
      <c r="BM217" s="1254">
        <f>AVERAGE(AM217:AP217)</f>
        <v>25</v>
      </c>
      <c r="BN217" s="1254">
        <f>AVERAGE(AQ217:AT217)</f>
        <v>25</v>
      </c>
      <c r="BO217" s="1254">
        <f>AVERAGE(AU217:AX217)</f>
        <v>25</v>
      </c>
      <c r="BP217" s="1254">
        <f>AVERAGE(AY217:BB217)</f>
        <v>25</v>
      </c>
      <c r="BQ217" s="1114"/>
      <c r="BR217" s="1115"/>
      <c r="BU217" s="1087"/>
      <c r="BV217" s="1086"/>
      <c r="BW217" s="1086"/>
      <c r="BX217" s="1086"/>
    </row>
    <row r="218" spans="2:76" ht="12.75" customHeight="1">
      <c r="B218" s="1286"/>
      <c r="C218" s="1503"/>
      <c r="D218" s="1416"/>
      <c r="E218" s="1416"/>
      <c r="F218" s="1417"/>
      <c r="G218" s="1476"/>
      <c r="H218" s="1477"/>
      <c r="I218" s="1477"/>
      <c r="J218" s="1478"/>
      <c r="K218" s="1476"/>
      <c r="L218" s="1477"/>
      <c r="M218" s="1477"/>
      <c r="N218" s="1478"/>
      <c r="O218" s="1476"/>
      <c r="P218" s="1477"/>
      <c r="Q218" s="1477"/>
      <c r="R218" s="1477"/>
      <c r="S218" s="1476"/>
      <c r="T218" s="1479"/>
      <c r="U218" s="1479"/>
      <c r="V218" s="1480"/>
      <c r="W218" s="1479"/>
      <c r="X218" s="1479"/>
      <c r="Y218" s="1479"/>
      <c r="Z218" s="1480"/>
      <c r="AA218" s="1479"/>
      <c r="AB218" s="1479"/>
      <c r="AC218" s="1479"/>
      <c r="AD218" s="1480"/>
      <c r="AE218" s="1479"/>
      <c r="AF218" s="1479"/>
      <c r="AG218" s="1479"/>
      <c r="AH218" s="1480"/>
      <c r="AI218" s="1479"/>
      <c r="AJ218" s="1479"/>
      <c r="AK218" s="1479"/>
      <c r="AL218" s="1480"/>
      <c r="AM218" s="1479"/>
      <c r="AN218" s="1479"/>
      <c r="AO218" s="1479"/>
      <c r="AP218" s="1480"/>
      <c r="AQ218" s="1479"/>
      <c r="AR218" s="1479"/>
      <c r="AS218" s="1479"/>
      <c r="AT218" s="1480"/>
      <c r="AU218" s="1479"/>
      <c r="AV218" s="1479"/>
      <c r="AW218" s="1479"/>
      <c r="AX218" s="1480"/>
      <c r="AY218" s="1479"/>
      <c r="AZ218" s="1479"/>
      <c r="BA218" s="1479"/>
      <c r="BB218" s="1480"/>
      <c r="BC218" s="1123"/>
      <c r="BD218" s="1123"/>
      <c r="BE218" s="1042"/>
      <c r="BF218" s="1042"/>
      <c r="BG218" s="1042"/>
      <c r="BH218" s="1044"/>
      <c r="BI218" s="1044"/>
      <c r="BJ218" s="1044"/>
      <c r="BK218" s="1044"/>
      <c r="BL218" s="1044"/>
      <c r="BM218" s="1260"/>
      <c r="BN218" s="1260"/>
      <c r="BO218" s="1260"/>
      <c r="BP218" s="1260"/>
      <c r="BQ218" s="1114"/>
      <c r="BR218" s="1141"/>
      <c r="BU218" s="1087"/>
      <c r="BV218" s="1086"/>
      <c r="BW218" s="1086"/>
      <c r="BX218" s="1086"/>
    </row>
    <row r="219" spans="2:76" ht="12.75" customHeight="1">
      <c r="B219" s="1286"/>
      <c r="C219" s="1503"/>
      <c r="D219" s="1416"/>
      <c r="E219" s="1416"/>
      <c r="F219" s="1417"/>
      <c r="G219" s="1656"/>
      <c r="H219" s="1490"/>
      <c r="I219" s="1490"/>
      <c r="J219" s="1657"/>
      <c r="K219" s="1656"/>
      <c r="L219" s="1490"/>
      <c r="M219" s="1490"/>
      <c r="N219" s="1657"/>
      <c r="O219" s="1656"/>
      <c r="P219" s="1490"/>
      <c r="Q219" s="1490"/>
      <c r="R219" s="1490"/>
      <c r="S219" s="1659"/>
      <c r="T219" s="1481"/>
      <c r="U219" s="1481"/>
      <c r="V219" s="1482"/>
      <c r="W219" s="1481"/>
      <c r="X219" s="1481"/>
      <c r="Y219" s="1481"/>
      <c r="Z219" s="1484"/>
      <c r="AA219" s="1483"/>
      <c r="AB219" s="1483"/>
      <c r="AC219" s="1483"/>
      <c r="AD219" s="1484"/>
      <c r="AE219" s="1483"/>
      <c r="AF219" s="1483"/>
      <c r="AG219" s="1483"/>
      <c r="AH219" s="1484"/>
      <c r="AI219" s="1483"/>
      <c r="AJ219" s="1483"/>
      <c r="AK219" s="1483"/>
      <c r="AL219" s="1484"/>
      <c r="AM219" s="1483"/>
      <c r="AN219" s="1483"/>
      <c r="AO219" s="1483"/>
      <c r="AP219" s="1484"/>
      <c r="AQ219" s="1483"/>
      <c r="AR219" s="1483"/>
      <c r="AS219" s="1483"/>
      <c r="AT219" s="1484"/>
      <c r="AU219" s="1483"/>
      <c r="AV219" s="1483"/>
      <c r="AW219" s="1483"/>
      <c r="AX219" s="1484"/>
      <c r="AY219" s="1483"/>
      <c r="AZ219" s="1483"/>
      <c r="BA219" s="1483"/>
      <c r="BB219" s="1484"/>
      <c r="BC219" s="1132"/>
      <c r="BD219" s="1133"/>
      <c r="BE219" s="1043"/>
      <c r="BF219" s="1043"/>
      <c r="BG219" s="1043"/>
      <c r="BH219" s="1043"/>
      <c r="BI219" s="1043"/>
      <c r="BJ219" s="1043"/>
      <c r="BK219" s="1043"/>
      <c r="BL219" s="1043"/>
      <c r="BM219" s="1256"/>
      <c r="BN219" s="1256"/>
      <c r="BO219" s="1256"/>
      <c r="BP219" s="1256"/>
      <c r="BQ219" s="1114"/>
      <c r="BR219" s="1141"/>
      <c r="BU219" s="1087"/>
      <c r="BV219" s="1086"/>
      <c r="BW219" s="1086"/>
      <c r="BX219" s="1086"/>
    </row>
    <row r="220" spans="2:76" ht="12.75" customHeight="1">
      <c r="B220" s="1286"/>
      <c r="C220" s="1504" t="s">
        <v>620</v>
      </c>
      <c r="D220" s="1373"/>
      <c r="E220" s="1373"/>
      <c r="F220" s="1374"/>
      <c r="G220" s="1476"/>
      <c r="H220" s="1477"/>
      <c r="I220" s="1477"/>
      <c r="J220" s="1478"/>
      <c r="K220" s="1476"/>
      <c r="L220" s="1477"/>
      <c r="M220" s="1477"/>
      <c r="N220" s="1478"/>
      <c r="O220" s="1476"/>
      <c r="P220" s="1477"/>
      <c r="Q220" s="1477"/>
      <c r="R220" s="1477"/>
      <c r="S220" s="1476"/>
      <c r="T220" s="1479"/>
      <c r="U220" s="1479"/>
      <c r="V220" s="1480"/>
      <c r="W220" s="1479"/>
      <c r="X220" s="1479"/>
      <c r="Y220" s="1479"/>
      <c r="Z220" s="1480"/>
      <c r="AA220" s="1479"/>
      <c r="AB220" s="1479"/>
      <c r="AC220" s="1479"/>
      <c r="AD220" s="1480"/>
      <c r="AE220" s="1479"/>
      <c r="AF220" s="1479"/>
      <c r="AG220" s="1479"/>
      <c r="AH220" s="1480"/>
      <c r="AI220" s="1479"/>
      <c r="AJ220" s="1479"/>
      <c r="AK220" s="1479"/>
      <c r="AL220" s="1480"/>
      <c r="AM220" s="1479"/>
      <c r="AN220" s="1479"/>
      <c r="AO220" s="1479"/>
      <c r="AP220" s="1480"/>
      <c r="AQ220" s="1479"/>
      <c r="AR220" s="1479"/>
      <c r="AS220" s="1479"/>
      <c r="AT220" s="1480"/>
      <c r="AU220" s="1479"/>
      <c r="AV220" s="1479"/>
      <c r="AW220" s="1479"/>
      <c r="AX220" s="1480"/>
      <c r="AY220" s="1479"/>
      <c r="AZ220" s="1479"/>
      <c r="BA220" s="1479"/>
      <c r="BB220" s="1480"/>
      <c r="BC220" s="1123"/>
      <c r="BD220" s="1123"/>
      <c r="BE220" s="1042"/>
      <c r="BF220" s="1042"/>
      <c r="BG220" s="1042"/>
      <c r="BH220" s="1042"/>
      <c r="BI220" s="1042"/>
      <c r="BJ220" s="1042"/>
      <c r="BK220" s="1042"/>
      <c r="BL220" s="1042"/>
      <c r="BM220" s="1254"/>
      <c r="BN220" s="1254"/>
      <c r="BO220" s="1254"/>
      <c r="BP220" s="1254"/>
      <c r="BQ220" s="1114"/>
      <c r="BR220" s="1141"/>
      <c r="BU220" s="1087"/>
      <c r="BV220" s="1086"/>
      <c r="BW220" s="1086"/>
      <c r="BX220" s="1086"/>
    </row>
    <row r="221" spans="2:76" ht="12.75" customHeight="1">
      <c r="B221" s="1286"/>
      <c r="C221" s="1503" t="s">
        <v>611</v>
      </c>
      <c r="D221" s="1416"/>
      <c r="E221" s="1416"/>
      <c r="F221" s="1417"/>
      <c r="G221" s="1489">
        <v>8528.0969298430045</v>
      </c>
      <c r="H221" s="1424">
        <v>10939.694023823055</v>
      </c>
      <c r="I221" s="1424">
        <v>14421.989330928911</v>
      </c>
      <c r="J221" s="1423">
        <v>8861.0131998359921</v>
      </c>
      <c r="K221" s="1489">
        <v>9167.0595922106477</v>
      </c>
      <c r="L221" s="1424">
        <v>10189.12960248709</v>
      </c>
      <c r="M221" s="1424">
        <v>11710.045508691945</v>
      </c>
      <c r="N221" s="1423">
        <v>11336.882768537926</v>
      </c>
      <c r="O221" s="1489">
        <v>10207.718317800258</v>
      </c>
      <c r="P221" s="1424">
        <v>13937.121379905617</v>
      </c>
      <c r="Q221" s="1424">
        <v>15132.551384701612</v>
      </c>
      <c r="R221" s="1424">
        <v>12963.880511989042</v>
      </c>
      <c r="S221" s="1489">
        <v>11474.979818138521</v>
      </c>
      <c r="T221" s="1424">
        <v>10402.131258701407</v>
      </c>
      <c r="U221" s="1424">
        <v>14595.99188276675</v>
      </c>
      <c r="V221" s="1424">
        <v>15599.608908418337</v>
      </c>
      <c r="W221" s="1489">
        <v>9818.857351275652</v>
      </c>
      <c r="X221" s="1424">
        <v>11887.120339338082</v>
      </c>
      <c r="Y221" s="1424">
        <v>15922.771678283798</v>
      </c>
      <c r="Z221" s="1423">
        <v>15026.318812665288</v>
      </c>
      <c r="AA221" s="1489">
        <v>9835.9779023649571</v>
      </c>
      <c r="AB221" s="1424">
        <v>11407.233144218615</v>
      </c>
      <c r="AC221" s="1424">
        <v>18666.071155473397</v>
      </c>
      <c r="AD221" s="1423">
        <v>17315.33127145606</v>
      </c>
      <c r="AE221" s="1489">
        <v>12206.386279703562</v>
      </c>
      <c r="AF221" s="1424">
        <v>16621.31367909328</v>
      </c>
      <c r="AG221" s="1424">
        <v>22288.404958475618</v>
      </c>
      <c r="AH221" s="1423">
        <v>14434.588536316558</v>
      </c>
      <c r="AI221" s="1489">
        <v>10264.218099859183</v>
      </c>
      <c r="AJ221" s="1425">
        <v>12389.285901147583</v>
      </c>
      <c r="AK221" s="1425">
        <v>13153.218506204936</v>
      </c>
      <c r="AL221" s="1426">
        <v>14925.254225358662</v>
      </c>
      <c r="AM221" s="1425">
        <v>7994.7887216424933</v>
      </c>
      <c r="AN221" s="1425">
        <v>13122.990353697749</v>
      </c>
      <c r="AO221" s="1425">
        <v>14125.083166999331</v>
      </c>
      <c r="AP221" s="1426">
        <v>13408.970976253298</v>
      </c>
      <c r="AQ221" s="1425">
        <v>16121.702235183328</v>
      </c>
      <c r="AR221" s="1425">
        <v>17104.044129356756</v>
      </c>
      <c r="AS221" s="1425">
        <v>21029.097168692006</v>
      </c>
      <c r="AT221" s="1426">
        <v>8461.414086437906</v>
      </c>
      <c r="AU221" s="1425">
        <v>15860.467045238278</v>
      </c>
      <c r="AV221" s="1425">
        <v>16826.891124557431</v>
      </c>
      <c r="AW221" s="1425">
        <v>20688.34281700529</v>
      </c>
      <c r="AX221" s="1426">
        <v>8324.3057908107585</v>
      </c>
      <c r="AY221" s="1425">
        <v>15390.53594374832</v>
      </c>
      <c r="AZ221" s="1425">
        <v>16328.325763382341</v>
      </c>
      <c r="BA221" s="1425">
        <v>20075.366181432888</v>
      </c>
      <c r="BB221" s="1426">
        <v>8077.6642399499096</v>
      </c>
      <c r="BC221" s="1156"/>
      <c r="BD221" s="1156"/>
      <c r="BE221" s="1045">
        <f t="shared" ref="BE221:BE236" si="247">AVERAGE(G221:J221)</f>
        <v>10687.698371107741</v>
      </c>
      <c r="BF221" s="1045">
        <f t="shared" ref="BF221:BF236" si="248">AVERAGE(K221:N221)</f>
        <v>10600.779367981901</v>
      </c>
      <c r="BG221" s="1045">
        <f t="shared" ref="BG221:BG236" si="249">AVERAGE(O221:R221)</f>
        <v>13060.317898599133</v>
      </c>
      <c r="BH221" s="1045">
        <f t="shared" ref="BH221:BH236" si="250">AVERAGE(S221:V221)</f>
        <v>13018.177967006253</v>
      </c>
      <c r="BI221" s="1045">
        <f t="shared" ref="BI221:BI236" si="251">AVERAGE(W221:Z221)</f>
        <v>13163.767045390705</v>
      </c>
      <c r="BJ221" s="1045">
        <f t="shared" ref="BJ221:BJ236" si="252">AVERAGE(AA221:AD221)</f>
        <v>14306.153368378258</v>
      </c>
      <c r="BK221" s="1045">
        <f t="shared" ref="BK221:BK236" si="253">AVERAGE(AE221:AH221)</f>
        <v>16387.673363397254</v>
      </c>
      <c r="BL221" s="1045">
        <f t="shared" ref="BL221:BL236" si="254">AVERAGE(AI221:AL221)</f>
        <v>12682.994183142589</v>
      </c>
      <c r="BM221" s="1280">
        <f t="shared" ref="BM221:BM236" si="255">AVERAGE(AM221:AP221)</f>
        <v>12162.958304648218</v>
      </c>
      <c r="BN221" s="1280">
        <f t="shared" ref="BN221:BN236" si="256">AVERAGE(AQ221:AT221)</f>
        <v>15679.064404917501</v>
      </c>
      <c r="BO221" s="1280">
        <f t="shared" ref="BO221:BO236" si="257">AVERAGE(AU221:AX221)</f>
        <v>15425.001694402939</v>
      </c>
      <c r="BP221" s="1280">
        <f t="shared" ref="BP221:BP236" si="258">AVERAGE(AY221:BB221)</f>
        <v>14967.973032128364</v>
      </c>
      <c r="BQ221" s="1114"/>
      <c r="BR221" s="1157"/>
      <c r="BU221" s="1087"/>
      <c r="BV221" s="1086"/>
      <c r="BW221" s="1086"/>
      <c r="BX221" s="1086"/>
    </row>
    <row r="222" spans="2:76" ht="12.75" customHeight="1">
      <c r="B222" s="1286"/>
      <c r="C222" s="1503" t="s">
        <v>517</v>
      </c>
      <c r="D222" s="1416"/>
      <c r="E222" s="1416"/>
      <c r="F222" s="1417"/>
      <c r="G222" s="1489">
        <v>6354.9851186486494</v>
      </c>
      <c r="H222" s="1424">
        <v>9234.2721012697057</v>
      </c>
      <c r="I222" s="1424">
        <v>11593.947010070106</v>
      </c>
      <c r="J222" s="1423">
        <v>7986.3843661035107</v>
      </c>
      <c r="K222" s="1489">
        <v>6840.1396780303039</v>
      </c>
      <c r="L222" s="1424">
        <v>9130.7265133667552</v>
      </c>
      <c r="M222" s="1424">
        <v>10816.593582639658</v>
      </c>
      <c r="N222" s="1423">
        <v>10282.027240426369</v>
      </c>
      <c r="O222" s="1489">
        <v>11040.263568617833</v>
      </c>
      <c r="P222" s="1424">
        <v>14052.827281024129</v>
      </c>
      <c r="Q222" s="1424">
        <v>13593.795584312746</v>
      </c>
      <c r="R222" s="1424">
        <v>10650.641750476832</v>
      </c>
      <c r="S222" s="1489">
        <v>10613.332343739214</v>
      </c>
      <c r="T222" s="1424">
        <v>9814.6604717116315</v>
      </c>
      <c r="U222" s="1424">
        <v>15217.027511328975</v>
      </c>
      <c r="V222" s="1424">
        <v>11622.060695219723</v>
      </c>
      <c r="W222" s="1489">
        <v>8339.8677320762581</v>
      </c>
      <c r="X222" s="1424">
        <v>12089.696865123291</v>
      </c>
      <c r="Y222" s="1424">
        <v>17008.913404698229</v>
      </c>
      <c r="Z222" s="1423">
        <v>14242.244323975263</v>
      </c>
      <c r="AA222" s="1489">
        <v>8245.126379457306</v>
      </c>
      <c r="AB222" s="1424">
        <v>23636.495062483507</v>
      </c>
      <c r="AC222" s="1424">
        <v>29559.964278835214</v>
      </c>
      <c r="AD222" s="1423">
        <v>26840.274598772085</v>
      </c>
      <c r="AE222" s="1489">
        <v>16770.720038090938</v>
      </c>
      <c r="AF222" s="1424">
        <v>22601.852674604575</v>
      </c>
      <c r="AG222" s="1424">
        <v>34191.352496551095</v>
      </c>
      <c r="AH222" s="1423">
        <v>12233.948471734455</v>
      </c>
      <c r="AI222" s="1489">
        <v>9237.5699548947559</v>
      </c>
      <c r="AJ222" s="1425">
        <v>13374.181331245492</v>
      </c>
      <c r="AK222" s="1425">
        <v>19942.594548815701</v>
      </c>
      <c r="AL222" s="1426">
        <v>12811.212946664498</v>
      </c>
      <c r="AM222" s="1425">
        <v>5561.1264063691815</v>
      </c>
      <c r="AN222" s="1425">
        <v>16904.797713941942</v>
      </c>
      <c r="AO222" s="1425">
        <v>15195.195195195192</v>
      </c>
      <c r="AP222" s="1426">
        <v>14065.797641216635</v>
      </c>
      <c r="AQ222" s="1425">
        <v>14527.253857531297</v>
      </c>
      <c r="AR222" s="1425">
        <v>19603.903225075555</v>
      </c>
      <c r="AS222" s="1425">
        <v>17640.554959788038</v>
      </c>
      <c r="AT222" s="1426">
        <v>7417.7739790369633</v>
      </c>
      <c r="AU222" s="1425">
        <v>14642.155761170308</v>
      </c>
      <c r="AV222" s="1425">
        <v>19758.958393891811</v>
      </c>
      <c r="AW222" s="1425">
        <v>17780.081216161496</v>
      </c>
      <c r="AX222" s="1426">
        <v>7476.4441419813102</v>
      </c>
      <c r="AY222" s="1425">
        <v>14513.506709443927</v>
      </c>
      <c r="AZ222" s="1425">
        <v>19585.352040979196</v>
      </c>
      <c r="BA222" s="1425">
        <v>17623.861693204144</v>
      </c>
      <c r="BB222" s="1426">
        <v>7410.7545355572447</v>
      </c>
      <c r="BC222" s="1156"/>
      <c r="BD222" s="1156"/>
      <c r="BE222" s="1045">
        <f t="shared" si="247"/>
        <v>8792.3971490229942</v>
      </c>
      <c r="BF222" s="1045">
        <f t="shared" si="248"/>
        <v>9267.371753615771</v>
      </c>
      <c r="BG222" s="1045">
        <f t="shared" si="249"/>
        <v>12334.382046107885</v>
      </c>
      <c r="BH222" s="1045">
        <f t="shared" si="250"/>
        <v>11816.770255499887</v>
      </c>
      <c r="BI222" s="1045">
        <f t="shared" si="251"/>
        <v>12920.180581468259</v>
      </c>
      <c r="BJ222" s="1045">
        <f t="shared" si="252"/>
        <v>22070.465079887028</v>
      </c>
      <c r="BK222" s="1045">
        <f t="shared" si="253"/>
        <v>21449.468420245266</v>
      </c>
      <c r="BL222" s="1045">
        <f t="shared" si="254"/>
        <v>13841.389695405112</v>
      </c>
      <c r="BM222" s="1280">
        <f t="shared" si="255"/>
        <v>12931.729239180739</v>
      </c>
      <c r="BN222" s="1280">
        <f t="shared" si="256"/>
        <v>14797.371505357962</v>
      </c>
      <c r="BO222" s="1280">
        <f t="shared" si="257"/>
        <v>14914.40987830123</v>
      </c>
      <c r="BP222" s="1280">
        <f t="shared" si="258"/>
        <v>14783.368744796129</v>
      </c>
      <c r="BQ222" s="1114"/>
      <c r="BR222" s="1115"/>
      <c r="BU222" s="1087"/>
      <c r="BV222" s="1086"/>
      <c r="BW222" s="1086"/>
      <c r="BX222" s="1086"/>
    </row>
    <row r="223" spans="2:76" ht="12.75" customHeight="1">
      <c r="B223" s="1286"/>
      <c r="C223" s="1503" t="s">
        <v>515</v>
      </c>
      <c r="D223" s="1416"/>
      <c r="E223" s="1416"/>
      <c r="F223" s="1417"/>
      <c r="G223" s="1489">
        <v>8543.6664872269102</v>
      </c>
      <c r="H223" s="1424">
        <v>11733.472288175466</v>
      </c>
      <c r="I223" s="1424">
        <v>15567.424976285371</v>
      </c>
      <c r="J223" s="1423">
        <v>9467.1210998981551</v>
      </c>
      <c r="K223" s="1489">
        <v>8811.5559963805918</v>
      </c>
      <c r="L223" s="1424">
        <v>11833.163129494042</v>
      </c>
      <c r="M223" s="1424">
        <v>13749.375769400505</v>
      </c>
      <c r="N223" s="1423">
        <v>11401.789212415018</v>
      </c>
      <c r="O223" s="1489">
        <v>10858.411061353236</v>
      </c>
      <c r="P223" s="1424">
        <v>17096.327622236855</v>
      </c>
      <c r="Q223" s="1424">
        <v>16321.388541509912</v>
      </c>
      <c r="R223" s="1424">
        <v>11936.102955529621</v>
      </c>
      <c r="S223" s="1489">
        <v>9200.0602031750641</v>
      </c>
      <c r="T223" s="1424">
        <v>10943.30469533352</v>
      </c>
      <c r="U223" s="1424">
        <v>16839.305638511436</v>
      </c>
      <c r="V223" s="1424">
        <v>11507.281614895146</v>
      </c>
      <c r="W223" s="1489">
        <v>8513.2984461369888</v>
      </c>
      <c r="X223" s="1424">
        <v>12214.306661080853</v>
      </c>
      <c r="Y223" s="1424">
        <v>15533.074957564382</v>
      </c>
      <c r="Z223" s="1423">
        <v>13169.174296902111</v>
      </c>
      <c r="AA223" s="1489">
        <v>8752.0153850948955</v>
      </c>
      <c r="AB223" s="1424">
        <v>13044.571585464208</v>
      </c>
      <c r="AC223" s="1424">
        <v>16897.690788927091</v>
      </c>
      <c r="AD223" s="1423">
        <v>14276.849559241589</v>
      </c>
      <c r="AE223" s="1489">
        <v>12408.032404772037</v>
      </c>
      <c r="AF223" s="1424">
        <v>16600.643581221062</v>
      </c>
      <c r="AG223" s="1424">
        <v>20653.382464404767</v>
      </c>
      <c r="AH223" s="1423">
        <v>13059.678246218231</v>
      </c>
      <c r="AI223" s="1489">
        <v>10564.639678870024</v>
      </c>
      <c r="AJ223" s="1425">
        <v>12417.855523387629</v>
      </c>
      <c r="AK223" s="1425">
        <v>13595.184996214484</v>
      </c>
      <c r="AL223" s="1426">
        <v>11881.520868816107</v>
      </c>
      <c r="AM223" s="1425">
        <v>6442.6306762573604</v>
      </c>
      <c r="AN223" s="1425">
        <v>14924.97320471597</v>
      </c>
      <c r="AO223" s="1425">
        <v>11663.33998669328</v>
      </c>
      <c r="AP223" s="1426">
        <v>13240.105540897099</v>
      </c>
      <c r="AQ223" s="1425">
        <v>15902.941350771327</v>
      </c>
      <c r="AR223" s="1425">
        <v>19127.171748689459</v>
      </c>
      <c r="AS223" s="1425">
        <v>16072.965189791517</v>
      </c>
      <c r="AT223" s="1426">
        <v>6473.9168195960674</v>
      </c>
      <c r="AU223" s="1425">
        <v>15877.25457081885</v>
      </c>
      <c r="AV223" s="1425">
        <v>19096.277121023737</v>
      </c>
      <c r="AW223" s="1425">
        <v>16047.003783602089</v>
      </c>
      <c r="AX223" s="1426">
        <v>6463.460007041228</v>
      </c>
      <c r="AY223" s="1425">
        <v>15501.066136796249</v>
      </c>
      <c r="AZ223" s="1425">
        <v>18643.818633709263</v>
      </c>
      <c r="BA223" s="1425">
        <v>15666.79338909201</v>
      </c>
      <c r="BB223" s="1426">
        <v>6310.3177312421476</v>
      </c>
      <c r="BC223" s="1156"/>
      <c r="BD223" s="1156"/>
      <c r="BE223" s="1045">
        <f t="shared" si="247"/>
        <v>11327.921212896475</v>
      </c>
      <c r="BF223" s="1045">
        <f t="shared" si="248"/>
        <v>11448.971026922538</v>
      </c>
      <c r="BG223" s="1045">
        <f t="shared" si="249"/>
        <v>14053.057545157406</v>
      </c>
      <c r="BH223" s="1045">
        <f t="shared" si="250"/>
        <v>12122.488037978792</v>
      </c>
      <c r="BI223" s="1045">
        <f t="shared" si="251"/>
        <v>12357.463590421085</v>
      </c>
      <c r="BJ223" s="1045">
        <f t="shared" si="252"/>
        <v>13242.781829681946</v>
      </c>
      <c r="BK223" s="1045">
        <f t="shared" si="253"/>
        <v>15680.434174154023</v>
      </c>
      <c r="BL223" s="1045">
        <f t="shared" si="254"/>
        <v>12114.800266822062</v>
      </c>
      <c r="BM223" s="1280">
        <f t="shared" si="255"/>
        <v>11567.762352140928</v>
      </c>
      <c r="BN223" s="1280">
        <f t="shared" si="256"/>
        <v>14394.248777212093</v>
      </c>
      <c r="BO223" s="1280">
        <f t="shared" si="257"/>
        <v>14370.998870621475</v>
      </c>
      <c r="BP223" s="1280">
        <f t="shared" si="258"/>
        <v>14030.498972709916</v>
      </c>
      <c r="BQ223" s="1114"/>
      <c r="BR223" s="1115"/>
      <c r="BU223" s="1087"/>
      <c r="BV223" s="1086"/>
      <c r="BW223" s="1086"/>
      <c r="BX223" s="1086"/>
    </row>
    <row r="224" spans="2:76" ht="12.75" customHeight="1">
      <c r="B224" s="1286"/>
      <c r="C224" s="1503" t="s">
        <v>516</v>
      </c>
      <c r="D224" s="1416"/>
      <c r="E224" s="1416"/>
      <c r="F224" s="1417"/>
      <c r="G224" s="1489">
        <v>9392.5798896790966</v>
      </c>
      <c r="H224" s="1424">
        <v>13697.35313631684</v>
      </c>
      <c r="I224" s="1424">
        <v>17284.703810095227</v>
      </c>
      <c r="J224" s="1423">
        <v>10274.047045908441</v>
      </c>
      <c r="K224" s="1489">
        <v>10183.447113344422</v>
      </c>
      <c r="L224" s="1424">
        <v>13001.009310136313</v>
      </c>
      <c r="M224" s="1424">
        <v>14568.584070796462</v>
      </c>
      <c r="N224" s="1423">
        <v>12436.247938794573</v>
      </c>
      <c r="O224" s="1489">
        <v>12425.14553153737</v>
      </c>
      <c r="P224" s="1424">
        <v>18031.971093165863</v>
      </c>
      <c r="Q224" s="1424">
        <v>17146.378293109447</v>
      </c>
      <c r="R224" s="1424">
        <v>12431.863270403677</v>
      </c>
      <c r="S224" s="1489">
        <v>10578.39992459892</v>
      </c>
      <c r="T224" s="1424">
        <v>11999.78855129232</v>
      </c>
      <c r="U224" s="1424">
        <v>17812.227801005432</v>
      </c>
      <c r="V224" s="1424">
        <v>11729.179938323001</v>
      </c>
      <c r="W224" s="1489">
        <v>9203.1098350249158</v>
      </c>
      <c r="X224" s="1424">
        <v>12626.733347297857</v>
      </c>
      <c r="Y224" s="1424">
        <v>15897.562359300329</v>
      </c>
      <c r="Z224" s="1423">
        <v>13240.978153002308</v>
      </c>
      <c r="AA224" s="1489">
        <v>9018.8976375690818</v>
      </c>
      <c r="AB224" s="1424">
        <v>13894.286417546622</v>
      </c>
      <c r="AC224" s="1424">
        <v>18107.995319874713</v>
      </c>
      <c r="AD224" s="1423">
        <v>14745.056501394383</v>
      </c>
      <c r="AE224" s="1489">
        <v>13209.269974318235</v>
      </c>
      <c r="AF224" s="1424">
        <v>17254.346935393285</v>
      </c>
      <c r="AG224" s="1424">
        <v>22217.55576655066</v>
      </c>
      <c r="AH224" s="1423">
        <v>13392.414325610831</v>
      </c>
      <c r="AI224" s="1489">
        <v>10821.778932940791</v>
      </c>
      <c r="AJ224" s="1425">
        <v>14506.809765484199</v>
      </c>
      <c r="AK224" s="1425">
        <v>14815.14368478225</v>
      </c>
      <c r="AL224" s="1426">
        <v>12173.228816928658</v>
      </c>
      <c r="AM224" s="1425">
        <v>7815.56322828876</v>
      </c>
      <c r="AN224" s="1425">
        <v>16606.377277599146</v>
      </c>
      <c r="AO224" s="1425">
        <v>13626.081170991349</v>
      </c>
      <c r="AP224" s="1426">
        <v>14369.39313984169</v>
      </c>
      <c r="AQ224" s="1425">
        <v>16741.315089166317</v>
      </c>
      <c r="AR224" s="1425">
        <v>20687.340048570692</v>
      </c>
      <c r="AS224" s="1425">
        <v>18591.892964046394</v>
      </c>
      <c r="AT224" s="1426">
        <v>8151.6242564083632</v>
      </c>
      <c r="AU224" s="1425">
        <v>16761.003464683836</v>
      </c>
      <c r="AV224" s="1425">
        <v>20711.669088264731</v>
      </c>
      <c r="AW224" s="1425">
        <v>18613.757684249551</v>
      </c>
      <c r="AX224" s="1426">
        <v>8161.210853314461</v>
      </c>
      <c r="AY224" s="1425">
        <v>16419.071657976107</v>
      </c>
      <c r="AZ224" s="1425">
        <v>20289.14197369161</v>
      </c>
      <c r="BA224" s="1425">
        <v>18234.028880541242</v>
      </c>
      <c r="BB224" s="1426">
        <v>7994.7185798729333</v>
      </c>
      <c r="BC224" s="1156"/>
      <c r="BD224" s="1156"/>
      <c r="BE224" s="1045">
        <f t="shared" si="247"/>
        <v>12662.170970499901</v>
      </c>
      <c r="BF224" s="1045">
        <f t="shared" si="248"/>
        <v>12547.322108267941</v>
      </c>
      <c r="BG224" s="1045">
        <f t="shared" si="249"/>
        <v>15008.839547054089</v>
      </c>
      <c r="BH224" s="1045">
        <f t="shared" si="250"/>
        <v>13029.89905380492</v>
      </c>
      <c r="BI224" s="1045">
        <f t="shared" si="251"/>
        <v>12742.095923656352</v>
      </c>
      <c r="BJ224" s="1045">
        <f t="shared" si="252"/>
        <v>13941.558969096201</v>
      </c>
      <c r="BK224" s="1045">
        <f t="shared" si="253"/>
        <v>16518.396750468255</v>
      </c>
      <c r="BL224" s="1045">
        <f t="shared" si="254"/>
        <v>13079.240300033973</v>
      </c>
      <c r="BM224" s="1280">
        <f t="shared" si="255"/>
        <v>13104.353704180236</v>
      </c>
      <c r="BN224" s="1280">
        <f t="shared" si="256"/>
        <v>16043.04308954794</v>
      </c>
      <c r="BO224" s="1280">
        <f t="shared" si="257"/>
        <v>16061.910272628145</v>
      </c>
      <c r="BP224" s="1280">
        <f t="shared" si="258"/>
        <v>15734.240273020474</v>
      </c>
      <c r="BQ224" s="1114"/>
      <c r="BR224" s="1115"/>
      <c r="BU224" s="1087"/>
      <c r="BV224" s="1086"/>
      <c r="BW224" s="1086"/>
      <c r="BX224" s="1086"/>
    </row>
    <row r="225" spans="2:76" ht="12.75" customHeight="1">
      <c r="B225" s="1286"/>
      <c r="C225" s="1503" t="s">
        <v>512</v>
      </c>
      <c r="D225" s="1416"/>
      <c r="E225" s="1416"/>
      <c r="F225" s="1417"/>
      <c r="G225" s="1489">
        <v>7982.4119503554102</v>
      </c>
      <c r="H225" s="1424">
        <v>11041.103779988538</v>
      </c>
      <c r="I225" s="1424">
        <v>14228.587132037725</v>
      </c>
      <c r="J225" s="1423">
        <v>9383.2805134876544</v>
      </c>
      <c r="K225" s="1489">
        <v>8427.5939587936628</v>
      </c>
      <c r="L225" s="1424">
        <v>12841.345055255759</v>
      </c>
      <c r="M225" s="1424">
        <v>13053.181206760597</v>
      </c>
      <c r="N225" s="1423">
        <v>10988.427298979313</v>
      </c>
      <c r="O225" s="1489">
        <v>12399.269052277541</v>
      </c>
      <c r="P225" s="1424">
        <v>15811.917941469588</v>
      </c>
      <c r="Q225" s="1424">
        <v>16066.421494696588</v>
      </c>
      <c r="R225" s="1424">
        <v>11326.798880136883</v>
      </c>
      <c r="S225" s="1489">
        <v>9769.8876086014934</v>
      </c>
      <c r="T225" s="1424">
        <v>10989.280048611789</v>
      </c>
      <c r="U225" s="1424">
        <v>13580.3682962901</v>
      </c>
      <c r="V225" s="1424">
        <v>10104.935635805112</v>
      </c>
      <c r="W225" s="1489">
        <v>8947.0994834564881</v>
      </c>
      <c r="X225" s="1424">
        <v>13598.639044134061</v>
      </c>
      <c r="Y225" s="1424">
        <v>16362.499285784888</v>
      </c>
      <c r="Z225" s="1423">
        <v>14636.185295017334</v>
      </c>
      <c r="AA225" s="1489">
        <v>8819.9510291713868</v>
      </c>
      <c r="AB225" s="1424">
        <v>24123.141529550368</v>
      </c>
      <c r="AC225" s="1424">
        <v>28747.430408517044</v>
      </c>
      <c r="AD225" s="1423">
        <v>24735.597244755765</v>
      </c>
      <c r="AE225" s="1489">
        <v>16416.865442427312</v>
      </c>
      <c r="AF225" s="1424">
        <v>20663.424419465664</v>
      </c>
      <c r="AG225" s="1424">
        <v>28889.206582791372</v>
      </c>
      <c r="AH225" s="1423">
        <v>14896.780177793647</v>
      </c>
      <c r="AI225" s="1489">
        <v>10739.7501298603</v>
      </c>
      <c r="AJ225" s="1425">
        <v>13045.335901964805</v>
      </c>
      <c r="AK225" s="1425">
        <v>20361.658997618648</v>
      </c>
      <c r="AL225" s="1426">
        <v>13616.365420376185</v>
      </c>
      <c r="AM225" s="1425">
        <v>7345.4940065431902</v>
      </c>
      <c r="AN225" s="1425">
        <v>15566.250563994585</v>
      </c>
      <c r="AO225" s="1425">
        <v>16621.62162162162</v>
      </c>
      <c r="AP225" s="1426">
        <v>12917.442582247049</v>
      </c>
      <c r="AQ225" s="1425">
        <v>11104.548723888633</v>
      </c>
      <c r="AR225" s="1425">
        <v>16674.490418195121</v>
      </c>
      <c r="AS225" s="1425">
        <v>17885.095700846545</v>
      </c>
      <c r="AT225" s="1426">
        <v>10165.322792411107</v>
      </c>
      <c r="AU225" s="1425">
        <v>11252.137629199777</v>
      </c>
      <c r="AV225" s="1425">
        <v>16896.108590048279</v>
      </c>
      <c r="AW225" s="1425">
        <v>18122.803847436458</v>
      </c>
      <c r="AX225" s="1426">
        <v>10300.428585574848</v>
      </c>
      <c r="AY225" s="1425">
        <v>11109.283737185371</v>
      </c>
      <c r="AZ225" s="1425">
        <v>16681.6004715444</v>
      </c>
      <c r="BA225" s="1425">
        <v>17892.721959964558</v>
      </c>
      <c r="BB225" s="1426">
        <v>10169.657316918545</v>
      </c>
      <c r="BC225" s="1156"/>
      <c r="BD225" s="1156"/>
      <c r="BE225" s="1045">
        <f t="shared" si="247"/>
        <v>10658.845843967332</v>
      </c>
      <c r="BF225" s="1045">
        <f t="shared" si="248"/>
        <v>11327.636879947331</v>
      </c>
      <c r="BG225" s="1045">
        <f t="shared" si="249"/>
        <v>13901.10184214515</v>
      </c>
      <c r="BH225" s="1045">
        <f t="shared" si="250"/>
        <v>11111.117897327124</v>
      </c>
      <c r="BI225" s="1045">
        <f t="shared" si="251"/>
        <v>13386.105777098193</v>
      </c>
      <c r="BJ225" s="1045">
        <f t="shared" si="252"/>
        <v>21606.530052998642</v>
      </c>
      <c r="BK225" s="1045">
        <f t="shared" si="253"/>
        <v>20216.569155619502</v>
      </c>
      <c r="BL225" s="1045">
        <f t="shared" si="254"/>
        <v>14440.777612454986</v>
      </c>
      <c r="BM225" s="1280">
        <f t="shared" si="255"/>
        <v>13112.702193601612</v>
      </c>
      <c r="BN225" s="1280">
        <f t="shared" si="256"/>
        <v>13957.364408835352</v>
      </c>
      <c r="BO225" s="1280">
        <f t="shared" si="257"/>
        <v>14142.869663064841</v>
      </c>
      <c r="BP225" s="1280">
        <f t="shared" si="258"/>
        <v>13963.315871403218</v>
      </c>
      <c r="BQ225" s="1114"/>
      <c r="BR225" s="1115"/>
      <c r="BU225" s="1087"/>
      <c r="BV225" s="1086"/>
      <c r="BW225" s="1086"/>
      <c r="BX225" s="1086"/>
    </row>
    <row r="226" spans="2:76" ht="12.75" customHeight="1">
      <c r="B226" s="1286"/>
      <c r="C226" s="1503" t="s">
        <v>703</v>
      </c>
      <c r="D226" s="1416"/>
      <c r="E226" s="1416"/>
      <c r="F226" s="1417"/>
      <c r="G226" s="1489">
        <v>8711.9060675020501</v>
      </c>
      <c r="H226" s="1424">
        <v>12152.629284719847</v>
      </c>
      <c r="I226" s="1424">
        <v>17173.13306743103</v>
      </c>
      <c r="J226" s="1423">
        <v>10120.881701897726</v>
      </c>
      <c r="K226" s="1489">
        <v>9486.4861275515559</v>
      </c>
      <c r="L226" s="1424">
        <v>14083.274067213015</v>
      </c>
      <c r="M226" s="1424">
        <v>15184.902828423206</v>
      </c>
      <c r="N226" s="1423">
        <v>11452.068410464995</v>
      </c>
      <c r="O226" s="1489">
        <v>13882.378537887873</v>
      </c>
      <c r="P226" s="1424">
        <v>15168.285590046735</v>
      </c>
      <c r="Q226" s="1424">
        <v>18341.98697135222</v>
      </c>
      <c r="R226" s="1424">
        <v>12596.345207299488</v>
      </c>
      <c r="S226" s="1489">
        <v>9911.8076792134689</v>
      </c>
      <c r="T226" s="1424">
        <v>11384.147247720264</v>
      </c>
      <c r="U226" s="1424">
        <v>15573.185234756584</v>
      </c>
      <c r="V226" s="1424">
        <v>10607.460008072527</v>
      </c>
      <c r="W226" s="1489">
        <v>10425.452124530333</v>
      </c>
      <c r="X226" s="1424">
        <v>14513.982866861383</v>
      </c>
      <c r="Y226" s="1424">
        <v>17923.159637116962</v>
      </c>
      <c r="Z226" s="1423">
        <v>17808.177795314739</v>
      </c>
      <c r="AA226" s="1489">
        <v>10435.739406819961</v>
      </c>
      <c r="AB226" s="1424">
        <v>22688.465601410513</v>
      </c>
      <c r="AC226" s="1424">
        <v>29063.334258348081</v>
      </c>
      <c r="AD226" s="1423">
        <v>23298.162468780309</v>
      </c>
      <c r="AE226" s="1489">
        <v>17051.205582715174</v>
      </c>
      <c r="AF226" s="1424">
        <v>18139.264256659353</v>
      </c>
      <c r="AG226" s="1424">
        <v>30127.615946596885</v>
      </c>
      <c r="AH226" s="1423">
        <v>12908.049102170644</v>
      </c>
      <c r="AI226" s="1489">
        <v>11111.448318537523</v>
      </c>
      <c r="AJ226" s="1425">
        <v>12879.867308086643</v>
      </c>
      <c r="AK226" s="1425">
        <v>19709.573082387014</v>
      </c>
      <c r="AL226" s="1426">
        <v>14197.025620468919</v>
      </c>
      <c r="AM226" s="1425">
        <v>7552.144985638347</v>
      </c>
      <c r="AN226" s="1425">
        <v>15508.196721311475</v>
      </c>
      <c r="AO226" s="1425">
        <v>17145.420420420422</v>
      </c>
      <c r="AP226" s="1426">
        <v>12891.744258224702</v>
      </c>
      <c r="AQ226" s="1425">
        <v>12752.248157113403</v>
      </c>
      <c r="AR226" s="1425">
        <v>17021.585855808447</v>
      </c>
      <c r="AS226" s="1425">
        <v>18914.044155281495</v>
      </c>
      <c r="AT226" s="1426">
        <v>9489.5496195419528</v>
      </c>
      <c r="AU226" s="1425">
        <v>12943.493840954505</v>
      </c>
      <c r="AV226" s="1425">
        <v>17276.858870177937</v>
      </c>
      <c r="AW226" s="1425">
        <v>19197.698399153764</v>
      </c>
      <c r="AX226" s="1426">
        <v>9631.864557580624</v>
      </c>
      <c r="AY226" s="1425">
        <v>12841.205970069279</v>
      </c>
      <c r="AZ226" s="1425">
        <v>17140.325942428291</v>
      </c>
      <c r="BA226" s="1425">
        <v>19045.985753458921</v>
      </c>
      <c r="BB226" s="1426">
        <v>9555.7473259926228</v>
      </c>
      <c r="BC226" s="1156"/>
      <c r="BD226" s="1156"/>
      <c r="BE226" s="1045">
        <f t="shared" si="247"/>
        <v>12039.637530387663</v>
      </c>
      <c r="BF226" s="1045">
        <f t="shared" si="248"/>
        <v>12551.682858413194</v>
      </c>
      <c r="BG226" s="1045">
        <f t="shared" si="249"/>
        <v>14997.249076646578</v>
      </c>
      <c r="BH226" s="1045">
        <f t="shared" si="250"/>
        <v>11869.150042440711</v>
      </c>
      <c r="BI226" s="1045">
        <f t="shared" si="251"/>
        <v>15167.693105955856</v>
      </c>
      <c r="BJ226" s="1045">
        <f t="shared" si="252"/>
        <v>21371.425433839719</v>
      </c>
      <c r="BK226" s="1045">
        <f t="shared" si="253"/>
        <v>19556.533722035514</v>
      </c>
      <c r="BL226" s="1045">
        <f t="shared" si="254"/>
        <v>14474.478582370026</v>
      </c>
      <c r="BM226" s="1280">
        <f t="shared" si="255"/>
        <v>13274.376596398735</v>
      </c>
      <c r="BN226" s="1280">
        <f t="shared" si="256"/>
        <v>14544.356946936325</v>
      </c>
      <c r="BO226" s="1280">
        <f t="shared" si="257"/>
        <v>14762.478916966707</v>
      </c>
      <c r="BP226" s="1280">
        <f t="shared" si="258"/>
        <v>14645.816247987277</v>
      </c>
      <c r="BQ226" s="1114"/>
      <c r="BR226" s="1115"/>
      <c r="BU226" s="1087"/>
      <c r="BV226" s="1086"/>
      <c r="BW226" s="1086"/>
      <c r="BX226" s="1086"/>
    </row>
    <row r="227" spans="2:76" ht="12.75" customHeight="1">
      <c r="B227" s="1286"/>
      <c r="C227" s="1503" t="s">
        <v>532</v>
      </c>
      <c r="D227" s="1416"/>
      <c r="E227" s="1416"/>
      <c r="F227" s="1417"/>
      <c r="G227" s="1489">
        <v>7034.5564560522225</v>
      </c>
      <c r="H227" s="1424">
        <v>9219.5630628076833</v>
      </c>
      <c r="I227" s="1424">
        <v>11045.187830976916</v>
      </c>
      <c r="J227" s="1423">
        <v>7381.5895861529834</v>
      </c>
      <c r="K227" s="1489">
        <v>6978.2974668560619</v>
      </c>
      <c r="L227" s="1424">
        <v>10974.737677781584</v>
      </c>
      <c r="M227" s="1424">
        <v>11488.370939644137</v>
      </c>
      <c r="N227" s="1423">
        <v>10454.753259779891</v>
      </c>
      <c r="O227" s="1489">
        <v>11590.193568861898</v>
      </c>
      <c r="P227" s="1424">
        <v>14239.168969349786</v>
      </c>
      <c r="Q227" s="1424">
        <v>14649.640167203261</v>
      </c>
      <c r="R227" s="1424">
        <v>10401.683528262198</v>
      </c>
      <c r="S227" s="1489">
        <v>8843.8741816001238</v>
      </c>
      <c r="T227" s="1424">
        <v>10090.605702834497</v>
      </c>
      <c r="U227" s="1424">
        <v>11784.929103005486</v>
      </c>
      <c r="V227" s="1424">
        <v>9055.3075246398785</v>
      </c>
      <c r="W227" s="1489">
        <v>6250.8834115149521</v>
      </c>
      <c r="X227" s="1424">
        <v>13598.445413206973</v>
      </c>
      <c r="Y227" s="1424">
        <v>15115.206481521522</v>
      </c>
      <c r="Z227" s="1423">
        <v>14526.341739741243</v>
      </c>
      <c r="AA227" s="1489">
        <v>6685.8777350899572</v>
      </c>
      <c r="AB227" s="1424">
        <v>22536.074157139941</v>
      </c>
      <c r="AC227" s="1424">
        <v>26155.148246335953</v>
      </c>
      <c r="AD227" s="1423">
        <v>23909.989823722273</v>
      </c>
      <c r="AE227" s="1489">
        <v>14978.836309235272</v>
      </c>
      <c r="AF227" s="1424">
        <v>19797.287168266088</v>
      </c>
      <c r="AG227" s="1424">
        <v>28019.254671976272</v>
      </c>
      <c r="AH227" s="1423">
        <v>14526.175995021027</v>
      </c>
      <c r="AI227" s="1489">
        <v>10353.203493698842</v>
      </c>
      <c r="AJ227" s="1425">
        <v>13146.418491195038</v>
      </c>
      <c r="AK227" s="1425">
        <v>20992.620308985443</v>
      </c>
      <c r="AL227" s="1426">
        <v>11673.338698911291</v>
      </c>
      <c r="AM227" s="1425">
        <v>6038.4727262704982</v>
      </c>
      <c r="AN227" s="1425">
        <v>13216.818012190572</v>
      </c>
      <c r="AO227" s="1425">
        <v>13392.53996447602</v>
      </c>
      <c r="AP227" s="1426">
        <v>11740.379092475589</v>
      </c>
      <c r="AQ227" s="1425">
        <v>12782.858661912423</v>
      </c>
      <c r="AR227" s="1425">
        <v>12270.005904552587</v>
      </c>
      <c r="AS227" s="1425">
        <v>13129.877577825491</v>
      </c>
      <c r="AT227" s="1426">
        <v>11979.669391553554</v>
      </c>
      <c r="AU227" s="1425">
        <v>12476.88178267494</v>
      </c>
      <c r="AV227" s="1425">
        <v>11976.304924654652</v>
      </c>
      <c r="AW227" s="1425">
        <v>12815.594280772109</v>
      </c>
      <c r="AX227" s="1426">
        <v>11692.918051210097</v>
      </c>
      <c r="AY227" s="1425">
        <v>12273.714143985671</v>
      </c>
      <c r="AZ227" s="1425">
        <v>11781.288442640418</v>
      </c>
      <c r="BA227" s="1425">
        <v>12606.911208047992</v>
      </c>
      <c r="BB227" s="1426">
        <v>11502.516106939836</v>
      </c>
      <c r="BC227" s="1156"/>
      <c r="BD227" s="1156"/>
      <c r="BE227" s="1045">
        <f t="shared" si="247"/>
        <v>8670.2242339974509</v>
      </c>
      <c r="BF227" s="1045">
        <f t="shared" si="248"/>
        <v>9974.0398360154177</v>
      </c>
      <c r="BG227" s="1045">
        <f t="shared" si="249"/>
        <v>12720.171558419286</v>
      </c>
      <c r="BH227" s="1045">
        <f t="shared" si="250"/>
        <v>9943.6791280199977</v>
      </c>
      <c r="BI227" s="1045">
        <f t="shared" si="251"/>
        <v>12372.719261496171</v>
      </c>
      <c r="BJ227" s="1045">
        <f t="shared" si="252"/>
        <v>19821.772490572032</v>
      </c>
      <c r="BK227" s="1045">
        <f t="shared" si="253"/>
        <v>19330.388536124665</v>
      </c>
      <c r="BL227" s="1045">
        <f t="shared" si="254"/>
        <v>14041.395248197652</v>
      </c>
      <c r="BM227" s="1280">
        <f t="shared" si="255"/>
        <v>11097.05244885317</v>
      </c>
      <c r="BN227" s="1280">
        <f t="shared" si="256"/>
        <v>12540.602883961015</v>
      </c>
      <c r="BO227" s="1280">
        <f t="shared" si="257"/>
        <v>12240.424759827951</v>
      </c>
      <c r="BP227" s="1280">
        <f t="shared" si="258"/>
        <v>12041.10747540348</v>
      </c>
      <c r="BQ227" s="1114"/>
      <c r="BR227" s="1115"/>
      <c r="BU227" s="1087"/>
      <c r="BV227" s="1086"/>
      <c r="BW227" s="1086"/>
      <c r="BX227" s="1086"/>
    </row>
    <row r="228" spans="2:76" ht="12.75" customHeight="1">
      <c r="B228" s="1286"/>
      <c r="C228" s="1503" t="s">
        <v>281</v>
      </c>
      <c r="D228" s="1416"/>
      <c r="E228" s="1416"/>
      <c r="F228" s="1417"/>
      <c r="G228" s="1489">
        <v>8259.8996262013297</v>
      </c>
      <c r="H228" s="1424">
        <v>10003.549383125364</v>
      </c>
      <c r="I228" s="1424">
        <v>12028.047815312115</v>
      </c>
      <c r="J228" s="1423">
        <v>10227.868758263019</v>
      </c>
      <c r="K228" s="1489">
        <v>9936.5439224208931</v>
      </c>
      <c r="L228" s="1424">
        <v>11672.791950011986</v>
      </c>
      <c r="M228" s="1424">
        <v>12186.105777662253</v>
      </c>
      <c r="N228" s="1423">
        <v>11252.850685073325</v>
      </c>
      <c r="O228" s="1489">
        <v>13099.854320578041</v>
      </c>
      <c r="P228" s="1424">
        <v>15290.619466270606</v>
      </c>
      <c r="Q228" s="1424">
        <v>15612.213249244409</v>
      </c>
      <c r="R228" s="1424">
        <v>11258.478019599537</v>
      </c>
      <c r="S228" s="1489">
        <v>10840.629181716851</v>
      </c>
      <c r="T228" s="1424">
        <v>10433.524268414367</v>
      </c>
      <c r="U228" s="1424">
        <v>11783.624476286885</v>
      </c>
      <c r="V228" s="1424">
        <v>9410.7450433957438</v>
      </c>
      <c r="W228" s="1489">
        <v>15318.186620328099</v>
      </c>
      <c r="X228" s="1424">
        <v>10985.588769221897</v>
      </c>
      <c r="Y228" s="1424">
        <v>9630.6910356468015</v>
      </c>
      <c r="Z228" s="1423">
        <v>10341.789794005559</v>
      </c>
      <c r="AA228" s="1489">
        <v>14856.332241024871</v>
      </c>
      <c r="AB228" s="1424">
        <v>12927.939921820258</v>
      </c>
      <c r="AC228" s="1424">
        <v>12745.79802165131</v>
      </c>
      <c r="AD228" s="1423">
        <v>14436.141757625302</v>
      </c>
      <c r="AE228" s="1489">
        <v>13712.372915511156</v>
      </c>
      <c r="AF228" s="1424">
        <v>14788.269551509478</v>
      </c>
      <c r="AG228" s="1424">
        <v>13349.72491644476</v>
      </c>
      <c r="AH228" s="1423">
        <v>10706.4109123743</v>
      </c>
      <c r="AI228" s="1489">
        <v>10324.076252256546</v>
      </c>
      <c r="AJ228" s="1425">
        <v>10803.742971428574</v>
      </c>
      <c r="AK228" s="1425">
        <v>12479.580188793305</v>
      </c>
      <c r="AL228" s="1426">
        <v>11085.597339180495</v>
      </c>
      <c r="AM228" s="1425">
        <v>12354.403745497164</v>
      </c>
      <c r="AN228" s="1425">
        <v>12625.948501057348</v>
      </c>
      <c r="AO228" s="1425">
        <v>12901.124925991713</v>
      </c>
      <c r="AP228" s="1426">
        <v>11585.295807007466</v>
      </c>
      <c r="AQ228" s="1425">
        <v>11887.424379313399</v>
      </c>
      <c r="AR228" s="1425">
        <v>11870.343784498289</v>
      </c>
      <c r="AS228" s="1425">
        <v>12919.05721085627</v>
      </c>
      <c r="AT228" s="1426">
        <v>12181.915144547824</v>
      </c>
      <c r="AU228" s="1425">
        <v>11741.640116388797</v>
      </c>
      <c r="AV228" s="1425">
        <v>11724.768993520336</v>
      </c>
      <c r="AW228" s="1425">
        <v>12760.621272753231</v>
      </c>
      <c r="AX228" s="1426">
        <v>12032.519323915016</v>
      </c>
      <c r="AY228" s="1425">
        <v>11591.847999052185</v>
      </c>
      <c r="AZ228" s="1425">
        <v>11575.192106866258</v>
      </c>
      <c r="BA228" s="1425">
        <v>12597.829664423458</v>
      </c>
      <c r="BB228" s="1426">
        <v>11879.016361078739</v>
      </c>
      <c r="BC228" s="1156"/>
      <c r="BD228" s="1156"/>
      <c r="BE228" s="1045">
        <f t="shared" si="247"/>
        <v>10129.841395725456</v>
      </c>
      <c r="BF228" s="1045">
        <f t="shared" si="248"/>
        <v>11262.073083792115</v>
      </c>
      <c r="BG228" s="1045">
        <f t="shared" si="249"/>
        <v>13815.291263923147</v>
      </c>
      <c r="BH228" s="1045">
        <f t="shared" si="250"/>
        <v>10617.130742453461</v>
      </c>
      <c r="BI228" s="1045">
        <f t="shared" si="251"/>
        <v>11569.06405480059</v>
      </c>
      <c r="BJ228" s="1045">
        <f t="shared" si="252"/>
        <v>13741.552985530434</v>
      </c>
      <c r="BK228" s="1045">
        <f t="shared" si="253"/>
        <v>13139.194573959921</v>
      </c>
      <c r="BL228" s="1045">
        <f t="shared" si="254"/>
        <v>11173.249187914729</v>
      </c>
      <c r="BM228" s="1280">
        <f t="shared" si="255"/>
        <v>12366.693244888422</v>
      </c>
      <c r="BN228" s="1280">
        <f t="shared" si="256"/>
        <v>12214.685129803944</v>
      </c>
      <c r="BO228" s="1280">
        <f t="shared" si="257"/>
        <v>12064.887426644345</v>
      </c>
      <c r="BP228" s="1280">
        <f t="shared" si="258"/>
        <v>11910.971532855161</v>
      </c>
      <c r="BQ228" s="1114"/>
      <c r="BR228" s="1115"/>
      <c r="BU228" s="1087"/>
      <c r="BV228" s="1086"/>
      <c r="BW228" s="1086"/>
      <c r="BX228" s="1086"/>
    </row>
    <row r="229" spans="2:76" ht="12.75" customHeight="1">
      <c r="B229" s="1286"/>
      <c r="C229" s="1503" t="s">
        <v>549</v>
      </c>
      <c r="D229" s="1416"/>
      <c r="E229" s="1416"/>
      <c r="F229" s="1417"/>
      <c r="G229" s="1489">
        <v>7879.0781844521443</v>
      </c>
      <c r="H229" s="1424">
        <v>9492.1346187852487</v>
      </c>
      <c r="I229" s="1424">
        <v>11670.518647143224</v>
      </c>
      <c r="J229" s="1423">
        <v>9043.648694139978</v>
      </c>
      <c r="K229" s="1489">
        <v>9487.2668594512506</v>
      </c>
      <c r="L229" s="1424">
        <v>10409.06834561809</v>
      </c>
      <c r="M229" s="1424">
        <v>11468.42132683538</v>
      </c>
      <c r="N229" s="1423">
        <v>9514.2850054382216</v>
      </c>
      <c r="O229" s="1489">
        <v>12376.233457669894</v>
      </c>
      <c r="P229" s="1424">
        <v>14387.401369304029</v>
      </c>
      <c r="Q229" s="1424">
        <v>15593.259988776501</v>
      </c>
      <c r="R229" s="1424">
        <v>10321.248406616682</v>
      </c>
      <c r="S229" s="1489">
        <v>10013.535130755854</v>
      </c>
      <c r="T229" s="1424">
        <v>9797.5059785309622</v>
      </c>
      <c r="U229" s="1424">
        <v>11556.783290642117</v>
      </c>
      <c r="V229" s="1424">
        <v>8955.14579243558</v>
      </c>
      <c r="W229" s="1489">
        <v>14102.021173316958</v>
      </c>
      <c r="X229" s="1424">
        <v>10515.051888952205</v>
      </c>
      <c r="Y229" s="1424">
        <v>9329.8105397704876</v>
      </c>
      <c r="Z229" s="1423">
        <v>10242.15556320529</v>
      </c>
      <c r="AA229" s="1489">
        <v>13812.6485828859</v>
      </c>
      <c r="AB229" s="1424">
        <v>11166.919578014331</v>
      </c>
      <c r="AC229" s="1424">
        <v>12281.123997010438</v>
      </c>
      <c r="AD229" s="1423">
        <v>14039.404430911989</v>
      </c>
      <c r="AE229" s="1489">
        <v>13452.093034820135</v>
      </c>
      <c r="AF229" s="1424">
        <v>13851.754927196182</v>
      </c>
      <c r="AG229" s="1424">
        <v>13069.487986386619</v>
      </c>
      <c r="AH229" s="1423">
        <v>10415.320938137747</v>
      </c>
      <c r="AI229" s="1489">
        <v>9752.8895345008495</v>
      </c>
      <c r="AJ229" s="1425">
        <v>10932.723139999998</v>
      </c>
      <c r="AK229" s="1425">
        <v>11696.829462716889</v>
      </c>
      <c r="AL229" s="1426">
        <v>10483.05478949106</v>
      </c>
      <c r="AM229" s="1425">
        <v>10268.572478822029</v>
      </c>
      <c r="AN229" s="1425">
        <v>11220.301032466725</v>
      </c>
      <c r="AO229" s="1425">
        <v>12291.296625222027</v>
      </c>
      <c r="AP229" s="1426">
        <v>10396.323951751867</v>
      </c>
      <c r="AQ229" s="1425">
        <v>11688.854504578794</v>
      </c>
      <c r="AR229" s="1425">
        <v>11265.073570860448</v>
      </c>
      <c r="AS229" s="1425">
        <v>12554.63520359593</v>
      </c>
      <c r="AT229" s="1426">
        <v>9606.3783866369322</v>
      </c>
      <c r="AU229" s="1425">
        <v>11517.869933034026</v>
      </c>
      <c r="AV229" s="1425">
        <v>11100.28806709878</v>
      </c>
      <c r="AW229" s="1425">
        <v>12370.985991404368</v>
      </c>
      <c r="AX229" s="1426">
        <v>9465.8562771442867</v>
      </c>
      <c r="AY229" s="1425">
        <v>11377.488041924906</v>
      </c>
      <c r="AZ229" s="1425">
        <v>10964.995739630653</v>
      </c>
      <c r="BA229" s="1425">
        <v>12220.206166796617</v>
      </c>
      <c r="BB229" s="1426">
        <v>9350.4847012471237</v>
      </c>
      <c r="BC229" s="1156"/>
      <c r="BD229" s="1156"/>
      <c r="BE229" s="1045">
        <f t="shared" si="247"/>
        <v>9521.3450361301493</v>
      </c>
      <c r="BF229" s="1045">
        <f t="shared" si="248"/>
        <v>10219.760384335736</v>
      </c>
      <c r="BG229" s="1045">
        <f t="shared" si="249"/>
        <v>13169.535805591777</v>
      </c>
      <c r="BH229" s="1045">
        <f t="shared" si="250"/>
        <v>10080.742548091128</v>
      </c>
      <c r="BI229" s="1045">
        <f t="shared" si="251"/>
        <v>11047.259791311235</v>
      </c>
      <c r="BJ229" s="1045">
        <f t="shared" si="252"/>
        <v>12825.024147205666</v>
      </c>
      <c r="BK229" s="1045">
        <f t="shared" si="253"/>
        <v>12697.16422163517</v>
      </c>
      <c r="BL229" s="1045">
        <f t="shared" si="254"/>
        <v>10716.3742316772</v>
      </c>
      <c r="BM229" s="1280">
        <f t="shared" si="255"/>
        <v>11044.123522065662</v>
      </c>
      <c r="BN229" s="1280">
        <f t="shared" si="256"/>
        <v>11278.735416418027</v>
      </c>
      <c r="BO229" s="1280">
        <f t="shared" si="257"/>
        <v>11113.750067170366</v>
      </c>
      <c r="BP229" s="1280">
        <f t="shared" si="258"/>
        <v>10978.293662399825</v>
      </c>
      <c r="BQ229" s="1114"/>
      <c r="BR229" s="1115"/>
      <c r="BU229" s="1087"/>
      <c r="BV229" s="1086"/>
      <c r="BW229" s="1086"/>
      <c r="BX229" s="1086"/>
    </row>
    <row r="230" spans="2:76" ht="12.75" customHeight="1">
      <c r="B230" s="1286"/>
      <c r="C230" s="1503" t="s">
        <v>518</v>
      </c>
      <c r="D230" s="1416"/>
      <c r="E230" s="1416"/>
      <c r="F230" s="1417"/>
      <c r="G230" s="1489">
        <v>8067.5859433413843</v>
      </c>
      <c r="H230" s="1424">
        <v>9108.0848492485366</v>
      </c>
      <c r="I230" s="1424">
        <v>11390.781083275977</v>
      </c>
      <c r="J230" s="1423">
        <v>8539.6099607496708</v>
      </c>
      <c r="K230" s="1489">
        <v>11901.725588831843</v>
      </c>
      <c r="L230" s="1424">
        <v>9599.6827009411682</v>
      </c>
      <c r="M230" s="1424">
        <v>26908.502434603772</v>
      </c>
      <c r="N230" s="1423">
        <v>8859.7893372745511</v>
      </c>
      <c r="O230" s="1489">
        <v>10308.713276672239</v>
      </c>
      <c r="P230" s="1424">
        <v>13533.712435401714</v>
      </c>
      <c r="Q230" s="1424">
        <v>10986.165899589667</v>
      </c>
      <c r="R230" s="1424">
        <v>8231.0646137657277</v>
      </c>
      <c r="S230" s="1489">
        <v>8288.1335792918544</v>
      </c>
      <c r="T230" s="1424">
        <v>9101.2420308902474</v>
      </c>
      <c r="U230" s="1424">
        <v>12127.883029718798</v>
      </c>
      <c r="V230" s="1424">
        <v>9584.0310133954554</v>
      </c>
      <c r="W230" s="1489">
        <v>11152.119574375303</v>
      </c>
      <c r="X230" s="1424">
        <v>9729.5722809534491</v>
      </c>
      <c r="Y230" s="1424">
        <v>9717.3949147704898</v>
      </c>
      <c r="Z230" s="1423">
        <v>8918.234962157112</v>
      </c>
      <c r="AA230" s="1489">
        <v>9169.9242686486396</v>
      </c>
      <c r="AB230" s="1424">
        <v>10170.713295240166</v>
      </c>
      <c r="AC230" s="1424">
        <v>12578.254164458334</v>
      </c>
      <c r="AD230" s="1423">
        <v>10933.409709833057</v>
      </c>
      <c r="AE230" s="1489">
        <v>10328.87726941304</v>
      </c>
      <c r="AF230" s="1424">
        <v>11427.537023693696</v>
      </c>
      <c r="AG230" s="1424">
        <v>11549.861420574975</v>
      </c>
      <c r="AH230" s="1423">
        <v>9815.8983124706374</v>
      </c>
      <c r="AI230" s="1489">
        <v>9203.2418044317055</v>
      </c>
      <c r="AJ230" s="1425">
        <v>15003.296031746037</v>
      </c>
      <c r="AK230" s="1425">
        <v>11185.979672546924</v>
      </c>
      <c r="AL230" s="1426">
        <v>10103.434985375012</v>
      </c>
      <c r="AM230" s="1425">
        <v>10702.474722563386</v>
      </c>
      <c r="AN230" s="1425">
        <v>13950.242567483521</v>
      </c>
      <c r="AO230" s="1425">
        <v>42227.750148016574</v>
      </c>
      <c r="AP230" s="1426">
        <v>9375.9103963239504</v>
      </c>
      <c r="AQ230" s="1425">
        <v>8449.0783547043502</v>
      </c>
      <c r="AR230" s="1425">
        <v>10350.829814619823</v>
      </c>
      <c r="AS230" s="1425">
        <v>27931.411143747304</v>
      </c>
      <c r="AT230" s="1426">
        <v>15077.400848592317</v>
      </c>
      <c r="AU230" s="1425">
        <v>7649.6148048687883</v>
      </c>
      <c r="AV230" s="1425">
        <v>9371.419895580284</v>
      </c>
      <c r="AW230" s="1425">
        <v>25288.502158004081</v>
      </c>
      <c r="AX230" s="1426">
        <v>13650.756201842432</v>
      </c>
      <c r="AY230" s="1425">
        <v>7140.7975020316026</v>
      </c>
      <c r="AZ230" s="1425">
        <v>8748.076012697582</v>
      </c>
      <c r="BA230" s="1425">
        <v>23606.426943885024</v>
      </c>
      <c r="BB230" s="1426">
        <v>12742.770488903179</v>
      </c>
      <c r="BC230" s="1156"/>
      <c r="BD230" s="1156"/>
      <c r="BE230" s="1045">
        <f t="shared" si="247"/>
        <v>9276.5154591538922</v>
      </c>
      <c r="BF230" s="1045">
        <f t="shared" si="248"/>
        <v>14317.425015412833</v>
      </c>
      <c r="BG230" s="1045">
        <f t="shared" si="249"/>
        <v>10764.914056357338</v>
      </c>
      <c r="BH230" s="1045">
        <f t="shared" si="250"/>
        <v>9775.3224133240892</v>
      </c>
      <c r="BI230" s="1045">
        <f t="shared" si="251"/>
        <v>9879.3304330640894</v>
      </c>
      <c r="BJ230" s="1045">
        <f t="shared" si="252"/>
        <v>10713.075359545048</v>
      </c>
      <c r="BK230" s="1045">
        <f t="shared" si="253"/>
        <v>10780.543506538086</v>
      </c>
      <c r="BL230" s="1045">
        <f t="shared" si="254"/>
        <v>11373.988123524918</v>
      </c>
      <c r="BM230" s="1280">
        <f t="shared" si="255"/>
        <v>19064.094458596857</v>
      </c>
      <c r="BN230" s="1280">
        <f t="shared" si="256"/>
        <v>15452.180040415949</v>
      </c>
      <c r="BO230" s="1280">
        <f t="shared" si="257"/>
        <v>13990.073265073897</v>
      </c>
      <c r="BP230" s="1280">
        <f t="shared" si="258"/>
        <v>13059.517736879347</v>
      </c>
      <c r="BQ230" s="1114"/>
      <c r="BR230" s="1115"/>
      <c r="BU230" s="1087"/>
      <c r="BV230" s="1086"/>
      <c r="BW230" s="1086"/>
      <c r="BX230" s="1086"/>
    </row>
    <row r="231" spans="2:76" ht="12.75" customHeight="1">
      <c r="B231" s="1286"/>
      <c r="C231" s="1503" t="s">
        <v>550</v>
      </c>
      <c r="D231" s="1416"/>
      <c r="E231" s="1416"/>
      <c r="F231" s="1417"/>
      <c r="G231" s="1489">
        <v>8091.7737343918488</v>
      </c>
      <c r="H231" s="1424">
        <v>9071.6445094720693</v>
      </c>
      <c r="I231" s="1424">
        <v>11366.418321843603</v>
      </c>
      <c r="J231" s="1423">
        <v>8613.7018460944528</v>
      </c>
      <c r="K231" s="1489">
        <v>12155.959864196333</v>
      </c>
      <c r="L231" s="1424">
        <v>9203.9559760970442</v>
      </c>
      <c r="M231" s="1424">
        <v>25900.934188048766</v>
      </c>
      <c r="N231" s="1423">
        <v>8685.0849291008017</v>
      </c>
      <c r="O231" s="1489">
        <v>10275.170594208994</v>
      </c>
      <c r="P231" s="1424">
        <v>13744.748394706701</v>
      </c>
      <c r="Q231" s="1424">
        <v>11197.401049824619</v>
      </c>
      <c r="R231" s="1424">
        <v>8328.7852639674329</v>
      </c>
      <c r="S231" s="1489">
        <v>8348.2723136297336</v>
      </c>
      <c r="T231" s="1424">
        <v>8745.2844176240596</v>
      </c>
      <c r="U231" s="1424">
        <v>10802.091476322017</v>
      </c>
      <c r="V231" s="1424">
        <v>9346.0347165938329</v>
      </c>
      <c r="W231" s="1489">
        <v>11627.729500479627</v>
      </c>
      <c r="X231" s="1424">
        <v>8807.1484775102963</v>
      </c>
      <c r="Y231" s="1424">
        <v>9558.6137410440133</v>
      </c>
      <c r="Z231" s="1423">
        <v>9127.0058129911431</v>
      </c>
      <c r="AA231" s="1489">
        <v>9202.2654654879479</v>
      </c>
      <c r="AB231" s="1424">
        <v>10105.637756293225</v>
      </c>
      <c r="AC231" s="1424">
        <v>12701.782913818659</v>
      </c>
      <c r="AD231" s="1423">
        <v>9778.5805528245146</v>
      </c>
      <c r="AE231" s="1489">
        <v>9897.4409429729876</v>
      </c>
      <c r="AF231" s="1424">
        <v>10464.020312282828</v>
      </c>
      <c r="AG231" s="1424">
        <v>10646.473017770773</v>
      </c>
      <c r="AH231" s="1423">
        <v>8485.0446654235948</v>
      </c>
      <c r="AI231" s="1489">
        <v>7557.3594798727981</v>
      </c>
      <c r="AJ231" s="1425">
        <v>9066.5579365079357</v>
      </c>
      <c r="AK231" s="1425">
        <v>9959.2555936766203</v>
      </c>
      <c r="AL231" s="1426">
        <v>8152.0371878580636</v>
      </c>
      <c r="AM231" s="1425">
        <v>10217.942265440148</v>
      </c>
      <c r="AN231" s="1425">
        <v>13185.222042542606</v>
      </c>
      <c r="AO231" s="1425">
        <v>42121.178211959741</v>
      </c>
      <c r="AP231" s="1426">
        <v>9054.2561746122919</v>
      </c>
      <c r="AQ231" s="1425">
        <v>8124.4846766764404</v>
      </c>
      <c r="AR231" s="1425">
        <v>9664.2180564318169</v>
      </c>
      <c r="AS231" s="1425">
        <v>27348.703499911488</v>
      </c>
      <c r="AT231" s="1426">
        <v>14449.467045874115</v>
      </c>
      <c r="AU231" s="1425">
        <v>7249.1447994286054</v>
      </c>
      <c r="AV231" s="1425">
        <v>8622.9858080039758</v>
      </c>
      <c r="AW231" s="1425">
        <v>24402.127597906943</v>
      </c>
      <c r="AX231" s="1426">
        <v>12892.66741936461</v>
      </c>
      <c r="AY231" s="1425">
        <v>6710.1011029636156</v>
      </c>
      <c r="AZ231" s="1425">
        <v>7981.783807889703</v>
      </c>
      <c r="BA231" s="1425">
        <v>22587.594514911703</v>
      </c>
      <c r="BB231" s="1426">
        <v>11933.973491278659</v>
      </c>
      <c r="BC231" s="1156"/>
      <c r="BD231" s="1156"/>
      <c r="BE231" s="1045">
        <f t="shared" si="247"/>
        <v>9285.884602950493</v>
      </c>
      <c r="BF231" s="1045">
        <f t="shared" si="248"/>
        <v>13986.483739360738</v>
      </c>
      <c r="BG231" s="1045">
        <f t="shared" si="249"/>
        <v>10886.526325676936</v>
      </c>
      <c r="BH231" s="1045">
        <f t="shared" si="250"/>
        <v>9310.4207310424099</v>
      </c>
      <c r="BI231" s="1045">
        <f t="shared" si="251"/>
        <v>9780.1243830062704</v>
      </c>
      <c r="BJ231" s="1045">
        <f t="shared" si="252"/>
        <v>10447.066672106088</v>
      </c>
      <c r="BK231" s="1045">
        <f t="shared" si="253"/>
        <v>9873.2447346125464</v>
      </c>
      <c r="BL231" s="1045">
        <f t="shared" si="254"/>
        <v>8683.8025494788544</v>
      </c>
      <c r="BM231" s="1280">
        <f t="shared" si="255"/>
        <v>18644.649673638698</v>
      </c>
      <c r="BN231" s="1280">
        <f t="shared" si="256"/>
        <v>14896.718319723466</v>
      </c>
      <c r="BO231" s="1280">
        <f t="shared" si="257"/>
        <v>13291.731406176033</v>
      </c>
      <c r="BP231" s="1280">
        <f t="shared" si="258"/>
        <v>12303.36322926092</v>
      </c>
      <c r="BQ231" s="1114"/>
      <c r="BR231" s="1115"/>
      <c r="BU231" s="1087"/>
      <c r="BV231" s="1086"/>
      <c r="BW231" s="1086"/>
      <c r="BX231" s="1086"/>
    </row>
    <row r="232" spans="2:76" ht="12.75" customHeight="1">
      <c r="B232" s="1286"/>
      <c r="C232" s="1503" t="s">
        <v>519</v>
      </c>
      <c r="D232" s="1416"/>
      <c r="E232" s="1416"/>
      <c r="F232" s="1417"/>
      <c r="G232" s="1489">
        <v>8041.7960553910534</v>
      </c>
      <c r="H232" s="1424">
        <v>9062.2667008499466</v>
      </c>
      <c r="I232" s="1424">
        <v>11356.87806590117</v>
      </c>
      <c r="J232" s="1423">
        <v>8347.9637882575953</v>
      </c>
      <c r="K232" s="1489">
        <v>13250.060693463165</v>
      </c>
      <c r="L232" s="1424">
        <v>9071.8879562291859</v>
      </c>
      <c r="M232" s="1424">
        <v>25893.818464353088</v>
      </c>
      <c r="N232" s="1423">
        <v>8802.8017856887855</v>
      </c>
      <c r="O232" s="1489">
        <v>10427.411930587574</v>
      </c>
      <c r="P232" s="1424">
        <v>13149.847473997354</v>
      </c>
      <c r="Q232" s="1424">
        <v>10844.312381422489</v>
      </c>
      <c r="R232" s="1424">
        <v>8425.2985003315698</v>
      </c>
      <c r="S232" s="1489">
        <v>8251.6765077448854</v>
      </c>
      <c r="T232" s="1424">
        <v>9002.9603883800482</v>
      </c>
      <c r="U232" s="1424">
        <v>11341.851539958103</v>
      </c>
      <c r="V232" s="1424">
        <v>9463.0903276979279</v>
      </c>
      <c r="W232" s="1489">
        <v>11411.501790347942</v>
      </c>
      <c r="X232" s="1424">
        <v>9045.8599574014897</v>
      </c>
      <c r="Y232" s="1424">
        <v>9605.4610611369171</v>
      </c>
      <c r="Z232" s="1423">
        <v>9120.4883109117491</v>
      </c>
      <c r="AA232" s="1489">
        <v>9136.8775797345152</v>
      </c>
      <c r="AB232" s="1424">
        <v>10167.155492757694</v>
      </c>
      <c r="AC232" s="1424">
        <v>12511.457613677228</v>
      </c>
      <c r="AD232" s="1423">
        <v>10876.683448674665</v>
      </c>
      <c r="AE232" s="1489">
        <v>10196.657106772524</v>
      </c>
      <c r="AF232" s="1424">
        <v>10689.109099653992</v>
      </c>
      <c r="AG232" s="1424">
        <v>10773.277437367538</v>
      </c>
      <c r="AH232" s="1423">
        <v>9535.7355641636423</v>
      </c>
      <c r="AI232" s="1489">
        <v>8034.3920235132791</v>
      </c>
      <c r="AJ232" s="1425">
        <v>11540.407142857141</v>
      </c>
      <c r="AK232" s="1425">
        <v>10385.636582967496</v>
      </c>
      <c r="AL232" s="1426">
        <v>9183.4832108958926</v>
      </c>
      <c r="AM232" s="1425">
        <v>10634.225607691036</v>
      </c>
      <c r="AN232" s="1425">
        <v>14236.347804453289</v>
      </c>
      <c r="AO232" s="1425">
        <v>42547.465956187094</v>
      </c>
      <c r="AP232" s="1426">
        <v>9496.5307294658251</v>
      </c>
      <c r="AQ232" s="1425">
        <v>8720.1192578699338</v>
      </c>
      <c r="AR232" s="1425">
        <v>10430.226716582347</v>
      </c>
      <c r="AS232" s="1425">
        <v>28181.026283720643</v>
      </c>
      <c r="AT232" s="1426">
        <v>14900.784624033387</v>
      </c>
      <c r="AU232" s="1425">
        <v>7855.5760409850509</v>
      </c>
      <c r="AV232" s="1425">
        <v>9396.1374465010304</v>
      </c>
      <c r="AW232" s="1425">
        <v>25387.06046766177</v>
      </c>
      <c r="AX232" s="1426">
        <v>13423.468558505469</v>
      </c>
      <c r="AY232" s="1425">
        <v>7313.7196348895295</v>
      </c>
      <c r="AZ232" s="1425">
        <v>8748.0172779255663</v>
      </c>
      <c r="BA232" s="1425">
        <v>23635.929643573669</v>
      </c>
      <c r="BB232" s="1426">
        <v>12497.553973438842</v>
      </c>
      <c r="BC232" s="1156"/>
      <c r="BD232" s="1156"/>
      <c r="BE232" s="1045">
        <f t="shared" si="247"/>
        <v>9202.226152599942</v>
      </c>
      <c r="BF232" s="1045">
        <f t="shared" si="248"/>
        <v>14254.642224933556</v>
      </c>
      <c r="BG232" s="1045">
        <f t="shared" si="249"/>
        <v>10711.717571584746</v>
      </c>
      <c r="BH232" s="1045">
        <f t="shared" si="250"/>
        <v>9514.8946909452407</v>
      </c>
      <c r="BI232" s="1045">
        <f t="shared" si="251"/>
        <v>9795.8277799495245</v>
      </c>
      <c r="BJ232" s="1045">
        <f t="shared" si="252"/>
        <v>10673.043533711027</v>
      </c>
      <c r="BK232" s="1045">
        <f t="shared" si="253"/>
        <v>10298.694801989424</v>
      </c>
      <c r="BL232" s="1045">
        <f t="shared" si="254"/>
        <v>9785.9797400584521</v>
      </c>
      <c r="BM232" s="1280">
        <f t="shared" si="255"/>
        <v>19228.642524449311</v>
      </c>
      <c r="BN232" s="1280">
        <f t="shared" si="256"/>
        <v>15558.039220551578</v>
      </c>
      <c r="BO232" s="1280">
        <f t="shared" si="257"/>
        <v>14015.56062841333</v>
      </c>
      <c r="BP232" s="1280">
        <f t="shared" si="258"/>
        <v>13048.805132456902</v>
      </c>
      <c r="BQ232" s="1114"/>
      <c r="BR232" s="1115"/>
      <c r="BU232" s="1087"/>
      <c r="BV232" s="1086"/>
      <c r="BW232" s="1086"/>
      <c r="BX232" s="1086"/>
    </row>
    <row r="233" spans="2:76" ht="12.75" customHeight="1">
      <c r="B233" s="1286"/>
      <c r="C233" s="1503" t="s">
        <v>551</v>
      </c>
      <c r="D233" s="1416"/>
      <c r="E233" s="1416"/>
      <c r="F233" s="1417"/>
      <c r="G233" s="1489">
        <v>8775.1623905256511</v>
      </c>
      <c r="H233" s="1424">
        <v>8621.9499063828898</v>
      </c>
      <c r="I233" s="1424">
        <v>10207.705218967056</v>
      </c>
      <c r="J233" s="1423">
        <v>8941.757526174677</v>
      </c>
      <c r="K233" s="1489">
        <v>7843.2743322702108</v>
      </c>
      <c r="L233" s="1424">
        <v>8392.0085932164784</v>
      </c>
      <c r="M233" s="1424">
        <v>10046.833347980197</v>
      </c>
      <c r="N233" s="1423">
        <v>9235.6105140044056</v>
      </c>
      <c r="O233" s="1489">
        <v>9126.4511339092878</v>
      </c>
      <c r="P233" s="1424">
        <v>10134.401783568745</v>
      </c>
      <c r="Q233" s="1424">
        <v>11754.765674803102</v>
      </c>
      <c r="R233" s="1424">
        <v>8337.2335194144489</v>
      </c>
      <c r="S233" s="1489">
        <v>8672.5647979371352</v>
      </c>
      <c r="T233" s="1424">
        <v>9118.2506926640854</v>
      </c>
      <c r="U233" s="1424">
        <v>11096.928780874063</v>
      </c>
      <c r="V233" s="1424">
        <v>9096.6925445307006</v>
      </c>
      <c r="W233" s="1489">
        <v>8683.9376258463581</v>
      </c>
      <c r="X233" s="1424">
        <v>8703.3115203962152</v>
      </c>
      <c r="Y233" s="1424">
        <v>9652.6653325011466</v>
      </c>
      <c r="Z233" s="1423">
        <v>8969.1141558179552</v>
      </c>
      <c r="AA233" s="1489">
        <v>8901.1780605231725</v>
      </c>
      <c r="AB233" s="1424">
        <v>9551.0277881366437</v>
      </c>
      <c r="AC233" s="1424">
        <v>10951.734672288083</v>
      </c>
      <c r="AD233" s="1423">
        <v>9622.1211658004722</v>
      </c>
      <c r="AE233" s="1489">
        <v>9084.1070239354394</v>
      </c>
      <c r="AF233" s="1424">
        <v>10170.034204309035</v>
      </c>
      <c r="AG233" s="1424">
        <v>11984.899139776866</v>
      </c>
      <c r="AH233" s="1423">
        <v>8184.3072380613366</v>
      </c>
      <c r="AI233" s="1489">
        <v>7389.8139328772922</v>
      </c>
      <c r="AJ233" s="1425">
        <v>10342.646878449652</v>
      </c>
      <c r="AK233" s="1425">
        <v>13770.107900873485</v>
      </c>
      <c r="AL233" s="1426">
        <v>7056.5902948086296</v>
      </c>
      <c r="AM233" s="1425">
        <v>6781.1777196375069</v>
      </c>
      <c r="AN233" s="1425">
        <v>13492.720052945069</v>
      </c>
      <c r="AO233" s="1425">
        <v>17437.576749897667</v>
      </c>
      <c r="AP233" s="1426">
        <v>10429.362880886429</v>
      </c>
      <c r="AQ233" s="1425">
        <v>10014.399767955705</v>
      </c>
      <c r="AR233" s="1425">
        <v>14267.477999292238</v>
      </c>
      <c r="AS233" s="1425">
        <v>19740.487786195776</v>
      </c>
      <c r="AT233" s="1426">
        <v>10827.913239907981</v>
      </c>
      <c r="AU233" s="1425">
        <v>10617.254547706931</v>
      </c>
      <c r="AV233" s="1425">
        <v>15126.362955572005</v>
      </c>
      <c r="AW233" s="1425">
        <v>20928.841326325935</v>
      </c>
      <c r="AX233" s="1426">
        <v>11479.740548849391</v>
      </c>
      <c r="AY233" s="1425">
        <v>10827.965041019528</v>
      </c>
      <c r="AZ233" s="1425">
        <v>15426.561409520005</v>
      </c>
      <c r="BA233" s="1425">
        <v>21344.196017175243</v>
      </c>
      <c r="BB233" s="1426">
        <v>11707.567976672637</v>
      </c>
      <c r="BC233" s="1156"/>
      <c r="BD233" s="1156"/>
      <c r="BE233" s="1045">
        <f t="shared" si="247"/>
        <v>9136.6437605125684</v>
      </c>
      <c r="BF233" s="1045">
        <f t="shared" si="248"/>
        <v>8879.4316968678213</v>
      </c>
      <c r="BG233" s="1045">
        <f t="shared" si="249"/>
        <v>9838.2130279238954</v>
      </c>
      <c r="BH233" s="1045">
        <f t="shared" si="250"/>
        <v>9496.1092040014955</v>
      </c>
      <c r="BI233" s="1045">
        <f t="shared" si="251"/>
        <v>9002.2571586404192</v>
      </c>
      <c r="BJ233" s="1045">
        <f t="shared" si="252"/>
        <v>9756.5154216870942</v>
      </c>
      <c r="BK233" s="1045">
        <f t="shared" si="253"/>
        <v>9855.8369015206681</v>
      </c>
      <c r="BL233" s="1045">
        <f t="shared" si="254"/>
        <v>9639.7897517522651</v>
      </c>
      <c r="BM233" s="1280">
        <f t="shared" si="255"/>
        <v>12035.209350841669</v>
      </c>
      <c r="BN233" s="1280">
        <f t="shared" si="256"/>
        <v>13712.569698337924</v>
      </c>
      <c r="BO233" s="1280">
        <f t="shared" si="257"/>
        <v>14538.049844613566</v>
      </c>
      <c r="BP233" s="1280">
        <f t="shared" si="258"/>
        <v>14826.572611096854</v>
      </c>
      <c r="BQ233" s="1114"/>
      <c r="BR233" s="1115"/>
      <c r="BU233" s="1087"/>
      <c r="BV233" s="1086"/>
      <c r="BW233" s="1086"/>
      <c r="BX233" s="1086"/>
    </row>
    <row r="234" spans="2:76" ht="12.75" customHeight="1">
      <c r="B234" s="1286"/>
      <c r="C234" s="1503" t="s">
        <v>552</v>
      </c>
      <c r="D234" s="1416"/>
      <c r="E234" s="1416"/>
      <c r="F234" s="1417"/>
      <c r="G234" s="1489">
        <v>11748.084932868991</v>
      </c>
      <c r="H234" s="1424">
        <v>7677.8064845469125</v>
      </c>
      <c r="I234" s="1424">
        <v>9417.3479567810555</v>
      </c>
      <c r="J234" s="1423">
        <v>8861.4285224737796</v>
      </c>
      <c r="K234" s="1489">
        <v>7380.0484170231503</v>
      </c>
      <c r="L234" s="1424">
        <v>7514.6167798312563</v>
      </c>
      <c r="M234" s="1424">
        <v>9858.7607644940235</v>
      </c>
      <c r="N234" s="1423">
        <v>9067.8163253889288</v>
      </c>
      <c r="O234" s="1489">
        <v>9110.09482114807</v>
      </c>
      <c r="P234" s="1424">
        <v>8904.2289277994641</v>
      </c>
      <c r="Q234" s="1424">
        <v>11626.092314450982</v>
      </c>
      <c r="R234" s="1424">
        <v>11418.003440809496</v>
      </c>
      <c r="S234" s="1489">
        <v>11446.755519845941</v>
      </c>
      <c r="T234" s="1424">
        <v>10899.370648108434</v>
      </c>
      <c r="U234" s="1424">
        <v>12691.456396801643</v>
      </c>
      <c r="V234" s="1424">
        <v>10961.734784397329</v>
      </c>
      <c r="W234" s="1489">
        <v>9780.5118738082929</v>
      </c>
      <c r="X234" s="1424">
        <v>8324.2136157281893</v>
      </c>
      <c r="Y234" s="1424">
        <v>10316.639645621897</v>
      </c>
      <c r="Z234" s="1423">
        <v>10289.620298252388</v>
      </c>
      <c r="AA234" s="1489">
        <v>10095.511697752157</v>
      </c>
      <c r="AB234" s="1424">
        <v>10336.636771049025</v>
      </c>
      <c r="AC234" s="1424">
        <v>11870.802114159645</v>
      </c>
      <c r="AD234" s="1423">
        <v>12988.979109047015</v>
      </c>
      <c r="AE234" s="1489">
        <v>10470.96990745581</v>
      </c>
      <c r="AF234" s="1424">
        <v>9544.9231897338559</v>
      </c>
      <c r="AG234" s="1424">
        <v>12095.15192624512</v>
      </c>
      <c r="AH234" s="1423">
        <v>10647.652335388861</v>
      </c>
      <c r="AI234" s="1489">
        <v>8571.6422127332826</v>
      </c>
      <c r="AJ234" s="1425">
        <v>10073.898611437213</v>
      </c>
      <c r="AK234" s="1425">
        <v>13498.819391065657</v>
      </c>
      <c r="AL234" s="1426">
        <v>11005.243762763848</v>
      </c>
      <c r="AM234" s="1425">
        <v>8859.7525685270448</v>
      </c>
      <c r="AN234" s="1425">
        <v>13716.08206485771</v>
      </c>
      <c r="AO234" s="1425">
        <v>18972.574703233728</v>
      </c>
      <c r="AP234" s="1426">
        <v>16516.620498614961</v>
      </c>
      <c r="AQ234" s="1425">
        <v>13499.713741880851</v>
      </c>
      <c r="AR234" s="1425">
        <v>14061.965375588867</v>
      </c>
      <c r="AS234" s="1425">
        <v>19672.051621639861</v>
      </c>
      <c r="AT234" s="1426">
        <v>15045.105469581529</v>
      </c>
      <c r="AU234" s="1425">
        <v>14061.523642976674</v>
      </c>
      <c r="AV234" s="1425">
        <v>14647.174182821826</v>
      </c>
      <c r="AW234" s="1425">
        <v>20490.732194222554</v>
      </c>
      <c r="AX234" s="1426">
        <v>15671.229058381727</v>
      </c>
      <c r="AY234" s="1425">
        <v>13906.632702001074</v>
      </c>
      <c r="AZ234" s="1425">
        <v>14485.832165454884</v>
      </c>
      <c r="BA234" s="1425">
        <v>20265.02203141047</v>
      </c>
      <c r="BB234" s="1426">
        <v>15498.606839287475</v>
      </c>
      <c r="BC234" s="1156"/>
      <c r="BD234" s="1156"/>
      <c r="BE234" s="1045">
        <f t="shared" si="247"/>
        <v>9426.1669741676851</v>
      </c>
      <c r="BF234" s="1045">
        <f t="shared" si="248"/>
        <v>8455.3105716843402</v>
      </c>
      <c r="BG234" s="1045">
        <f t="shared" si="249"/>
        <v>10264.604876052003</v>
      </c>
      <c r="BH234" s="1045">
        <f t="shared" si="250"/>
        <v>11499.829337288338</v>
      </c>
      <c r="BI234" s="1045">
        <f t="shared" si="251"/>
        <v>9677.7463583526915</v>
      </c>
      <c r="BJ234" s="1045">
        <f t="shared" si="252"/>
        <v>11322.982423001962</v>
      </c>
      <c r="BK234" s="1045">
        <f t="shared" si="253"/>
        <v>10689.674339705913</v>
      </c>
      <c r="BL234" s="1045">
        <f t="shared" si="254"/>
        <v>10787.4009945</v>
      </c>
      <c r="BM234" s="1280">
        <f t="shared" si="255"/>
        <v>14516.257458808361</v>
      </c>
      <c r="BN234" s="1280">
        <f t="shared" si="256"/>
        <v>15569.709052172777</v>
      </c>
      <c r="BO234" s="1280">
        <f t="shared" si="257"/>
        <v>16217.664769600695</v>
      </c>
      <c r="BP234" s="1280">
        <f t="shared" si="258"/>
        <v>16039.023434538474</v>
      </c>
      <c r="BQ234" s="1114"/>
      <c r="BR234" s="1115"/>
      <c r="BU234" s="1087"/>
      <c r="BV234" s="1086"/>
      <c r="BW234" s="1086"/>
      <c r="BX234" s="1086"/>
    </row>
    <row r="235" spans="2:76" ht="12.75" customHeight="1">
      <c r="B235" s="1286"/>
      <c r="C235" s="1503" t="s">
        <v>553</v>
      </c>
      <c r="D235" s="1416"/>
      <c r="E235" s="1416"/>
      <c r="F235" s="1417"/>
      <c r="G235" s="1489">
        <v>8818.9270982303533</v>
      </c>
      <c r="H235" s="1424">
        <v>7516.769717405763</v>
      </c>
      <c r="I235" s="1424">
        <v>9030.4493391427277</v>
      </c>
      <c r="J235" s="1423">
        <v>8952.3408360904396</v>
      </c>
      <c r="K235" s="1489">
        <v>7313.7886058323793</v>
      </c>
      <c r="L235" s="1424">
        <v>7216.4963764112617</v>
      </c>
      <c r="M235" s="1424">
        <v>9638.9175401523808</v>
      </c>
      <c r="N235" s="1423">
        <v>9023.6993277436741</v>
      </c>
      <c r="O235" s="1489">
        <v>9302.9595264683994</v>
      </c>
      <c r="P235" s="1424">
        <v>10497.69497247698</v>
      </c>
      <c r="Q235" s="1424">
        <v>10394.090269805383</v>
      </c>
      <c r="R235" s="1424">
        <v>9503.8147240986618</v>
      </c>
      <c r="S235" s="1489">
        <v>10227.558514001141</v>
      </c>
      <c r="T235" s="1424">
        <v>12726.79042355791</v>
      </c>
      <c r="U235" s="1424">
        <v>11380.821957728594</v>
      </c>
      <c r="V235" s="1424">
        <v>11365.162652273772</v>
      </c>
      <c r="W235" s="1489">
        <v>9936.1125151956894</v>
      </c>
      <c r="X235" s="1424">
        <v>8914.437491759827</v>
      </c>
      <c r="Y235" s="1424">
        <v>10324.753615972111</v>
      </c>
      <c r="Z235" s="1423">
        <v>10613.533213405261</v>
      </c>
      <c r="AA235" s="1489">
        <v>10794.686554329206</v>
      </c>
      <c r="AB235" s="1424">
        <v>13050.491884183193</v>
      </c>
      <c r="AC235" s="1424">
        <v>11947.399352794859</v>
      </c>
      <c r="AD235" s="1423">
        <v>12563.163583983367</v>
      </c>
      <c r="AE235" s="1489">
        <v>11106.232529645211</v>
      </c>
      <c r="AF235" s="1424">
        <v>11716.347808318487</v>
      </c>
      <c r="AG235" s="1424">
        <v>12357.27579637696</v>
      </c>
      <c r="AH235" s="1423">
        <v>11990.682866775438</v>
      </c>
      <c r="AI235" s="1489">
        <v>9449.9884488374046</v>
      </c>
      <c r="AJ235" s="1425">
        <v>11403.16250934641</v>
      </c>
      <c r="AK235" s="1425">
        <v>14923.468157166129</v>
      </c>
      <c r="AL235" s="1426">
        <v>11110.096130842672</v>
      </c>
      <c r="AM235" s="1425">
        <v>8835.3985409444631</v>
      </c>
      <c r="AN235" s="1425">
        <v>14377.895433487756</v>
      </c>
      <c r="AO235" s="1425">
        <v>18051.575931232092</v>
      </c>
      <c r="AP235" s="1426">
        <v>16724.376731301942</v>
      </c>
      <c r="AQ235" s="1425">
        <v>14738.837139255675</v>
      </c>
      <c r="AR235" s="1425">
        <v>16182.133515390124</v>
      </c>
      <c r="AS235" s="1425">
        <v>20299.089540990994</v>
      </c>
      <c r="AT235" s="1426">
        <v>14937.966413316562</v>
      </c>
      <c r="AU235" s="1425">
        <v>15408.24352602746</v>
      </c>
      <c r="AV235" s="1425">
        <v>16917.091329527619</v>
      </c>
      <c r="AW235" s="1425">
        <v>21221.030672167504</v>
      </c>
      <c r="AX235" s="1426">
        <v>15616.416824836715</v>
      </c>
      <c r="AY235" s="1425">
        <v>15207.123389084334</v>
      </c>
      <c r="AZ235" s="1425">
        <v>16696.27656117802</v>
      </c>
      <c r="BA235" s="1425">
        <v>20944.037607536149</v>
      </c>
      <c r="BB235" s="1426">
        <v>15412.579451351106</v>
      </c>
      <c r="BC235" s="1156"/>
      <c r="BD235" s="1156"/>
      <c r="BE235" s="1045">
        <f t="shared" si="247"/>
        <v>8579.6217477173195</v>
      </c>
      <c r="BF235" s="1045">
        <f t="shared" si="248"/>
        <v>8298.2254625349233</v>
      </c>
      <c r="BG235" s="1045">
        <f t="shared" si="249"/>
        <v>9924.6398732123562</v>
      </c>
      <c r="BH235" s="1045">
        <f t="shared" si="250"/>
        <v>11425.083386890354</v>
      </c>
      <c r="BI235" s="1045">
        <f t="shared" si="251"/>
        <v>9947.2092090832211</v>
      </c>
      <c r="BJ235" s="1045">
        <f t="shared" si="252"/>
        <v>12088.935343822655</v>
      </c>
      <c r="BK235" s="1045">
        <f t="shared" si="253"/>
        <v>11792.634750279025</v>
      </c>
      <c r="BL235" s="1045">
        <f t="shared" si="254"/>
        <v>11721.678811548154</v>
      </c>
      <c r="BM235" s="1280">
        <f t="shared" si="255"/>
        <v>14497.311659241563</v>
      </c>
      <c r="BN235" s="1280">
        <f t="shared" si="256"/>
        <v>16539.506652238339</v>
      </c>
      <c r="BO235" s="1280">
        <f t="shared" si="257"/>
        <v>17290.695588139824</v>
      </c>
      <c r="BP235" s="1280">
        <f t="shared" si="258"/>
        <v>17065.004252287403</v>
      </c>
      <c r="BQ235" s="1114"/>
      <c r="BR235" s="1115"/>
      <c r="BU235" s="1087"/>
      <c r="BV235" s="1086"/>
      <c r="BW235" s="1086"/>
      <c r="BX235" s="1086"/>
    </row>
    <row r="236" spans="2:76" ht="12.75" customHeight="1">
      <c r="B236" s="1286"/>
      <c r="C236" s="1503" t="s">
        <v>554</v>
      </c>
      <c r="D236" s="1416"/>
      <c r="E236" s="1416"/>
      <c r="F236" s="1417"/>
      <c r="G236" s="1489">
        <v>8563.562822424461</v>
      </c>
      <c r="H236" s="1424">
        <v>6860.4941925393041</v>
      </c>
      <c r="I236" s="1424">
        <v>9589.8568783682331</v>
      </c>
      <c r="J236" s="1423">
        <v>8761.3924824907463</v>
      </c>
      <c r="K236" s="1489">
        <v>6370.4143174569617</v>
      </c>
      <c r="L236" s="1424">
        <v>6211.3020714773484</v>
      </c>
      <c r="M236" s="1424">
        <v>7826.6983038931385</v>
      </c>
      <c r="N236" s="1423">
        <v>8505.2239404965749</v>
      </c>
      <c r="O236" s="1489">
        <v>8361.8498020158422</v>
      </c>
      <c r="P236" s="1424">
        <v>4692.7816196299354</v>
      </c>
      <c r="Q236" s="1424">
        <v>8714.24458656358</v>
      </c>
      <c r="R236" s="1424">
        <v>7915.5249031846197</v>
      </c>
      <c r="S236" s="1489">
        <v>8087.8495531943299</v>
      </c>
      <c r="T236" s="1424">
        <v>7996.3027258199882</v>
      </c>
      <c r="U236" s="1424">
        <v>11211.620071182011</v>
      </c>
      <c r="V236" s="1424">
        <v>10542.452919287505</v>
      </c>
      <c r="W236" s="1489">
        <v>8657.5971567442921</v>
      </c>
      <c r="X236" s="1424">
        <v>6886.9565387563089</v>
      </c>
      <c r="Y236" s="1424">
        <v>9018.6289233419629</v>
      </c>
      <c r="Z236" s="1423">
        <v>8128.1906062345806</v>
      </c>
      <c r="AA236" s="1489">
        <v>7254.6062172011279</v>
      </c>
      <c r="AB236" s="1424">
        <v>10198.607768021606</v>
      </c>
      <c r="AC236" s="1424">
        <v>11012.575922552551</v>
      </c>
      <c r="AD236" s="1423">
        <v>8791.3991643737936</v>
      </c>
      <c r="AE236" s="1489">
        <v>8374.7404708739778</v>
      </c>
      <c r="AF236" s="1424">
        <v>7523.2554039282049</v>
      </c>
      <c r="AG236" s="1424">
        <v>10999.855109017048</v>
      </c>
      <c r="AH236" s="1423">
        <v>8339.4758609136315</v>
      </c>
      <c r="AI236" s="1489">
        <v>7363.9896702949682</v>
      </c>
      <c r="AJ236" s="1425">
        <v>5110.2170980007359</v>
      </c>
      <c r="AK236" s="1425">
        <v>11913.659539148653</v>
      </c>
      <c r="AL236" s="1426">
        <v>6198.0513024458141</v>
      </c>
      <c r="AM236" s="1425">
        <v>5605.4382217503589</v>
      </c>
      <c r="AN236" s="1425">
        <v>6543.6796823295826</v>
      </c>
      <c r="AO236" s="1425">
        <v>11727.384363487512</v>
      </c>
      <c r="AP236" s="1426">
        <v>9868.4210526315801</v>
      </c>
      <c r="AQ236" s="1425">
        <v>10559.234578577465</v>
      </c>
      <c r="AR236" s="1425">
        <v>10219.421198025182</v>
      </c>
      <c r="AS236" s="1425">
        <v>15787.035019442665</v>
      </c>
      <c r="AT236" s="1426">
        <v>7959.8436172566526</v>
      </c>
      <c r="AU236" s="1425">
        <v>11509.813054563114</v>
      </c>
      <c r="AV236" s="1425">
        <v>11139.408509187173</v>
      </c>
      <c r="AW236" s="1425">
        <v>17208.238003185412</v>
      </c>
      <c r="AX236" s="1426">
        <v>8676.4160125822291</v>
      </c>
      <c r="AY236" s="1425">
        <v>11745.513775169822</v>
      </c>
      <c r="AZ236" s="1425">
        <v>11367.523996406751</v>
      </c>
      <c r="BA236" s="1425">
        <v>17560.632440740112</v>
      </c>
      <c r="BB236" s="1426">
        <v>8854.0937469428645</v>
      </c>
      <c r="BC236" s="1156"/>
      <c r="BD236" s="1156"/>
      <c r="BE236" s="1045">
        <f t="shared" si="247"/>
        <v>8443.8265939556859</v>
      </c>
      <c r="BF236" s="1045">
        <f t="shared" si="248"/>
        <v>7228.4096583310056</v>
      </c>
      <c r="BG236" s="1045">
        <f t="shared" si="249"/>
        <v>7421.1002278484939</v>
      </c>
      <c r="BH236" s="1045">
        <f t="shared" si="250"/>
        <v>9459.5563173709579</v>
      </c>
      <c r="BI236" s="1045">
        <f t="shared" si="251"/>
        <v>8172.8433062692857</v>
      </c>
      <c r="BJ236" s="1045">
        <f t="shared" si="252"/>
        <v>9314.2972680372695</v>
      </c>
      <c r="BK236" s="1045">
        <f t="shared" si="253"/>
        <v>8809.3317111832148</v>
      </c>
      <c r="BL236" s="1045">
        <f t="shared" si="254"/>
        <v>7646.4794024725434</v>
      </c>
      <c r="BM236" s="1280">
        <f t="shared" si="255"/>
        <v>8436.2308300497589</v>
      </c>
      <c r="BN236" s="1280">
        <f t="shared" si="256"/>
        <v>11131.38360332549</v>
      </c>
      <c r="BO236" s="1280">
        <f t="shared" si="257"/>
        <v>12133.468894879483</v>
      </c>
      <c r="BP236" s="1280">
        <f t="shared" si="258"/>
        <v>12381.940989814888</v>
      </c>
      <c r="BQ236" s="1114"/>
      <c r="BR236" s="1115"/>
      <c r="BU236" s="1087"/>
      <c r="BV236" s="1086"/>
      <c r="BW236" s="1086"/>
      <c r="BX236" s="1086"/>
    </row>
    <row r="237" spans="2:76" ht="12.75" customHeight="1">
      <c r="B237" s="1286"/>
      <c r="C237" s="1503"/>
      <c r="D237" s="1416"/>
      <c r="E237" s="1416"/>
      <c r="F237" s="1417"/>
      <c r="G237" s="1489">
        <v>0</v>
      </c>
      <c r="H237" s="1424">
        <v>0</v>
      </c>
      <c r="I237" s="1424">
        <v>0</v>
      </c>
      <c r="J237" s="1423">
        <v>7045.0118387558323</v>
      </c>
      <c r="K237" s="1656">
        <v>10647.814160821332</v>
      </c>
      <c r="L237" s="1424">
        <v>7643.6811086143116</v>
      </c>
      <c r="M237" s="1424">
        <v>26701.729930116137</v>
      </c>
      <c r="N237" s="1423">
        <v>7717.4624704002181</v>
      </c>
      <c r="O237" s="1489">
        <v>9345.1720004820509</v>
      </c>
      <c r="P237" s="1424">
        <v>13807.306134001437</v>
      </c>
      <c r="Q237" s="1424">
        <v>11418.664456046279</v>
      </c>
      <c r="R237" s="1424">
        <v>8673.5340286433238</v>
      </c>
      <c r="S237" s="1489">
        <v>7845.0122816990479</v>
      </c>
      <c r="T237" s="1424">
        <v>8620.1610645234541</v>
      </c>
      <c r="U237" s="1425">
        <v>11174.409787997261</v>
      </c>
      <c r="V237" s="1426">
        <v>9641.3794179416109</v>
      </c>
      <c r="W237" s="1425">
        <v>11434.96156525798</v>
      </c>
      <c r="X237" s="1425">
        <v>9116.0759733353843</v>
      </c>
      <c r="Y237" s="1425">
        <v>9563.9321770397437</v>
      </c>
      <c r="Z237" s="1426">
        <v>9368.9160620250805</v>
      </c>
      <c r="AA237" s="1425">
        <v>9823.1629948743193</v>
      </c>
      <c r="AB237" s="1425">
        <v>10996.392826599309</v>
      </c>
      <c r="AC237" s="1425">
        <v>13165.051909345491</v>
      </c>
      <c r="AD237" s="1426">
        <v>9966.0748691142107</v>
      </c>
      <c r="AE237" s="1425">
        <v>10081.840893466653</v>
      </c>
      <c r="AF237" s="1425">
        <v>10532.235866772089</v>
      </c>
      <c r="AG237" s="1425">
        <v>11115.580950912827</v>
      </c>
      <c r="AH237" s="1426">
        <v>9206.0011555017081</v>
      </c>
      <c r="AI237" s="1425">
        <v>7599.395244266987</v>
      </c>
      <c r="AJ237" s="1425">
        <v>9658.4255255059925</v>
      </c>
      <c r="AK237" s="1425">
        <v>10542.679719462296</v>
      </c>
      <c r="AL237" s="1426">
        <v>9173.459524044767</v>
      </c>
      <c r="AM237" s="1425">
        <v>11552.579721769785</v>
      </c>
      <c r="AN237" s="1425">
        <v>14542.898550724636</v>
      </c>
      <c r="AO237" s="1425">
        <v>48571.299862448417</v>
      </c>
      <c r="AP237" s="1426">
        <v>9541.1462450592899</v>
      </c>
      <c r="AQ237" s="1425">
        <v>8001.7503919318342</v>
      </c>
      <c r="AR237" s="1425">
        <v>10020.549611895432</v>
      </c>
      <c r="AS237" s="1425">
        <v>28583.139290052815</v>
      </c>
      <c r="AT237" s="1426">
        <v>16581.596089097558</v>
      </c>
      <c r="AU237" s="1425">
        <v>7062.8307008244701</v>
      </c>
      <c r="AV237" s="1425">
        <v>8715.8398035065438</v>
      </c>
      <c r="AW237" s="1425">
        <v>24761.304736514343</v>
      </c>
      <c r="AX237" s="1426">
        <v>14438.494039488984</v>
      </c>
      <c r="AY237" s="1425">
        <v>6423.7196260689134</v>
      </c>
      <c r="AZ237" s="1425">
        <v>7906.2276542927948</v>
      </c>
      <c r="BA237" s="1425">
        <v>22408.946307746035</v>
      </c>
      <c r="BB237" s="1426">
        <v>13065.522005420524</v>
      </c>
      <c r="BC237" s="1156"/>
      <c r="BD237" s="1156"/>
      <c r="BE237" s="1045"/>
      <c r="BF237" s="1045"/>
      <c r="BG237" s="1045"/>
      <c r="BH237" s="1045"/>
      <c r="BI237" s="1045"/>
      <c r="BJ237" s="1045"/>
      <c r="BK237" s="1045"/>
      <c r="BL237" s="1045"/>
      <c r="BM237" s="1280"/>
      <c r="BN237" s="1280"/>
      <c r="BO237" s="1280"/>
      <c r="BP237" s="1280"/>
      <c r="BQ237" s="1114"/>
      <c r="BR237" s="1115"/>
      <c r="BU237" s="1087"/>
      <c r="BV237" s="1086"/>
      <c r="BW237" s="1086"/>
      <c r="BX237" s="1086"/>
    </row>
    <row r="238" spans="2:76" ht="12.75" customHeight="1">
      <c r="B238" s="1286"/>
      <c r="C238" s="1506" t="s">
        <v>621</v>
      </c>
      <c r="D238" s="1142"/>
      <c r="E238" s="1142"/>
      <c r="F238" s="1269"/>
      <c r="G238" s="1656"/>
      <c r="H238" s="1490"/>
      <c r="I238" s="1490"/>
      <c r="J238" s="1657"/>
      <c r="K238" s="1489"/>
      <c r="L238" s="1490"/>
      <c r="M238" s="1490"/>
      <c r="N238" s="1657"/>
      <c r="O238" s="1656"/>
      <c r="P238" s="1490"/>
      <c r="Q238" s="1490"/>
      <c r="R238" s="1490"/>
      <c r="S238" s="1659"/>
      <c r="T238" s="1490"/>
      <c r="U238" s="1481"/>
      <c r="V238" s="1482"/>
      <c r="W238" s="1481"/>
      <c r="X238" s="1490"/>
      <c r="Y238" s="1490"/>
      <c r="Z238" s="1482"/>
      <c r="AA238" s="1483"/>
      <c r="AB238" s="1490"/>
      <c r="AC238" s="1490"/>
      <c r="AD238" s="1484"/>
      <c r="AE238" s="1483"/>
      <c r="AF238" s="1490"/>
      <c r="AG238" s="1490"/>
      <c r="AH238" s="1484"/>
      <c r="AI238" s="1483"/>
      <c r="AJ238" s="1483"/>
      <c r="AK238" s="1483"/>
      <c r="AL238" s="1484"/>
      <c r="AM238" s="1483"/>
      <c r="AN238" s="1483"/>
      <c r="AO238" s="1483"/>
      <c r="AP238" s="1484"/>
      <c r="AQ238" s="1483"/>
      <c r="AR238" s="1483"/>
      <c r="AS238" s="1483"/>
      <c r="AT238" s="1484"/>
      <c r="AU238" s="1483"/>
      <c r="AV238" s="1483"/>
      <c r="AW238" s="1483"/>
      <c r="AX238" s="1484"/>
      <c r="AY238" s="1483"/>
      <c r="AZ238" s="1483"/>
      <c r="BA238" s="1483"/>
      <c r="BB238" s="1484"/>
      <c r="BC238" s="1132"/>
      <c r="BD238" s="1133"/>
      <c r="BE238" s="1043"/>
      <c r="BF238" s="1043"/>
      <c r="BG238" s="1043"/>
      <c r="BH238" s="1043"/>
      <c r="BI238" s="1043"/>
      <c r="BJ238" s="1043"/>
      <c r="BK238" s="1043"/>
      <c r="BL238" s="1043"/>
      <c r="BM238" s="1256"/>
      <c r="BN238" s="1256"/>
      <c r="BO238" s="1256"/>
      <c r="BP238" s="1256"/>
      <c r="BQ238" s="1114"/>
      <c r="BR238" s="1115"/>
      <c r="BU238" s="1087"/>
      <c r="BV238" s="1086"/>
      <c r="BW238" s="1086"/>
      <c r="BX238" s="1086"/>
    </row>
    <row r="239" spans="2:76" ht="12.75" customHeight="1">
      <c r="B239" s="1286"/>
      <c r="C239" s="1503" t="s">
        <v>611</v>
      </c>
      <c r="D239" s="1416"/>
      <c r="E239" s="1416"/>
      <c r="F239" s="1417"/>
      <c r="G239" s="1489">
        <v>6909.3096327633702</v>
      </c>
      <c r="H239" s="1424">
        <v>8182.0786967062631</v>
      </c>
      <c r="I239" s="1424">
        <v>8843.0635104283465</v>
      </c>
      <c r="J239" s="1423">
        <v>7237.1775828593409</v>
      </c>
      <c r="K239" s="1489">
        <v>7371.9217492476137</v>
      </c>
      <c r="L239" s="1424">
        <v>7960.8997122438159</v>
      </c>
      <c r="M239" s="1424">
        <v>8379.919228064944</v>
      </c>
      <c r="N239" s="1423">
        <v>8819.7944279269213</v>
      </c>
      <c r="O239" s="1489">
        <v>8447.2140034917284</v>
      </c>
      <c r="P239" s="1424">
        <v>9230.5387992588858</v>
      </c>
      <c r="Q239" s="1424">
        <v>10110.347551066592</v>
      </c>
      <c r="R239" s="1424">
        <v>9797.5546476884065</v>
      </c>
      <c r="S239" s="1489">
        <v>9282.9445192863459</v>
      </c>
      <c r="T239" s="1424">
        <v>7879.1357555234736</v>
      </c>
      <c r="U239" s="1424">
        <v>8084.3226123072382</v>
      </c>
      <c r="V239" s="1424">
        <v>11842.479560862408</v>
      </c>
      <c r="W239" s="1489">
        <v>7345.0633802143266</v>
      </c>
      <c r="X239" s="1424">
        <v>8666.8096880078447</v>
      </c>
      <c r="Y239" s="1424">
        <v>10315.050379273025</v>
      </c>
      <c r="Z239" s="1423">
        <v>9714.574534358846</v>
      </c>
      <c r="AA239" s="1489">
        <v>8382.8453222230091</v>
      </c>
      <c r="AB239" s="1424">
        <v>7537.8738784383268</v>
      </c>
      <c r="AC239" s="1424">
        <v>9837.7064039165271</v>
      </c>
      <c r="AD239" s="1423">
        <v>10577.262881497305</v>
      </c>
      <c r="AE239" s="1489">
        <v>9019.4014549612002</v>
      </c>
      <c r="AF239" s="1424">
        <v>10967.114786064982</v>
      </c>
      <c r="AG239" s="1424">
        <v>11335.823461467095</v>
      </c>
      <c r="AH239" s="1423">
        <v>10726.933653066462</v>
      </c>
      <c r="AI239" s="1489">
        <v>9142.7185751590077</v>
      </c>
      <c r="AJ239" s="1425">
        <v>8545.6610120881614</v>
      </c>
      <c r="AK239" s="1425">
        <v>8055.4469835426908</v>
      </c>
      <c r="AL239" s="1426">
        <v>11859.057936160812</v>
      </c>
      <c r="AM239" s="1425">
        <v>7106.0534420152553</v>
      </c>
      <c r="AN239" s="1425">
        <v>9713.2904608788867</v>
      </c>
      <c r="AO239" s="1425">
        <v>9301.3972055888225</v>
      </c>
      <c r="AP239" s="1426">
        <v>10670.184696569921</v>
      </c>
      <c r="AQ239" s="1425">
        <v>12523.856192309457</v>
      </c>
      <c r="AR239" s="1425">
        <v>12126.37627431892</v>
      </c>
      <c r="AS239" s="1425">
        <v>13524.643202910216</v>
      </c>
      <c r="AT239" s="1426">
        <v>7225.3549785020023</v>
      </c>
      <c r="AU239" s="1425">
        <v>12284.65865189438</v>
      </c>
      <c r="AV239" s="1425">
        <v>11894.770342853019</v>
      </c>
      <c r="AW239" s="1425">
        <v>13266.331278894815</v>
      </c>
      <c r="AX239" s="1426">
        <v>7087.3553789421785</v>
      </c>
      <c r="AY239" s="1425">
        <v>11964.479552774072</v>
      </c>
      <c r="AZ239" s="1425">
        <v>11584.75303097351</v>
      </c>
      <c r="BA239" s="1425">
        <v>12920.56652320475</v>
      </c>
      <c r="BB239" s="1426">
        <v>6902.6353045243814</v>
      </c>
      <c r="BC239" s="1156"/>
      <c r="BD239" s="1156"/>
      <c r="BE239" s="1045">
        <f t="shared" ref="BE239:BE254" si="259">AVERAGE(G239:J239)</f>
        <v>7792.90735568933</v>
      </c>
      <c r="BF239" s="1045">
        <f t="shared" ref="BF239:BF254" si="260">AVERAGE(K239:N239)</f>
        <v>8133.1337793708235</v>
      </c>
      <c r="BG239" s="1045">
        <f t="shared" ref="BG239:BG254" si="261">AVERAGE(O239:R239)</f>
        <v>9396.4137503764032</v>
      </c>
      <c r="BH239" s="1045">
        <f t="shared" ref="BH239:BH254" si="262">AVERAGE(S239:V239)</f>
        <v>9272.2206119948678</v>
      </c>
      <c r="BI239" s="1045">
        <f t="shared" ref="BI239:BI254" si="263">AVERAGE(W239:Z239)</f>
        <v>9010.3744954635113</v>
      </c>
      <c r="BJ239" s="1045">
        <f t="shared" ref="BJ239:BJ254" si="264">AVERAGE(AA239:AD239)</f>
        <v>9083.9221215187918</v>
      </c>
      <c r="BK239" s="1045">
        <f t="shared" ref="BK239:BK254" si="265">AVERAGE(AE239:AH239)</f>
        <v>10512.318338889934</v>
      </c>
      <c r="BL239" s="1045">
        <f t="shared" ref="BL239:BL254" si="266">AVERAGE(AI239:AL239)</f>
        <v>9400.7211267376679</v>
      </c>
      <c r="BM239" s="1280">
        <f t="shared" ref="BM239:BM254" si="267">AVERAGE(AM239:AP239)</f>
        <v>9197.731451263222</v>
      </c>
      <c r="BN239" s="1280">
        <f t="shared" ref="BN239:BN254" si="268">AVERAGE(AQ239:AT239)</f>
        <v>11350.057662010147</v>
      </c>
      <c r="BO239" s="1280">
        <f t="shared" ref="BO239:BO254" si="269">AVERAGE(AU239:AX239)</f>
        <v>11133.278913146098</v>
      </c>
      <c r="BP239" s="1280">
        <f t="shared" ref="BP239:BP254" si="270">AVERAGE(AY239:BB239)</f>
        <v>10843.108602869177</v>
      </c>
      <c r="BQ239" s="1114"/>
      <c r="BR239" s="1115"/>
      <c r="BU239" s="1087"/>
      <c r="BV239" s="1086"/>
      <c r="BW239" s="1086"/>
      <c r="BX239" s="1086"/>
    </row>
    <row r="240" spans="2:76" ht="12.75" customHeight="1">
      <c r="B240" s="1286"/>
      <c r="C240" s="1503" t="s">
        <v>517</v>
      </c>
      <c r="D240" s="1416"/>
      <c r="E240" s="1416"/>
      <c r="F240" s="1417"/>
      <c r="G240" s="1489">
        <v>5088.54736817501</v>
      </c>
      <c r="H240" s="1424">
        <v>7028.1794383085698</v>
      </c>
      <c r="I240" s="1424">
        <v>8292.7749177879778</v>
      </c>
      <c r="J240" s="1423">
        <v>6485.8213553112255</v>
      </c>
      <c r="K240" s="1489">
        <v>6023.4534353193767</v>
      </c>
      <c r="L240" s="1424">
        <v>6697.9018560678951</v>
      </c>
      <c r="M240" s="1424">
        <v>7684.5603729599397</v>
      </c>
      <c r="N240" s="1423">
        <v>7744.4976746612501</v>
      </c>
      <c r="O240" s="1489">
        <v>8639.8374439110084</v>
      </c>
      <c r="P240" s="1424">
        <v>8438.5265301215695</v>
      </c>
      <c r="Q240" s="1424">
        <v>8950.6358841748479</v>
      </c>
      <c r="R240" s="1424">
        <v>8360.5518128974873</v>
      </c>
      <c r="S240" s="1489">
        <v>8283.8886860413586</v>
      </c>
      <c r="T240" s="1424">
        <v>6843.1719383213203</v>
      </c>
      <c r="U240" s="1424">
        <v>7359.8377490323146</v>
      </c>
      <c r="V240" s="1424">
        <v>7354.2240723278701</v>
      </c>
      <c r="W240" s="1489">
        <v>5887.49512865822</v>
      </c>
      <c r="X240" s="1424">
        <v>7342.5870896590586</v>
      </c>
      <c r="Y240" s="1424">
        <v>9428.2420655372098</v>
      </c>
      <c r="Z240" s="1423">
        <v>7903.1028409842911</v>
      </c>
      <c r="AA240" s="1489">
        <v>5838.4228171684554</v>
      </c>
      <c r="AB240" s="1424">
        <v>11231.838014387387</v>
      </c>
      <c r="AC240" s="1424">
        <v>14895.865292939685</v>
      </c>
      <c r="AD240" s="1423">
        <v>11088.680104153016</v>
      </c>
      <c r="AE240" s="1489">
        <v>7430.0572431015753</v>
      </c>
      <c r="AF240" s="1424">
        <v>9854.2125554743252</v>
      </c>
      <c r="AG240" s="1424">
        <v>14312.880773121604</v>
      </c>
      <c r="AH240" s="1423">
        <v>7721.1693236924348</v>
      </c>
      <c r="AI240" s="1489">
        <v>6476.9106982314634</v>
      </c>
      <c r="AJ240" s="1425">
        <v>5766.6546578633643</v>
      </c>
      <c r="AK240" s="1425">
        <v>9936.1248110884608</v>
      </c>
      <c r="AL240" s="1426">
        <v>7145.8747184646672</v>
      </c>
      <c r="AM240" s="1425">
        <v>4993.9723459738043</v>
      </c>
      <c r="AN240" s="1425">
        <v>14859.377349977438</v>
      </c>
      <c r="AO240" s="1425">
        <v>13198.198198198197</v>
      </c>
      <c r="AP240" s="1426">
        <v>12321.539416511485</v>
      </c>
      <c r="AQ240" s="1425">
        <v>13766.147964572425</v>
      </c>
      <c r="AR240" s="1425">
        <v>17987.083179969206</v>
      </c>
      <c r="AS240" s="1425">
        <v>15264.015012002199</v>
      </c>
      <c r="AT240" s="1426">
        <v>6334.5447057720257</v>
      </c>
      <c r="AU240" s="1425">
        <v>13835.817936941603</v>
      </c>
      <c r="AV240" s="1425">
        <v>18078.115151394733</v>
      </c>
      <c r="AW240" s="1425">
        <v>15341.265634824622</v>
      </c>
      <c r="AX240" s="1426">
        <v>6366.603605310097</v>
      </c>
      <c r="AY240" s="1425">
        <v>13642.039241588413</v>
      </c>
      <c r="AZ240" s="1425">
        <v>17824.920610642024</v>
      </c>
      <c r="BA240" s="1425">
        <v>15126.402266910129</v>
      </c>
      <c r="BB240" s="1426">
        <v>6277.4356106103478</v>
      </c>
      <c r="BC240" s="1156"/>
      <c r="BD240" s="1156"/>
      <c r="BE240" s="1045">
        <f t="shared" si="259"/>
        <v>6723.830769895696</v>
      </c>
      <c r="BF240" s="1045">
        <f t="shared" si="260"/>
        <v>7037.6033347521152</v>
      </c>
      <c r="BG240" s="1045">
        <f t="shared" si="261"/>
        <v>8597.3879177762283</v>
      </c>
      <c r="BH240" s="1045">
        <f t="shared" si="262"/>
        <v>7460.2806114307159</v>
      </c>
      <c r="BI240" s="1045">
        <f t="shared" si="263"/>
        <v>7640.3567812096953</v>
      </c>
      <c r="BJ240" s="1045">
        <f t="shared" si="264"/>
        <v>10763.701557162136</v>
      </c>
      <c r="BK240" s="1045">
        <f t="shared" si="265"/>
        <v>9829.5799738474852</v>
      </c>
      <c r="BL240" s="1045">
        <f t="shared" si="266"/>
        <v>7331.3912214119891</v>
      </c>
      <c r="BM240" s="1280">
        <f t="shared" si="267"/>
        <v>11343.27182766523</v>
      </c>
      <c r="BN240" s="1280">
        <f t="shared" si="268"/>
        <v>13337.947715578963</v>
      </c>
      <c r="BO240" s="1280">
        <f t="shared" si="269"/>
        <v>13405.450582117764</v>
      </c>
      <c r="BP240" s="1280">
        <f t="shared" si="270"/>
        <v>13217.69943243773</v>
      </c>
      <c r="BQ240" s="1114"/>
      <c r="BR240" s="1115"/>
      <c r="BU240" s="1087"/>
      <c r="BV240" s="1086"/>
      <c r="BW240" s="1086"/>
      <c r="BX240" s="1086"/>
    </row>
    <row r="241" spans="2:76" ht="12.75" customHeight="1">
      <c r="B241" s="1286"/>
      <c r="C241" s="1503" t="s">
        <v>515</v>
      </c>
      <c r="D241" s="1416"/>
      <c r="E241" s="1416"/>
      <c r="F241" s="1417"/>
      <c r="G241" s="1489">
        <v>6606.7874609416886</v>
      </c>
      <c r="H241" s="1424">
        <v>8306.5809607562096</v>
      </c>
      <c r="I241" s="1424">
        <v>9423.2283467435736</v>
      </c>
      <c r="J241" s="1423">
        <v>7028.9542841002922</v>
      </c>
      <c r="K241" s="1489">
        <v>7074.1943976919974</v>
      </c>
      <c r="L241" s="1424">
        <v>7547.8657501188482</v>
      </c>
      <c r="M241" s="1424">
        <v>8439.3885162200022</v>
      </c>
      <c r="N241" s="1423">
        <v>8268.6653113423945</v>
      </c>
      <c r="O241" s="1489">
        <v>8437.495171565226</v>
      </c>
      <c r="P241" s="1424">
        <v>8970.6692026012824</v>
      </c>
      <c r="Q241" s="1424">
        <v>10076.119613780258</v>
      </c>
      <c r="R241" s="1424">
        <v>9230.9471653996989</v>
      </c>
      <c r="S241" s="1489">
        <v>7249.062381710246</v>
      </c>
      <c r="T241" s="1424">
        <v>7720.0856088085848</v>
      </c>
      <c r="U241" s="1424">
        <v>8293.4171259897885</v>
      </c>
      <c r="V241" s="1424">
        <v>8457.6272733481783</v>
      </c>
      <c r="W241" s="1489">
        <v>6117.7451995103747</v>
      </c>
      <c r="X241" s="1424">
        <v>8147.412648795138</v>
      </c>
      <c r="Y241" s="1424">
        <v>9952.2595955805282</v>
      </c>
      <c r="Z241" s="1423">
        <v>8215.7123443567598</v>
      </c>
      <c r="AA241" s="1489">
        <v>6590.0424387770508</v>
      </c>
      <c r="AB241" s="1424">
        <v>7771.3067261298047</v>
      </c>
      <c r="AC241" s="1424">
        <v>9737.8690075852119</v>
      </c>
      <c r="AD241" s="1423">
        <v>9049.3951916015685</v>
      </c>
      <c r="AE241" s="1489">
        <v>8212.0800442138498</v>
      </c>
      <c r="AF241" s="1424">
        <v>11384.80330532701</v>
      </c>
      <c r="AG241" s="1424">
        <v>11578.755646993332</v>
      </c>
      <c r="AH241" s="1423">
        <v>9606.9455878853478</v>
      </c>
      <c r="AI241" s="1489">
        <v>8859.0498337299687</v>
      </c>
      <c r="AJ241" s="1425">
        <v>7917.1918496624576</v>
      </c>
      <c r="AK241" s="1425">
        <v>7966.5045898410899</v>
      </c>
      <c r="AL241" s="1426">
        <v>8139.7228227011701</v>
      </c>
      <c r="AM241" s="1425">
        <v>5720.6374459995504</v>
      </c>
      <c r="AN241" s="1425">
        <v>15353.697749196142</v>
      </c>
      <c r="AO241" s="1425">
        <v>13013.972055888224</v>
      </c>
      <c r="AP241" s="1426">
        <v>13234.828496042217</v>
      </c>
      <c r="AQ241" s="1425">
        <v>14914.155984907466</v>
      </c>
      <c r="AR241" s="1425">
        <v>20592.143562519603</v>
      </c>
      <c r="AS241" s="1425">
        <v>17789.229705526392</v>
      </c>
      <c r="AT241" s="1426">
        <v>6358.814301275911</v>
      </c>
      <c r="AU241" s="1425">
        <v>14783.03187245478</v>
      </c>
      <c r="AV241" s="1425">
        <v>20411.099019947695</v>
      </c>
      <c r="AW241" s="1425">
        <v>17632.828166028303</v>
      </c>
      <c r="AX241" s="1426">
        <v>6302.9080949609152</v>
      </c>
      <c r="AY241" s="1425">
        <v>14415.982411492447</v>
      </c>
      <c r="AZ241" s="1425">
        <v>19904.309684880362</v>
      </c>
      <c r="BA241" s="1425">
        <v>17195.020811662678</v>
      </c>
      <c r="BB241" s="1426">
        <v>6146.4125236389573</v>
      </c>
      <c r="BC241" s="1156"/>
      <c r="BD241" s="1156"/>
      <c r="BE241" s="1045">
        <f t="shared" si="259"/>
        <v>7841.3877631354408</v>
      </c>
      <c r="BF241" s="1045">
        <f t="shared" si="260"/>
        <v>7832.5284938433106</v>
      </c>
      <c r="BG241" s="1045">
        <f t="shared" si="261"/>
        <v>9178.8077883366168</v>
      </c>
      <c r="BH241" s="1045">
        <f t="shared" si="262"/>
        <v>7930.0480974641996</v>
      </c>
      <c r="BI241" s="1045">
        <f t="shared" si="263"/>
        <v>8108.2824470607011</v>
      </c>
      <c r="BJ241" s="1045">
        <f t="shared" si="264"/>
        <v>8287.1533410234078</v>
      </c>
      <c r="BK241" s="1045">
        <f t="shared" si="265"/>
        <v>10195.646146104886</v>
      </c>
      <c r="BL241" s="1045">
        <f t="shared" si="266"/>
        <v>8220.6172739836711</v>
      </c>
      <c r="BM241" s="1280">
        <f t="shared" si="267"/>
        <v>11830.783936781534</v>
      </c>
      <c r="BN241" s="1280">
        <f t="shared" si="268"/>
        <v>14913.585888557343</v>
      </c>
      <c r="BO241" s="1280">
        <f t="shared" si="269"/>
        <v>14782.466788347923</v>
      </c>
      <c r="BP241" s="1280">
        <f t="shared" si="270"/>
        <v>14415.431357918611</v>
      </c>
      <c r="BQ241" s="1114"/>
      <c r="BR241" s="1115"/>
      <c r="BU241" s="1087"/>
      <c r="BV241" s="1086"/>
      <c r="BW241" s="1086"/>
      <c r="BX241" s="1086"/>
    </row>
    <row r="242" spans="2:76" ht="12.75" customHeight="1">
      <c r="B242" s="1286"/>
      <c r="C242" s="1503" t="s">
        <v>516</v>
      </c>
      <c r="D242" s="1416"/>
      <c r="E242" s="1416"/>
      <c r="F242" s="1417"/>
      <c r="G242" s="1489">
        <v>6748.7681006218027</v>
      </c>
      <c r="H242" s="1424">
        <v>8884.2082613828734</v>
      </c>
      <c r="I242" s="1424">
        <v>10083.180834408246</v>
      </c>
      <c r="J242" s="1423">
        <v>7087.3029977862207</v>
      </c>
      <c r="K242" s="1489">
        <v>7340.2263410942887</v>
      </c>
      <c r="L242" s="1424">
        <v>7798.9509690638888</v>
      </c>
      <c r="M242" s="1424">
        <v>8927.1882569122845</v>
      </c>
      <c r="N242" s="1423">
        <v>8345.6002027089799</v>
      </c>
      <c r="O242" s="1489">
        <v>8645.3846646133316</v>
      </c>
      <c r="P242" s="1424">
        <v>9156.0025011957878</v>
      </c>
      <c r="Q242" s="1424">
        <v>10477.185224637948</v>
      </c>
      <c r="R242" s="1424">
        <v>9423.1828285744832</v>
      </c>
      <c r="S242" s="1489">
        <v>7423.784925032689</v>
      </c>
      <c r="T242" s="1424">
        <v>7850.7305463093289</v>
      </c>
      <c r="U242" s="1424">
        <v>8892.078482518069</v>
      </c>
      <c r="V242" s="1424">
        <v>8316.9515771291517</v>
      </c>
      <c r="W242" s="1489">
        <v>6133.6490987913385</v>
      </c>
      <c r="X242" s="1424">
        <v>8213.4148493595476</v>
      </c>
      <c r="Y242" s="1424">
        <v>10122.829083489969</v>
      </c>
      <c r="Z242" s="1423">
        <v>8243.0500509012982</v>
      </c>
      <c r="AA242" s="1489">
        <v>6629.8219138086515</v>
      </c>
      <c r="AB242" s="1424">
        <v>7973.4326856799471</v>
      </c>
      <c r="AC242" s="1424">
        <v>10477.845810963989</v>
      </c>
      <c r="AD242" s="1423">
        <v>9160.039878142039</v>
      </c>
      <c r="AE242" s="1489">
        <v>8558.8324115569685</v>
      </c>
      <c r="AF242" s="1424">
        <v>12102.625348797468</v>
      </c>
      <c r="AG242" s="1424">
        <v>12591.843997641919</v>
      </c>
      <c r="AH242" s="1423">
        <v>9646.0234098480669</v>
      </c>
      <c r="AI242" s="1489">
        <v>8902.6133060085667</v>
      </c>
      <c r="AJ242" s="1425">
        <v>8502.4785656129588</v>
      </c>
      <c r="AK242" s="1425">
        <v>8317.9199339646766</v>
      </c>
      <c r="AL242" s="1426">
        <v>8247.7510387057664</v>
      </c>
      <c r="AM242" s="1425">
        <v>6014.3501087297491</v>
      </c>
      <c r="AN242" s="1425">
        <v>16016.881028938908</v>
      </c>
      <c r="AO242" s="1425">
        <v>13685.961410512306</v>
      </c>
      <c r="AP242" s="1426">
        <v>13635.883905013192</v>
      </c>
      <c r="AQ242" s="1425">
        <v>15581.860761896291</v>
      </c>
      <c r="AR242" s="1425">
        <v>21684.767581360513</v>
      </c>
      <c r="AS242" s="1425">
        <v>18977.134817803846</v>
      </c>
      <c r="AT242" s="1426">
        <v>6534.6362240548142</v>
      </c>
      <c r="AU242" s="1425">
        <v>15474.866268858676</v>
      </c>
      <c r="AV242" s="1425">
        <v>21535.866833917054</v>
      </c>
      <c r="AW242" s="1425">
        <v>18846.826316774066</v>
      </c>
      <c r="AX242" s="1426">
        <v>6489.7654540831209</v>
      </c>
      <c r="AY242" s="1425">
        <v>15153.832115448648</v>
      </c>
      <c r="AZ242" s="1425">
        <v>21089.09406981953</v>
      </c>
      <c r="BA242" s="1425">
        <v>18455.83909750179</v>
      </c>
      <c r="BB242" s="1426">
        <v>6355.1318926562371</v>
      </c>
      <c r="BC242" s="1156"/>
      <c r="BD242" s="1156"/>
      <c r="BE242" s="1045">
        <f t="shared" si="259"/>
        <v>8200.8650485497856</v>
      </c>
      <c r="BF242" s="1045">
        <f t="shared" si="260"/>
        <v>8102.9914424448598</v>
      </c>
      <c r="BG242" s="1045">
        <f t="shared" si="261"/>
        <v>9425.4388047553875</v>
      </c>
      <c r="BH242" s="1045">
        <f t="shared" si="262"/>
        <v>8120.8863827473097</v>
      </c>
      <c r="BI242" s="1045">
        <f t="shared" si="263"/>
        <v>8178.2357706355378</v>
      </c>
      <c r="BJ242" s="1045">
        <f t="shared" si="264"/>
        <v>8560.2850721486557</v>
      </c>
      <c r="BK242" s="1045">
        <f t="shared" si="265"/>
        <v>10724.831291961105</v>
      </c>
      <c r="BL242" s="1045">
        <f t="shared" si="266"/>
        <v>8492.6907110729917</v>
      </c>
      <c r="BM242" s="1280">
        <f t="shared" si="267"/>
        <v>12338.269113298538</v>
      </c>
      <c r="BN242" s="1280">
        <f t="shared" si="268"/>
        <v>15694.599846278865</v>
      </c>
      <c r="BO242" s="1280">
        <f t="shared" si="269"/>
        <v>15586.83121840823</v>
      </c>
      <c r="BP242" s="1280">
        <f t="shared" si="270"/>
        <v>15263.474293856552</v>
      </c>
      <c r="BQ242" s="1114"/>
      <c r="BR242" s="1115"/>
      <c r="BU242" s="1087"/>
      <c r="BV242" s="1086"/>
      <c r="BW242" s="1086"/>
      <c r="BX242" s="1086"/>
    </row>
    <row r="243" spans="2:76" ht="12.75" customHeight="1">
      <c r="B243" s="1286"/>
      <c r="C243" s="1503" t="s">
        <v>512</v>
      </c>
      <c r="D243" s="1416"/>
      <c r="E243" s="1416"/>
      <c r="F243" s="1417"/>
      <c r="G243" s="1489">
        <v>6557.38700888317</v>
      </c>
      <c r="H243" s="1424">
        <v>7054.57307272854</v>
      </c>
      <c r="I243" s="1424">
        <v>8131.2298382658046</v>
      </c>
      <c r="J243" s="1423">
        <v>7228.7968443687932</v>
      </c>
      <c r="K243" s="1489">
        <v>6878.6075683160079</v>
      </c>
      <c r="L243" s="1424">
        <v>7284.5320546195644</v>
      </c>
      <c r="M243" s="1424">
        <v>7779.5784938790375</v>
      </c>
      <c r="N243" s="1423">
        <v>8695.2045434184238</v>
      </c>
      <c r="O243" s="1489">
        <v>9841.700334411802</v>
      </c>
      <c r="P243" s="1424">
        <v>9039.2719380663311</v>
      </c>
      <c r="Q243" s="1424">
        <v>8835.1893477360536</v>
      </c>
      <c r="R243" s="1424">
        <v>8429.9253921288018</v>
      </c>
      <c r="S243" s="1489">
        <v>7789.8114136442509</v>
      </c>
      <c r="T243" s="1424">
        <v>7147.248796830625</v>
      </c>
      <c r="U243" s="1424">
        <v>8031.1736003835267</v>
      </c>
      <c r="V243" s="1424">
        <v>7795.107694833674</v>
      </c>
      <c r="W243" s="1489">
        <v>6166.530696296164</v>
      </c>
      <c r="X243" s="1424">
        <v>8263.5632022788723</v>
      </c>
      <c r="Y243" s="1424">
        <v>10837.129084616699</v>
      </c>
      <c r="Z243" s="1423">
        <v>10859.130824743526</v>
      </c>
      <c r="AA243" s="1489">
        <v>6858.1083928038697</v>
      </c>
      <c r="AB243" s="1424">
        <v>15422.985685691838</v>
      </c>
      <c r="AC243" s="1424">
        <v>16917.689223633119</v>
      </c>
      <c r="AD243" s="1423">
        <v>17146.191788467313</v>
      </c>
      <c r="AE243" s="1489">
        <v>13082.44971352325</v>
      </c>
      <c r="AF243" s="1424">
        <v>13437.831424583155</v>
      </c>
      <c r="AG243" s="1424">
        <v>16998.184607495699</v>
      </c>
      <c r="AH243" s="1423">
        <v>11310.225430871806</v>
      </c>
      <c r="AI243" s="1489">
        <v>9046.2979187077945</v>
      </c>
      <c r="AJ243" s="1425">
        <v>8797.2641070890259</v>
      </c>
      <c r="AK243" s="1425">
        <v>12592.415236425988</v>
      </c>
      <c r="AL243" s="1426">
        <v>10428.152314932511</v>
      </c>
      <c r="AM243" s="1425">
        <v>6682.4698912828535</v>
      </c>
      <c r="AN243" s="1425">
        <v>11257.331929613474</v>
      </c>
      <c r="AO243" s="1425">
        <v>11163.663663663663</v>
      </c>
      <c r="AP243" s="1426">
        <v>9565.4872749844817</v>
      </c>
      <c r="AQ243" s="1425">
        <v>8968.4071460360283</v>
      </c>
      <c r="AR243" s="1425">
        <v>11591.660811253709</v>
      </c>
      <c r="AS243" s="1425">
        <v>11437.093284386061</v>
      </c>
      <c r="AT243" s="1426">
        <v>8324.117177218186</v>
      </c>
      <c r="AU243" s="1425">
        <v>9005.6896599988304</v>
      </c>
      <c r="AV243" s="1425">
        <v>11639.848437998402</v>
      </c>
      <c r="AW243" s="1425">
        <v>11484.6383593504</v>
      </c>
      <c r="AX243" s="1426">
        <v>8358.7213170430405</v>
      </c>
      <c r="AY243" s="1425">
        <v>8883.1264622192248</v>
      </c>
      <c r="AZ243" s="1425">
        <v>11481.435579006858</v>
      </c>
      <c r="BA243" s="1425">
        <v>11328.337836480232</v>
      </c>
      <c r="BB243" s="1426">
        <v>8244.9630539179179</v>
      </c>
      <c r="BC243" s="1156"/>
      <c r="BD243" s="1156"/>
      <c r="BE243" s="1045">
        <f t="shared" si="259"/>
        <v>7242.9966910615767</v>
      </c>
      <c r="BF243" s="1045">
        <f t="shared" si="260"/>
        <v>7659.4806650582577</v>
      </c>
      <c r="BG243" s="1045">
        <f t="shared" si="261"/>
        <v>9036.5217530857462</v>
      </c>
      <c r="BH243" s="1045">
        <f t="shared" si="262"/>
        <v>7690.8353764230187</v>
      </c>
      <c r="BI243" s="1045">
        <f t="shared" si="263"/>
        <v>9031.5884519838146</v>
      </c>
      <c r="BJ243" s="1045">
        <f t="shared" si="264"/>
        <v>14086.243772649035</v>
      </c>
      <c r="BK243" s="1045">
        <f t="shared" si="265"/>
        <v>13707.172794118478</v>
      </c>
      <c r="BL243" s="1045">
        <f t="shared" si="266"/>
        <v>10216.032394288828</v>
      </c>
      <c r="BM243" s="1280">
        <f t="shared" si="267"/>
        <v>9667.2381898861167</v>
      </c>
      <c r="BN243" s="1280">
        <f t="shared" si="268"/>
        <v>10080.319604723496</v>
      </c>
      <c r="BO243" s="1280">
        <f t="shared" si="269"/>
        <v>10122.224443597668</v>
      </c>
      <c r="BP243" s="1280">
        <f t="shared" si="270"/>
        <v>9984.4657329060592</v>
      </c>
      <c r="BQ243" s="1114"/>
      <c r="BR243" s="1115"/>
      <c r="BU243" s="1087"/>
      <c r="BV243" s="1086"/>
      <c r="BW243" s="1086"/>
      <c r="BX243" s="1086"/>
    </row>
    <row r="244" spans="2:76" ht="12.75" customHeight="1">
      <c r="B244" s="1286"/>
      <c r="C244" s="1503" t="s">
        <v>703</v>
      </c>
      <c r="D244" s="1416"/>
      <c r="E244" s="1416"/>
      <c r="F244" s="1417"/>
      <c r="G244" s="1489">
        <v>7169.0554409439437</v>
      </c>
      <c r="H244" s="1424">
        <v>7640.4485499059529</v>
      </c>
      <c r="I244" s="1424">
        <v>9025.3869993302178</v>
      </c>
      <c r="J244" s="1423">
        <v>7413.0740656652906</v>
      </c>
      <c r="K244" s="1489">
        <v>7669.8052364764089</v>
      </c>
      <c r="L244" s="1424">
        <v>7622.3652447041277</v>
      </c>
      <c r="M244" s="1424">
        <v>8474.1679552486985</v>
      </c>
      <c r="N244" s="1423">
        <v>8622.2045860397502</v>
      </c>
      <c r="O244" s="1489">
        <v>10395.317989886589</v>
      </c>
      <c r="P244" s="1424">
        <v>8857.6301713450721</v>
      </c>
      <c r="Q244" s="1424">
        <v>9886.5109657382072</v>
      </c>
      <c r="R244" s="1424">
        <v>8860.9682958716039</v>
      </c>
      <c r="S244" s="1489">
        <v>8039.5762260747151</v>
      </c>
      <c r="T244" s="1424">
        <v>7560.6867566728806</v>
      </c>
      <c r="U244" s="1424">
        <v>8465.7345865797197</v>
      </c>
      <c r="V244" s="1424">
        <v>8094.5011996556996</v>
      </c>
      <c r="W244" s="1489">
        <v>7151.6799340099105</v>
      </c>
      <c r="X244" s="1424">
        <v>8251.2040516581637</v>
      </c>
      <c r="Y244" s="1424">
        <v>10479.170149283662</v>
      </c>
      <c r="Z244" s="1423">
        <v>13653.53156496323</v>
      </c>
      <c r="AA244" s="1489">
        <v>8207.0387690658226</v>
      </c>
      <c r="AB244" s="1424">
        <v>15499.45605967582</v>
      </c>
      <c r="AC244" s="1424">
        <v>15178.412461854665</v>
      </c>
      <c r="AD244" s="1423">
        <v>19658.072019603624</v>
      </c>
      <c r="AE244" s="1489">
        <v>13822.547494014379</v>
      </c>
      <c r="AF244" s="1424">
        <v>12166.262278237393</v>
      </c>
      <c r="AG244" s="1424">
        <v>15635.007649191331</v>
      </c>
      <c r="AH244" s="1423">
        <v>9544.6541456185332</v>
      </c>
      <c r="AI244" s="1489">
        <v>9801.7076446894607</v>
      </c>
      <c r="AJ244" s="1425">
        <v>8644.1370259993801</v>
      </c>
      <c r="AK244" s="1425">
        <v>11004.438339609598</v>
      </c>
      <c r="AL244" s="1426">
        <v>12310.44340491018</v>
      </c>
      <c r="AM244" s="1425">
        <v>7116.8692303849139</v>
      </c>
      <c r="AN244" s="1425">
        <v>11351.481425778313</v>
      </c>
      <c r="AO244" s="1425">
        <v>11381.381381381379</v>
      </c>
      <c r="AP244" s="1426">
        <v>9497.1446306641828</v>
      </c>
      <c r="AQ244" s="1425">
        <v>10240.121890620401</v>
      </c>
      <c r="AR244" s="1425">
        <v>11655.324608823219</v>
      </c>
      <c r="AS244" s="1425">
        <v>11808.620980409776</v>
      </c>
      <c r="AT244" s="1426">
        <v>8077.2747597348434</v>
      </c>
      <c r="AU244" s="1425">
        <v>10309.484579678321</v>
      </c>
      <c r="AV244" s="1425">
        <v>11734.273342573297</v>
      </c>
      <c r="AW244" s="1425">
        <v>11888.608085447777</v>
      </c>
      <c r="AX244" s="1426">
        <v>8131.9871453469759</v>
      </c>
      <c r="AY244" s="1425">
        <v>10242.624743435623</v>
      </c>
      <c r="AZ244" s="1425">
        <v>11658.173360265939</v>
      </c>
      <c r="BA244" s="1425">
        <v>11811.507199986107</v>
      </c>
      <c r="BB244" s="1426">
        <v>8079.2489774333872</v>
      </c>
      <c r="BC244" s="1156"/>
      <c r="BD244" s="1156"/>
      <c r="BE244" s="1045">
        <f t="shared" si="259"/>
        <v>7811.9912639613522</v>
      </c>
      <c r="BF244" s="1045">
        <f t="shared" si="260"/>
        <v>8097.1357556172461</v>
      </c>
      <c r="BG244" s="1045">
        <f t="shared" si="261"/>
        <v>9500.1068557103681</v>
      </c>
      <c r="BH244" s="1045">
        <f t="shared" si="262"/>
        <v>8040.124692245754</v>
      </c>
      <c r="BI244" s="1045">
        <f t="shared" si="263"/>
        <v>9883.8964249787423</v>
      </c>
      <c r="BJ244" s="1045">
        <f t="shared" si="264"/>
        <v>14635.744827549981</v>
      </c>
      <c r="BK244" s="1045">
        <f t="shared" si="265"/>
        <v>12792.117891765411</v>
      </c>
      <c r="BL244" s="1045">
        <f t="shared" si="266"/>
        <v>10440.181603802155</v>
      </c>
      <c r="BM244" s="1280">
        <f t="shared" si="267"/>
        <v>9836.719167052197</v>
      </c>
      <c r="BN244" s="1280">
        <f t="shared" si="268"/>
        <v>10445.335559897059</v>
      </c>
      <c r="BO244" s="1280">
        <f t="shared" si="269"/>
        <v>10516.088288261593</v>
      </c>
      <c r="BP244" s="1280">
        <f t="shared" si="270"/>
        <v>10447.888570280264</v>
      </c>
      <c r="BQ244" s="1114"/>
      <c r="BR244" s="1115"/>
      <c r="BU244" s="1087"/>
      <c r="BV244" s="1086"/>
      <c r="BW244" s="1086"/>
      <c r="BX244" s="1086"/>
    </row>
    <row r="245" spans="2:76" ht="12.75" customHeight="1">
      <c r="B245" s="1286"/>
      <c r="C245" s="1503" t="s">
        <v>532</v>
      </c>
      <c r="D245" s="1416"/>
      <c r="E245" s="1416"/>
      <c r="F245" s="1417"/>
      <c r="G245" s="1489">
        <v>5594.4105258064828</v>
      </c>
      <c r="H245" s="1424">
        <v>5980.4576806649147</v>
      </c>
      <c r="I245" s="1424">
        <v>6684.7232199578648</v>
      </c>
      <c r="J245" s="1423">
        <v>5911.4648985987124</v>
      </c>
      <c r="K245" s="1489">
        <v>5617.3159739843395</v>
      </c>
      <c r="L245" s="1424">
        <v>6655.7582528218209</v>
      </c>
      <c r="M245" s="1424">
        <v>7303.4594565022162</v>
      </c>
      <c r="N245" s="1423">
        <v>8538.4108780017341</v>
      </c>
      <c r="O245" s="1489">
        <v>9256.1029733562991</v>
      </c>
      <c r="P245" s="1424">
        <v>8884.5574896313938</v>
      </c>
      <c r="Q245" s="1424">
        <v>8401.9636033328952</v>
      </c>
      <c r="R245" s="1424">
        <v>8108.3969931427564</v>
      </c>
      <c r="S245" s="1489">
        <v>7144.68170956227</v>
      </c>
      <c r="T245" s="1424">
        <v>6923.1901425772967</v>
      </c>
      <c r="U245" s="1424">
        <v>7416.937285038297</v>
      </c>
      <c r="V245" s="1424">
        <v>7186.3638244491658</v>
      </c>
      <c r="W245" s="1489">
        <v>4378.4476589144797</v>
      </c>
      <c r="X245" s="1424">
        <v>8308.8842312669221</v>
      </c>
      <c r="Y245" s="1424">
        <v>10465.996871575519</v>
      </c>
      <c r="Z245" s="1423">
        <v>10914.824746114929</v>
      </c>
      <c r="AA245" s="1489">
        <v>5222.5069289009616</v>
      </c>
      <c r="AB245" s="1424">
        <v>15040.786920718157</v>
      </c>
      <c r="AC245" s="1424">
        <v>16577.780229416356</v>
      </c>
      <c r="AD245" s="1423">
        <v>17065.861366193356</v>
      </c>
      <c r="AE245" s="1489">
        <v>11965.339455583016</v>
      </c>
      <c r="AF245" s="1424">
        <v>13392.335283854029</v>
      </c>
      <c r="AG245" s="1424">
        <v>16617.582565885587</v>
      </c>
      <c r="AH245" s="1423">
        <v>11247.328225526811</v>
      </c>
      <c r="AI245" s="1489">
        <v>8556.6131079873394</v>
      </c>
      <c r="AJ245" s="1425">
        <v>8971.0519258287495</v>
      </c>
      <c r="AK245" s="1425">
        <v>13054.147515117875</v>
      </c>
      <c r="AL245" s="1426">
        <v>9524.2185088378228</v>
      </c>
      <c r="AM245" s="1425">
        <v>5253.5008504221041</v>
      </c>
      <c r="AN245" s="1425">
        <v>9534.7680059708928</v>
      </c>
      <c r="AO245" s="1425">
        <v>8957.9632918886928</v>
      </c>
      <c r="AP245" s="1426">
        <v>8724.870763928775</v>
      </c>
      <c r="AQ245" s="1425">
        <v>10357.798701457919</v>
      </c>
      <c r="AR245" s="1425">
        <v>8488.7960907604192</v>
      </c>
      <c r="AS245" s="1425">
        <v>8528.2593221072202</v>
      </c>
      <c r="AT245" s="1426">
        <v>9517.0351924681836</v>
      </c>
      <c r="AU245" s="1425">
        <v>10049.931204538312</v>
      </c>
      <c r="AV245" s="1425">
        <v>8236.4814359143529</v>
      </c>
      <c r="AW245" s="1425">
        <v>8274.7716915541296</v>
      </c>
      <c r="AX245" s="1426">
        <v>9234.1579241168911</v>
      </c>
      <c r="AY245" s="1425">
        <v>9861.0170236466547</v>
      </c>
      <c r="AZ245" s="1425">
        <v>8081.6556851477762</v>
      </c>
      <c r="BA245" s="1425">
        <v>8119.2261774246881</v>
      </c>
      <c r="BB245" s="1426">
        <v>9060.5782900920312</v>
      </c>
      <c r="BC245" s="1156"/>
      <c r="BD245" s="1156"/>
      <c r="BE245" s="1045">
        <f t="shared" si="259"/>
        <v>6042.7640812569934</v>
      </c>
      <c r="BF245" s="1045">
        <f t="shared" si="260"/>
        <v>7028.7361403275281</v>
      </c>
      <c r="BG245" s="1045">
        <f t="shared" si="261"/>
        <v>8662.7552648658366</v>
      </c>
      <c r="BH245" s="1045">
        <f t="shared" si="262"/>
        <v>7167.7932404067578</v>
      </c>
      <c r="BI245" s="1045">
        <f t="shared" si="263"/>
        <v>8517.0383769679629</v>
      </c>
      <c r="BJ245" s="1045">
        <f t="shared" si="264"/>
        <v>13476.733861307208</v>
      </c>
      <c r="BK245" s="1045">
        <f t="shared" si="265"/>
        <v>13305.646382712363</v>
      </c>
      <c r="BL245" s="1045">
        <f t="shared" si="266"/>
        <v>10026.507764442948</v>
      </c>
      <c r="BM245" s="1280">
        <f t="shared" si="267"/>
        <v>8117.7757280526166</v>
      </c>
      <c r="BN245" s="1280">
        <f t="shared" si="268"/>
        <v>9222.9723266984365</v>
      </c>
      <c r="BO245" s="1280">
        <f t="shared" si="269"/>
        <v>8948.8355640309201</v>
      </c>
      <c r="BP245" s="1280">
        <f t="shared" si="270"/>
        <v>8780.6192940777873</v>
      </c>
      <c r="BQ245" s="1114"/>
      <c r="BR245" s="1115"/>
      <c r="BU245" s="1087"/>
      <c r="BV245" s="1086"/>
      <c r="BW245" s="1086"/>
      <c r="BX245" s="1086"/>
    </row>
    <row r="246" spans="2:76" ht="12.75" customHeight="1">
      <c r="B246" s="1286"/>
      <c r="C246" s="1503" t="s">
        <v>281</v>
      </c>
      <c r="D246" s="1416"/>
      <c r="E246" s="1416"/>
      <c r="F246" s="1417"/>
      <c r="G246" s="1489">
        <v>6552.7674043199286</v>
      </c>
      <c r="H246" s="1424">
        <v>6476.0723404537666</v>
      </c>
      <c r="I246" s="1424">
        <v>7271.6763952678921</v>
      </c>
      <c r="J246" s="1423">
        <v>8220.4093352115033</v>
      </c>
      <c r="K246" s="1489">
        <v>7979.1747211275315</v>
      </c>
      <c r="L246" s="1424">
        <v>7104.9821374667526</v>
      </c>
      <c r="M246" s="1424">
        <v>7790.7372328055353</v>
      </c>
      <c r="N246" s="1423">
        <v>9201.0167150006782</v>
      </c>
      <c r="O246" s="1489">
        <v>10440.014917886665</v>
      </c>
      <c r="P246" s="1424">
        <v>9560.11803419846</v>
      </c>
      <c r="Q246" s="1424">
        <v>8935.6748974826023</v>
      </c>
      <c r="R246" s="1424">
        <v>8777.6380248240494</v>
      </c>
      <c r="S246" s="1489">
        <v>8794.3099226617105</v>
      </c>
      <c r="T246" s="1424">
        <v>7170.3250164574647</v>
      </c>
      <c r="U246" s="1424">
        <v>7427.6377278135369</v>
      </c>
      <c r="V246" s="1424">
        <v>7463.0119522202085</v>
      </c>
      <c r="W246" s="1489">
        <v>10672.862043942654</v>
      </c>
      <c r="X246" s="1424">
        <v>6748.9575207808848</v>
      </c>
      <c r="Y246" s="1424">
        <v>6693.0721564774667</v>
      </c>
      <c r="Z246" s="1423">
        <v>7928.0928377524915</v>
      </c>
      <c r="AA246" s="1489">
        <v>11594.576778630564</v>
      </c>
      <c r="AB246" s="1424">
        <v>8884.7428686240874</v>
      </c>
      <c r="AC246" s="1424">
        <v>8259.4626536542146</v>
      </c>
      <c r="AD246" s="1423">
        <v>10311.27373307398</v>
      </c>
      <c r="AE246" s="1489">
        <v>11099.393407137786</v>
      </c>
      <c r="AF246" s="1424">
        <v>9992.6370455412834</v>
      </c>
      <c r="AG246" s="1424">
        <v>7829.6864609595132</v>
      </c>
      <c r="AH246" s="1423">
        <v>8265.1158346907469</v>
      </c>
      <c r="AI246" s="1489">
        <v>8517.9614097697577</v>
      </c>
      <c r="AJ246" s="1425">
        <v>7365.7185946531754</v>
      </c>
      <c r="AK246" s="1425">
        <v>7744.3815502968346</v>
      </c>
      <c r="AL246" s="1426">
        <v>9032.4298573449232</v>
      </c>
      <c r="AM246" s="1425">
        <v>10767.751699666062</v>
      </c>
      <c r="AN246" s="1425">
        <v>9068.2920761288733</v>
      </c>
      <c r="AO246" s="1425">
        <v>8780.343398460629</v>
      </c>
      <c r="AP246" s="1426">
        <v>8558.2998276852377</v>
      </c>
      <c r="AQ246" s="1425">
        <v>9141.5772569286164</v>
      </c>
      <c r="AR246" s="1425">
        <v>8061.5434396640903</v>
      </c>
      <c r="AS246" s="1425">
        <v>8098.0895888361283</v>
      </c>
      <c r="AT246" s="1426">
        <v>9879.7162281589626</v>
      </c>
      <c r="AU246" s="1425">
        <v>8972.5976330324702</v>
      </c>
      <c r="AV246" s="1425">
        <v>7912.5279535865184</v>
      </c>
      <c r="AW246" s="1425">
        <v>7948.3985569125425</v>
      </c>
      <c r="AX246" s="1426">
        <v>9697.0923017277073</v>
      </c>
      <c r="AY246" s="1425">
        <v>8822.1145485094949</v>
      </c>
      <c r="AZ246" s="1425">
        <v>7779.8237288426817</v>
      </c>
      <c r="BA246" s="1425">
        <v>7815.092731689896</v>
      </c>
      <c r="BB246" s="1426">
        <v>9534.4584224266036</v>
      </c>
      <c r="BC246" s="1156"/>
      <c r="BD246" s="1156"/>
      <c r="BE246" s="1045">
        <f t="shared" si="259"/>
        <v>7130.2313688132726</v>
      </c>
      <c r="BF246" s="1045">
        <f t="shared" si="260"/>
        <v>8018.9777016001244</v>
      </c>
      <c r="BG246" s="1045">
        <f t="shared" si="261"/>
        <v>9428.3614685979446</v>
      </c>
      <c r="BH246" s="1045">
        <f t="shared" si="262"/>
        <v>7713.8211547882302</v>
      </c>
      <c r="BI246" s="1045">
        <f t="shared" si="263"/>
        <v>8010.746139738374</v>
      </c>
      <c r="BJ246" s="1045">
        <f t="shared" si="264"/>
        <v>9762.5140084957129</v>
      </c>
      <c r="BK246" s="1045">
        <f t="shared" si="265"/>
        <v>9296.7081870823331</v>
      </c>
      <c r="BL246" s="1045">
        <f t="shared" si="266"/>
        <v>8165.1228530161725</v>
      </c>
      <c r="BM246" s="1280">
        <f t="shared" si="267"/>
        <v>9293.6717504852004</v>
      </c>
      <c r="BN246" s="1280">
        <f t="shared" si="268"/>
        <v>8795.2316283969485</v>
      </c>
      <c r="BO246" s="1280">
        <f t="shared" si="269"/>
        <v>8632.6541113148105</v>
      </c>
      <c r="BP246" s="1280">
        <f t="shared" si="270"/>
        <v>8487.8723578671688</v>
      </c>
      <c r="BQ246" s="1114"/>
      <c r="BR246" s="1115"/>
      <c r="BU246" s="1087"/>
      <c r="BV246" s="1086"/>
      <c r="BW246" s="1086"/>
      <c r="BX246" s="1086"/>
    </row>
    <row r="247" spans="2:76" ht="12.75" customHeight="1">
      <c r="B247" s="1286"/>
      <c r="C247" s="1503" t="s">
        <v>549</v>
      </c>
      <c r="D247" s="1416"/>
      <c r="E247" s="1416"/>
      <c r="F247" s="1417"/>
      <c r="G247" s="1489">
        <v>5395.6504855170397</v>
      </c>
      <c r="H247" s="1424">
        <v>5100.5900565632073</v>
      </c>
      <c r="I247" s="1424">
        <v>6006.74992147799</v>
      </c>
      <c r="J247" s="1423">
        <v>5317.3518126357339</v>
      </c>
      <c r="K247" s="1489">
        <v>6734.0496191414031</v>
      </c>
      <c r="L247" s="1424">
        <v>5501.4743918965405</v>
      </c>
      <c r="M247" s="1424">
        <v>6268.4758752189118</v>
      </c>
      <c r="N247" s="1423">
        <v>5985.7267911888366</v>
      </c>
      <c r="O247" s="1489">
        <v>9477.3896272805832</v>
      </c>
      <c r="P247" s="1424">
        <v>8173.946883501706</v>
      </c>
      <c r="Q247" s="1424">
        <v>8259.4192392880977</v>
      </c>
      <c r="R247" s="1424">
        <v>6410.7661597259648</v>
      </c>
      <c r="S247" s="1489">
        <v>7790.1968554542191</v>
      </c>
      <c r="T247" s="1424">
        <v>5959.6264930636416</v>
      </c>
      <c r="U247" s="1424">
        <v>6840.5607736665088</v>
      </c>
      <c r="V247" s="1424">
        <v>6525.372318959221</v>
      </c>
      <c r="W247" s="1489">
        <v>9013.981977331181</v>
      </c>
      <c r="X247" s="1424">
        <v>5435.4274567969042</v>
      </c>
      <c r="Y247" s="1424">
        <v>6191.277648456301</v>
      </c>
      <c r="Z247" s="1423">
        <v>6850.9884407370319</v>
      </c>
      <c r="AA247" s="1489">
        <v>10265.602875410354</v>
      </c>
      <c r="AB247" s="1424">
        <v>6715.6093086897836</v>
      </c>
      <c r="AC247" s="1424">
        <v>7664.0265319712089</v>
      </c>
      <c r="AD247" s="1423">
        <v>9225.6308062235858</v>
      </c>
      <c r="AE247" s="1489">
        <v>9673.625167828357</v>
      </c>
      <c r="AF247" s="1424">
        <v>8570.6534203356659</v>
      </c>
      <c r="AG247" s="1424">
        <v>7452.1855165401403</v>
      </c>
      <c r="AH247" s="1423">
        <v>7408.3223776683062</v>
      </c>
      <c r="AI247" s="1489">
        <v>7667.4563966200603</v>
      </c>
      <c r="AJ247" s="1425">
        <v>6356.9074135752089</v>
      </c>
      <c r="AK247" s="1425">
        <v>6365.0018649239109</v>
      </c>
      <c r="AL247" s="1426">
        <v>7895.7944693923155</v>
      </c>
      <c r="AM247" s="1425">
        <v>8227.0666796054647</v>
      </c>
      <c r="AN247" s="1425">
        <v>7395.1984077621601</v>
      </c>
      <c r="AO247" s="1425">
        <v>7619.8934280639423</v>
      </c>
      <c r="AP247" s="1426">
        <v>7070.6490522688118</v>
      </c>
      <c r="AQ247" s="1425">
        <v>9417.0466461005399</v>
      </c>
      <c r="AR247" s="1425">
        <v>7556.0461755771757</v>
      </c>
      <c r="AS247" s="1425">
        <v>7734.2070510855065</v>
      </c>
      <c r="AT247" s="1426">
        <v>6746.2524824277207</v>
      </c>
      <c r="AU247" s="1425">
        <v>9420.6351919674853</v>
      </c>
      <c r="AV247" s="1425">
        <v>7558.9255515952455</v>
      </c>
      <c r="AW247" s="1425">
        <v>7737.1543187151901</v>
      </c>
      <c r="AX247" s="1426">
        <v>6748.8232710595485</v>
      </c>
      <c r="AY247" s="1425">
        <v>9243.941182160137</v>
      </c>
      <c r="AZ247" s="1425">
        <v>7417.1498816610774</v>
      </c>
      <c r="BA247" s="1425">
        <v>7592.0357791248134</v>
      </c>
      <c r="BB247" s="1426">
        <v>6622.2419290433099</v>
      </c>
      <c r="BC247" s="1156"/>
      <c r="BD247" s="1156"/>
      <c r="BE247" s="1045">
        <f t="shared" si="259"/>
        <v>5455.0855690484923</v>
      </c>
      <c r="BF247" s="1045">
        <f t="shared" si="260"/>
        <v>6122.4316693614228</v>
      </c>
      <c r="BG247" s="1045">
        <f t="shared" si="261"/>
        <v>8080.3804774490882</v>
      </c>
      <c r="BH247" s="1045">
        <f t="shared" si="262"/>
        <v>6778.9391102858972</v>
      </c>
      <c r="BI247" s="1045">
        <f t="shared" si="263"/>
        <v>6872.9188808303552</v>
      </c>
      <c r="BJ247" s="1045">
        <f t="shared" si="264"/>
        <v>8467.717380573733</v>
      </c>
      <c r="BK247" s="1045">
        <f t="shared" si="265"/>
        <v>8276.1966205931167</v>
      </c>
      <c r="BL247" s="1045">
        <f t="shared" si="266"/>
        <v>7071.2900361278744</v>
      </c>
      <c r="BM247" s="1280">
        <f t="shared" si="267"/>
        <v>7578.201891925095</v>
      </c>
      <c r="BN247" s="1280">
        <f t="shared" si="268"/>
        <v>7863.3880887977357</v>
      </c>
      <c r="BO247" s="1280">
        <f t="shared" si="269"/>
        <v>7866.3845833343676</v>
      </c>
      <c r="BP247" s="1280">
        <f t="shared" si="270"/>
        <v>7718.8421929973347</v>
      </c>
      <c r="BQ247" s="1114"/>
      <c r="BR247" s="1115"/>
      <c r="BU247" s="1087"/>
      <c r="BV247" s="1086"/>
      <c r="BW247" s="1086"/>
      <c r="BX247" s="1086"/>
    </row>
    <row r="248" spans="2:76" ht="12.75" customHeight="1">
      <c r="B248" s="1286"/>
      <c r="C248" s="1503" t="s">
        <v>518</v>
      </c>
      <c r="D248" s="1416"/>
      <c r="E248" s="1416"/>
      <c r="F248" s="1417"/>
      <c r="G248" s="1489">
        <v>6850.7817272711591</v>
      </c>
      <c r="H248" s="1424">
        <v>6621.032095301849</v>
      </c>
      <c r="I248" s="1424">
        <v>7456.0304454809211</v>
      </c>
      <c r="J248" s="1423">
        <v>6786.9757708018869</v>
      </c>
      <c r="K248" s="1489">
        <v>7103.6316586257462</v>
      </c>
      <c r="L248" s="1424">
        <v>6489.3612351463817</v>
      </c>
      <c r="M248" s="1424">
        <v>7652.9516182493453</v>
      </c>
      <c r="N248" s="1423">
        <v>7018.4711655947503</v>
      </c>
      <c r="O248" s="1489">
        <v>7952.8432404796031</v>
      </c>
      <c r="P248" s="1424">
        <v>7515.6719478298664</v>
      </c>
      <c r="Q248" s="1424">
        <v>7355.2985870752173</v>
      </c>
      <c r="R248" s="1424">
        <v>6558.0613022094312</v>
      </c>
      <c r="S248" s="1489">
        <v>6674.9226754832425</v>
      </c>
      <c r="T248" s="1424">
        <v>6638.422412018157</v>
      </c>
      <c r="U248" s="1424">
        <v>7223.9917476319215</v>
      </c>
      <c r="V248" s="1424">
        <v>7084.8548714796698</v>
      </c>
      <c r="W248" s="1489">
        <v>6140.4918444926798</v>
      </c>
      <c r="X248" s="1424">
        <v>6818.4558455411725</v>
      </c>
      <c r="Y248" s="1424">
        <v>7269.96105521761</v>
      </c>
      <c r="Z248" s="1423">
        <v>6682.661837208123</v>
      </c>
      <c r="AA248" s="1489">
        <v>7652.4945449900451</v>
      </c>
      <c r="AB248" s="1424">
        <v>7888.8594888397292</v>
      </c>
      <c r="AC248" s="1424">
        <v>7345.5237671149316</v>
      </c>
      <c r="AD248" s="1423">
        <v>7529.6000602417816</v>
      </c>
      <c r="AE248" s="1489">
        <v>6964.2929599013441</v>
      </c>
      <c r="AF248" s="1424">
        <v>6980.8570592020815</v>
      </c>
      <c r="AG248" s="1424">
        <v>8164.8402063845024</v>
      </c>
      <c r="AH248" s="1423">
        <v>6140.7448147131954</v>
      </c>
      <c r="AI248" s="1489">
        <v>6430.7867145184991</v>
      </c>
      <c r="AJ248" s="1425">
        <v>7962.6791325077083</v>
      </c>
      <c r="AK248" s="1425">
        <v>7713.7262070746765</v>
      </c>
      <c r="AL248" s="1426">
        <v>6923.2312215922902</v>
      </c>
      <c r="AM248" s="1425">
        <v>6480.3957229260004</v>
      </c>
      <c r="AN248" s="1425">
        <v>8543.5526806816761</v>
      </c>
      <c r="AO248" s="1425">
        <v>10269.102427471877</v>
      </c>
      <c r="AP248" s="1426">
        <v>6963.1533601378515</v>
      </c>
      <c r="AQ248" s="1425">
        <v>7207.7953169845769</v>
      </c>
      <c r="AR248" s="1425">
        <v>7543.9435635063273</v>
      </c>
      <c r="AS248" s="1425">
        <v>9213.4837628008991</v>
      </c>
      <c r="AT248" s="1426">
        <v>6685.4577110965065</v>
      </c>
      <c r="AU248" s="1425">
        <v>7169.198552229147</v>
      </c>
      <c r="AV248" s="1425">
        <v>7503.5467705559522</v>
      </c>
      <c r="AW248" s="1425">
        <v>9164.1468088875699</v>
      </c>
      <c r="AX248" s="1426">
        <v>6649.6579932619125</v>
      </c>
      <c r="AY248" s="1425">
        <v>6934.3630362278864</v>
      </c>
      <c r="AZ248" s="1425">
        <v>7257.7592861020321</v>
      </c>
      <c r="BA248" s="1425">
        <v>8863.9644204520755</v>
      </c>
      <c r="BB248" s="1426">
        <v>6431.8406382670464</v>
      </c>
      <c r="BC248" s="1156"/>
      <c r="BD248" s="1156"/>
      <c r="BE248" s="1045">
        <f t="shared" si="259"/>
        <v>6928.7050097139545</v>
      </c>
      <c r="BF248" s="1045">
        <f t="shared" si="260"/>
        <v>7066.1039194040559</v>
      </c>
      <c r="BG248" s="1045">
        <f t="shared" si="261"/>
        <v>7345.4687693985288</v>
      </c>
      <c r="BH248" s="1045">
        <f t="shared" si="262"/>
        <v>6905.5479266532475</v>
      </c>
      <c r="BI248" s="1045">
        <f t="shared" si="263"/>
        <v>6727.8926456148965</v>
      </c>
      <c r="BJ248" s="1045">
        <f t="shared" si="264"/>
        <v>7604.1194652966215</v>
      </c>
      <c r="BK248" s="1045">
        <f t="shared" si="265"/>
        <v>7062.6837600502804</v>
      </c>
      <c r="BL248" s="1045">
        <f t="shared" si="266"/>
        <v>7257.6058189232936</v>
      </c>
      <c r="BM248" s="1280">
        <f t="shared" si="267"/>
        <v>8064.0510478043507</v>
      </c>
      <c r="BN248" s="1280">
        <f t="shared" si="268"/>
        <v>7662.6700885970777</v>
      </c>
      <c r="BO248" s="1280">
        <f t="shared" si="269"/>
        <v>7621.6375312336459</v>
      </c>
      <c r="BP248" s="1280">
        <f t="shared" si="270"/>
        <v>7371.9818452622603</v>
      </c>
      <c r="BQ248" s="1114"/>
      <c r="BR248" s="1115"/>
      <c r="BU248" s="1087"/>
      <c r="BV248" s="1086"/>
      <c r="BW248" s="1086"/>
      <c r="BX248" s="1086"/>
    </row>
    <row r="249" spans="2:76" ht="12.75" customHeight="1">
      <c r="B249" s="1286"/>
      <c r="C249" s="1503" t="s">
        <v>550</v>
      </c>
      <c r="D249" s="1416"/>
      <c r="E249" s="1416"/>
      <c r="F249" s="1417"/>
      <c r="G249" s="1489">
        <v>6846.1079969549173</v>
      </c>
      <c r="H249" s="1424">
        <v>6579.7184516400084</v>
      </c>
      <c r="I249" s="1424">
        <v>7383.37060324907</v>
      </c>
      <c r="J249" s="1423">
        <v>6769.6404409553197</v>
      </c>
      <c r="K249" s="1489">
        <v>7202.0850094799453</v>
      </c>
      <c r="L249" s="1424">
        <v>6420.214829248016</v>
      </c>
      <c r="M249" s="1424">
        <v>7575.5365463257504</v>
      </c>
      <c r="N249" s="1423">
        <v>7086.1451129407897</v>
      </c>
      <c r="O249" s="1489">
        <v>7943.4548333544453</v>
      </c>
      <c r="P249" s="1424">
        <v>7525.8237354826097</v>
      </c>
      <c r="Q249" s="1424">
        <v>7232.7025992394247</v>
      </c>
      <c r="R249" s="1424">
        <v>6745.6184695244247</v>
      </c>
      <c r="S249" s="1489">
        <v>6668.1229270336653</v>
      </c>
      <c r="T249" s="1424">
        <v>6535.4293137657605</v>
      </c>
      <c r="U249" s="1424">
        <v>7147.865663393176</v>
      </c>
      <c r="V249" s="1424">
        <v>6981.8886000345046</v>
      </c>
      <c r="W249" s="1489">
        <v>6182.9907384190228</v>
      </c>
      <c r="X249" s="1424">
        <v>6785.8365945503001</v>
      </c>
      <c r="Y249" s="1424">
        <v>7136.6442103725694</v>
      </c>
      <c r="Z249" s="1423">
        <v>6702.3457070216837</v>
      </c>
      <c r="AA249" s="1489">
        <v>7664.6160360806507</v>
      </c>
      <c r="AB249" s="1424">
        <v>7048.9520285495655</v>
      </c>
      <c r="AC249" s="1424">
        <v>7197.670615244313</v>
      </c>
      <c r="AD249" s="1423">
        <v>7101.8354351902599</v>
      </c>
      <c r="AE249" s="1489">
        <v>6945.1239071268637</v>
      </c>
      <c r="AF249" s="1424">
        <v>6861.101172272105</v>
      </c>
      <c r="AG249" s="1424">
        <v>7251.121749054284</v>
      </c>
      <c r="AH249" s="1423">
        <v>6022.5093589603321</v>
      </c>
      <c r="AI249" s="1489">
        <v>5878.8543969869743</v>
      </c>
      <c r="AJ249" s="1425">
        <v>6363.7110064538647</v>
      </c>
      <c r="AK249" s="1425">
        <v>7360.8455434858543</v>
      </c>
      <c r="AL249" s="1426">
        <v>6251.0403871722756</v>
      </c>
      <c r="AM249" s="1425">
        <v>6199.6866590289592</v>
      </c>
      <c r="AN249" s="1425">
        <v>7716.3353650951622</v>
      </c>
      <c r="AO249" s="1425">
        <v>10174.371817643576</v>
      </c>
      <c r="AP249" s="1426">
        <v>6681.7059161401476</v>
      </c>
      <c r="AQ249" s="1425">
        <v>6960.4803932414106</v>
      </c>
      <c r="AR249" s="1425">
        <v>7040.2791244410537</v>
      </c>
      <c r="AS249" s="1425">
        <v>8992.7280873911477</v>
      </c>
      <c r="AT249" s="1426">
        <v>6121.8589841224284</v>
      </c>
      <c r="AU249" s="1425">
        <v>6833.8195343448451</v>
      </c>
      <c r="AV249" s="1425">
        <v>6912.1661566006269</v>
      </c>
      <c r="AW249" s="1425">
        <v>8829.0861260578167</v>
      </c>
      <c r="AX249" s="1426">
        <v>6010.4586391511948</v>
      </c>
      <c r="AY249" s="1425">
        <v>6536.1986425108153</v>
      </c>
      <c r="AZ249" s="1425">
        <v>6611.1331770650186</v>
      </c>
      <c r="BA249" s="1425">
        <v>8444.5690234754893</v>
      </c>
      <c r="BB249" s="1426">
        <v>5748.6960843272727</v>
      </c>
      <c r="BC249" s="1156"/>
      <c r="BD249" s="1156"/>
      <c r="BE249" s="1045">
        <f t="shared" si="259"/>
        <v>6894.7093731998284</v>
      </c>
      <c r="BF249" s="1045">
        <f t="shared" si="260"/>
        <v>7070.995374498626</v>
      </c>
      <c r="BG249" s="1045">
        <f t="shared" si="261"/>
        <v>7361.8999094002265</v>
      </c>
      <c r="BH249" s="1045">
        <f t="shared" si="262"/>
        <v>6833.3266260567761</v>
      </c>
      <c r="BI249" s="1045">
        <f t="shared" si="263"/>
        <v>6701.9543125908931</v>
      </c>
      <c r="BJ249" s="1045">
        <f t="shared" si="264"/>
        <v>7253.2685287661971</v>
      </c>
      <c r="BK249" s="1045">
        <f t="shared" si="265"/>
        <v>6769.9640468533962</v>
      </c>
      <c r="BL249" s="1045">
        <f t="shared" si="266"/>
        <v>6463.6128335247431</v>
      </c>
      <c r="BM249" s="1280">
        <f t="shared" si="267"/>
        <v>7693.0249394769617</v>
      </c>
      <c r="BN249" s="1280">
        <f t="shared" si="268"/>
        <v>7278.8366472990101</v>
      </c>
      <c r="BO249" s="1280">
        <f t="shared" si="269"/>
        <v>7146.3826140386209</v>
      </c>
      <c r="BP249" s="1280">
        <f t="shared" si="270"/>
        <v>6835.1492318446481</v>
      </c>
      <c r="BQ249" s="1114"/>
      <c r="BR249" s="1115"/>
      <c r="BU249" s="1087"/>
      <c r="BV249" s="1086"/>
      <c r="BW249" s="1086"/>
      <c r="BX249" s="1086"/>
    </row>
    <row r="250" spans="2:76" ht="12.75" customHeight="1">
      <c r="B250" s="1286"/>
      <c r="C250" s="1503" t="s">
        <v>519</v>
      </c>
      <c r="D250" s="1416"/>
      <c r="E250" s="1416"/>
      <c r="F250" s="1417"/>
      <c r="G250" s="1489">
        <v>6830.6037324407944</v>
      </c>
      <c r="H250" s="1424">
        <v>6562.8970251557994</v>
      </c>
      <c r="I250" s="1424">
        <v>7414.7110582687419</v>
      </c>
      <c r="J250" s="1423">
        <v>6679.1141503791168</v>
      </c>
      <c r="K250" s="1489">
        <v>7138.8046808257704</v>
      </c>
      <c r="L250" s="1424">
        <v>6258.087014167384</v>
      </c>
      <c r="M250" s="1424">
        <v>7523.249636289559</v>
      </c>
      <c r="N250" s="1423">
        <v>7174.579060258885</v>
      </c>
      <c r="O250" s="1489">
        <v>7873.2744080347829</v>
      </c>
      <c r="P250" s="1424">
        <v>7431.2884796307553</v>
      </c>
      <c r="Q250" s="1424">
        <v>7334.1288032927387</v>
      </c>
      <c r="R250" s="1424">
        <v>6585.3989518402341</v>
      </c>
      <c r="S250" s="1489">
        <v>6652.2606369130135</v>
      </c>
      <c r="T250" s="1424">
        <v>6539.4547394260053</v>
      </c>
      <c r="U250" s="1424">
        <v>7184.9101755550391</v>
      </c>
      <c r="V250" s="1424">
        <v>6986.060144475985</v>
      </c>
      <c r="W250" s="1489">
        <v>6142.7701878695543</v>
      </c>
      <c r="X250" s="1424">
        <v>6706.9196289195888</v>
      </c>
      <c r="Y250" s="1424">
        <v>7191.2801571027721</v>
      </c>
      <c r="Z250" s="1423">
        <v>6691.3524756882343</v>
      </c>
      <c r="AA250" s="1489">
        <v>7683.5517405383844</v>
      </c>
      <c r="AB250" s="1424">
        <v>7477.9551606525392</v>
      </c>
      <c r="AC250" s="1424">
        <v>7273.2045800322394</v>
      </c>
      <c r="AD250" s="1423">
        <v>7297.8688266327545</v>
      </c>
      <c r="AE250" s="1489">
        <v>6825.5682022125657</v>
      </c>
      <c r="AF250" s="1424">
        <v>6812.7741649171348</v>
      </c>
      <c r="AG250" s="1424">
        <v>7454.9666094076501</v>
      </c>
      <c r="AH250" s="1423">
        <v>6130.1227783855711</v>
      </c>
      <c r="AI250" s="1489">
        <v>5895.9354557555907</v>
      </c>
      <c r="AJ250" s="1425">
        <v>7064.5603116460243</v>
      </c>
      <c r="AK250" s="1425">
        <v>7856.3102926990641</v>
      </c>
      <c r="AL250" s="1426">
        <v>6693.0932220303657</v>
      </c>
      <c r="AM250" s="1425">
        <v>6308.6390155305817</v>
      </c>
      <c r="AN250" s="1425">
        <v>8300.9851971638291</v>
      </c>
      <c r="AO250" s="1425">
        <v>10559.214920071048</v>
      </c>
      <c r="AP250" s="1426">
        <v>6991.8724870763926</v>
      </c>
      <c r="AQ250" s="1425">
        <v>7308.293740592273</v>
      </c>
      <c r="AR250" s="1425">
        <v>7573.1759724842441</v>
      </c>
      <c r="AS250" s="1425">
        <v>9344.5082187459211</v>
      </c>
      <c r="AT250" s="1426">
        <v>6521.5722220472508</v>
      </c>
      <c r="AU250" s="1425">
        <v>7193.750633657809</v>
      </c>
      <c r="AV250" s="1425">
        <v>7454.4813583868809</v>
      </c>
      <c r="AW250" s="1425">
        <v>9198.0514612397492</v>
      </c>
      <c r="AX250" s="1426">
        <v>6419.3594250626784</v>
      </c>
      <c r="AY250" s="1425">
        <v>6930.4910839990544</v>
      </c>
      <c r="AZ250" s="1425">
        <v>7181.6802139926585</v>
      </c>
      <c r="BA250" s="1425">
        <v>8861.4433400053931</v>
      </c>
      <c r="BB250" s="1426">
        <v>6184.4391786709302</v>
      </c>
      <c r="BC250" s="1156"/>
      <c r="BD250" s="1156"/>
      <c r="BE250" s="1045">
        <f t="shared" si="259"/>
        <v>6871.8314915611136</v>
      </c>
      <c r="BF250" s="1045">
        <f t="shared" si="260"/>
        <v>7023.6800978853998</v>
      </c>
      <c r="BG250" s="1045">
        <f t="shared" si="261"/>
        <v>7306.0226606996284</v>
      </c>
      <c r="BH250" s="1045">
        <f t="shared" si="262"/>
        <v>6840.6714240925112</v>
      </c>
      <c r="BI250" s="1045">
        <f t="shared" si="263"/>
        <v>6683.080612395037</v>
      </c>
      <c r="BJ250" s="1045">
        <f t="shared" si="264"/>
        <v>7433.1450769639796</v>
      </c>
      <c r="BK250" s="1045">
        <f t="shared" si="265"/>
        <v>6805.8579387307309</v>
      </c>
      <c r="BL250" s="1045">
        <f t="shared" si="266"/>
        <v>6877.4748205327614</v>
      </c>
      <c r="BM250" s="1280">
        <f t="shared" si="267"/>
        <v>8040.1779049604629</v>
      </c>
      <c r="BN250" s="1280">
        <f t="shared" si="268"/>
        <v>7686.8875384674229</v>
      </c>
      <c r="BO250" s="1280">
        <f t="shared" si="269"/>
        <v>7566.4107195867791</v>
      </c>
      <c r="BP250" s="1280">
        <f t="shared" si="270"/>
        <v>7289.5134541670095</v>
      </c>
      <c r="BQ250" s="1114"/>
      <c r="BR250" s="1115"/>
      <c r="BU250" s="1087"/>
      <c r="BV250" s="1086"/>
      <c r="BW250" s="1086"/>
      <c r="BX250" s="1086"/>
    </row>
    <row r="251" spans="2:76" ht="12.75" customHeight="1">
      <c r="B251" s="1286"/>
      <c r="C251" s="1503" t="s">
        <v>551</v>
      </c>
      <c r="D251" s="1416"/>
      <c r="E251" s="1416"/>
      <c r="F251" s="1417"/>
      <c r="G251" s="1489">
        <v>6551.2481776158975</v>
      </c>
      <c r="H251" s="1424">
        <v>6271.3601770080304</v>
      </c>
      <c r="I251" s="1424">
        <v>7021.4112476857217</v>
      </c>
      <c r="J251" s="1423">
        <v>6733.6908270051736</v>
      </c>
      <c r="K251" s="1489">
        <v>4947.8024200898235</v>
      </c>
      <c r="L251" s="1424">
        <v>3639.4677482772172</v>
      </c>
      <c r="M251" s="1424">
        <v>5747.6866885726586</v>
      </c>
      <c r="N251" s="1423">
        <v>6628.5228267586781</v>
      </c>
      <c r="O251" s="1489">
        <v>7140.6532375369161</v>
      </c>
      <c r="P251" s="1424">
        <v>6382.371966804455</v>
      </c>
      <c r="Q251" s="1424">
        <v>6483.5540521088269</v>
      </c>
      <c r="R251" s="1424">
        <v>6726.4830833685282</v>
      </c>
      <c r="S251" s="1489">
        <v>7205.7973591784121</v>
      </c>
      <c r="T251" s="1424">
        <v>6357.537844012214</v>
      </c>
      <c r="U251" s="1424">
        <v>6423.4820897102254</v>
      </c>
      <c r="V251" s="1424">
        <v>7229.6977497861471</v>
      </c>
      <c r="W251" s="1489">
        <v>6790.8520186587984</v>
      </c>
      <c r="X251" s="1424">
        <v>6349.6655319918109</v>
      </c>
      <c r="Y251" s="1424">
        <v>7036.4214757575519</v>
      </c>
      <c r="Z251" s="1423">
        <v>6665.5421283905716</v>
      </c>
      <c r="AA251" s="1489">
        <v>7686.8419302083648</v>
      </c>
      <c r="AB251" s="1424">
        <v>7549.5235262753986</v>
      </c>
      <c r="AC251" s="1424">
        <v>7870.964586340303</v>
      </c>
      <c r="AD251" s="1423">
        <v>7947.0472842148192</v>
      </c>
      <c r="AE251" s="1489">
        <v>8041.4196020612753</v>
      </c>
      <c r="AF251" s="1424">
        <v>7252.5359380326045</v>
      </c>
      <c r="AG251" s="1424">
        <v>7589.9916495196767</v>
      </c>
      <c r="AH251" s="1423">
        <v>7054.7193373314476</v>
      </c>
      <c r="AI251" s="1489">
        <v>6592.9726251884122</v>
      </c>
      <c r="AJ251" s="1425">
        <v>6874.6729901740318</v>
      </c>
      <c r="AK251" s="1425">
        <v>7377.5104880100744</v>
      </c>
      <c r="AL251" s="1426">
        <v>5402.5632811176656</v>
      </c>
      <c r="AM251" s="1425">
        <v>6081.509077044283</v>
      </c>
      <c r="AN251" s="1425">
        <v>10853.739245532757</v>
      </c>
      <c r="AO251" s="1425">
        <v>10437.986082685222</v>
      </c>
      <c r="AP251" s="1426">
        <v>8954.2936288088658</v>
      </c>
      <c r="AQ251" s="1425">
        <v>9568.8121647134849</v>
      </c>
      <c r="AR251" s="1425">
        <v>12135.565714038688</v>
      </c>
      <c r="AS251" s="1425">
        <v>12432.237568226872</v>
      </c>
      <c r="AT251" s="1426">
        <v>9155.3108828586155</v>
      </c>
      <c r="AU251" s="1425">
        <v>10477.444338766418</v>
      </c>
      <c r="AV251" s="1425">
        <v>13287.930842363825</v>
      </c>
      <c r="AW251" s="1425">
        <v>13612.773966633513</v>
      </c>
      <c r="AX251" s="1426">
        <v>10024.677935782822</v>
      </c>
      <c r="AY251" s="1425">
        <v>10870.28187437005</v>
      </c>
      <c r="AZ251" s="1425">
        <v>13786.143749691979</v>
      </c>
      <c r="BA251" s="1425">
        <v>14123.166425412372</v>
      </c>
      <c r="BB251" s="1426">
        <v>10400.539610460706</v>
      </c>
      <c r="BC251" s="1156"/>
      <c r="BD251" s="1156"/>
      <c r="BE251" s="1045">
        <f t="shared" si="259"/>
        <v>6644.4276073287056</v>
      </c>
      <c r="BF251" s="1045">
        <f t="shared" si="260"/>
        <v>5240.8699209245942</v>
      </c>
      <c r="BG251" s="1045">
        <f t="shared" si="261"/>
        <v>6683.2655849546809</v>
      </c>
      <c r="BH251" s="1045">
        <f t="shared" si="262"/>
        <v>6804.1287606717497</v>
      </c>
      <c r="BI251" s="1045">
        <f t="shared" si="263"/>
        <v>6710.6202886996825</v>
      </c>
      <c r="BJ251" s="1045">
        <f t="shared" si="264"/>
        <v>7763.5943317597212</v>
      </c>
      <c r="BK251" s="1045">
        <f t="shared" si="265"/>
        <v>7484.6666317362515</v>
      </c>
      <c r="BL251" s="1045">
        <f t="shared" si="266"/>
        <v>6561.9298461225462</v>
      </c>
      <c r="BM251" s="1280">
        <f t="shared" si="267"/>
        <v>9081.8820085177831</v>
      </c>
      <c r="BN251" s="1280">
        <f t="shared" si="268"/>
        <v>10822.981582459415</v>
      </c>
      <c r="BO251" s="1280">
        <f t="shared" si="269"/>
        <v>11850.706770886643</v>
      </c>
      <c r="BP251" s="1280">
        <f t="shared" si="270"/>
        <v>12295.032914983778</v>
      </c>
      <c r="BQ251" s="1114"/>
      <c r="BR251" s="1115"/>
      <c r="BU251" s="1087"/>
      <c r="BV251" s="1086"/>
      <c r="BW251" s="1086"/>
      <c r="BX251" s="1086"/>
    </row>
    <row r="252" spans="2:76" ht="12.75" customHeight="1">
      <c r="B252" s="1286"/>
      <c r="C252" s="1503" t="s">
        <v>552</v>
      </c>
      <c r="D252" s="1416"/>
      <c r="E252" s="1416"/>
      <c r="F252" s="1417"/>
      <c r="G252" s="1489">
        <v>7774.7039121401549</v>
      </c>
      <c r="H252" s="1424">
        <v>4421.426097331675</v>
      </c>
      <c r="I252" s="1424">
        <v>6156.2722201020406</v>
      </c>
      <c r="J252" s="1423">
        <v>7002.5167489617788</v>
      </c>
      <c r="K252" s="1489">
        <v>4589.0510511069697</v>
      </c>
      <c r="L252" s="1424">
        <v>2411.1346788076098</v>
      </c>
      <c r="M252" s="1424">
        <v>5490.4974244869181</v>
      </c>
      <c r="N252" s="1423">
        <v>6615.8727095483928</v>
      </c>
      <c r="O252" s="1489">
        <v>7046.3802040246701</v>
      </c>
      <c r="P252" s="1424">
        <v>5518.5767411822817</v>
      </c>
      <c r="Q252" s="1424">
        <v>6377.5206167201122</v>
      </c>
      <c r="R252" s="1424">
        <v>7344.081803590022</v>
      </c>
      <c r="S252" s="1489">
        <v>9311.2686731067824</v>
      </c>
      <c r="T252" s="1424">
        <v>7056.6794179267672</v>
      </c>
      <c r="U252" s="1424">
        <v>8597.9551187672805</v>
      </c>
      <c r="V252" s="1424">
        <v>9033.2153415300436</v>
      </c>
      <c r="W252" s="1489">
        <v>7778.1824249044994</v>
      </c>
      <c r="X252" s="1424">
        <v>4321.8647012602933</v>
      </c>
      <c r="Y252" s="1424">
        <v>7399.6643648541531</v>
      </c>
      <c r="Z252" s="1423">
        <v>8079.6050793482691</v>
      </c>
      <c r="AA252" s="1489">
        <v>8597.8421847930604</v>
      </c>
      <c r="AB252" s="1424">
        <v>9043.6082365961338</v>
      </c>
      <c r="AC252" s="1424">
        <v>9384.1581076756538</v>
      </c>
      <c r="AD252" s="1423">
        <v>10244.540848251741</v>
      </c>
      <c r="AE252" s="1489">
        <v>9931.6699639321978</v>
      </c>
      <c r="AF252" s="1424">
        <v>8322.9072817939832</v>
      </c>
      <c r="AG252" s="1424">
        <v>9519.3024094689408</v>
      </c>
      <c r="AH252" s="1423">
        <v>8836.9259337879703</v>
      </c>
      <c r="AI252" s="1489">
        <v>7422.1179080352858</v>
      </c>
      <c r="AJ252" s="1425">
        <v>6926.4056548853769</v>
      </c>
      <c r="AK252" s="1425">
        <v>9076.9846765896473</v>
      </c>
      <c r="AL252" s="1426">
        <v>7115.4623612168161</v>
      </c>
      <c r="AM252" s="1425">
        <v>7142.1403365965198</v>
      </c>
      <c r="AN252" s="1425">
        <v>11846.45929847783</v>
      </c>
      <c r="AO252" s="1425">
        <v>13262.382316823576</v>
      </c>
      <c r="AP252" s="1426">
        <v>13234.072022160666</v>
      </c>
      <c r="AQ252" s="1425">
        <v>12329.48172551779</v>
      </c>
      <c r="AR252" s="1425">
        <v>13082.874702863712</v>
      </c>
      <c r="AS252" s="1425">
        <v>15543.273890119144</v>
      </c>
      <c r="AT252" s="1426">
        <v>12131.723236546579</v>
      </c>
      <c r="AU252" s="1425">
        <v>13058.427446074731</v>
      </c>
      <c r="AV252" s="1425">
        <v>13856.36265146884</v>
      </c>
      <c r="AW252" s="1425">
        <v>16462.225978932187</v>
      </c>
      <c r="AX252" s="1426">
        <v>12848.977046003884</v>
      </c>
      <c r="AY252" s="1425">
        <v>13044.817446046907</v>
      </c>
      <c r="AZ252" s="1425">
        <v>13841.92101239317</v>
      </c>
      <c r="BA252" s="1425">
        <v>16445.068407933952</v>
      </c>
      <c r="BB252" s="1426">
        <v>12835.585343314124</v>
      </c>
      <c r="BC252" s="1156"/>
      <c r="BD252" s="1156"/>
      <c r="BE252" s="1045">
        <f t="shared" si="259"/>
        <v>6338.7297446339117</v>
      </c>
      <c r="BF252" s="1045">
        <f t="shared" si="260"/>
        <v>4776.6389659874721</v>
      </c>
      <c r="BG252" s="1045">
        <f t="shared" si="261"/>
        <v>6571.6398413792722</v>
      </c>
      <c r="BH252" s="1045">
        <f t="shared" si="262"/>
        <v>8499.7796378327184</v>
      </c>
      <c r="BI252" s="1045">
        <f t="shared" si="263"/>
        <v>6894.8291425918032</v>
      </c>
      <c r="BJ252" s="1045">
        <f t="shared" si="264"/>
        <v>9317.5373443291464</v>
      </c>
      <c r="BK252" s="1045">
        <f t="shared" si="265"/>
        <v>9152.7013972457735</v>
      </c>
      <c r="BL252" s="1045">
        <f t="shared" si="266"/>
        <v>7635.2426501817808</v>
      </c>
      <c r="BM252" s="1280">
        <f t="shared" si="267"/>
        <v>11371.263493514649</v>
      </c>
      <c r="BN252" s="1280">
        <f t="shared" si="268"/>
        <v>13271.838388761804</v>
      </c>
      <c r="BO252" s="1280">
        <f t="shared" si="269"/>
        <v>14056.498280619911</v>
      </c>
      <c r="BP252" s="1280">
        <f t="shared" si="270"/>
        <v>14041.848052422038</v>
      </c>
      <c r="BQ252" s="1114"/>
      <c r="BR252" s="1115"/>
      <c r="BU252" s="1087"/>
      <c r="BV252" s="1086"/>
      <c r="BW252" s="1086"/>
      <c r="BX252" s="1086"/>
    </row>
    <row r="253" spans="2:76" ht="12.75" customHeight="1">
      <c r="B253" s="1286"/>
      <c r="C253" s="1503" t="s">
        <v>553</v>
      </c>
      <c r="D253" s="1416"/>
      <c r="E253" s="1416"/>
      <c r="F253" s="1417"/>
      <c r="G253" s="1489">
        <v>7252.1393102577795</v>
      </c>
      <c r="H253" s="1424">
        <v>4593.567349875505</v>
      </c>
      <c r="I253" s="1424">
        <v>6427.0806799498041</v>
      </c>
      <c r="J253" s="1423">
        <v>7240.3857070656832</v>
      </c>
      <c r="K253" s="1489">
        <v>4527.9726426404268</v>
      </c>
      <c r="L253" s="1424">
        <v>2139.4239164830151</v>
      </c>
      <c r="M253" s="1424">
        <v>5540.0381805538027</v>
      </c>
      <c r="N253" s="1423">
        <v>6922.8867412093605</v>
      </c>
      <c r="O253" s="1489">
        <v>7288.8165261279782</v>
      </c>
      <c r="P253" s="1424">
        <v>4935.209035652063</v>
      </c>
      <c r="Q253" s="1424">
        <v>6004.1600044308707</v>
      </c>
      <c r="R253" s="1424">
        <v>7422.4345820566759</v>
      </c>
      <c r="S253" s="1489">
        <v>8678.8668853041981</v>
      </c>
      <c r="T253" s="1424">
        <v>7027.7276846105133</v>
      </c>
      <c r="U253" s="1424">
        <v>8817.9649843376701</v>
      </c>
      <c r="V253" s="1424">
        <v>9456.2247970327371</v>
      </c>
      <c r="W253" s="1489">
        <v>7950.7893476766221</v>
      </c>
      <c r="X253" s="1424">
        <v>5115.2173055428402</v>
      </c>
      <c r="Y253" s="1424">
        <v>7521.7861132026201</v>
      </c>
      <c r="Z253" s="1423">
        <v>8141.7125084036306</v>
      </c>
      <c r="AA253" s="1489">
        <v>9101.9308944914155</v>
      </c>
      <c r="AB253" s="1424">
        <v>9671.1886124478242</v>
      </c>
      <c r="AC253" s="1424">
        <v>9120.2470401114297</v>
      </c>
      <c r="AD253" s="1423">
        <v>10477.07621910588</v>
      </c>
      <c r="AE253" s="1489">
        <v>9611.7445703524172</v>
      </c>
      <c r="AF253" s="1424">
        <v>9580.9697078732752</v>
      </c>
      <c r="AG253" s="1424">
        <v>10025.134228924268</v>
      </c>
      <c r="AH253" s="1423">
        <v>9232.644929535496</v>
      </c>
      <c r="AI253" s="1489">
        <v>7618.1564331858617</v>
      </c>
      <c r="AJ253" s="1425">
        <v>6565.829016583225</v>
      </c>
      <c r="AK253" s="1425">
        <v>9399.4393190765804</v>
      </c>
      <c r="AL253" s="1426">
        <v>7066.9504901112114</v>
      </c>
      <c r="AM253" s="1425">
        <v>7616.7891957904303</v>
      </c>
      <c r="AN253" s="1425">
        <v>12260.09265387161</v>
      </c>
      <c r="AO253" s="1425">
        <v>13180.515759312319</v>
      </c>
      <c r="AP253" s="1426">
        <v>13337.950138504159</v>
      </c>
      <c r="AQ253" s="1425">
        <v>12476.166964736271</v>
      </c>
      <c r="AR253" s="1425">
        <v>13453.482204801772</v>
      </c>
      <c r="AS253" s="1425">
        <v>15729.035256212897</v>
      </c>
      <c r="AT253" s="1426">
        <v>12833.726601162503</v>
      </c>
      <c r="AU253" s="1425">
        <v>13182.832885276595</v>
      </c>
      <c r="AV253" s="1425">
        <v>14215.504500078907</v>
      </c>
      <c r="AW253" s="1425">
        <v>16619.947762430536</v>
      </c>
      <c r="AX253" s="1426">
        <v>13560.64515300677</v>
      </c>
      <c r="AY253" s="1425">
        <v>13153.941016853727</v>
      </c>
      <c r="AZ253" s="1425">
        <v>14184.349399414645</v>
      </c>
      <c r="BA253" s="1425">
        <v>16583.523016086117</v>
      </c>
      <c r="BB253" s="1426">
        <v>13530.925260560325</v>
      </c>
      <c r="BC253" s="1156"/>
      <c r="BD253" s="1156"/>
      <c r="BE253" s="1045">
        <f t="shared" si="259"/>
        <v>6378.293261787192</v>
      </c>
      <c r="BF253" s="1045">
        <f t="shared" si="260"/>
        <v>4782.5803702216508</v>
      </c>
      <c r="BG253" s="1045">
        <f t="shared" si="261"/>
        <v>6412.6550370668974</v>
      </c>
      <c r="BH253" s="1045">
        <f t="shared" si="262"/>
        <v>8495.1960878212794</v>
      </c>
      <c r="BI253" s="1045">
        <f t="shared" si="263"/>
        <v>7182.3763187064278</v>
      </c>
      <c r="BJ253" s="1045">
        <f t="shared" si="264"/>
        <v>9592.6106915391374</v>
      </c>
      <c r="BK253" s="1045">
        <f t="shared" si="265"/>
        <v>9612.6233591713644</v>
      </c>
      <c r="BL253" s="1045">
        <f t="shared" si="266"/>
        <v>7662.5938147392199</v>
      </c>
      <c r="BM253" s="1280">
        <f t="shared" si="267"/>
        <v>11598.836936869629</v>
      </c>
      <c r="BN253" s="1280">
        <f t="shared" si="268"/>
        <v>13623.10275672836</v>
      </c>
      <c r="BO253" s="1280">
        <f t="shared" si="269"/>
        <v>14394.732575198203</v>
      </c>
      <c r="BP253" s="1280">
        <f t="shared" si="270"/>
        <v>14363.184673228703</v>
      </c>
      <c r="BQ253" s="1114"/>
      <c r="BR253" s="1115"/>
      <c r="BU253" s="1087"/>
      <c r="BV253" s="1086"/>
      <c r="BW253" s="1086"/>
      <c r="BX253" s="1086"/>
    </row>
    <row r="254" spans="2:76" ht="12.75" customHeight="1">
      <c r="B254" s="1286"/>
      <c r="C254" s="1503" t="s">
        <v>554</v>
      </c>
      <c r="D254" s="1416"/>
      <c r="E254" s="1416"/>
      <c r="F254" s="1417"/>
      <c r="G254" s="1489">
        <v>7403.8228607986066</v>
      </c>
      <c r="H254" s="1424">
        <v>5010.1388926342906</v>
      </c>
      <c r="I254" s="1424">
        <v>6534.2814502677575</v>
      </c>
      <c r="J254" s="1423">
        <v>7663.4892753526874</v>
      </c>
      <c r="K254" s="1489">
        <v>3929.5845308814478</v>
      </c>
      <c r="L254" s="1424">
        <v>2019.2783189557053</v>
      </c>
      <c r="M254" s="1424">
        <v>4670.8573279366547</v>
      </c>
      <c r="N254" s="1423">
        <v>7514.4082343612945</v>
      </c>
      <c r="O254" s="1489">
        <v>6973.3021358291335</v>
      </c>
      <c r="P254" s="1424">
        <v>28.782848697248738</v>
      </c>
      <c r="Q254" s="1424">
        <v>4227.0980279257255</v>
      </c>
      <c r="R254" s="1424">
        <v>6727.2801290828729</v>
      </c>
      <c r="S254" s="1489">
        <v>7153.2681962593506</v>
      </c>
      <c r="T254" s="1424">
        <v>4191.4647898805733</v>
      </c>
      <c r="U254" s="1424">
        <v>6208.3880299897546</v>
      </c>
      <c r="V254" s="1424">
        <v>9165.8261083092457</v>
      </c>
      <c r="W254" s="1489">
        <v>4535.3497131161557</v>
      </c>
      <c r="X254" s="1424">
        <v>2842.1256826512813</v>
      </c>
      <c r="Y254" s="1424">
        <v>6174.4647234642125</v>
      </c>
      <c r="Z254" s="1423">
        <v>6739.3189580413173</v>
      </c>
      <c r="AA254" s="1489">
        <v>5272.3423493712744</v>
      </c>
      <c r="AB254" s="1424">
        <v>8070.6412815660206</v>
      </c>
      <c r="AC254" s="1424">
        <v>7444.7534957486841</v>
      </c>
      <c r="AD254" s="1423">
        <v>7741.2731719518661</v>
      </c>
      <c r="AE254" s="1489">
        <v>7078.7259123138783</v>
      </c>
      <c r="AF254" s="1424">
        <v>4819.6778604479841</v>
      </c>
      <c r="AG254" s="1424">
        <v>8065.3674973948418</v>
      </c>
      <c r="AH254" s="1423">
        <v>6021.0210358521981</v>
      </c>
      <c r="AI254" s="1489">
        <v>5379.6174287968361</v>
      </c>
      <c r="AJ254" s="1425">
        <v>1169.9251809150007</v>
      </c>
      <c r="AK254" s="1425">
        <v>7370.4596656258645</v>
      </c>
      <c r="AL254" s="1426">
        <v>5207.6474963728888</v>
      </c>
      <c r="AM254" s="1425">
        <v>4481.8108025744623</v>
      </c>
      <c r="AN254" s="1425">
        <v>2680.344142951687</v>
      </c>
      <c r="AO254" s="1425">
        <v>7122.3905034793297</v>
      </c>
      <c r="AP254" s="1426">
        <v>8538.7811634349055</v>
      </c>
      <c r="AQ254" s="1425">
        <v>9294.2311509543069</v>
      </c>
      <c r="AR254" s="1425">
        <v>5469.5978144865967</v>
      </c>
      <c r="AS254" s="1425">
        <v>11009.808729651124</v>
      </c>
      <c r="AT254" s="1426">
        <v>7014.3272150574057</v>
      </c>
      <c r="AU254" s="1425">
        <v>10558.398782517217</v>
      </c>
      <c r="AV254" s="1425">
        <v>6213.5526830968138</v>
      </c>
      <c r="AW254" s="1425">
        <v>12507.32300486846</v>
      </c>
      <c r="AX254" s="1426">
        <v>7968.3905774212635</v>
      </c>
      <c r="AY254" s="1425">
        <v>11008.480327842066</v>
      </c>
      <c r="AZ254" s="1425">
        <v>6478.4229016943764</v>
      </c>
      <c r="BA254" s="1425">
        <v>13040.482945297053</v>
      </c>
      <c r="BB254" s="1426">
        <v>8308.0657136527334</v>
      </c>
      <c r="BC254" s="1156"/>
      <c r="BD254" s="1156"/>
      <c r="BE254" s="1045">
        <f t="shared" si="259"/>
        <v>6652.9331197633355</v>
      </c>
      <c r="BF254" s="1045">
        <f t="shared" si="260"/>
        <v>4533.5321030337755</v>
      </c>
      <c r="BG254" s="1045">
        <f t="shared" si="261"/>
        <v>4489.1157853837449</v>
      </c>
      <c r="BH254" s="1045">
        <f t="shared" si="262"/>
        <v>6679.7367811097301</v>
      </c>
      <c r="BI254" s="1045">
        <f t="shared" si="263"/>
        <v>5072.8147693182418</v>
      </c>
      <c r="BJ254" s="1045">
        <f t="shared" si="264"/>
        <v>7132.2525746594611</v>
      </c>
      <c r="BK254" s="1045">
        <f t="shared" si="265"/>
        <v>6496.1980765022263</v>
      </c>
      <c r="BL254" s="1045">
        <f t="shared" si="266"/>
        <v>4781.9124429276471</v>
      </c>
      <c r="BM254" s="1280">
        <f t="shared" si="267"/>
        <v>5705.8316531100963</v>
      </c>
      <c r="BN254" s="1280">
        <f t="shared" si="268"/>
        <v>8196.991227537359</v>
      </c>
      <c r="BO254" s="1280">
        <f t="shared" si="269"/>
        <v>9311.9162619759391</v>
      </c>
      <c r="BP254" s="1280">
        <f t="shared" si="270"/>
        <v>9708.8629721215584</v>
      </c>
      <c r="BQ254" s="1114"/>
      <c r="BR254" s="1115"/>
      <c r="BU254" s="1087"/>
      <c r="BV254" s="1086"/>
      <c r="BW254" s="1086"/>
      <c r="BX254" s="1086"/>
    </row>
    <row r="255" spans="2:76" ht="12.75" customHeight="1">
      <c r="B255" s="1286"/>
      <c r="C255" s="1503"/>
      <c r="D255" s="1416"/>
      <c r="E255" s="1416"/>
      <c r="F255" s="1417"/>
      <c r="G255" s="1411">
        <v>0</v>
      </c>
      <c r="H255" s="1407">
        <v>0</v>
      </c>
      <c r="I255" s="1407">
        <v>0</v>
      </c>
      <c r="J255" s="1412">
        <v>5127.6255850361686</v>
      </c>
      <c r="K255" s="1413">
        <v>5240.9261466320195</v>
      </c>
      <c r="L255" s="1407">
        <v>3623.7222932969935</v>
      </c>
      <c r="M255" s="1407">
        <v>7637.5478537222789</v>
      </c>
      <c r="N255" s="1412">
        <v>5145.6041120023128</v>
      </c>
      <c r="O255" s="1411">
        <v>5809.5791548366151</v>
      </c>
      <c r="P255" s="1407">
        <v>5954.1949848390959</v>
      </c>
      <c r="Q255" s="1407">
        <v>6888.4287903141694</v>
      </c>
      <c r="R255" s="1410">
        <v>6233.7685965003757</v>
      </c>
      <c r="S255" s="1409">
        <v>5988.0913357535692</v>
      </c>
      <c r="T255" s="1408">
        <v>6007.9038515154725</v>
      </c>
      <c r="U255" s="1408">
        <v>7349.2540806565275</v>
      </c>
      <c r="V255" s="1410">
        <v>6994.6325194419514</v>
      </c>
      <c r="W255" s="1425">
        <v>6080.7198049477747</v>
      </c>
      <c r="X255" s="1425">
        <v>6970.9778782114672</v>
      </c>
      <c r="Y255" s="1425">
        <v>7239.820470198154</v>
      </c>
      <c r="Z255" s="1426">
        <v>6868.5436968988715</v>
      </c>
      <c r="AA255" s="1425">
        <v>8226.1888723536613</v>
      </c>
      <c r="AB255" s="1425">
        <v>7516.0998993134817</v>
      </c>
      <c r="AC255" s="1425">
        <v>7447.7740060088181</v>
      </c>
      <c r="AD255" s="1426">
        <v>7059.7639774892332</v>
      </c>
      <c r="AE255" s="1425">
        <v>7250.2204400046912</v>
      </c>
      <c r="AF255" s="1425">
        <v>6926.0052986481123</v>
      </c>
      <c r="AG255" s="1425">
        <v>7584.2582143532491</v>
      </c>
      <c r="AH255" s="1426">
        <v>6265.3734073086953</v>
      </c>
      <c r="AI255" s="1425">
        <v>5413.0436677824982</v>
      </c>
      <c r="AJ255" s="1425">
        <v>6726.7779529208856</v>
      </c>
      <c r="AK255" s="1425">
        <v>7976.1185813343263</v>
      </c>
      <c r="AL255" s="1426">
        <v>6750.161788693903</v>
      </c>
      <c r="AM255" s="1425">
        <v>6422.2133266124401</v>
      </c>
      <c r="AN255" s="1425">
        <v>8048.0608695652172</v>
      </c>
      <c r="AO255" s="1425">
        <v>11474.906464924346</v>
      </c>
      <c r="AP255" s="1426">
        <v>6852.997364953887</v>
      </c>
      <c r="AQ255" s="1425">
        <v>6265.0137776610345</v>
      </c>
      <c r="AR255" s="1425">
        <v>6530.144494614603</v>
      </c>
      <c r="AS255" s="1425">
        <v>8725.0995759322941</v>
      </c>
      <c r="AT255" s="1426">
        <v>6597.9020800638746</v>
      </c>
      <c r="AU255" s="1425">
        <v>6031.9099537832089</v>
      </c>
      <c r="AV255" s="1425">
        <v>6195.5449296090837</v>
      </c>
      <c r="AW255" s="1425">
        <v>8244.6650067023384</v>
      </c>
      <c r="AX255" s="1426">
        <v>6266.7223668496872</v>
      </c>
      <c r="AY255" s="1425">
        <v>5639.6195767479512</v>
      </c>
      <c r="AZ255" s="1425">
        <v>5777.3245530193408</v>
      </c>
      <c r="BA255" s="1425">
        <v>7670.2250040588715</v>
      </c>
      <c r="BB255" s="1426">
        <v>5829.5160354141863</v>
      </c>
      <c r="BC255" s="1156"/>
      <c r="BD255" s="1156"/>
      <c r="BE255" s="1045"/>
      <c r="BF255" s="1045"/>
      <c r="BG255" s="1045"/>
      <c r="BH255" s="1045"/>
      <c r="BI255" s="1045"/>
      <c r="BJ255" s="1045"/>
      <c r="BK255" s="1045"/>
      <c r="BL255" s="1045"/>
      <c r="BM255" s="1280"/>
      <c r="BN255" s="1280"/>
      <c r="BO255" s="1280"/>
      <c r="BP255" s="1280"/>
      <c r="BQ255" s="1114"/>
      <c r="BR255" s="1115"/>
      <c r="BU255" s="1087"/>
      <c r="BV255" s="1086"/>
      <c r="BW255" s="1086"/>
      <c r="BX255" s="1086"/>
    </row>
    <row r="256" spans="2:76" ht="12.75" customHeight="1">
      <c r="B256" s="1286"/>
      <c r="C256" s="1506" t="s">
        <v>351</v>
      </c>
      <c r="D256" s="1142"/>
      <c r="E256" s="1142"/>
      <c r="F256" s="1269"/>
      <c r="G256" s="1413"/>
      <c r="H256" s="1414"/>
      <c r="I256" s="1414"/>
      <c r="J256" s="1415"/>
      <c r="K256" s="1413"/>
      <c r="L256" s="1414"/>
      <c r="M256" s="1414"/>
      <c r="N256" s="1415"/>
      <c r="O256" s="1413"/>
      <c r="P256" s="1414"/>
      <c r="Q256" s="1414"/>
      <c r="R256" s="1406"/>
      <c r="S256" s="1405"/>
      <c r="T256" s="1404"/>
      <c r="U256" s="1404"/>
      <c r="V256" s="1406"/>
      <c r="W256" s="1481"/>
      <c r="X256" s="1481"/>
      <c r="Y256" s="1481"/>
      <c r="Z256" s="1484"/>
      <c r="AA256" s="1483"/>
      <c r="AB256" s="1483"/>
      <c r="AC256" s="1483"/>
      <c r="AD256" s="1484"/>
      <c r="AE256" s="1483"/>
      <c r="AF256" s="1483"/>
      <c r="AG256" s="1483"/>
      <c r="AH256" s="1484"/>
      <c r="AI256" s="1483"/>
      <c r="AJ256" s="1483"/>
      <c r="AK256" s="1483"/>
      <c r="AL256" s="1484"/>
      <c r="AM256" s="1483"/>
      <c r="AN256" s="1483"/>
      <c r="AO256" s="1483"/>
      <c r="AP256" s="1484"/>
      <c r="AQ256" s="1483"/>
      <c r="AR256" s="1483"/>
      <c r="AS256" s="1483"/>
      <c r="AT256" s="1484"/>
      <c r="AU256" s="1483"/>
      <c r="AV256" s="1483"/>
      <c r="AW256" s="1483"/>
      <c r="AX256" s="1484"/>
      <c r="AY256" s="1483"/>
      <c r="AZ256" s="1483"/>
      <c r="BA256" s="1483"/>
      <c r="BB256" s="1484"/>
      <c r="BC256" s="1132"/>
      <c r="BD256" s="1133"/>
      <c r="BE256" s="1043"/>
      <c r="BF256" s="1043"/>
      <c r="BG256" s="1043"/>
      <c r="BH256" s="1043"/>
      <c r="BI256" s="1043"/>
      <c r="BJ256" s="1043"/>
      <c r="BK256" s="1043"/>
      <c r="BL256" s="1043"/>
      <c r="BM256" s="1256"/>
      <c r="BN256" s="1256"/>
      <c r="BO256" s="1256"/>
      <c r="BP256" s="1256"/>
      <c r="BQ256" s="1114"/>
      <c r="BR256" s="1115"/>
      <c r="BU256" s="1087"/>
      <c r="BV256" s="1086"/>
      <c r="BW256" s="1086"/>
      <c r="BX256" s="1086"/>
    </row>
    <row r="257" spans="2:76" ht="12.75" customHeight="1">
      <c r="B257" s="1286"/>
      <c r="C257" s="1503" t="s">
        <v>799</v>
      </c>
      <c r="D257" s="1416"/>
      <c r="E257" s="1416"/>
      <c r="F257" s="1418"/>
      <c r="G257" s="1413"/>
      <c r="H257" s="1414"/>
      <c r="I257" s="1414"/>
      <c r="J257" s="1415"/>
      <c r="K257" s="1411"/>
      <c r="L257" s="1414"/>
      <c r="M257" s="1414"/>
      <c r="N257" s="1415"/>
      <c r="O257" s="1420">
        <v>102.54</v>
      </c>
      <c r="P257" s="1421">
        <v>95.373333333333335</v>
      </c>
      <c r="Q257" s="1421">
        <v>81.040000000000006</v>
      </c>
      <c r="R257" s="1422">
        <v>81.040000000000006</v>
      </c>
      <c r="S257" s="1420">
        <v>81.040000000000006</v>
      </c>
      <c r="T257" s="1421">
        <v>79.626666666666665</v>
      </c>
      <c r="U257" s="1421">
        <v>76.8</v>
      </c>
      <c r="V257" s="1422">
        <v>76.8</v>
      </c>
      <c r="W257" s="1427">
        <v>76.8</v>
      </c>
      <c r="X257" s="1427">
        <v>82.486666666666665</v>
      </c>
      <c r="Y257" s="1427">
        <v>93.86</v>
      </c>
      <c r="Z257" s="1428">
        <v>93.86</v>
      </c>
      <c r="AA257" s="1427">
        <v>93.86</v>
      </c>
      <c r="AB257" s="1427">
        <v>96.874703196347028</v>
      </c>
      <c r="AC257" s="1427">
        <v>102.9041095890411</v>
      </c>
      <c r="AD257" s="1428">
        <v>102.9041095890411</v>
      </c>
      <c r="AE257" s="1427">
        <v>103</v>
      </c>
      <c r="AF257" s="1427">
        <v>98.736666666666665</v>
      </c>
      <c r="AG257" s="1427">
        <v>90.21</v>
      </c>
      <c r="AH257" s="1428">
        <v>90.21</v>
      </c>
      <c r="AI257" s="1427">
        <v>90.21</v>
      </c>
      <c r="AJ257" s="1427">
        <v>137.126301369863</v>
      </c>
      <c r="AK257" s="1427">
        <v>230.95890410958907</v>
      </c>
      <c r="AL257" s="1428">
        <v>230.95890410958907</v>
      </c>
      <c r="AM257" s="1427">
        <v>230.95890410958907</v>
      </c>
      <c r="AN257" s="1427">
        <v>258.63013698630141</v>
      </c>
      <c r="AO257" s="1427">
        <v>313.97260273972609</v>
      </c>
      <c r="AP257" s="1428">
        <v>313.97260273972609</v>
      </c>
      <c r="AQ257" s="1427">
        <v>313.97260273972609</v>
      </c>
      <c r="AR257" s="1424">
        <v>286.35616438356169</v>
      </c>
      <c r="AS257" s="1424">
        <v>231.12328767123287</v>
      </c>
      <c r="AT257" s="1423">
        <v>231.12328767123287</v>
      </c>
      <c r="AU257" s="1424">
        <v>231.12328767123287</v>
      </c>
      <c r="AV257" s="1424">
        <v>231.12328767123287</v>
      </c>
      <c r="AW257" s="1424">
        <v>231.12328767123287</v>
      </c>
      <c r="AX257" s="1423">
        <v>231.12328767123287</v>
      </c>
      <c r="AY257" s="1424">
        <v>231.12328767123287</v>
      </c>
      <c r="AZ257" s="1424">
        <v>231.12328767123287</v>
      </c>
      <c r="BA257" s="1424">
        <v>231.12328767123287</v>
      </c>
      <c r="BB257" s="1423">
        <v>231.12328767123287</v>
      </c>
      <c r="BC257" s="1132"/>
      <c r="BD257" s="1133"/>
      <c r="BE257" s="1043"/>
      <c r="BF257" s="1043"/>
      <c r="BG257" s="1045">
        <f t="shared" ref="BG257:BG271" si="271">AVERAGE(O257:R257)</f>
        <v>89.998333333333349</v>
      </c>
      <c r="BH257" s="1045">
        <f t="shared" ref="BH257:BH271" si="272">AVERAGE(S257:V257)</f>
        <v>78.566666666666677</v>
      </c>
      <c r="BI257" s="1045">
        <f t="shared" ref="BI257:BI271" si="273">AVERAGE(W257:Z257)</f>
        <v>86.751666666666665</v>
      </c>
      <c r="BJ257" s="1045">
        <f t="shared" ref="BJ257:BJ271" si="274">AVERAGE(AA257:AD257)</f>
        <v>99.13573059360732</v>
      </c>
      <c r="BK257" s="1045">
        <f t="shared" ref="BK257:BK271" si="275">AVERAGE(AE257:AH257)</f>
        <v>95.539166666666659</v>
      </c>
      <c r="BL257" s="1045">
        <f t="shared" ref="BL257:BL271" si="276">AVERAGE(AI257:AL257)</f>
        <v>172.31352739726029</v>
      </c>
      <c r="BM257" s="1280">
        <f t="shared" ref="BM257:BM271" si="277">AVERAGE(AM257:AP257)</f>
        <v>279.38356164383566</v>
      </c>
      <c r="BN257" s="1280">
        <f t="shared" ref="BN257:BN271" si="278">AVERAGE(AQ257:AT257)</f>
        <v>265.64383561643837</v>
      </c>
      <c r="BO257" s="1280">
        <f t="shared" ref="BO257:BO271" si="279">AVERAGE(AU257:AX257)</f>
        <v>231.12328767123287</v>
      </c>
      <c r="BP257" s="1280">
        <f t="shared" ref="BP257:BP271" si="280">AVERAGE(AY257:BB257)</f>
        <v>231.12328767123287</v>
      </c>
      <c r="BQ257" s="1114"/>
      <c r="BR257" s="1115"/>
      <c r="BU257" s="1087"/>
      <c r="BV257" s="1086"/>
      <c r="BW257" s="1086"/>
      <c r="BX257" s="1086"/>
    </row>
    <row r="258" spans="2:76" ht="12.75" customHeight="1">
      <c r="B258" s="1286"/>
      <c r="C258" s="1503" t="s">
        <v>372</v>
      </c>
      <c r="D258" s="1416"/>
      <c r="E258" s="1416"/>
      <c r="F258" s="1417"/>
      <c r="G258" s="1411"/>
      <c r="H258" s="1407"/>
      <c r="I258" s="1407"/>
      <c r="J258" s="1412"/>
      <c r="K258" s="1411"/>
      <c r="L258" s="1407"/>
      <c r="M258" s="1407"/>
      <c r="N258" s="1412"/>
      <c r="O258" s="1420">
        <v>102.54</v>
      </c>
      <c r="P258" s="1421">
        <v>96.14</v>
      </c>
      <c r="Q258" s="1421">
        <v>83.34</v>
      </c>
      <c r="R258" s="1422">
        <v>83.34</v>
      </c>
      <c r="S258" s="1420">
        <v>83.34</v>
      </c>
      <c r="T258" s="1421">
        <v>83.13333333333334</v>
      </c>
      <c r="U258" s="1421">
        <v>82.72</v>
      </c>
      <c r="V258" s="1422">
        <v>82.72</v>
      </c>
      <c r="W258" s="1427">
        <v>82.72</v>
      </c>
      <c r="X258" s="1427">
        <v>86.433333333333337</v>
      </c>
      <c r="Y258" s="1427">
        <v>93.86</v>
      </c>
      <c r="Z258" s="1428">
        <v>93.86</v>
      </c>
      <c r="AA258" s="1427">
        <v>93.86</v>
      </c>
      <c r="AB258" s="1427">
        <v>96.874703196347028</v>
      </c>
      <c r="AC258" s="1427">
        <v>102.9041095890411</v>
      </c>
      <c r="AD258" s="1428">
        <v>102.9041095890411</v>
      </c>
      <c r="AE258" s="1427">
        <v>103</v>
      </c>
      <c r="AF258" s="1427">
        <v>98.736666666666665</v>
      </c>
      <c r="AG258" s="1427">
        <v>90.21</v>
      </c>
      <c r="AH258" s="1428">
        <v>90.21</v>
      </c>
      <c r="AI258" s="1427">
        <v>90.21</v>
      </c>
      <c r="AJ258" s="1427">
        <v>137.126301369863</v>
      </c>
      <c r="AK258" s="1427">
        <v>230.95890410958907</v>
      </c>
      <c r="AL258" s="1428">
        <v>230.95890410958907</v>
      </c>
      <c r="AM258" s="1427">
        <v>230.95890410958907</v>
      </c>
      <c r="AN258" s="1427">
        <v>258.63013698630141</v>
      </c>
      <c r="AO258" s="1427">
        <v>313.97260273972609</v>
      </c>
      <c r="AP258" s="1428">
        <v>313.97260273972609</v>
      </c>
      <c r="AQ258" s="1427">
        <v>313.97260273972609</v>
      </c>
      <c r="AR258" s="1424">
        <v>286.35616438356169</v>
      </c>
      <c r="AS258" s="1424">
        <v>231.12328767123287</v>
      </c>
      <c r="AT258" s="1423">
        <v>231.12328767123287</v>
      </c>
      <c r="AU258" s="1424">
        <v>231.12328767123287</v>
      </c>
      <c r="AV258" s="1424">
        <v>231.12328767123287</v>
      </c>
      <c r="AW258" s="1424">
        <v>231.12328767123287</v>
      </c>
      <c r="AX258" s="1423">
        <v>231.12328767123287</v>
      </c>
      <c r="AY258" s="1424">
        <v>231.12328767123287</v>
      </c>
      <c r="AZ258" s="1424">
        <v>231.12328767123287</v>
      </c>
      <c r="BA258" s="1424">
        <v>231.12328767123287</v>
      </c>
      <c r="BB258" s="1423">
        <v>231.12328767123287</v>
      </c>
      <c r="BC258" s="1132"/>
      <c r="BD258" s="1156"/>
      <c r="BE258" s="1045"/>
      <c r="BF258" s="1045"/>
      <c r="BG258" s="1045">
        <f t="shared" si="271"/>
        <v>91.34</v>
      </c>
      <c r="BH258" s="1045">
        <f t="shared" si="272"/>
        <v>82.978333333333339</v>
      </c>
      <c r="BI258" s="1045">
        <f t="shared" si="273"/>
        <v>89.218333333333334</v>
      </c>
      <c r="BJ258" s="1045">
        <f t="shared" si="274"/>
        <v>99.13573059360732</v>
      </c>
      <c r="BK258" s="1045">
        <f t="shared" si="275"/>
        <v>95.539166666666659</v>
      </c>
      <c r="BL258" s="1045">
        <f t="shared" si="276"/>
        <v>172.31352739726029</v>
      </c>
      <c r="BM258" s="1280">
        <f t="shared" si="277"/>
        <v>279.38356164383566</v>
      </c>
      <c r="BN258" s="1280">
        <f t="shared" si="278"/>
        <v>265.64383561643837</v>
      </c>
      <c r="BO258" s="1280">
        <f t="shared" si="279"/>
        <v>231.12328767123287</v>
      </c>
      <c r="BP258" s="1280">
        <f t="shared" si="280"/>
        <v>231.12328767123287</v>
      </c>
      <c r="BQ258" s="1114"/>
      <c r="BR258" s="1115"/>
      <c r="BU258" s="1087"/>
      <c r="BV258" s="1086"/>
      <c r="BW258" s="1086"/>
      <c r="BX258" s="1086"/>
    </row>
    <row r="259" spans="2:76" ht="12.75" customHeight="1">
      <c r="B259" s="1286"/>
      <c r="C259" s="1503" t="s">
        <v>357</v>
      </c>
      <c r="D259" s="1416"/>
      <c r="E259" s="1416"/>
      <c r="F259" s="1417"/>
      <c r="G259" s="1411"/>
      <c r="H259" s="1407"/>
      <c r="I259" s="1407"/>
      <c r="J259" s="1412"/>
      <c r="K259" s="1411"/>
      <c r="L259" s="1407"/>
      <c r="M259" s="1407"/>
      <c r="N259" s="1412"/>
      <c r="O259" s="1420">
        <v>110</v>
      </c>
      <c r="P259" s="1421">
        <v>78.819999999999993</v>
      </c>
      <c r="Q259" s="1421">
        <v>16.46</v>
      </c>
      <c r="R259" s="1422">
        <v>16.46</v>
      </c>
      <c r="S259" s="1420">
        <v>16.46</v>
      </c>
      <c r="T259" s="1421">
        <v>20.216666666666669</v>
      </c>
      <c r="U259" s="1421">
        <v>27.73</v>
      </c>
      <c r="V259" s="1422">
        <v>27.73</v>
      </c>
      <c r="W259" s="1427">
        <v>27.73</v>
      </c>
      <c r="X259" s="1427">
        <v>60.483333333333327</v>
      </c>
      <c r="Y259" s="1427">
        <v>125.99</v>
      </c>
      <c r="Z259" s="1428">
        <v>125.99</v>
      </c>
      <c r="AA259" s="1427">
        <v>125.99</v>
      </c>
      <c r="AB259" s="1427">
        <v>129.32666666666668</v>
      </c>
      <c r="AC259" s="1427">
        <v>136</v>
      </c>
      <c r="AD259" s="1428">
        <v>136</v>
      </c>
      <c r="AE259" s="1427">
        <v>136</v>
      </c>
      <c r="AF259" s="1427">
        <v>110.45666666666666</v>
      </c>
      <c r="AG259" s="1427">
        <v>59.37</v>
      </c>
      <c r="AH259" s="1428">
        <v>59.37</v>
      </c>
      <c r="AI259" s="1427">
        <v>59.37</v>
      </c>
      <c r="AJ259" s="1427">
        <v>79.58</v>
      </c>
      <c r="AK259" s="1427">
        <v>120</v>
      </c>
      <c r="AL259" s="1428">
        <v>120</v>
      </c>
      <c r="AM259" s="1427">
        <v>120</v>
      </c>
      <c r="AN259" s="1424">
        <v>134.92333333333335</v>
      </c>
      <c r="AO259" s="1424">
        <v>164.77</v>
      </c>
      <c r="AP259" s="1423">
        <v>164.77</v>
      </c>
      <c r="AQ259" s="1424">
        <v>164.77</v>
      </c>
      <c r="AR259" s="1424">
        <v>143.18</v>
      </c>
      <c r="AS259" s="1424">
        <v>100</v>
      </c>
      <c r="AT259" s="1423">
        <v>100</v>
      </c>
      <c r="AU259" s="1424">
        <v>100</v>
      </c>
      <c r="AV259" s="1424">
        <v>100</v>
      </c>
      <c r="AW259" s="1424">
        <v>76.53</v>
      </c>
      <c r="AX259" s="1423">
        <v>76.53</v>
      </c>
      <c r="AY259" s="1424">
        <v>76.53</v>
      </c>
      <c r="AZ259" s="1424">
        <v>76.53</v>
      </c>
      <c r="BA259" s="1424">
        <v>76.53</v>
      </c>
      <c r="BB259" s="1423">
        <v>76.53</v>
      </c>
      <c r="BC259" s="1132"/>
      <c r="BD259" s="1156"/>
      <c r="BE259" s="1045"/>
      <c r="BF259" s="1045"/>
      <c r="BG259" s="1045">
        <f t="shared" si="271"/>
        <v>55.435000000000002</v>
      </c>
      <c r="BH259" s="1045">
        <f t="shared" si="272"/>
        <v>23.034166666666668</v>
      </c>
      <c r="BI259" s="1045">
        <f t="shared" si="273"/>
        <v>85.048333333333332</v>
      </c>
      <c r="BJ259" s="1045">
        <f t="shared" si="274"/>
        <v>131.82916666666665</v>
      </c>
      <c r="BK259" s="1045">
        <f t="shared" si="275"/>
        <v>91.299166666666665</v>
      </c>
      <c r="BL259" s="1045">
        <f t="shared" si="276"/>
        <v>94.737499999999997</v>
      </c>
      <c r="BM259" s="1280">
        <f t="shared" si="277"/>
        <v>146.11583333333334</v>
      </c>
      <c r="BN259" s="1280">
        <f t="shared" si="278"/>
        <v>126.98750000000001</v>
      </c>
      <c r="BO259" s="1280">
        <f t="shared" si="279"/>
        <v>88.264999999999986</v>
      </c>
      <c r="BP259" s="1280">
        <f t="shared" si="280"/>
        <v>76.53</v>
      </c>
      <c r="BQ259" s="1114"/>
      <c r="BR259" s="1115"/>
      <c r="BU259" s="1087"/>
      <c r="BV259" s="1086"/>
      <c r="BW259" s="1086"/>
      <c r="BX259" s="1086"/>
    </row>
    <row r="260" spans="2:76" ht="12.75" customHeight="1">
      <c r="B260" s="1286"/>
      <c r="C260" s="1503" t="s">
        <v>358</v>
      </c>
      <c r="D260" s="1416"/>
      <c r="E260" s="1416"/>
      <c r="F260" s="1417"/>
      <c r="G260" s="1411"/>
      <c r="H260" s="1407"/>
      <c r="I260" s="1407"/>
      <c r="J260" s="1412"/>
      <c r="K260" s="1411"/>
      <c r="L260" s="1407"/>
      <c r="M260" s="1407"/>
      <c r="N260" s="1412"/>
      <c r="O260" s="1420">
        <v>110</v>
      </c>
      <c r="P260" s="1421">
        <v>117.79</v>
      </c>
      <c r="Q260" s="1421">
        <v>133.37</v>
      </c>
      <c r="R260" s="1422">
        <v>133.37</v>
      </c>
      <c r="S260" s="1420">
        <v>133.37</v>
      </c>
      <c r="T260" s="1421">
        <v>164.29666666666665</v>
      </c>
      <c r="U260" s="1421">
        <v>226.15</v>
      </c>
      <c r="V260" s="1422">
        <v>226.15</v>
      </c>
      <c r="W260" s="1427">
        <v>226.15</v>
      </c>
      <c r="X260" s="1427">
        <v>196.26666666666665</v>
      </c>
      <c r="Y260" s="1427">
        <v>136.5</v>
      </c>
      <c r="Z260" s="1428">
        <v>136.5</v>
      </c>
      <c r="AA260" s="1427">
        <v>136.5</v>
      </c>
      <c r="AB260" s="1427">
        <v>146.82</v>
      </c>
      <c r="AC260" s="1427">
        <v>167.46</v>
      </c>
      <c r="AD260" s="1428">
        <v>167.46</v>
      </c>
      <c r="AE260" s="1427">
        <v>167.46</v>
      </c>
      <c r="AF260" s="1427">
        <v>151.35</v>
      </c>
      <c r="AG260" s="1427">
        <v>119.13</v>
      </c>
      <c r="AH260" s="1428">
        <v>119.13</v>
      </c>
      <c r="AI260" s="1427">
        <v>119.13</v>
      </c>
      <c r="AJ260" s="1427">
        <v>119.41999999999999</v>
      </c>
      <c r="AK260" s="1427">
        <v>120</v>
      </c>
      <c r="AL260" s="1428">
        <v>120</v>
      </c>
      <c r="AM260" s="1427">
        <v>120</v>
      </c>
      <c r="AN260" s="1424">
        <v>134.92333333333335</v>
      </c>
      <c r="AO260" s="1424">
        <v>164.77</v>
      </c>
      <c r="AP260" s="1423">
        <v>164.77</v>
      </c>
      <c r="AQ260" s="1424">
        <v>164.77</v>
      </c>
      <c r="AR260" s="1424">
        <v>143.18</v>
      </c>
      <c r="AS260" s="1424">
        <v>100</v>
      </c>
      <c r="AT260" s="1423">
        <v>100</v>
      </c>
      <c r="AU260" s="1424">
        <v>100</v>
      </c>
      <c r="AV260" s="1424">
        <v>100</v>
      </c>
      <c r="AW260" s="1424">
        <v>86.04</v>
      </c>
      <c r="AX260" s="1423">
        <v>86.04</v>
      </c>
      <c r="AY260" s="1424">
        <v>86.04</v>
      </c>
      <c r="AZ260" s="1424">
        <v>86.04</v>
      </c>
      <c r="BA260" s="1424">
        <v>86.04</v>
      </c>
      <c r="BB260" s="1423">
        <v>86.04</v>
      </c>
      <c r="BC260" s="1132"/>
      <c r="BD260" s="1156"/>
      <c r="BE260" s="1045"/>
      <c r="BF260" s="1045"/>
      <c r="BG260" s="1045">
        <f t="shared" si="271"/>
        <v>123.63250000000001</v>
      </c>
      <c r="BH260" s="1045">
        <f t="shared" si="272"/>
        <v>187.49166666666665</v>
      </c>
      <c r="BI260" s="1045">
        <f t="shared" si="273"/>
        <v>173.85416666666666</v>
      </c>
      <c r="BJ260" s="1045">
        <f t="shared" si="274"/>
        <v>154.56</v>
      </c>
      <c r="BK260" s="1045">
        <f t="shared" si="275"/>
        <v>139.26749999999998</v>
      </c>
      <c r="BL260" s="1045">
        <f t="shared" si="276"/>
        <v>119.63749999999999</v>
      </c>
      <c r="BM260" s="1280">
        <f t="shared" si="277"/>
        <v>146.11583333333334</v>
      </c>
      <c r="BN260" s="1280">
        <f t="shared" si="278"/>
        <v>126.98750000000001</v>
      </c>
      <c r="BO260" s="1280">
        <f t="shared" si="279"/>
        <v>93.02000000000001</v>
      </c>
      <c r="BP260" s="1280">
        <f t="shared" si="280"/>
        <v>86.04</v>
      </c>
      <c r="BQ260" s="1114"/>
      <c r="BR260" s="1115"/>
      <c r="BU260" s="1087"/>
      <c r="BV260" s="1086"/>
      <c r="BW260" s="1086"/>
      <c r="BX260" s="1086"/>
    </row>
    <row r="261" spans="2:76" ht="12.75" customHeight="1">
      <c r="B261" s="1286"/>
      <c r="C261" s="1503" t="s">
        <v>359</v>
      </c>
      <c r="D261" s="1416"/>
      <c r="E261" s="1416"/>
      <c r="F261" s="1417"/>
      <c r="G261" s="1411"/>
      <c r="H261" s="1407"/>
      <c r="I261" s="1407"/>
      <c r="J261" s="1412"/>
      <c r="K261" s="1411"/>
      <c r="L261" s="1407"/>
      <c r="M261" s="1407"/>
      <c r="N261" s="1412"/>
      <c r="O261" s="1420">
        <v>110</v>
      </c>
      <c r="P261" s="1421">
        <v>117.79</v>
      </c>
      <c r="Q261" s="1421">
        <v>133.37</v>
      </c>
      <c r="R261" s="1422">
        <v>133.37</v>
      </c>
      <c r="S261" s="1420">
        <v>133.37</v>
      </c>
      <c r="T261" s="1421">
        <v>164.29666666666665</v>
      </c>
      <c r="U261" s="1421">
        <v>226.15</v>
      </c>
      <c r="V261" s="1422">
        <v>226.15</v>
      </c>
      <c r="W261" s="1427">
        <v>226.15</v>
      </c>
      <c r="X261" s="1427">
        <v>196.26666666666665</v>
      </c>
      <c r="Y261" s="1427">
        <v>136.5</v>
      </c>
      <c r="Z261" s="1428">
        <v>136.5</v>
      </c>
      <c r="AA261" s="1427">
        <v>136.5</v>
      </c>
      <c r="AB261" s="1427">
        <v>146.82</v>
      </c>
      <c r="AC261" s="1427">
        <v>167.46</v>
      </c>
      <c r="AD261" s="1428">
        <v>167.46</v>
      </c>
      <c r="AE261" s="1427">
        <v>167.46</v>
      </c>
      <c r="AF261" s="1427">
        <v>151.35</v>
      </c>
      <c r="AG261" s="1427">
        <v>119.13</v>
      </c>
      <c r="AH261" s="1428">
        <v>119.13</v>
      </c>
      <c r="AI261" s="1427">
        <v>119.13</v>
      </c>
      <c r="AJ261" s="1427">
        <v>119.41999999999999</v>
      </c>
      <c r="AK261" s="1427">
        <v>120</v>
      </c>
      <c r="AL261" s="1428">
        <v>120</v>
      </c>
      <c r="AM261" s="1427">
        <v>120</v>
      </c>
      <c r="AN261" s="1424">
        <v>134.92333333333335</v>
      </c>
      <c r="AO261" s="1424">
        <v>164.77</v>
      </c>
      <c r="AP261" s="1423">
        <v>164.77</v>
      </c>
      <c r="AQ261" s="1424">
        <v>164.77</v>
      </c>
      <c r="AR261" s="1424">
        <v>143.18</v>
      </c>
      <c r="AS261" s="1424">
        <v>100</v>
      </c>
      <c r="AT261" s="1423">
        <v>100</v>
      </c>
      <c r="AU261" s="1424">
        <v>100</v>
      </c>
      <c r="AV261" s="1424">
        <v>100</v>
      </c>
      <c r="AW261" s="1424">
        <v>86.04</v>
      </c>
      <c r="AX261" s="1423">
        <v>86.04</v>
      </c>
      <c r="AY261" s="1424">
        <v>86.04</v>
      </c>
      <c r="AZ261" s="1424">
        <v>86.04</v>
      </c>
      <c r="BA261" s="1424">
        <v>86.04</v>
      </c>
      <c r="BB261" s="1423">
        <v>86.04</v>
      </c>
      <c r="BC261" s="1132"/>
      <c r="BD261" s="1156"/>
      <c r="BE261" s="1045"/>
      <c r="BF261" s="1045"/>
      <c r="BG261" s="1045">
        <f t="shared" si="271"/>
        <v>123.63250000000001</v>
      </c>
      <c r="BH261" s="1045">
        <f t="shared" si="272"/>
        <v>187.49166666666665</v>
      </c>
      <c r="BI261" s="1045">
        <f t="shared" si="273"/>
        <v>173.85416666666666</v>
      </c>
      <c r="BJ261" s="1045">
        <f t="shared" si="274"/>
        <v>154.56</v>
      </c>
      <c r="BK261" s="1045">
        <f t="shared" si="275"/>
        <v>139.26749999999998</v>
      </c>
      <c r="BL261" s="1045">
        <f t="shared" si="276"/>
        <v>119.63749999999999</v>
      </c>
      <c r="BM261" s="1280">
        <f t="shared" si="277"/>
        <v>146.11583333333334</v>
      </c>
      <c r="BN261" s="1280">
        <f t="shared" si="278"/>
        <v>126.98750000000001</v>
      </c>
      <c r="BO261" s="1280">
        <f t="shared" si="279"/>
        <v>93.02000000000001</v>
      </c>
      <c r="BP261" s="1280">
        <f t="shared" si="280"/>
        <v>86.04</v>
      </c>
      <c r="BQ261" s="1114"/>
      <c r="BR261" s="1115"/>
      <c r="BU261" s="1087"/>
      <c r="BV261" s="1086"/>
      <c r="BW261" s="1086"/>
      <c r="BX261" s="1086"/>
    </row>
    <row r="262" spans="2:76" ht="12.75" customHeight="1">
      <c r="B262" s="1286"/>
      <c r="C262" s="1503" t="s">
        <v>360</v>
      </c>
      <c r="D262" s="1416"/>
      <c r="E262" s="1416"/>
      <c r="F262" s="1417"/>
      <c r="G262" s="1411"/>
      <c r="H262" s="1407"/>
      <c r="I262" s="1407"/>
      <c r="J262" s="1412"/>
      <c r="K262" s="1411"/>
      <c r="L262" s="1407"/>
      <c r="M262" s="1407"/>
      <c r="N262" s="1412"/>
      <c r="O262" s="1420">
        <v>110</v>
      </c>
      <c r="P262" s="1421">
        <v>119.91</v>
      </c>
      <c r="Q262" s="1421">
        <v>139.72999999999999</v>
      </c>
      <c r="R262" s="1422">
        <v>139.72999999999999</v>
      </c>
      <c r="S262" s="1420">
        <v>139.72999999999999</v>
      </c>
      <c r="T262" s="1421">
        <v>174.82</v>
      </c>
      <c r="U262" s="1421">
        <v>245</v>
      </c>
      <c r="V262" s="1422">
        <v>245</v>
      </c>
      <c r="W262" s="1427">
        <v>245</v>
      </c>
      <c r="X262" s="1427">
        <v>208.83333333333334</v>
      </c>
      <c r="Y262" s="1427">
        <v>136.5</v>
      </c>
      <c r="Z262" s="1428">
        <v>136.5</v>
      </c>
      <c r="AA262" s="1427">
        <v>136.5</v>
      </c>
      <c r="AB262" s="1427">
        <v>146.82</v>
      </c>
      <c r="AC262" s="1427">
        <v>167.46</v>
      </c>
      <c r="AD262" s="1428">
        <v>167.46</v>
      </c>
      <c r="AE262" s="1427">
        <v>167.46</v>
      </c>
      <c r="AF262" s="1427">
        <v>151.35</v>
      </c>
      <c r="AG262" s="1427">
        <v>119.13</v>
      </c>
      <c r="AH262" s="1428">
        <v>119.13</v>
      </c>
      <c r="AI262" s="1427">
        <v>119.13</v>
      </c>
      <c r="AJ262" s="1427">
        <v>119.41999999999999</v>
      </c>
      <c r="AK262" s="1427">
        <v>120</v>
      </c>
      <c r="AL262" s="1428">
        <v>120</v>
      </c>
      <c r="AM262" s="1427">
        <v>120</v>
      </c>
      <c r="AN262" s="1424">
        <v>155.13999999999999</v>
      </c>
      <c r="AO262" s="1424">
        <v>225.42</v>
      </c>
      <c r="AP262" s="1423">
        <v>225.42</v>
      </c>
      <c r="AQ262" s="1424">
        <v>225.42</v>
      </c>
      <c r="AR262" s="1424">
        <v>190.27999999999997</v>
      </c>
      <c r="AS262" s="1424">
        <v>120</v>
      </c>
      <c r="AT262" s="1423">
        <v>120</v>
      </c>
      <c r="AU262" s="1424">
        <v>120</v>
      </c>
      <c r="AV262" s="1424">
        <v>142.62333333333333</v>
      </c>
      <c r="AW262" s="1424">
        <v>187.87</v>
      </c>
      <c r="AX262" s="1423">
        <v>187.87</v>
      </c>
      <c r="AY262" s="1424">
        <v>187.87</v>
      </c>
      <c r="AZ262" s="1424">
        <v>187.87</v>
      </c>
      <c r="BA262" s="1424">
        <v>187.87</v>
      </c>
      <c r="BB262" s="1423">
        <v>187.87</v>
      </c>
      <c r="BC262" s="1156"/>
      <c r="BD262" s="1156"/>
      <c r="BE262" s="1045"/>
      <c r="BF262" s="1045"/>
      <c r="BG262" s="1045">
        <f t="shared" si="271"/>
        <v>127.3425</v>
      </c>
      <c r="BH262" s="1045">
        <f t="shared" si="272"/>
        <v>201.13749999999999</v>
      </c>
      <c r="BI262" s="1045">
        <f t="shared" si="273"/>
        <v>181.70833333333334</v>
      </c>
      <c r="BJ262" s="1045">
        <f t="shared" si="274"/>
        <v>154.56</v>
      </c>
      <c r="BK262" s="1045">
        <f t="shared" si="275"/>
        <v>139.26749999999998</v>
      </c>
      <c r="BL262" s="1045">
        <f t="shared" si="276"/>
        <v>119.63749999999999</v>
      </c>
      <c r="BM262" s="1280">
        <f t="shared" si="277"/>
        <v>181.49499999999998</v>
      </c>
      <c r="BN262" s="1280">
        <f t="shared" si="278"/>
        <v>163.92499999999998</v>
      </c>
      <c r="BO262" s="1280">
        <f t="shared" si="279"/>
        <v>159.59083333333334</v>
      </c>
      <c r="BP262" s="1280">
        <f t="shared" si="280"/>
        <v>187.87</v>
      </c>
      <c r="BQ262" s="1114"/>
      <c r="BR262" s="1115"/>
      <c r="BU262" s="1087"/>
      <c r="BV262" s="1086"/>
      <c r="BW262" s="1086"/>
      <c r="BX262" s="1086"/>
    </row>
    <row r="263" spans="2:76" ht="12.75" customHeight="1">
      <c r="B263" s="1286"/>
      <c r="C263" s="1503" t="s">
        <v>361</v>
      </c>
      <c r="D263" s="1416"/>
      <c r="E263" s="1416"/>
      <c r="F263" s="1417"/>
      <c r="G263" s="1411"/>
      <c r="H263" s="1407"/>
      <c r="I263" s="1407"/>
      <c r="J263" s="1412"/>
      <c r="K263" s="1411"/>
      <c r="L263" s="1407"/>
      <c r="M263" s="1407"/>
      <c r="N263" s="1412"/>
      <c r="O263" s="1420">
        <v>110</v>
      </c>
      <c r="P263" s="1421">
        <v>119.91</v>
      </c>
      <c r="Q263" s="1421">
        <v>139.72999999999999</v>
      </c>
      <c r="R263" s="1422">
        <v>139.72999999999999</v>
      </c>
      <c r="S263" s="1420">
        <v>139.72999999999999</v>
      </c>
      <c r="T263" s="1421">
        <v>174.82</v>
      </c>
      <c r="U263" s="1421">
        <v>245</v>
      </c>
      <c r="V263" s="1422">
        <v>245</v>
      </c>
      <c r="W263" s="1427">
        <v>245</v>
      </c>
      <c r="X263" s="1427">
        <v>208.83333333333334</v>
      </c>
      <c r="Y263" s="1427">
        <v>136.5</v>
      </c>
      <c r="Z263" s="1428">
        <v>136.5</v>
      </c>
      <c r="AA263" s="1427">
        <v>136.5</v>
      </c>
      <c r="AB263" s="1427">
        <v>146.82</v>
      </c>
      <c r="AC263" s="1427">
        <v>167.46</v>
      </c>
      <c r="AD263" s="1428">
        <v>167.46</v>
      </c>
      <c r="AE263" s="1427">
        <v>167.46</v>
      </c>
      <c r="AF263" s="1427">
        <v>151.35</v>
      </c>
      <c r="AG263" s="1427">
        <v>119.13</v>
      </c>
      <c r="AH263" s="1428">
        <v>119.13</v>
      </c>
      <c r="AI263" s="1427">
        <v>119.13</v>
      </c>
      <c r="AJ263" s="1427">
        <v>119.41999999999999</v>
      </c>
      <c r="AK263" s="1427">
        <v>120</v>
      </c>
      <c r="AL263" s="1428">
        <v>120</v>
      </c>
      <c r="AM263" s="1427">
        <v>120</v>
      </c>
      <c r="AN263" s="1424">
        <v>155.13999999999999</v>
      </c>
      <c r="AO263" s="1424">
        <v>225.42</v>
      </c>
      <c r="AP263" s="1423">
        <v>225.42</v>
      </c>
      <c r="AQ263" s="1424">
        <v>225.42</v>
      </c>
      <c r="AR263" s="1424">
        <v>190.20333333333332</v>
      </c>
      <c r="AS263" s="1424">
        <v>119.77</v>
      </c>
      <c r="AT263" s="1423">
        <v>119.77</v>
      </c>
      <c r="AU263" s="1424">
        <v>119.77</v>
      </c>
      <c r="AV263" s="1424">
        <v>119.77</v>
      </c>
      <c r="AW263" s="1424">
        <v>187.87</v>
      </c>
      <c r="AX263" s="1423">
        <v>187.87</v>
      </c>
      <c r="AY263" s="1424">
        <v>187.87</v>
      </c>
      <c r="AZ263" s="1424">
        <v>187.87</v>
      </c>
      <c r="BA263" s="1424">
        <v>187.87</v>
      </c>
      <c r="BB263" s="1423">
        <v>187.87</v>
      </c>
      <c r="BC263" s="1156"/>
      <c r="BD263" s="1156"/>
      <c r="BE263" s="1045"/>
      <c r="BF263" s="1045"/>
      <c r="BG263" s="1045">
        <f t="shared" si="271"/>
        <v>127.3425</v>
      </c>
      <c r="BH263" s="1045">
        <f t="shared" si="272"/>
        <v>201.13749999999999</v>
      </c>
      <c r="BI263" s="1045">
        <f t="shared" si="273"/>
        <v>181.70833333333334</v>
      </c>
      <c r="BJ263" s="1045">
        <f t="shared" si="274"/>
        <v>154.56</v>
      </c>
      <c r="BK263" s="1045">
        <f t="shared" si="275"/>
        <v>139.26749999999998</v>
      </c>
      <c r="BL263" s="1045">
        <f t="shared" si="276"/>
        <v>119.63749999999999</v>
      </c>
      <c r="BM263" s="1280">
        <f t="shared" si="277"/>
        <v>181.49499999999998</v>
      </c>
      <c r="BN263" s="1280">
        <f t="shared" si="278"/>
        <v>163.79083333333332</v>
      </c>
      <c r="BO263" s="1280">
        <f t="shared" si="279"/>
        <v>153.82</v>
      </c>
      <c r="BP263" s="1280">
        <f t="shared" si="280"/>
        <v>187.87</v>
      </c>
      <c r="BQ263" s="1114"/>
      <c r="BR263" s="1115"/>
      <c r="BU263" s="1087"/>
      <c r="BV263" s="1086"/>
      <c r="BW263" s="1086"/>
      <c r="BX263" s="1086"/>
    </row>
    <row r="264" spans="2:76" ht="12.75" customHeight="1">
      <c r="B264" s="1286"/>
      <c r="C264" s="1503" t="s">
        <v>362</v>
      </c>
      <c r="D264" s="1416"/>
      <c r="E264" s="1416"/>
      <c r="F264" s="1417"/>
      <c r="G264" s="1411"/>
      <c r="H264" s="1407"/>
      <c r="I264" s="1407"/>
      <c r="J264" s="1412"/>
      <c r="K264" s="1411"/>
      <c r="L264" s="1407"/>
      <c r="M264" s="1407"/>
      <c r="N264" s="1412"/>
      <c r="O264" s="1420">
        <v>110</v>
      </c>
      <c r="P264" s="1421">
        <v>78.819999999999993</v>
      </c>
      <c r="Q264" s="1421">
        <v>16.46</v>
      </c>
      <c r="R264" s="1422">
        <v>16.46</v>
      </c>
      <c r="S264" s="1420">
        <v>16.46</v>
      </c>
      <c r="T264" s="1421">
        <v>20.216666666666669</v>
      </c>
      <c r="U264" s="1421">
        <v>27.73</v>
      </c>
      <c r="V264" s="1422">
        <v>27.73</v>
      </c>
      <c r="W264" s="1427">
        <v>27.73</v>
      </c>
      <c r="X264" s="1427">
        <v>60.483333333333327</v>
      </c>
      <c r="Y264" s="1427">
        <v>125.99</v>
      </c>
      <c r="Z264" s="1428">
        <v>125.99</v>
      </c>
      <c r="AA264" s="1427">
        <v>125.99</v>
      </c>
      <c r="AB264" s="1427">
        <v>129.32666666666668</v>
      </c>
      <c r="AC264" s="1427">
        <v>136</v>
      </c>
      <c r="AD264" s="1428">
        <v>136</v>
      </c>
      <c r="AE264" s="1427">
        <v>136</v>
      </c>
      <c r="AF264" s="1427">
        <v>110.45666666666666</v>
      </c>
      <c r="AG264" s="1427">
        <v>59.37</v>
      </c>
      <c r="AH264" s="1428">
        <v>59.37</v>
      </c>
      <c r="AI264" s="1427">
        <v>59.37</v>
      </c>
      <c r="AJ264" s="1427">
        <v>79.58</v>
      </c>
      <c r="AK264" s="1427">
        <v>120</v>
      </c>
      <c r="AL264" s="1428">
        <v>120</v>
      </c>
      <c r="AM264" s="1427">
        <v>120</v>
      </c>
      <c r="AN264" s="1424">
        <v>151.66666666666666</v>
      </c>
      <c r="AO264" s="1424">
        <v>215</v>
      </c>
      <c r="AP264" s="1423">
        <v>215</v>
      </c>
      <c r="AQ264" s="1424">
        <v>215</v>
      </c>
      <c r="AR264" s="1424">
        <v>210.92333333333332</v>
      </c>
      <c r="AS264" s="1424">
        <v>202.77</v>
      </c>
      <c r="AT264" s="1423">
        <v>202.77</v>
      </c>
      <c r="AU264" s="1424">
        <v>202.77</v>
      </c>
      <c r="AV264" s="1424">
        <v>202.77</v>
      </c>
      <c r="AW264" s="1424">
        <v>188.12</v>
      </c>
      <c r="AX264" s="1423">
        <v>188.12</v>
      </c>
      <c r="AY264" s="1424">
        <v>188.12</v>
      </c>
      <c r="AZ264" s="1424">
        <v>188.12</v>
      </c>
      <c r="BA264" s="1424">
        <v>188.12</v>
      </c>
      <c r="BB264" s="1423">
        <v>188.12</v>
      </c>
      <c r="BC264" s="1156"/>
      <c r="BD264" s="1156"/>
      <c r="BE264" s="1045"/>
      <c r="BF264" s="1045"/>
      <c r="BG264" s="1045">
        <f t="shared" si="271"/>
        <v>55.435000000000002</v>
      </c>
      <c r="BH264" s="1045">
        <f t="shared" si="272"/>
        <v>23.034166666666668</v>
      </c>
      <c r="BI264" s="1045">
        <f t="shared" si="273"/>
        <v>85.048333333333332</v>
      </c>
      <c r="BJ264" s="1045">
        <f t="shared" si="274"/>
        <v>131.82916666666665</v>
      </c>
      <c r="BK264" s="1045">
        <f t="shared" si="275"/>
        <v>91.299166666666665</v>
      </c>
      <c r="BL264" s="1045">
        <f t="shared" si="276"/>
        <v>94.737499999999997</v>
      </c>
      <c r="BM264" s="1280">
        <f t="shared" si="277"/>
        <v>175.41666666666666</v>
      </c>
      <c r="BN264" s="1280">
        <f t="shared" si="278"/>
        <v>207.86583333333331</v>
      </c>
      <c r="BO264" s="1280">
        <f t="shared" si="279"/>
        <v>195.44500000000002</v>
      </c>
      <c r="BP264" s="1280">
        <f t="shared" si="280"/>
        <v>188.12</v>
      </c>
      <c r="BQ264" s="1114"/>
      <c r="BR264" s="1115"/>
      <c r="BU264" s="1087"/>
      <c r="BV264" s="1086"/>
      <c r="BW264" s="1086"/>
      <c r="BX264" s="1086"/>
    </row>
    <row r="265" spans="2:76" ht="12.75" customHeight="1">
      <c r="B265" s="1286"/>
      <c r="C265" s="1503" t="s">
        <v>463</v>
      </c>
      <c r="D265" s="1416"/>
      <c r="E265" s="1416"/>
      <c r="F265" s="1417"/>
      <c r="G265" s="1411"/>
      <c r="H265" s="1407"/>
      <c r="I265" s="1407"/>
      <c r="J265" s="1412"/>
      <c r="K265" s="1411"/>
      <c r="L265" s="1407"/>
      <c r="M265" s="1407"/>
      <c r="N265" s="1412"/>
      <c r="O265" s="1420">
        <v>110</v>
      </c>
      <c r="P265" s="1421">
        <v>135</v>
      </c>
      <c r="Q265" s="1421">
        <v>185</v>
      </c>
      <c r="R265" s="1422">
        <v>185</v>
      </c>
      <c r="S265" s="1420">
        <v>185</v>
      </c>
      <c r="T265" s="1421">
        <v>205</v>
      </c>
      <c r="U265" s="1421">
        <v>245</v>
      </c>
      <c r="V265" s="1422">
        <v>245</v>
      </c>
      <c r="W265" s="1427">
        <v>245</v>
      </c>
      <c r="X265" s="1427">
        <v>238.33333333333334</v>
      </c>
      <c r="Y265" s="1427">
        <v>225</v>
      </c>
      <c r="Z265" s="1428">
        <v>225</v>
      </c>
      <c r="AA265" s="1427">
        <v>225</v>
      </c>
      <c r="AB265" s="1427">
        <v>205.82</v>
      </c>
      <c r="AC265" s="1427">
        <v>167.46</v>
      </c>
      <c r="AD265" s="1428">
        <v>167.46</v>
      </c>
      <c r="AE265" s="1427">
        <v>167.46</v>
      </c>
      <c r="AF265" s="1427">
        <v>184.64</v>
      </c>
      <c r="AG265" s="1427">
        <v>219</v>
      </c>
      <c r="AH265" s="1428">
        <v>219</v>
      </c>
      <c r="AI265" s="1427">
        <v>219</v>
      </c>
      <c r="AJ265" s="1427">
        <v>217.66666666666666</v>
      </c>
      <c r="AK265" s="1427">
        <v>215</v>
      </c>
      <c r="AL265" s="1428">
        <v>215</v>
      </c>
      <c r="AM265" s="1427">
        <v>215</v>
      </c>
      <c r="AN265" s="1424">
        <v>218.4733333333333</v>
      </c>
      <c r="AO265" s="1424">
        <v>225.42</v>
      </c>
      <c r="AP265" s="1423">
        <v>225.42</v>
      </c>
      <c r="AQ265" s="1424">
        <v>225.42</v>
      </c>
      <c r="AR265" s="1424">
        <v>190.27999999999997</v>
      </c>
      <c r="AS265" s="1424">
        <v>120</v>
      </c>
      <c r="AT265" s="1423">
        <v>120</v>
      </c>
      <c r="AU265" s="1424">
        <v>120</v>
      </c>
      <c r="AV265" s="1424">
        <v>142.62333333333333</v>
      </c>
      <c r="AW265" s="1424">
        <v>187.87</v>
      </c>
      <c r="AX265" s="1423">
        <v>187.87</v>
      </c>
      <c r="AY265" s="1424">
        <v>187.87</v>
      </c>
      <c r="AZ265" s="1424">
        <v>187.87</v>
      </c>
      <c r="BA265" s="1424">
        <v>187.87</v>
      </c>
      <c r="BB265" s="1423">
        <v>187.87</v>
      </c>
      <c r="BC265" s="1156"/>
      <c r="BD265" s="1156"/>
      <c r="BE265" s="1045"/>
      <c r="BF265" s="1045"/>
      <c r="BG265" s="1045">
        <f t="shared" si="271"/>
        <v>153.75</v>
      </c>
      <c r="BH265" s="1045">
        <f t="shared" si="272"/>
        <v>220</v>
      </c>
      <c r="BI265" s="1045">
        <f t="shared" si="273"/>
        <v>233.33333333333334</v>
      </c>
      <c r="BJ265" s="1045">
        <f t="shared" si="274"/>
        <v>191.435</v>
      </c>
      <c r="BK265" s="1045">
        <f t="shared" si="275"/>
        <v>197.52500000000001</v>
      </c>
      <c r="BL265" s="1045">
        <f t="shared" si="276"/>
        <v>216.66666666666666</v>
      </c>
      <c r="BM265" s="1280">
        <f t="shared" si="277"/>
        <v>221.07833333333332</v>
      </c>
      <c r="BN265" s="1280">
        <f t="shared" si="278"/>
        <v>163.92499999999998</v>
      </c>
      <c r="BO265" s="1280">
        <f t="shared" si="279"/>
        <v>159.59083333333334</v>
      </c>
      <c r="BP265" s="1280">
        <f t="shared" si="280"/>
        <v>187.87</v>
      </c>
      <c r="BQ265" s="1114"/>
      <c r="BR265" s="1115"/>
      <c r="BU265" s="1087"/>
      <c r="BV265" s="1086"/>
      <c r="BW265" s="1086"/>
      <c r="BX265" s="1086"/>
    </row>
    <row r="266" spans="2:76" ht="12.75" customHeight="1">
      <c r="B266" s="1286"/>
      <c r="C266" s="1503" t="s">
        <v>373</v>
      </c>
      <c r="D266" s="1416"/>
      <c r="E266" s="1416"/>
      <c r="F266" s="1417"/>
      <c r="G266" s="1411"/>
      <c r="H266" s="1407"/>
      <c r="I266" s="1407"/>
      <c r="J266" s="1412"/>
      <c r="K266" s="1411"/>
      <c r="L266" s="1407"/>
      <c r="M266" s="1407"/>
      <c r="N266" s="1412"/>
      <c r="O266" s="1420">
        <v>5</v>
      </c>
      <c r="P266" s="1421">
        <v>29</v>
      </c>
      <c r="Q266" s="1421">
        <v>41</v>
      </c>
      <c r="R266" s="1422">
        <v>31.666666666666668</v>
      </c>
      <c r="S266" s="1420">
        <v>27</v>
      </c>
      <c r="T266" s="1421">
        <v>101</v>
      </c>
      <c r="U266" s="1421">
        <v>138</v>
      </c>
      <c r="V266" s="1422">
        <v>108.66666666666667</v>
      </c>
      <c r="W266" s="1427">
        <v>94</v>
      </c>
      <c r="X266" s="1491">
        <v>144</v>
      </c>
      <c r="Y266" s="1491">
        <v>169</v>
      </c>
      <c r="Z266" s="1426">
        <v>108.38812785388127</v>
      </c>
      <c r="AA266" s="1425">
        <v>78.082191780821915</v>
      </c>
      <c r="AB266" s="1425">
        <v>103.83561643835614</v>
      </c>
      <c r="AC266" s="1425">
        <v>116.71232876712327</v>
      </c>
      <c r="AD266" s="1426">
        <v>63.452054794520535</v>
      </c>
      <c r="AE266" s="1425">
        <v>36.821917808219183</v>
      </c>
      <c r="AF266" s="1425">
        <v>91.61643835616438</v>
      </c>
      <c r="AG266" s="1425">
        <v>119.01369863013699</v>
      </c>
      <c r="AH266" s="1426">
        <v>56.109589041095887</v>
      </c>
      <c r="AI266" s="1425">
        <v>24.657534246575342</v>
      </c>
      <c r="AJ266" s="1425">
        <v>101.36986301369862</v>
      </c>
      <c r="AK266" s="1424">
        <v>139.72602739726028</v>
      </c>
      <c r="AL266" s="1423">
        <v>75.06849315068493</v>
      </c>
      <c r="AM266" s="1424">
        <v>42.739726027397268</v>
      </c>
      <c r="AN266" s="1424">
        <v>123.83561643835615</v>
      </c>
      <c r="AO266" s="1424">
        <v>164.38356164383561</v>
      </c>
      <c r="AP266" s="1423">
        <v>83.287671232876704</v>
      </c>
      <c r="AQ266" s="1424">
        <v>42.739726027397268</v>
      </c>
      <c r="AR266" s="1424">
        <v>123.83561643835615</v>
      </c>
      <c r="AS266" s="1424">
        <v>164.38356164383561</v>
      </c>
      <c r="AT266" s="1423">
        <v>83.287671232876704</v>
      </c>
      <c r="AU266" s="1424">
        <v>42.739726027397268</v>
      </c>
      <c r="AV266" s="1424">
        <v>123.83561643835615</v>
      </c>
      <c r="AW266" s="1424">
        <v>164.38356164383561</v>
      </c>
      <c r="AX266" s="1423">
        <v>83.287671232876704</v>
      </c>
      <c r="AY266" s="1424">
        <v>42.739726027397268</v>
      </c>
      <c r="AZ266" s="1424">
        <v>123.83561643835615</v>
      </c>
      <c r="BA266" s="1424">
        <v>164.38356164383561</v>
      </c>
      <c r="BB266" s="1423">
        <v>83.287671232876704</v>
      </c>
      <c r="BC266" s="1156"/>
      <c r="BD266" s="1156"/>
      <c r="BE266" s="1045"/>
      <c r="BF266" s="1045"/>
      <c r="BG266" s="1045">
        <f t="shared" si="271"/>
        <v>26.666666666666668</v>
      </c>
      <c r="BH266" s="1045">
        <f t="shared" si="272"/>
        <v>93.666666666666671</v>
      </c>
      <c r="BI266" s="1045">
        <f t="shared" si="273"/>
        <v>128.84703196347033</v>
      </c>
      <c r="BJ266" s="1045">
        <f t="shared" si="274"/>
        <v>90.520547945205465</v>
      </c>
      <c r="BK266" s="1045">
        <f t="shared" si="275"/>
        <v>75.890410958904113</v>
      </c>
      <c r="BL266" s="1045">
        <f t="shared" si="276"/>
        <v>85.205479452054789</v>
      </c>
      <c r="BM266" s="1280">
        <f t="shared" si="277"/>
        <v>103.56164383561642</v>
      </c>
      <c r="BN266" s="1280">
        <f t="shared" si="278"/>
        <v>103.56164383561642</v>
      </c>
      <c r="BO266" s="1280">
        <f t="shared" si="279"/>
        <v>103.56164383561642</v>
      </c>
      <c r="BP266" s="1280">
        <f t="shared" si="280"/>
        <v>103.56164383561642</v>
      </c>
      <c r="BQ266" s="1114"/>
      <c r="BR266" s="1115"/>
      <c r="BU266" s="1087"/>
      <c r="BV266" s="1086"/>
      <c r="BW266" s="1086"/>
      <c r="BX266" s="1086"/>
    </row>
    <row r="267" spans="2:76" ht="12.75" customHeight="1">
      <c r="B267" s="1286"/>
      <c r="C267" s="1503" t="s">
        <v>371</v>
      </c>
      <c r="D267" s="1416"/>
      <c r="E267" s="1416"/>
      <c r="F267" s="1417"/>
      <c r="G267" s="1411"/>
      <c r="H267" s="1407"/>
      <c r="I267" s="1407"/>
      <c r="J267" s="1412"/>
      <c r="K267" s="1411"/>
      <c r="L267" s="1407"/>
      <c r="M267" s="1407"/>
      <c r="N267" s="1412"/>
      <c r="O267" s="1420">
        <v>89</v>
      </c>
      <c r="P267" s="1421">
        <v>286.33333333333331</v>
      </c>
      <c r="Q267" s="1421">
        <v>385</v>
      </c>
      <c r="R267" s="1422">
        <v>227</v>
      </c>
      <c r="S267" s="1420">
        <v>148</v>
      </c>
      <c r="T267" s="1421">
        <v>374</v>
      </c>
      <c r="U267" s="1421">
        <v>487</v>
      </c>
      <c r="V267" s="1422">
        <v>326.33333333333331</v>
      </c>
      <c r="W267" s="1427">
        <v>246</v>
      </c>
      <c r="X267" s="1491">
        <v>437.33333333333331</v>
      </c>
      <c r="Y267" s="1491">
        <v>533</v>
      </c>
      <c r="Z267" s="1426">
        <v>374.05022831050229</v>
      </c>
      <c r="AA267" s="1425">
        <v>294.57534246575347</v>
      </c>
      <c r="AB267" s="1425">
        <v>441.20547945205482</v>
      </c>
      <c r="AC267" s="1425">
        <v>514.52054794520552</v>
      </c>
      <c r="AD267" s="1426">
        <v>299.28767123287673</v>
      </c>
      <c r="AE267" s="1425">
        <v>191.67123287671237</v>
      </c>
      <c r="AF267" s="1425">
        <v>304.76712328767127</v>
      </c>
      <c r="AG267" s="1425">
        <v>361.3150684931507</v>
      </c>
      <c r="AH267" s="1426">
        <v>197.15068493150685</v>
      </c>
      <c r="AI267" s="1425">
        <v>115.06849315068493</v>
      </c>
      <c r="AJ267" s="1425">
        <v>306.84931506849313</v>
      </c>
      <c r="AK267" s="1424">
        <v>402.73972602739724</v>
      </c>
      <c r="AL267" s="1423">
        <v>240.10958904109589</v>
      </c>
      <c r="AM267" s="1424">
        <v>158.79452054794521</v>
      </c>
      <c r="AN267" s="1424">
        <v>321.42465753424653</v>
      </c>
      <c r="AO267" s="1424">
        <v>402.73972602739724</v>
      </c>
      <c r="AP267" s="1423">
        <v>240.10958904109589</v>
      </c>
      <c r="AQ267" s="1424">
        <v>158.79452054794521</v>
      </c>
      <c r="AR267" s="1424">
        <v>321.42465753424653</v>
      </c>
      <c r="AS267" s="1424">
        <v>402.73972602739724</v>
      </c>
      <c r="AT267" s="1423">
        <v>240.10958904109589</v>
      </c>
      <c r="AU267" s="1424">
        <v>158.79452054794521</v>
      </c>
      <c r="AV267" s="1424">
        <v>321.42465753424653</v>
      </c>
      <c r="AW267" s="1424">
        <v>402.73972602739724</v>
      </c>
      <c r="AX267" s="1423">
        <v>240.10958904109589</v>
      </c>
      <c r="AY267" s="1424">
        <v>158.79452054794521</v>
      </c>
      <c r="AZ267" s="1424">
        <v>321.42465753424653</v>
      </c>
      <c r="BA267" s="1424">
        <v>402.73972602739724</v>
      </c>
      <c r="BB267" s="1423">
        <v>240.10958904109589</v>
      </c>
      <c r="BC267" s="1156"/>
      <c r="BD267" s="1156"/>
      <c r="BE267" s="1045"/>
      <c r="BF267" s="1045"/>
      <c r="BG267" s="1045">
        <f t="shared" si="271"/>
        <v>246.83333333333331</v>
      </c>
      <c r="BH267" s="1045">
        <f t="shared" si="272"/>
        <v>333.83333333333331</v>
      </c>
      <c r="BI267" s="1045">
        <f t="shared" si="273"/>
        <v>397.59589041095887</v>
      </c>
      <c r="BJ267" s="1045">
        <f t="shared" si="274"/>
        <v>387.39726027397262</v>
      </c>
      <c r="BK267" s="1045">
        <f t="shared" si="275"/>
        <v>263.72602739726034</v>
      </c>
      <c r="BL267" s="1045">
        <f t="shared" si="276"/>
        <v>266.1917808219178</v>
      </c>
      <c r="BM267" s="1280">
        <f t="shared" si="277"/>
        <v>280.76712328767121</v>
      </c>
      <c r="BN267" s="1280">
        <f t="shared" si="278"/>
        <v>280.76712328767121</v>
      </c>
      <c r="BO267" s="1280">
        <f t="shared" si="279"/>
        <v>280.76712328767121</v>
      </c>
      <c r="BP267" s="1280">
        <f t="shared" si="280"/>
        <v>280.76712328767121</v>
      </c>
      <c r="BQ267" s="1114"/>
      <c r="BR267" s="1115"/>
      <c r="BU267" s="1087"/>
      <c r="BV267" s="1086"/>
      <c r="BW267" s="1086"/>
      <c r="BX267" s="1086"/>
    </row>
    <row r="268" spans="2:76" ht="12.75" customHeight="1">
      <c r="B268" s="1286"/>
      <c r="C268" s="1503" t="s">
        <v>705</v>
      </c>
      <c r="D268" s="1416"/>
      <c r="E268" s="1416"/>
      <c r="F268" s="1417"/>
      <c r="G268" s="1411"/>
      <c r="H268" s="1407"/>
      <c r="I268" s="1407"/>
      <c r="J268" s="1412"/>
      <c r="K268" s="1411"/>
      <c r="L268" s="1407"/>
      <c r="M268" s="1407"/>
      <c r="N268" s="1412"/>
      <c r="O268" s="1420">
        <v>110</v>
      </c>
      <c r="P268" s="1421">
        <v>78.819999999999993</v>
      </c>
      <c r="Q268" s="1421">
        <v>16.46</v>
      </c>
      <c r="R268" s="1422">
        <v>16.46</v>
      </c>
      <c r="S268" s="1420">
        <v>16.46</v>
      </c>
      <c r="T268" s="1421">
        <v>20.216666666666669</v>
      </c>
      <c r="U268" s="1421">
        <v>27.73</v>
      </c>
      <c r="V268" s="1422">
        <v>27.73</v>
      </c>
      <c r="W268" s="1427">
        <v>27.73</v>
      </c>
      <c r="X268" s="1427">
        <v>60.483333333333327</v>
      </c>
      <c r="Y268" s="1427">
        <v>125.99</v>
      </c>
      <c r="Z268" s="1428">
        <v>125.99</v>
      </c>
      <c r="AA268" s="1427">
        <v>125.99</v>
      </c>
      <c r="AB268" s="1427">
        <v>129.32666666666668</v>
      </c>
      <c r="AC268" s="1427">
        <v>357</v>
      </c>
      <c r="AD268" s="1428">
        <v>357</v>
      </c>
      <c r="AE268" s="1427">
        <v>357</v>
      </c>
      <c r="AF268" s="1427">
        <v>276.07666666666665</v>
      </c>
      <c r="AG268" s="1427">
        <v>114.23</v>
      </c>
      <c r="AH268" s="1428">
        <v>114.23</v>
      </c>
      <c r="AI268" s="1427">
        <v>114.23</v>
      </c>
      <c r="AJ268" s="1427">
        <v>116.15333333333334</v>
      </c>
      <c r="AK268" s="1427">
        <v>120</v>
      </c>
      <c r="AL268" s="1428">
        <v>120</v>
      </c>
      <c r="AM268" s="1427">
        <v>120</v>
      </c>
      <c r="AN268" s="1424">
        <v>134.92333333333335</v>
      </c>
      <c r="AO268" s="1424">
        <v>164.77</v>
      </c>
      <c r="AP268" s="1423">
        <v>164.77</v>
      </c>
      <c r="AQ268" s="1424">
        <v>164.77</v>
      </c>
      <c r="AR268" s="1424">
        <v>143.18</v>
      </c>
      <c r="AS268" s="1424">
        <v>100</v>
      </c>
      <c r="AT268" s="1423">
        <v>100</v>
      </c>
      <c r="AU268" s="1424">
        <v>100</v>
      </c>
      <c r="AV268" s="1424">
        <v>100</v>
      </c>
      <c r="AW268" s="1424">
        <v>76.53</v>
      </c>
      <c r="AX268" s="1423">
        <v>76.53</v>
      </c>
      <c r="AY268" s="1424">
        <v>76.53</v>
      </c>
      <c r="AZ268" s="1424">
        <v>76.53</v>
      </c>
      <c r="BA268" s="1424">
        <v>76.53</v>
      </c>
      <c r="BB268" s="1423">
        <v>76.53</v>
      </c>
      <c r="BC268" s="1156"/>
      <c r="BD268" s="1156"/>
      <c r="BE268" s="1045"/>
      <c r="BF268" s="1045"/>
      <c r="BG268" s="1045">
        <f t="shared" si="271"/>
        <v>55.435000000000002</v>
      </c>
      <c r="BH268" s="1045">
        <f t="shared" si="272"/>
        <v>23.034166666666668</v>
      </c>
      <c r="BI268" s="1045">
        <f t="shared" si="273"/>
        <v>85.048333333333332</v>
      </c>
      <c r="BJ268" s="1045">
        <f t="shared" si="274"/>
        <v>242.32916666666665</v>
      </c>
      <c r="BK268" s="1045">
        <f t="shared" si="275"/>
        <v>215.38416666666666</v>
      </c>
      <c r="BL268" s="1045">
        <f t="shared" si="276"/>
        <v>117.59583333333333</v>
      </c>
      <c r="BM268" s="1280">
        <f t="shared" si="277"/>
        <v>146.11583333333334</v>
      </c>
      <c r="BN268" s="1280">
        <f t="shared" si="278"/>
        <v>126.98750000000001</v>
      </c>
      <c r="BO268" s="1280">
        <f t="shared" si="279"/>
        <v>88.264999999999986</v>
      </c>
      <c r="BP268" s="1280">
        <f t="shared" si="280"/>
        <v>76.53</v>
      </c>
      <c r="BQ268" s="1114"/>
      <c r="BR268" s="1115"/>
      <c r="BU268" s="1087"/>
      <c r="BV268" s="1086"/>
      <c r="BW268" s="1086"/>
      <c r="BX268" s="1086"/>
    </row>
    <row r="269" spans="2:76" ht="12.75" customHeight="1">
      <c r="B269" s="1286"/>
      <c r="C269" s="1503" t="s">
        <v>800</v>
      </c>
      <c r="D269" s="1416"/>
      <c r="E269" s="1416"/>
      <c r="F269" s="1417"/>
      <c r="G269" s="1411"/>
      <c r="H269" s="1407"/>
      <c r="I269" s="1407"/>
      <c r="J269" s="1412"/>
      <c r="K269" s="1411"/>
      <c r="L269" s="1407"/>
      <c r="M269" s="1407"/>
      <c r="N269" s="1412"/>
      <c r="O269" s="1420">
        <v>0</v>
      </c>
      <c r="P269" s="1421">
        <v>0</v>
      </c>
      <c r="Q269" s="1421">
        <v>0</v>
      </c>
      <c r="R269" s="1422">
        <v>0</v>
      </c>
      <c r="S269" s="1420">
        <v>0.1</v>
      </c>
      <c r="T269" s="1421">
        <v>0.41666666666666669</v>
      </c>
      <c r="U269" s="1421">
        <v>1.05</v>
      </c>
      <c r="V269" s="1422">
        <v>1.05</v>
      </c>
      <c r="W269" s="1427">
        <v>1.05</v>
      </c>
      <c r="X269" s="1427">
        <v>11.516666666666666</v>
      </c>
      <c r="Y269" s="1425">
        <v>16.75</v>
      </c>
      <c r="Z269" s="1426">
        <v>16.75</v>
      </c>
      <c r="AA269" s="1427">
        <v>16.75</v>
      </c>
      <c r="AB269" s="1427">
        <v>105.58333333333333</v>
      </c>
      <c r="AC269" s="1427">
        <v>150</v>
      </c>
      <c r="AD269" s="1428">
        <v>150</v>
      </c>
      <c r="AE269" s="1427">
        <v>150</v>
      </c>
      <c r="AF269" s="1424">
        <v>150</v>
      </c>
      <c r="AG269" s="1424">
        <v>150</v>
      </c>
      <c r="AH269" s="1423">
        <v>150</v>
      </c>
      <c r="AI269" s="1424">
        <v>150</v>
      </c>
      <c r="AJ269" s="1424">
        <v>150</v>
      </c>
      <c r="AK269" s="1424">
        <v>150</v>
      </c>
      <c r="AL269" s="1423">
        <v>150</v>
      </c>
      <c r="AM269" s="1424">
        <v>150</v>
      </c>
      <c r="AN269" s="1424">
        <v>150</v>
      </c>
      <c r="AO269" s="1424">
        <v>150</v>
      </c>
      <c r="AP269" s="1423">
        <v>150</v>
      </c>
      <c r="AQ269" s="1424">
        <v>150</v>
      </c>
      <c r="AR269" s="1424">
        <v>150</v>
      </c>
      <c r="AS269" s="1424">
        <v>150</v>
      </c>
      <c r="AT269" s="1423">
        <v>150</v>
      </c>
      <c r="AU269" s="1424">
        <v>150</v>
      </c>
      <c r="AV269" s="1424">
        <v>150</v>
      </c>
      <c r="AW269" s="1424">
        <v>150</v>
      </c>
      <c r="AX269" s="1423">
        <v>150</v>
      </c>
      <c r="AY269" s="1424">
        <v>150</v>
      </c>
      <c r="AZ269" s="1424">
        <v>150</v>
      </c>
      <c r="BA269" s="1424">
        <v>150</v>
      </c>
      <c r="BB269" s="1423">
        <v>150</v>
      </c>
      <c r="BC269" s="1156"/>
      <c r="BD269" s="1156"/>
      <c r="BE269" s="1045"/>
      <c r="BF269" s="1045"/>
      <c r="BG269" s="1045">
        <f t="shared" si="271"/>
        <v>0</v>
      </c>
      <c r="BH269" s="1045">
        <f t="shared" si="272"/>
        <v>0.65416666666666679</v>
      </c>
      <c r="BI269" s="1045">
        <f t="shared" si="273"/>
        <v>11.516666666666666</v>
      </c>
      <c r="BJ269" s="1045">
        <f t="shared" si="274"/>
        <v>105.58333333333333</v>
      </c>
      <c r="BK269" s="1045">
        <f t="shared" si="275"/>
        <v>150</v>
      </c>
      <c r="BL269" s="1045">
        <f t="shared" si="276"/>
        <v>150</v>
      </c>
      <c r="BM269" s="1280">
        <f t="shared" si="277"/>
        <v>150</v>
      </c>
      <c r="BN269" s="1280">
        <f t="shared" si="278"/>
        <v>150</v>
      </c>
      <c r="BO269" s="1280">
        <f t="shared" si="279"/>
        <v>150</v>
      </c>
      <c r="BP269" s="1280">
        <f t="shared" si="280"/>
        <v>150</v>
      </c>
      <c r="BQ269" s="1114"/>
      <c r="BR269" s="1115"/>
      <c r="BU269" s="1087"/>
      <c r="BV269" s="1086"/>
      <c r="BW269" s="1086"/>
      <c r="BX269" s="1086"/>
    </row>
    <row r="270" spans="2:76" ht="12.75" customHeight="1">
      <c r="B270" s="1286"/>
      <c r="C270" s="1503" t="s">
        <v>801</v>
      </c>
      <c r="D270" s="1416"/>
      <c r="E270" s="1416"/>
      <c r="F270" s="1417"/>
      <c r="G270" s="1411"/>
      <c r="H270" s="1407"/>
      <c r="I270" s="1407"/>
      <c r="J270" s="1412"/>
      <c r="K270" s="1411"/>
      <c r="L270" s="1407"/>
      <c r="M270" s="1407"/>
      <c r="N270" s="1412"/>
      <c r="O270" s="1420">
        <v>102.54</v>
      </c>
      <c r="P270" s="1421">
        <v>96.14</v>
      </c>
      <c r="Q270" s="1421">
        <v>83.34</v>
      </c>
      <c r="R270" s="1422">
        <v>83.34</v>
      </c>
      <c r="S270" s="1420">
        <v>83.34</v>
      </c>
      <c r="T270" s="1421">
        <v>83.13333333333334</v>
      </c>
      <c r="U270" s="1421">
        <v>82.72</v>
      </c>
      <c r="V270" s="1422">
        <v>82.72</v>
      </c>
      <c r="W270" s="1427">
        <v>82.72</v>
      </c>
      <c r="X270" s="1427">
        <v>86.433333333333337</v>
      </c>
      <c r="Y270" s="1427">
        <v>93.86</v>
      </c>
      <c r="Z270" s="1428">
        <v>93.86</v>
      </c>
      <c r="AA270" s="1427">
        <v>93.86</v>
      </c>
      <c r="AB270" s="1427">
        <v>96.874703196347028</v>
      </c>
      <c r="AC270" s="1427">
        <v>102.9041095890411</v>
      </c>
      <c r="AD270" s="1428">
        <v>102.9041095890411</v>
      </c>
      <c r="AE270" s="1427">
        <v>103</v>
      </c>
      <c r="AF270" s="1427">
        <v>98.89</v>
      </c>
      <c r="AG270" s="1427">
        <v>94.78</v>
      </c>
      <c r="AH270" s="1428">
        <v>94.78</v>
      </c>
      <c r="AI270" s="1427">
        <v>94.78</v>
      </c>
      <c r="AJ270" s="1427">
        <v>140.17296803652968</v>
      </c>
      <c r="AK270" s="1427">
        <v>230.95890410958907</v>
      </c>
      <c r="AL270" s="1428">
        <v>230.95890410958907</v>
      </c>
      <c r="AM270" s="1427">
        <v>230.95890410958907</v>
      </c>
      <c r="AN270" s="1427">
        <v>258.63013698630141</v>
      </c>
      <c r="AO270" s="1427">
        <v>313.97260273972609</v>
      </c>
      <c r="AP270" s="1428">
        <v>313.97260273972609</v>
      </c>
      <c r="AQ270" s="1427">
        <v>313.97260273972609</v>
      </c>
      <c r="AR270" s="1424">
        <v>286.35616438356169</v>
      </c>
      <c r="AS270" s="1424">
        <v>231.12328767123287</v>
      </c>
      <c r="AT270" s="1423">
        <v>231.12328767123287</v>
      </c>
      <c r="AU270" s="1424">
        <v>231.12328767123287</v>
      </c>
      <c r="AV270" s="1424">
        <v>212.13150684931506</v>
      </c>
      <c r="AW270" s="1424">
        <v>174.14794520547943</v>
      </c>
      <c r="AX270" s="1423">
        <v>174.14794520547943</v>
      </c>
      <c r="AY270" s="1424">
        <v>174.14794520547943</v>
      </c>
      <c r="AZ270" s="1424">
        <v>174.14794520547943</v>
      </c>
      <c r="BA270" s="1424">
        <v>174.14794520547943</v>
      </c>
      <c r="BB270" s="1423">
        <v>174.14794520547943</v>
      </c>
      <c r="BC270" s="1156"/>
      <c r="BD270" s="1156"/>
      <c r="BE270" s="1045"/>
      <c r="BF270" s="1045"/>
      <c r="BG270" s="1045">
        <f t="shared" si="271"/>
        <v>91.34</v>
      </c>
      <c r="BH270" s="1045">
        <f t="shared" si="272"/>
        <v>82.978333333333339</v>
      </c>
      <c r="BI270" s="1045">
        <f t="shared" si="273"/>
        <v>89.218333333333334</v>
      </c>
      <c r="BJ270" s="1045">
        <f t="shared" si="274"/>
        <v>99.13573059360732</v>
      </c>
      <c r="BK270" s="1045">
        <f t="shared" si="275"/>
        <v>97.862499999999983</v>
      </c>
      <c r="BL270" s="1045">
        <f t="shared" si="276"/>
        <v>174.21769406392696</v>
      </c>
      <c r="BM270" s="1280">
        <f t="shared" si="277"/>
        <v>279.38356164383566</v>
      </c>
      <c r="BN270" s="1280">
        <f t="shared" si="278"/>
        <v>265.64383561643837</v>
      </c>
      <c r="BO270" s="1280">
        <f t="shared" si="279"/>
        <v>197.8876712328767</v>
      </c>
      <c r="BP270" s="1280">
        <f t="shared" si="280"/>
        <v>174.14794520547943</v>
      </c>
      <c r="BQ270" s="1114"/>
      <c r="BR270" s="1115"/>
      <c r="BU270" s="1087"/>
      <c r="BV270" s="1086"/>
      <c r="BW270" s="1086"/>
      <c r="BX270" s="1086"/>
    </row>
    <row r="271" spans="2:76" ht="12.75" customHeight="1">
      <c r="B271" s="1286"/>
      <c r="C271" s="1503" t="s">
        <v>802</v>
      </c>
      <c r="D271" s="1416"/>
      <c r="E271" s="1416"/>
      <c r="F271" s="1417"/>
      <c r="G271" s="1411"/>
      <c r="H271" s="1407"/>
      <c r="I271" s="1407"/>
      <c r="J271" s="1412"/>
      <c r="K271" s="1411"/>
      <c r="L271" s="1407"/>
      <c r="M271" s="1407"/>
      <c r="N271" s="1412"/>
      <c r="O271" s="1420">
        <v>102.54</v>
      </c>
      <c r="P271" s="1421">
        <v>96.14</v>
      </c>
      <c r="Q271" s="1421">
        <v>83.34</v>
      </c>
      <c r="R271" s="1422">
        <v>83.34</v>
      </c>
      <c r="S271" s="1420">
        <v>83.34</v>
      </c>
      <c r="T271" s="1421">
        <v>83.13333333333334</v>
      </c>
      <c r="U271" s="1421">
        <v>82.72</v>
      </c>
      <c r="V271" s="1422">
        <v>82.72</v>
      </c>
      <c r="W271" s="1427">
        <v>82.72</v>
      </c>
      <c r="X271" s="1427">
        <v>86.433333333333337</v>
      </c>
      <c r="Y271" s="1427">
        <v>93.86</v>
      </c>
      <c r="Z271" s="1428">
        <v>93.86</v>
      </c>
      <c r="AA271" s="1427">
        <v>93.86</v>
      </c>
      <c r="AB271" s="1427">
        <v>96.874703196347028</v>
      </c>
      <c r="AC271" s="1427">
        <v>102.9041095890411</v>
      </c>
      <c r="AD271" s="1428">
        <v>102.9041095890411</v>
      </c>
      <c r="AE271" s="1427">
        <v>103</v>
      </c>
      <c r="AF271" s="1427">
        <v>161</v>
      </c>
      <c r="AG271" s="1427">
        <v>219</v>
      </c>
      <c r="AH271" s="1428">
        <v>219</v>
      </c>
      <c r="AI271" s="1427">
        <v>219</v>
      </c>
      <c r="AJ271" s="1427">
        <v>310.38356164383561</v>
      </c>
      <c r="AK271" s="1427">
        <v>493.15068493150687</v>
      </c>
      <c r="AL271" s="1428">
        <v>493.15068493150687</v>
      </c>
      <c r="AM271" s="1427">
        <v>493.15068493150687</v>
      </c>
      <c r="AN271" s="1427">
        <v>433.42465753424653</v>
      </c>
      <c r="AO271" s="1427">
        <v>313.97260273972609</v>
      </c>
      <c r="AP271" s="1428">
        <v>313.97260273972609</v>
      </c>
      <c r="AQ271" s="1427">
        <v>313.97260273972609</v>
      </c>
      <c r="AR271" s="1424">
        <v>286.35616438356169</v>
      </c>
      <c r="AS271" s="1424">
        <v>231.12328767123287</v>
      </c>
      <c r="AT271" s="1423">
        <v>231.12328767123287</v>
      </c>
      <c r="AU271" s="1424">
        <v>231.12328767123287</v>
      </c>
      <c r="AV271" s="1424">
        <v>212.13150684931506</v>
      </c>
      <c r="AW271" s="1424">
        <v>174.14794520547943</v>
      </c>
      <c r="AX271" s="1423">
        <v>174.14794520547943</v>
      </c>
      <c r="AY271" s="1424">
        <v>174.14794520547943</v>
      </c>
      <c r="AZ271" s="1424">
        <v>174.14794520547943</v>
      </c>
      <c r="BA271" s="1424">
        <v>174.14794520547943</v>
      </c>
      <c r="BB271" s="1423">
        <v>174.14794520547943</v>
      </c>
      <c r="BC271" s="1156"/>
      <c r="BD271" s="1156"/>
      <c r="BE271" s="1045"/>
      <c r="BF271" s="1045"/>
      <c r="BG271" s="1045">
        <f t="shared" si="271"/>
        <v>91.34</v>
      </c>
      <c r="BH271" s="1045">
        <f t="shared" si="272"/>
        <v>82.978333333333339</v>
      </c>
      <c r="BI271" s="1045">
        <f t="shared" si="273"/>
        <v>89.218333333333334</v>
      </c>
      <c r="BJ271" s="1045">
        <f t="shared" si="274"/>
        <v>99.13573059360732</v>
      </c>
      <c r="BK271" s="1045">
        <f t="shared" si="275"/>
        <v>175.5</v>
      </c>
      <c r="BL271" s="1045">
        <f t="shared" si="276"/>
        <v>378.92123287671234</v>
      </c>
      <c r="BM271" s="1280">
        <f t="shared" si="277"/>
        <v>388.63013698630141</v>
      </c>
      <c r="BN271" s="1280">
        <f t="shared" si="278"/>
        <v>265.64383561643837</v>
      </c>
      <c r="BO271" s="1280">
        <f t="shared" si="279"/>
        <v>197.8876712328767</v>
      </c>
      <c r="BP271" s="1280">
        <f t="shared" si="280"/>
        <v>174.14794520547943</v>
      </c>
      <c r="BQ271" s="1114"/>
      <c r="BR271" s="1115"/>
      <c r="BU271" s="1087"/>
      <c r="BV271" s="1086"/>
      <c r="BW271" s="1086"/>
      <c r="BX271" s="1086"/>
    </row>
    <row r="272" spans="2:76" ht="12.75" customHeight="1">
      <c r="B272" s="1286"/>
      <c r="C272" s="1503"/>
      <c r="D272" s="1416"/>
      <c r="E272" s="1416"/>
      <c r="F272" s="1417"/>
      <c r="G272" s="1411"/>
      <c r="H272" s="1407"/>
      <c r="I272" s="1407"/>
      <c r="J272" s="1412"/>
      <c r="K272" s="1413"/>
      <c r="L272" s="1407"/>
      <c r="M272" s="1407"/>
      <c r="N272" s="1412"/>
      <c r="O272" s="1411">
        <v>5</v>
      </c>
      <c r="P272" s="1407">
        <v>29</v>
      </c>
      <c r="Q272" s="1407">
        <v>41</v>
      </c>
      <c r="R272" s="1410">
        <v>31.666666666666668</v>
      </c>
      <c r="S272" s="1409">
        <v>27</v>
      </c>
      <c r="T272" s="1408">
        <v>101</v>
      </c>
      <c r="U272" s="1408">
        <v>138</v>
      </c>
      <c r="V272" s="1410">
        <v>108.66666666666667</v>
      </c>
      <c r="W272" s="1427">
        <v>246</v>
      </c>
      <c r="X272" s="1491">
        <v>300.30136986301369</v>
      </c>
      <c r="Y272" s="1491">
        <v>327.45205479452056</v>
      </c>
      <c r="Z272" s="1426">
        <v>238.46575342465755</v>
      </c>
      <c r="AA272" s="1425">
        <v>193.97260273972606</v>
      </c>
      <c r="AB272" s="1425">
        <v>250.95890410958904</v>
      </c>
      <c r="AC272" s="1425">
        <v>279.45205479452056</v>
      </c>
      <c r="AD272" s="1426">
        <v>174.90410958904107</v>
      </c>
      <c r="AE272" s="1425">
        <v>122.63013698630137</v>
      </c>
      <c r="AF272" s="1425">
        <v>221.69863013698631</v>
      </c>
      <c r="AG272" s="1425">
        <v>271.23287671232879</v>
      </c>
      <c r="AH272" s="1426">
        <v>167.12328767123287</v>
      </c>
      <c r="AI272" s="1425">
        <v>115.06849315068493</v>
      </c>
      <c r="AJ272" s="1425">
        <v>219.17808219178082</v>
      </c>
      <c r="AK272" s="1424">
        <v>271.23287671232879</v>
      </c>
      <c r="AL272" s="1423">
        <v>167.12328767123287</v>
      </c>
      <c r="AM272" s="1424">
        <v>115.06849315068493</v>
      </c>
      <c r="AN272" s="1424">
        <v>219.17808219178082</v>
      </c>
      <c r="AO272" s="1424">
        <v>271.23287671232879</v>
      </c>
      <c r="AP272" s="1423">
        <v>167.12328767123287</v>
      </c>
      <c r="AQ272" s="1424">
        <v>115.06849315068493</v>
      </c>
      <c r="AR272" s="1424">
        <v>219.17808219178082</v>
      </c>
      <c r="AS272" s="1424">
        <v>271.23287671232879</v>
      </c>
      <c r="AT272" s="1423">
        <v>167.12328767123287</v>
      </c>
      <c r="AU272" s="1424">
        <v>115.06849315068493</v>
      </c>
      <c r="AV272" s="1424">
        <v>219.17808219178082</v>
      </c>
      <c r="AW272" s="1424">
        <v>271.23287671232879</v>
      </c>
      <c r="AX272" s="1423">
        <v>167.12328767123287</v>
      </c>
      <c r="AY272" s="1424">
        <v>115.06849315068493</v>
      </c>
      <c r="AZ272" s="1424">
        <v>219.17808219178082</v>
      </c>
      <c r="BA272" s="1424">
        <v>271.23287671232879</v>
      </c>
      <c r="BB272" s="1423">
        <v>167.12328767123287</v>
      </c>
      <c r="BC272" s="1156"/>
      <c r="BD272" s="1156"/>
      <c r="BE272" s="1045"/>
      <c r="BF272" s="1045"/>
      <c r="BG272" s="1045"/>
      <c r="BH272" s="1045"/>
      <c r="BI272" s="1045"/>
      <c r="BJ272" s="1045"/>
      <c r="BK272" s="1045"/>
      <c r="BL272" s="1045"/>
      <c r="BM272" s="1280"/>
      <c r="BN272" s="1280"/>
      <c r="BO272" s="1280"/>
      <c r="BP272" s="1280"/>
      <c r="BQ272" s="1114"/>
      <c r="BR272" s="1115"/>
      <c r="BU272" s="1087"/>
      <c r="BV272" s="1086"/>
      <c r="BW272" s="1086"/>
      <c r="BX272" s="1086"/>
    </row>
    <row r="273" spans="2:78" ht="12.75" customHeight="1">
      <c r="B273" s="1286"/>
      <c r="C273" s="1503"/>
      <c r="D273" s="1416"/>
      <c r="E273" s="1416"/>
      <c r="F273" s="1417"/>
      <c r="G273" s="1413"/>
      <c r="H273" s="1414"/>
      <c r="I273" s="1414"/>
      <c r="J273" s="1415"/>
      <c r="K273" s="1411"/>
      <c r="L273" s="1414"/>
      <c r="M273" s="1414"/>
      <c r="N273" s="1415"/>
      <c r="O273" s="1413">
        <v>102.54</v>
      </c>
      <c r="P273" s="1414">
        <v>96.14</v>
      </c>
      <c r="Q273" s="1414">
        <v>83.34</v>
      </c>
      <c r="R273" s="1406">
        <v>83.34</v>
      </c>
      <c r="S273" s="1405">
        <v>83.34</v>
      </c>
      <c r="T273" s="1404">
        <v>83.13333333333334</v>
      </c>
      <c r="U273" s="1404">
        <v>82.72</v>
      </c>
      <c r="V273" s="1406">
        <v>82.72</v>
      </c>
      <c r="W273" s="1427">
        <v>82.72</v>
      </c>
      <c r="X273" s="1427">
        <v>86.433333333333337</v>
      </c>
      <c r="Y273" s="1427">
        <v>93.86</v>
      </c>
      <c r="Z273" s="1428">
        <v>93.86</v>
      </c>
      <c r="AA273" s="1427">
        <v>93.86</v>
      </c>
      <c r="AB273" s="1427">
        <v>96.874703196347028</v>
      </c>
      <c r="AC273" s="1427">
        <v>102.9041095890411</v>
      </c>
      <c r="AD273" s="1428">
        <v>102.9041095890411</v>
      </c>
      <c r="AE273" s="1427">
        <v>103</v>
      </c>
      <c r="AF273" s="1427">
        <v>98.736666666666665</v>
      </c>
      <c r="AG273" s="1427">
        <v>90.21</v>
      </c>
      <c r="AH273" s="1428">
        <v>90.21</v>
      </c>
      <c r="AI273" s="1427">
        <v>90.21</v>
      </c>
      <c r="AJ273" s="1427">
        <v>137.126301369863</v>
      </c>
      <c r="AK273" s="1427">
        <v>230.95890410958907</v>
      </c>
      <c r="AL273" s="1428">
        <v>230.95890410958907</v>
      </c>
      <c r="AM273" s="1427">
        <v>230.95890410958907</v>
      </c>
      <c r="AN273" s="1427">
        <v>275.39726027397262</v>
      </c>
      <c r="AO273" s="1427">
        <v>364.27397260273972</v>
      </c>
      <c r="AP273" s="1428">
        <v>364.27397260273972</v>
      </c>
      <c r="AQ273" s="1427">
        <v>364.27397260273972</v>
      </c>
      <c r="AR273" s="1424">
        <v>319.89041095890411</v>
      </c>
      <c r="AS273" s="1424">
        <v>231.12328767123287</v>
      </c>
      <c r="AT273" s="1423">
        <v>231.12328767123287</v>
      </c>
      <c r="AU273" s="1424">
        <v>231.12328767123287</v>
      </c>
      <c r="AV273" s="1424">
        <v>212.13150684931506</v>
      </c>
      <c r="AW273" s="1424">
        <v>174.14794520547943</v>
      </c>
      <c r="AX273" s="1423">
        <v>174.14794520547943</v>
      </c>
      <c r="AY273" s="1424">
        <v>174.14794520547943</v>
      </c>
      <c r="AZ273" s="1424">
        <v>174.14794520547943</v>
      </c>
      <c r="BA273" s="1424">
        <v>174.14794520547943</v>
      </c>
      <c r="BB273" s="1423">
        <v>174.14794520547943</v>
      </c>
      <c r="BC273" s="1132"/>
      <c r="BD273" s="1133"/>
      <c r="BE273" s="1043"/>
      <c r="BF273" s="1043"/>
      <c r="BG273" s="1043"/>
      <c r="BH273" s="1043"/>
      <c r="BI273" s="1043"/>
      <c r="BJ273" s="1043"/>
      <c r="BK273" s="1043"/>
      <c r="BL273" s="1043"/>
      <c r="BM273" s="1256"/>
      <c r="BN273" s="1256"/>
      <c r="BO273" s="1256"/>
      <c r="BP273" s="1256"/>
      <c r="BQ273" s="1114"/>
      <c r="BR273" s="1115"/>
      <c r="BU273" s="1087"/>
      <c r="BV273" s="1086"/>
      <c r="BW273" s="1086"/>
      <c r="BX273" s="1086"/>
    </row>
    <row r="274" spans="2:78" ht="12.75" customHeight="1">
      <c r="B274" s="1286"/>
      <c r="C274" s="1504" t="s">
        <v>622</v>
      </c>
      <c r="D274" s="1142"/>
      <c r="E274" s="1142"/>
      <c r="F274" s="1269"/>
      <c r="G274" s="1411"/>
      <c r="H274" s="1407"/>
      <c r="I274" s="1407"/>
      <c r="J274" s="1412"/>
      <c r="K274" s="1411"/>
      <c r="L274" s="1407"/>
      <c r="M274" s="1407"/>
      <c r="N274" s="1412"/>
      <c r="O274" s="1411"/>
      <c r="P274" s="1407"/>
      <c r="Q274" s="1407"/>
      <c r="R274" s="1410"/>
      <c r="S274" s="1409"/>
      <c r="T274" s="1408"/>
      <c r="U274" s="1408"/>
      <c r="V274" s="1410"/>
      <c r="W274" s="1425"/>
      <c r="X274" s="1425"/>
      <c r="Y274" s="1425"/>
      <c r="Z274" s="1426"/>
      <c r="AA274" s="1425"/>
      <c r="AB274" s="1425"/>
      <c r="AC274" s="1425"/>
      <c r="AD274" s="1426"/>
      <c r="AE274" s="1425"/>
      <c r="AF274" s="1425"/>
      <c r="AG274" s="1425"/>
      <c r="AH274" s="1426"/>
      <c r="AI274" s="1491"/>
      <c r="AJ274" s="1491"/>
      <c r="AK274" s="1491"/>
      <c r="AL274" s="1492"/>
      <c r="AM274" s="1424"/>
      <c r="AN274" s="1424"/>
      <c r="AO274" s="1424"/>
      <c r="AP274" s="1423"/>
      <c r="AQ274" s="1424"/>
      <c r="AR274" s="1424"/>
      <c r="AS274" s="1424"/>
      <c r="AT274" s="1423"/>
      <c r="AU274" s="1424"/>
      <c r="AV274" s="1424"/>
      <c r="AW274" s="1424"/>
      <c r="AX274" s="1423"/>
      <c r="AY274" s="1424"/>
      <c r="AZ274" s="1424"/>
      <c r="BA274" s="1424"/>
      <c r="BB274" s="1423"/>
      <c r="BC274" s="1156"/>
      <c r="BD274" s="1156"/>
      <c r="BE274" s="1045"/>
      <c r="BF274" s="1045"/>
      <c r="BG274" s="1045"/>
      <c r="BH274" s="1045"/>
      <c r="BI274" s="1045"/>
      <c r="BJ274" s="1045"/>
      <c r="BK274" s="1045"/>
      <c r="BL274" s="1045"/>
      <c r="BM274" s="1280"/>
      <c r="BN274" s="1280"/>
      <c r="BO274" s="1280"/>
      <c r="BP274" s="1280"/>
      <c r="BQ274" s="1114"/>
      <c r="BR274" s="1115"/>
      <c r="BU274" s="1087"/>
      <c r="BV274" s="1086"/>
      <c r="BW274" s="1086"/>
      <c r="BX274" s="1086"/>
    </row>
    <row r="275" spans="2:78" ht="12.75" customHeight="1">
      <c r="B275" s="1286"/>
      <c r="C275" s="1503" t="s">
        <v>363</v>
      </c>
      <c r="D275" s="1416"/>
      <c r="E275" s="1416"/>
      <c r="F275" s="1417"/>
      <c r="G275" s="1411"/>
      <c r="H275" s="1407"/>
      <c r="I275" s="1407"/>
      <c r="J275" s="1412"/>
      <c r="K275" s="1411"/>
      <c r="L275" s="1408"/>
      <c r="M275" s="1408"/>
      <c r="N275" s="1410"/>
      <c r="O275" s="1409"/>
      <c r="P275" s="1408"/>
      <c r="Q275" s="1408"/>
      <c r="R275" s="1410"/>
      <c r="S275" s="1409">
        <v>0</v>
      </c>
      <c r="T275" s="1408">
        <v>0</v>
      </c>
      <c r="U275" s="1408">
        <v>0</v>
      </c>
      <c r="V275" s="1410">
        <v>0</v>
      </c>
      <c r="W275" s="1425">
        <v>0</v>
      </c>
      <c r="X275" s="1425">
        <v>0</v>
      </c>
      <c r="Y275" s="1425">
        <v>0</v>
      </c>
      <c r="Z275" s="1426">
        <v>0</v>
      </c>
      <c r="AA275" s="1425">
        <v>0</v>
      </c>
      <c r="AB275" s="1425">
        <v>0</v>
      </c>
      <c r="AC275" s="1425">
        <v>0</v>
      </c>
      <c r="AD275" s="1426">
        <v>0</v>
      </c>
      <c r="AE275" s="1425">
        <v>0</v>
      </c>
      <c r="AF275" s="1425">
        <v>0</v>
      </c>
      <c r="AG275" s="1425">
        <v>0</v>
      </c>
      <c r="AH275" s="1426">
        <v>0</v>
      </c>
      <c r="AI275" s="1425">
        <v>0</v>
      </c>
      <c r="AJ275" s="1425">
        <v>0</v>
      </c>
      <c r="AK275" s="1425">
        <v>0</v>
      </c>
      <c r="AL275" s="1426">
        <v>0</v>
      </c>
      <c r="AM275" s="1424">
        <v>0</v>
      </c>
      <c r="AN275" s="1424">
        <v>0</v>
      </c>
      <c r="AO275" s="1424">
        <v>0</v>
      </c>
      <c r="AP275" s="1423">
        <v>0</v>
      </c>
      <c r="AQ275" s="1424">
        <v>0</v>
      </c>
      <c r="AR275" s="1424">
        <v>0</v>
      </c>
      <c r="AS275" s="1424">
        <v>0</v>
      </c>
      <c r="AT275" s="1423">
        <v>0</v>
      </c>
      <c r="AU275" s="1424">
        <v>0</v>
      </c>
      <c r="AV275" s="1424">
        <v>0</v>
      </c>
      <c r="AW275" s="1424">
        <v>0</v>
      </c>
      <c r="AX275" s="1423">
        <v>0</v>
      </c>
      <c r="AY275" s="1424">
        <v>0</v>
      </c>
      <c r="AZ275" s="1424">
        <v>0</v>
      </c>
      <c r="BA275" s="1424">
        <v>0</v>
      </c>
      <c r="BB275" s="1423">
        <v>0</v>
      </c>
      <c r="BC275" s="1156"/>
      <c r="BD275" s="1156"/>
      <c r="BE275" s="1045"/>
      <c r="BF275" s="1045"/>
      <c r="BG275" s="1045"/>
      <c r="BH275" s="1045">
        <f t="shared" ref="BH275:BH281" si="281">AVERAGE(S275:V275)</f>
        <v>0</v>
      </c>
      <c r="BI275" s="1045">
        <f t="shared" ref="BI275:BI281" si="282">AVERAGE(W275:Z275)</f>
        <v>0</v>
      </c>
      <c r="BJ275" s="1045">
        <f t="shared" ref="BJ275:BJ281" si="283">AVERAGE(AA275:AD275)</f>
        <v>0</v>
      </c>
      <c r="BK275" s="1045">
        <f t="shared" ref="BK275:BK281" si="284">AVERAGE(AE275:AH275)</f>
        <v>0</v>
      </c>
      <c r="BL275" s="1045">
        <f t="shared" ref="BL275:BL281" si="285">AVERAGE(AI275:AL275)</f>
        <v>0</v>
      </c>
      <c r="BM275" s="1280">
        <f t="shared" ref="BM275:BM281" si="286">AVERAGE(AM275:AP275)</f>
        <v>0</v>
      </c>
      <c r="BN275" s="1280">
        <f t="shared" ref="BN275:BN281" si="287">AVERAGE(AQ275:AT275)</f>
        <v>0</v>
      </c>
      <c r="BO275" s="1280">
        <f t="shared" ref="BO275:BO281" si="288">AVERAGE(AU275:AX275)</f>
        <v>0</v>
      </c>
      <c r="BP275" s="1280">
        <f t="shared" ref="BP275:BP281" si="289">AVERAGE(AY275:BB275)</f>
        <v>0</v>
      </c>
      <c r="BQ275" s="1114"/>
      <c r="BR275" s="1115"/>
      <c r="BU275" s="1087"/>
      <c r="BV275" s="1086"/>
      <c r="BW275" s="1086"/>
      <c r="BX275" s="1086"/>
    </row>
    <row r="276" spans="2:78" ht="12.75" customHeight="1">
      <c r="B276" s="1286"/>
      <c r="C276" s="1503" t="s">
        <v>366</v>
      </c>
      <c r="D276" s="1416"/>
      <c r="E276" s="1416"/>
      <c r="F276" s="1417"/>
      <c r="G276" s="1411"/>
      <c r="H276" s="1407"/>
      <c r="I276" s="1407"/>
      <c r="J276" s="1412"/>
      <c r="K276" s="1411"/>
      <c r="L276" s="1408"/>
      <c r="M276" s="1408"/>
      <c r="N276" s="1410"/>
      <c r="O276" s="1409"/>
      <c r="P276" s="1408"/>
      <c r="Q276" s="1408"/>
      <c r="R276" s="1410"/>
      <c r="S276" s="1409">
        <v>1.97</v>
      </c>
      <c r="T276" s="1408">
        <v>1.97</v>
      </c>
      <c r="U276" s="1408">
        <v>1.97</v>
      </c>
      <c r="V276" s="1410">
        <v>1.97</v>
      </c>
      <c r="W276" s="1425">
        <v>4</v>
      </c>
      <c r="X276" s="1425">
        <v>4</v>
      </c>
      <c r="Y276" s="1425">
        <v>4</v>
      </c>
      <c r="Z276" s="1426">
        <v>4</v>
      </c>
      <c r="AA276" s="1425">
        <v>6</v>
      </c>
      <c r="AB276" s="1425">
        <v>6</v>
      </c>
      <c r="AC276" s="1425">
        <v>6</v>
      </c>
      <c r="AD276" s="1426">
        <v>6</v>
      </c>
      <c r="AE276" s="1425">
        <v>8</v>
      </c>
      <c r="AF276" s="1425">
        <v>8</v>
      </c>
      <c r="AG276" s="1425">
        <v>8</v>
      </c>
      <c r="AH276" s="1426">
        <v>8</v>
      </c>
      <c r="AI276" s="1425">
        <v>10</v>
      </c>
      <c r="AJ276" s="1425">
        <v>10</v>
      </c>
      <c r="AK276" s="1425">
        <v>10</v>
      </c>
      <c r="AL276" s="1426">
        <v>10</v>
      </c>
      <c r="AM276" s="1424">
        <v>10</v>
      </c>
      <c r="AN276" s="1424">
        <v>10</v>
      </c>
      <c r="AO276" s="1424">
        <v>10</v>
      </c>
      <c r="AP276" s="1423">
        <v>10</v>
      </c>
      <c r="AQ276" s="1424">
        <v>10</v>
      </c>
      <c r="AR276" s="1424">
        <v>10</v>
      </c>
      <c r="AS276" s="1424">
        <v>10</v>
      </c>
      <c r="AT276" s="1423">
        <v>10</v>
      </c>
      <c r="AU276" s="1424">
        <v>10</v>
      </c>
      <c r="AV276" s="1424">
        <v>10</v>
      </c>
      <c r="AW276" s="1424">
        <v>10</v>
      </c>
      <c r="AX276" s="1423">
        <v>10</v>
      </c>
      <c r="AY276" s="1424">
        <v>10</v>
      </c>
      <c r="AZ276" s="1424">
        <v>10</v>
      </c>
      <c r="BA276" s="1424">
        <v>10</v>
      </c>
      <c r="BB276" s="1423">
        <v>10</v>
      </c>
      <c r="BC276" s="1156"/>
      <c r="BD276" s="1156"/>
      <c r="BE276" s="1045"/>
      <c r="BF276" s="1045"/>
      <c r="BG276" s="1045"/>
      <c r="BH276" s="1045">
        <f t="shared" si="281"/>
        <v>1.97</v>
      </c>
      <c r="BI276" s="1045">
        <f t="shared" si="282"/>
        <v>4</v>
      </c>
      <c r="BJ276" s="1045">
        <f t="shared" si="283"/>
        <v>6</v>
      </c>
      <c r="BK276" s="1045">
        <f t="shared" si="284"/>
        <v>8</v>
      </c>
      <c r="BL276" s="1045">
        <f t="shared" si="285"/>
        <v>10</v>
      </c>
      <c r="BM276" s="1280">
        <f t="shared" si="286"/>
        <v>10</v>
      </c>
      <c r="BN276" s="1280">
        <f t="shared" si="287"/>
        <v>10</v>
      </c>
      <c r="BO276" s="1280">
        <f t="shared" si="288"/>
        <v>10</v>
      </c>
      <c r="BP276" s="1280">
        <f t="shared" si="289"/>
        <v>10</v>
      </c>
      <c r="BQ276" s="1114"/>
      <c r="BR276" s="1115"/>
      <c r="BU276" s="1087"/>
      <c r="BV276" s="1086"/>
      <c r="BW276" s="1086"/>
      <c r="BX276" s="1086"/>
    </row>
    <row r="277" spans="2:78" ht="12.75" customHeight="1">
      <c r="B277" s="1290"/>
      <c r="C277" s="1503" t="s">
        <v>367</v>
      </c>
      <c r="D277" s="1416"/>
      <c r="E277" s="1416"/>
      <c r="F277" s="1417"/>
      <c r="G277" s="1411"/>
      <c r="H277" s="1407"/>
      <c r="I277" s="1407"/>
      <c r="J277" s="1412"/>
      <c r="K277" s="1411"/>
      <c r="L277" s="1408"/>
      <c r="M277" s="1408"/>
      <c r="N277" s="1410"/>
      <c r="O277" s="1409"/>
      <c r="P277" s="1408"/>
      <c r="Q277" s="1408"/>
      <c r="R277" s="1410"/>
      <c r="S277" s="1409">
        <v>0</v>
      </c>
      <c r="T277" s="1408">
        <v>0</v>
      </c>
      <c r="U277" s="1408">
        <v>0</v>
      </c>
      <c r="V277" s="1410">
        <v>0</v>
      </c>
      <c r="W277" s="1425">
        <v>0</v>
      </c>
      <c r="X277" s="1425">
        <v>0</v>
      </c>
      <c r="Y277" s="1425">
        <v>0</v>
      </c>
      <c r="Z277" s="1426">
        <v>0</v>
      </c>
      <c r="AA277" s="1425">
        <v>0</v>
      </c>
      <c r="AB277" s="1425">
        <v>0</v>
      </c>
      <c r="AC277" s="1425">
        <v>0</v>
      </c>
      <c r="AD277" s="1426">
        <v>0</v>
      </c>
      <c r="AE277" s="1425">
        <v>0</v>
      </c>
      <c r="AF277" s="1425">
        <v>0</v>
      </c>
      <c r="AG277" s="1425">
        <v>0</v>
      </c>
      <c r="AH277" s="1426">
        <v>0</v>
      </c>
      <c r="AI277" s="1425">
        <v>0</v>
      </c>
      <c r="AJ277" s="1425">
        <v>0</v>
      </c>
      <c r="AK277" s="1425">
        <v>0</v>
      </c>
      <c r="AL277" s="1426">
        <v>0</v>
      </c>
      <c r="AM277" s="1424">
        <v>0</v>
      </c>
      <c r="AN277" s="1424">
        <v>0</v>
      </c>
      <c r="AO277" s="1424">
        <v>0</v>
      </c>
      <c r="AP277" s="1423">
        <v>0</v>
      </c>
      <c r="AQ277" s="1424">
        <v>0</v>
      </c>
      <c r="AR277" s="1424">
        <v>0</v>
      </c>
      <c r="AS277" s="1424">
        <v>0</v>
      </c>
      <c r="AT277" s="1423">
        <v>0</v>
      </c>
      <c r="AU277" s="1424">
        <v>0</v>
      </c>
      <c r="AV277" s="1424">
        <v>0</v>
      </c>
      <c r="AW277" s="1424">
        <v>0</v>
      </c>
      <c r="AX277" s="1423">
        <v>0</v>
      </c>
      <c r="AY277" s="1424">
        <v>0</v>
      </c>
      <c r="AZ277" s="1424">
        <v>0</v>
      </c>
      <c r="BA277" s="1424">
        <v>0</v>
      </c>
      <c r="BB277" s="1423">
        <v>0</v>
      </c>
      <c r="BC277" s="1156"/>
      <c r="BD277" s="1156"/>
      <c r="BE277" s="1045"/>
      <c r="BF277" s="1045"/>
      <c r="BG277" s="1045"/>
      <c r="BH277" s="1045">
        <f t="shared" si="281"/>
        <v>0</v>
      </c>
      <c r="BI277" s="1045">
        <f t="shared" si="282"/>
        <v>0</v>
      </c>
      <c r="BJ277" s="1045">
        <f t="shared" si="283"/>
        <v>0</v>
      </c>
      <c r="BK277" s="1045">
        <f t="shared" si="284"/>
        <v>0</v>
      </c>
      <c r="BL277" s="1045">
        <f t="shared" si="285"/>
        <v>0</v>
      </c>
      <c r="BM277" s="1280">
        <f t="shared" si="286"/>
        <v>0</v>
      </c>
      <c r="BN277" s="1280">
        <f t="shared" si="287"/>
        <v>0</v>
      </c>
      <c r="BO277" s="1280">
        <f t="shared" si="288"/>
        <v>0</v>
      </c>
      <c r="BP277" s="1280">
        <f t="shared" si="289"/>
        <v>0</v>
      </c>
      <c r="BQ277" s="1114"/>
      <c r="BR277" s="1115"/>
      <c r="BU277" s="1087"/>
      <c r="BV277" s="1086"/>
      <c r="BW277" s="1086"/>
      <c r="BX277" s="1086"/>
    </row>
    <row r="278" spans="2:78" ht="12.75" customHeight="1">
      <c r="B278" s="1291"/>
      <c r="C278" s="1503" t="s">
        <v>368</v>
      </c>
      <c r="D278" s="1416"/>
      <c r="E278" s="1416"/>
      <c r="F278" s="1417"/>
      <c r="G278" s="1411"/>
      <c r="H278" s="1407"/>
      <c r="I278" s="1407"/>
      <c r="J278" s="1412"/>
      <c r="K278" s="1411"/>
      <c r="L278" s="1408"/>
      <c r="M278" s="1408"/>
      <c r="N278" s="1410"/>
      <c r="O278" s="1409"/>
      <c r="P278" s="1408"/>
      <c r="Q278" s="1408"/>
      <c r="R278" s="1410"/>
      <c r="S278" s="1409">
        <v>0</v>
      </c>
      <c r="T278" s="1408">
        <v>0</v>
      </c>
      <c r="U278" s="1408">
        <v>0</v>
      </c>
      <c r="V278" s="1410">
        <v>0</v>
      </c>
      <c r="W278" s="1425">
        <v>0</v>
      </c>
      <c r="X278" s="1425">
        <v>0</v>
      </c>
      <c r="Y278" s="1425">
        <v>0</v>
      </c>
      <c r="Z278" s="1426">
        <v>0</v>
      </c>
      <c r="AA278" s="1425">
        <v>0</v>
      </c>
      <c r="AB278" s="1425">
        <v>0</v>
      </c>
      <c r="AC278" s="1425">
        <v>0</v>
      </c>
      <c r="AD278" s="1426">
        <v>0</v>
      </c>
      <c r="AE278" s="1425">
        <v>0</v>
      </c>
      <c r="AF278" s="1425">
        <v>0</v>
      </c>
      <c r="AG278" s="1425">
        <v>0</v>
      </c>
      <c r="AH278" s="1426">
        <v>0</v>
      </c>
      <c r="AI278" s="1425">
        <v>0</v>
      </c>
      <c r="AJ278" s="1425">
        <v>0</v>
      </c>
      <c r="AK278" s="1425">
        <v>0</v>
      </c>
      <c r="AL278" s="1426">
        <v>0</v>
      </c>
      <c r="AM278" s="1424">
        <v>0</v>
      </c>
      <c r="AN278" s="1424">
        <v>0</v>
      </c>
      <c r="AO278" s="1424">
        <v>0</v>
      </c>
      <c r="AP278" s="1423">
        <v>0</v>
      </c>
      <c r="AQ278" s="1424">
        <v>0</v>
      </c>
      <c r="AR278" s="1424">
        <v>0</v>
      </c>
      <c r="AS278" s="1424">
        <v>0</v>
      </c>
      <c r="AT278" s="1423">
        <v>0</v>
      </c>
      <c r="AU278" s="1424">
        <v>0</v>
      </c>
      <c r="AV278" s="1424">
        <v>0</v>
      </c>
      <c r="AW278" s="1424">
        <v>0</v>
      </c>
      <c r="AX278" s="1423">
        <v>0</v>
      </c>
      <c r="AY278" s="1424">
        <v>0</v>
      </c>
      <c r="AZ278" s="1424">
        <v>0</v>
      </c>
      <c r="BA278" s="1424">
        <v>0</v>
      </c>
      <c r="BB278" s="1423">
        <v>0</v>
      </c>
      <c r="BC278" s="1156"/>
      <c r="BD278" s="1156"/>
      <c r="BE278" s="1045"/>
      <c r="BF278" s="1045"/>
      <c r="BG278" s="1045"/>
      <c r="BH278" s="1045">
        <f t="shared" si="281"/>
        <v>0</v>
      </c>
      <c r="BI278" s="1045">
        <f t="shared" si="282"/>
        <v>0</v>
      </c>
      <c r="BJ278" s="1045">
        <f t="shared" si="283"/>
        <v>0</v>
      </c>
      <c r="BK278" s="1045">
        <f t="shared" si="284"/>
        <v>0</v>
      </c>
      <c r="BL278" s="1045">
        <f t="shared" si="285"/>
        <v>0</v>
      </c>
      <c r="BM278" s="1280">
        <f t="shared" si="286"/>
        <v>0</v>
      </c>
      <c r="BN278" s="1280">
        <f t="shared" si="287"/>
        <v>0</v>
      </c>
      <c r="BO278" s="1280">
        <f t="shared" si="288"/>
        <v>0</v>
      </c>
      <c r="BP278" s="1280">
        <f t="shared" si="289"/>
        <v>0</v>
      </c>
      <c r="BQ278" s="1114"/>
      <c r="BR278" s="1115"/>
      <c r="BU278" s="1087"/>
      <c r="BV278" s="1086"/>
      <c r="BW278" s="1086"/>
      <c r="BX278" s="1086"/>
    </row>
    <row r="279" spans="2:78" ht="12.75" customHeight="1">
      <c r="B279" s="1291"/>
      <c r="C279" s="1503" t="s">
        <v>369</v>
      </c>
      <c r="D279" s="1416"/>
      <c r="E279" s="1416"/>
      <c r="F279" s="1417"/>
      <c r="G279" s="1411"/>
      <c r="H279" s="1407"/>
      <c r="I279" s="1407"/>
      <c r="J279" s="1412"/>
      <c r="K279" s="1411"/>
      <c r="L279" s="1408"/>
      <c r="M279" s="1408"/>
      <c r="N279" s="1410"/>
      <c r="O279" s="1409"/>
      <c r="P279" s="1408"/>
      <c r="Q279" s="1408"/>
      <c r="R279" s="1410"/>
      <c r="S279" s="1409">
        <v>0</v>
      </c>
      <c r="T279" s="1408">
        <v>0</v>
      </c>
      <c r="U279" s="1408">
        <v>0</v>
      </c>
      <c r="V279" s="1410">
        <v>0</v>
      </c>
      <c r="W279" s="1425">
        <v>0</v>
      </c>
      <c r="X279" s="1425">
        <v>0</v>
      </c>
      <c r="Y279" s="1425">
        <v>0</v>
      </c>
      <c r="Z279" s="1426">
        <v>0</v>
      </c>
      <c r="AA279" s="1425">
        <v>0</v>
      </c>
      <c r="AB279" s="1425">
        <v>0</v>
      </c>
      <c r="AC279" s="1425">
        <v>0</v>
      </c>
      <c r="AD279" s="1426">
        <v>0</v>
      </c>
      <c r="AE279" s="1425">
        <v>0</v>
      </c>
      <c r="AF279" s="1425">
        <v>0</v>
      </c>
      <c r="AG279" s="1425">
        <v>0</v>
      </c>
      <c r="AH279" s="1426">
        <v>0</v>
      </c>
      <c r="AI279" s="1425">
        <v>0</v>
      </c>
      <c r="AJ279" s="1425">
        <v>0</v>
      </c>
      <c r="AK279" s="1425">
        <v>0</v>
      </c>
      <c r="AL279" s="1426">
        <v>0</v>
      </c>
      <c r="AM279" s="1424">
        <v>0</v>
      </c>
      <c r="AN279" s="1424">
        <v>0</v>
      </c>
      <c r="AO279" s="1424">
        <v>0</v>
      </c>
      <c r="AP279" s="1423">
        <v>0</v>
      </c>
      <c r="AQ279" s="1424">
        <v>0</v>
      </c>
      <c r="AR279" s="1424">
        <v>0</v>
      </c>
      <c r="AS279" s="1424">
        <v>0</v>
      </c>
      <c r="AT279" s="1423">
        <v>0</v>
      </c>
      <c r="AU279" s="1424">
        <v>0</v>
      </c>
      <c r="AV279" s="1424">
        <v>0</v>
      </c>
      <c r="AW279" s="1424">
        <v>0</v>
      </c>
      <c r="AX279" s="1423">
        <v>0</v>
      </c>
      <c r="AY279" s="1424">
        <v>0</v>
      </c>
      <c r="AZ279" s="1424">
        <v>0</v>
      </c>
      <c r="BA279" s="1424">
        <v>0</v>
      </c>
      <c r="BB279" s="1423">
        <v>0</v>
      </c>
      <c r="BC279" s="1156"/>
      <c r="BD279" s="1156"/>
      <c r="BE279" s="1045"/>
      <c r="BF279" s="1045"/>
      <c r="BG279" s="1045"/>
      <c r="BH279" s="1045">
        <f t="shared" si="281"/>
        <v>0</v>
      </c>
      <c r="BI279" s="1045">
        <f t="shared" si="282"/>
        <v>0</v>
      </c>
      <c r="BJ279" s="1045">
        <f t="shared" si="283"/>
        <v>0</v>
      </c>
      <c r="BK279" s="1045">
        <f t="shared" si="284"/>
        <v>0</v>
      </c>
      <c r="BL279" s="1045">
        <f t="shared" si="285"/>
        <v>0</v>
      </c>
      <c r="BM279" s="1280">
        <f t="shared" si="286"/>
        <v>0</v>
      </c>
      <c r="BN279" s="1280">
        <f t="shared" si="287"/>
        <v>0</v>
      </c>
      <c r="BO279" s="1280">
        <f t="shared" si="288"/>
        <v>0</v>
      </c>
      <c r="BP279" s="1280">
        <f t="shared" si="289"/>
        <v>0</v>
      </c>
      <c r="BQ279" s="1114"/>
      <c r="BR279" s="1115"/>
      <c r="BU279" s="1087"/>
      <c r="BV279" s="1086"/>
      <c r="BW279" s="1086"/>
      <c r="BX279" s="1086"/>
    </row>
    <row r="280" spans="2:78" ht="12.75" customHeight="1">
      <c r="B280" s="1291"/>
      <c r="C280" s="1503" t="s">
        <v>370</v>
      </c>
      <c r="D280" s="1416"/>
      <c r="E280" s="1416"/>
      <c r="F280" s="1417"/>
      <c r="G280" s="1411"/>
      <c r="H280" s="1407"/>
      <c r="I280" s="1407"/>
      <c r="J280" s="1412"/>
      <c r="K280" s="1411"/>
      <c r="L280" s="1408"/>
      <c r="M280" s="1408"/>
      <c r="N280" s="1410"/>
      <c r="O280" s="1409"/>
      <c r="P280" s="1408"/>
      <c r="Q280" s="1408"/>
      <c r="R280" s="1410"/>
      <c r="S280" s="1409">
        <v>0</v>
      </c>
      <c r="T280" s="1408">
        <v>0</v>
      </c>
      <c r="U280" s="1408">
        <v>0</v>
      </c>
      <c r="V280" s="1410">
        <v>0</v>
      </c>
      <c r="W280" s="1425">
        <v>0</v>
      </c>
      <c r="X280" s="1425">
        <v>0</v>
      </c>
      <c r="Y280" s="1425">
        <v>0</v>
      </c>
      <c r="Z280" s="1426">
        <v>0</v>
      </c>
      <c r="AA280" s="1425">
        <v>0</v>
      </c>
      <c r="AB280" s="1425">
        <v>0</v>
      </c>
      <c r="AC280" s="1425">
        <v>0</v>
      </c>
      <c r="AD280" s="1426">
        <v>0</v>
      </c>
      <c r="AE280" s="1425">
        <v>0</v>
      </c>
      <c r="AF280" s="1425">
        <v>0</v>
      </c>
      <c r="AG280" s="1425">
        <v>0</v>
      </c>
      <c r="AH280" s="1426">
        <v>0</v>
      </c>
      <c r="AI280" s="1425">
        <v>0</v>
      </c>
      <c r="AJ280" s="1425">
        <v>0</v>
      </c>
      <c r="AK280" s="1425">
        <v>0</v>
      </c>
      <c r="AL280" s="1426">
        <v>0</v>
      </c>
      <c r="AM280" s="1424">
        <v>0</v>
      </c>
      <c r="AN280" s="1424">
        <v>0</v>
      </c>
      <c r="AO280" s="1424">
        <v>0</v>
      </c>
      <c r="AP280" s="1423">
        <v>0</v>
      </c>
      <c r="AQ280" s="1424">
        <v>0</v>
      </c>
      <c r="AR280" s="1424">
        <v>0</v>
      </c>
      <c r="AS280" s="1424">
        <v>0</v>
      </c>
      <c r="AT280" s="1423">
        <v>0</v>
      </c>
      <c r="AU280" s="1424">
        <v>0</v>
      </c>
      <c r="AV280" s="1424">
        <v>0</v>
      </c>
      <c r="AW280" s="1424">
        <v>0</v>
      </c>
      <c r="AX280" s="1423">
        <v>0</v>
      </c>
      <c r="AY280" s="1424">
        <v>0</v>
      </c>
      <c r="AZ280" s="1424">
        <v>0</v>
      </c>
      <c r="BA280" s="1424">
        <v>0</v>
      </c>
      <c r="BB280" s="1423">
        <v>0</v>
      </c>
      <c r="BC280" s="1156"/>
      <c r="BD280" s="1156"/>
      <c r="BE280" s="1045"/>
      <c r="BF280" s="1045"/>
      <c r="BG280" s="1045"/>
      <c r="BH280" s="1045">
        <f t="shared" si="281"/>
        <v>0</v>
      </c>
      <c r="BI280" s="1045">
        <f t="shared" si="282"/>
        <v>0</v>
      </c>
      <c r="BJ280" s="1045">
        <f t="shared" si="283"/>
        <v>0</v>
      </c>
      <c r="BK280" s="1045">
        <f t="shared" si="284"/>
        <v>0</v>
      </c>
      <c r="BL280" s="1045">
        <f t="shared" si="285"/>
        <v>0</v>
      </c>
      <c r="BM280" s="1280">
        <f t="shared" si="286"/>
        <v>0</v>
      </c>
      <c r="BN280" s="1280">
        <f t="shared" si="287"/>
        <v>0</v>
      </c>
      <c r="BO280" s="1280">
        <f t="shared" si="288"/>
        <v>0</v>
      </c>
      <c r="BP280" s="1280">
        <f t="shared" si="289"/>
        <v>0</v>
      </c>
      <c r="BQ280" s="1114"/>
      <c r="BR280" s="1115"/>
      <c r="BU280" s="1087"/>
      <c r="BV280" s="1086"/>
      <c r="BW280" s="1086"/>
      <c r="BX280" s="1086"/>
    </row>
    <row r="281" spans="2:78" ht="12.75" customHeight="1">
      <c r="B281" s="1291"/>
      <c r="C281" s="1503" t="s">
        <v>364</v>
      </c>
      <c r="D281" s="1416"/>
      <c r="E281" s="1416"/>
      <c r="F281" s="1417"/>
      <c r="G281" s="1411"/>
      <c r="H281" s="1407"/>
      <c r="I281" s="1407"/>
      <c r="J281" s="1412"/>
      <c r="K281" s="1411"/>
      <c r="L281" s="1408"/>
      <c r="M281" s="1408"/>
      <c r="N281" s="1410"/>
      <c r="O281" s="1409"/>
      <c r="P281" s="1408"/>
      <c r="Q281" s="1408"/>
      <c r="R281" s="1410"/>
      <c r="S281" s="1409">
        <v>0</v>
      </c>
      <c r="T281" s="1408">
        <v>0</v>
      </c>
      <c r="U281" s="1408">
        <v>0</v>
      </c>
      <c r="V281" s="1410">
        <v>0</v>
      </c>
      <c r="W281" s="1425">
        <v>0</v>
      </c>
      <c r="X281" s="1425">
        <v>0</v>
      </c>
      <c r="Y281" s="1425">
        <v>0</v>
      </c>
      <c r="Z281" s="1426">
        <v>0</v>
      </c>
      <c r="AA281" s="1425">
        <v>0</v>
      </c>
      <c r="AB281" s="1425">
        <v>0</v>
      </c>
      <c r="AC281" s="1425">
        <v>0</v>
      </c>
      <c r="AD281" s="1426">
        <v>0</v>
      </c>
      <c r="AE281" s="1425">
        <v>0</v>
      </c>
      <c r="AF281" s="1425">
        <v>0</v>
      </c>
      <c r="AG281" s="1425">
        <v>0</v>
      </c>
      <c r="AH281" s="1426">
        <v>0</v>
      </c>
      <c r="AI281" s="1425">
        <v>0</v>
      </c>
      <c r="AJ281" s="1425">
        <v>0</v>
      </c>
      <c r="AK281" s="1425">
        <v>0</v>
      </c>
      <c r="AL281" s="1426">
        <v>0</v>
      </c>
      <c r="AM281" s="1424">
        <v>0</v>
      </c>
      <c r="AN281" s="1424">
        <v>0</v>
      </c>
      <c r="AO281" s="1424">
        <v>0</v>
      </c>
      <c r="AP281" s="1423">
        <v>0</v>
      </c>
      <c r="AQ281" s="1424">
        <v>0</v>
      </c>
      <c r="AR281" s="1424">
        <v>0</v>
      </c>
      <c r="AS281" s="1424">
        <v>0</v>
      </c>
      <c r="AT281" s="1423">
        <v>0</v>
      </c>
      <c r="AU281" s="1424">
        <v>0</v>
      </c>
      <c r="AV281" s="1424">
        <v>0</v>
      </c>
      <c r="AW281" s="1424">
        <v>0</v>
      </c>
      <c r="AX281" s="1423">
        <v>0</v>
      </c>
      <c r="AY281" s="1424">
        <v>0</v>
      </c>
      <c r="AZ281" s="1424">
        <v>0</v>
      </c>
      <c r="BA281" s="1424">
        <v>0</v>
      </c>
      <c r="BB281" s="1423">
        <v>0</v>
      </c>
      <c r="BC281" s="1156"/>
      <c r="BD281" s="1156"/>
      <c r="BE281" s="1045"/>
      <c r="BF281" s="1045"/>
      <c r="BG281" s="1045"/>
      <c r="BH281" s="1045">
        <f t="shared" si="281"/>
        <v>0</v>
      </c>
      <c r="BI281" s="1045">
        <f t="shared" si="282"/>
        <v>0</v>
      </c>
      <c r="BJ281" s="1045">
        <f t="shared" si="283"/>
        <v>0</v>
      </c>
      <c r="BK281" s="1045">
        <f t="shared" si="284"/>
        <v>0</v>
      </c>
      <c r="BL281" s="1045">
        <f t="shared" si="285"/>
        <v>0</v>
      </c>
      <c r="BM281" s="1280">
        <f t="shared" si="286"/>
        <v>0</v>
      </c>
      <c r="BN281" s="1280">
        <f t="shared" si="287"/>
        <v>0</v>
      </c>
      <c r="BO281" s="1280">
        <f t="shared" si="288"/>
        <v>0</v>
      </c>
      <c r="BP281" s="1280">
        <f t="shared" si="289"/>
        <v>0</v>
      </c>
      <c r="BQ281" s="1114"/>
      <c r="BR281" s="1115"/>
      <c r="BU281" s="1087"/>
      <c r="BV281" s="1086"/>
      <c r="BW281" s="1086"/>
      <c r="BX281" s="1086"/>
    </row>
    <row r="282" spans="2:78" ht="12.75" customHeight="1">
      <c r="B282" s="1291"/>
      <c r="C282" s="1179"/>
      <c r="D282" s="1140"/>
      <c r="E282" s="1140"/>
      <c r="F282" s="1126"/>
      <c r="G282" s="1287"/>
      <c r="H282" s="1288"/>
      <c r="I282" s="1288"/>
      <c r="J282" s="1289"/>
      <c r="K282" s="1292"/>
      <c r="L282" s="1288"/>
      <c r="M282" s="1288"/>
      <c r="N282" s="1289"/>
      <c r="O282" s="1287"/>
      <c r="P282" s="1288"/>
      <c r="Q282" s="1288"/>
      <c r="R282" s="1289"/>
      <c r="S282" s="1287"/>
      <c r="T282" s="1288"/>
      <c r="U282" s="1288"/>
      <c r="V282" s="1289"/>
      <c r="W282" s="1288"/>
      <c r="X282" s="1288"/>
      <c r="Y282" s="1288"/>
      <c r="Z282" s="1289"/>
      <c r="AA282" s="1288"/>
      <c r="AB282" s="1288"/>
      <c r="AC282" s="1288"/>
      <c r="AD282" s="1289"/>
      <c r="AE282" s="1288"/>
      <c r="AF282" s="1288"/>
      <c r="AG282" s="1288"/>
      <c r="AH282" s="1289"/>
      <c r="AI282" s="1288"/>
      <c r="AJ282" s="1288"/>
      <c r="AK282" s="1288"/>
      <c r="AL282" s="1289"/>
      <c r="AM282" s="1288"/>
      <c r="AN282" s="1288"/>
      <c r="AO282" s="1288"/>
      <c r="AP282" s="1289"/>
      <c r="AQ282" s="1288"/>
      <c r="AR282" s="1288"/>
      <c r="AS282" s="1288"/>
      <c r="AT282" s="1289"/>
      <c r="AU282" s="1288"/>
      <c r="AV282" s="1288"/>
      <c r="AW282" s="1288"/>
      <c r="AX282" s="1289"/>
      <c r="AY282" s="1288"/>
      <c r="AZ282" s="1288"/>
      <c r="BA282" s="1288"/>
      <c r="BB282" s="1289"/>
      <c r="BC282" s="1158"/>
      <c r="BD282" s="1159"/>
      <c r="BE282" s="1159"/>
      <c r="BF282" s="1159"/>
      <c r="BG282" s="1159"/>
      <c r="BH282" s="1159"/>
      <c r="BI282" s="1159"/>
      <c r="BJ282" s="1159"/>
      <c r="BK282" s="1159"/>
      <c r="BL282" s="1159"/>
      <c r="BM282" s="1159"/>
      <c r="BN282" s="1159"/>
      <c r="BO282" s="1159"/>
      <c r="BP282" s="1159"/>
      <c r="BQ282" s="1114"/>
      <c r="BR282" s="1115"/>
      <c r="BU282" s="1087"/>
      <c r="BV282" s="1086"/>
      <c r="BW282" s="1086"/>
      <c r="BX282" s="1086"/>
    </row>
    <row r="283" spans="2:78" ht="12.75" customHeight="1">
      <c r="B283" s="1293"/>
      <c r="C283" s="1179"/>
      <c r="D283" s="1140"/>
      <c r="E283" s="1140"/>
      <c r="F283" s="1268"/>
      <c r="G283" s="1117"/>
      <c r="H283" s="1118"/>
      <c r="I283" s="1118"/>
      <c r="J283" s="1119"/>
      <c r="K283" s="1161"/>
      <c r="L283" s="1118"/>
      <c r="M283" s="1118"/>
      <c r="N283" s="1119"/>
      <c r="O283" s="1117"/>
      <c r="P283" s="1118"/>
      <c r="Q283" s="1118"/>
      <c r="R283" s="1119"/>
      <c r="S283" s="1117"/>
      <c r="T283" s="1118"/>
      <c r="U283" s="1118"/>
      <c r="V283" s="1119"/>
      <c r="W283" s="1118"/>
      <c r="X283" s="1118"/>
      <c r="Y283" s="1118"/>
      <c r="Z283" s="1119"/>
      <c r="AA283" s="1118"/>
      <c r="AB283" s="1118"/>
      <c r="AC283" s="1118"/>
      <c r="AD283" s="1119"/>
      <c r="AE283" s="1118"/>
      <c r="AF283" s="1118"/>
      <c r="AG283" s="1118"/>
      <c r="AH283" s="1119"/>
      <c r="AI283" s="1118"/>
      <c r="AJ283" s="1118"/>
      <c r="AK283" s="1118"/>
      <c r="AL283" s="1119"/>
      <c r="AM283" s="1118"/>
      <c r="AN283" s="1118"/>
      <c r="AO283" s="1118"/>
      <c r="AP283" s="1119"/>
      <c r="AQ283" s="1118"/>
      <c r="AR283" s="1118"/>
      <c r="AS283" s="1118"/>
      <c r="AT283" s="1119"/>
      <c r="AU283" s="1118"/>
      <c r="AV283" s="1118"/>
      <c r="AW283" s="1118"/>
      <c r="AX283" s="1119"/>
      <c r="AY283" s="1118"/>
      <c r="AZ283" s="1118"/>
      <c r="BA283" s="1118"/>
      <c r="BB283" s="1119"/>
      <c r="BC283" s="1162"/>
      <c r="BD283" s="1162"/>
      <c r="BE283" s="1162"/>
      <c r="BF283" s="1162"/>
      <c r="BG283" s="1162"/>
      <c r="BH283" s="1162"/>
      <c r="BI283" s="1162"/>
      <c r="BJ283" s="1162"/>
      <c r="BK283" s="1162"/>
      <c r="BL283" s="1162"/>
      <c r="BM283" s="1162"/>
      <c r="BN283" s="1162"/>
      <c r="BO283" s="1162"/>
      <c r="BP283" s="1162"/>
      <c r="BQ283" s="1114"/>
      <c r="BR283" s="1141"/>
      <c r="BU283" s="1087"/>
      <c r="BV283" s="1086"/>
      <c r="BW283" s="1086"/>
      <c r="BX283" s="1086"/>
    </row>
    <row r="284" spans="2:78" ht="12.75" customHeight="1">
      <c r="B284" s="1294"/>
      <c r="C284" s="1295"/>
      <c r="D284" s="1281"/>
      <c r="E284" s="1281"/>
      <c r="F284" s="1283"/>
      <c r="G284" s="1161"/>
      <c r="H284" s="1164"/>
      <c r="I284" s="1164"/>
      <c r="J284" s="1165"/>
      <c r="K284" s="1164"/>
      <c r="L284" s="1164"/>
      <c r="M284" s="1164"/>
      <c r="N284" s="1165"/>
      <c r="O284" s="1161"/>
      <c r="P284" s="1164"/>
      <c r="Q284" s="1164"/>
      <c r="R284" s="1165"/>
      <c r="S284" s="1161"/>
      <c r="T284" s="1164"/>
      <c r="U284" s="1164"/>
      <c r="V284" s="1165"/>
      <c r="W284" s="1164"/>
      <c r="X284" s="1164"/>
      <c r="Y284" s="1164"/>
      <c r="Z284" s="1165"/>
      <c r="AA284" s="1164"/>
      <c r="AB284" s="1164"/>
      <c r="AC284" s="1164"/>
      <c r="AD284" s="1165"/>
      <c r="AE284" s="1164"/>
      <c r="AF284" s="1164"/>
      <c r="AG284" s="1164"/>
      <c r="AH284" s="1165"/>
      <c r="AI284" s="1164"/>
      <c r="AJ284" s="1164"/>
      <c r="AK284" s="1164"/>
      <c r="AL284" s="1165"/>
      <c r="AM284" s="1164"/>
      <c r="AN284" s="1164"/>
      <c r="AO284" s="1164"/>
      <c r="AP284" s="1165"/>
      <c r="AQ284" s="1164"/>
      <c r="AR284" s="1164"/>
      <c r="AS284" s="1164"/>
      <c r="AT284" s="1165"/>
      <c r="AU284" s="1164"/>
      <c r="AV284" s="1164"/>
      <c r="AW284" s="1164"/>
      <c r="AX284" s="1165"/>
      <c r="AY284" s="1164"/>
      <c r="AZ284" s="1164"/>
      <c r="BA284" s="1164"/>
      <c r="BB284" s="1165"/>
      <c r="BC284" s="1140"/>
      <c r="BD284" s="1140"/>
      <c r="BE284" s="1140"/>
      <c r="BF284" s="1140"/>
      <c r="BG284" s="1140"/>
      <c r="BH284" s="1140"/>
      <c r="BI284" s="1140"/>
      <c r="BJ284" s="1140"/>
      <c r="BK284" s="1140"/>
      <c r="BL284" s="1140"/>
      <c r="BM284" s="1140"/>
      <c r="BN284" s="1140"/>
      <c r="BO284" s="1140"/>
      <c r="BP284" s="1140"/>
      <c r="BQ284" s="1114"/>
      <c r="BR284" s="1141"/>
      <c r="BU284" s="1087"/>
      <c r="BV284" s="1086"/>
      <c r="BW284" s="1086"/>
      <c r="BX284" s="1086"/>
    </row>
    <row r="285" spans="2:78" ht="12.75" customHeight="1" thickBot="1">
      <c r="B285" s="1296"/>
      <c r="C285" s="1182"/>
      <c r="D285" s="1183"/>
      <c r="E285" s="1183"/>
      <c r="F285" s="1297"/>
      <c r="G285" s="1184"/>
      <c r="H285" s="1183"/>
      <c r="I285" s="1185"/>
      <c r="J285" s="1185"/>
      <c r="K285" s="1185"/>
      <c r="L285" s="1185"/>
      <c r="M285" s="1185"/>
      <c r="N285" s="1185"/>
      <c r="O285" s="1185"/>
      <c r="P285" s="1185"/>
      <c r="Q285" s="1185"/>
      <c r="R285" s="1185"/>
      <c r="S285" s="1184"/>
      <c r="T285" s="1185"/>
      <c r="U285" s="1185"/>
      <c r="V285" s="1185"/>
      <c r="W285" s="1185"/>
      <c r="X285" s="1185"/>
      <c r="Y285" s="1185"/>
      <c r="Z285" s="1184"/>
      <c r="AA285" s="1185"/>
      <c r="AB285" s="1185"/>
      <c r="AC285" s="1185"/>
      <c r="AD285" s="1185"/>
      <c r="AE285" s="1185"/>
      <c r="AF285" s="1185"/>
      <c r="AG285" s="1185"/>
      <c r="AH285" s="1185"/>
      <c r="AI285" s="1185"/>
      <c r="AJ285" s="1185"/>
      <c r="AK285" s="1185"/>
      <c r="AL285" s="1185"/>
      <c r="AM285" s="1185"/>
      <c r="AN285" s="1185"/>
      <c r="AO285" s="1185"/>
      <c r="AP285" s="1185"/>
      <c r="AQ285" s="1185"/>
      <c r="AR285" s="1185"/>
      <c r="AS285" s="1185"/>
      <c r="AT285" s="1185"/>
      <c r="AU285" s="1185"/>
      <c r="AV285" s="1185"/>
      <c r="AW285" s="1185"/>
      <c r="AX285" s="1631"/>
      <c r="AY285" s="1185"/>
      <c r="AZ285" s="1185"/>
      <c r="BA285" s="1185"/>
      <c r="BB285" s="1631"/>
      <c r="BC285" s="1169"/>
      <c r="BD285" s="1169"/>
      <c r="BE285" s="1169"/>
      <c r="BF285" s="1169"/>
      <c r="BG285" s="1169"/>
      <c r="BH285" s="1169"/>
      <c r="BI285" s="1169"/>
      <c r="BJ285" s="1169"/>
      <c r="BK285" s="1169"/>
      <c r="BL285" s="1169"/>
      <c r="BM285" s="1169"/>
      <c r="BN285" s="1169"/>
      <c r="BO285" s="1169"/>
      <c r="BP285" s="1169"/>
      <c r="BQ285" s="1170"/>
      <c r="BR285" s="1141"/>
      <c r="BU285" s="1087"/>
      <c r="BV285" s="1086"/>
      <c r="BW285" s="1086"/>
      <c r="BX285" s="1086"/>
    </row>
    <row r="286" spans="2:78" ht="12.75" customHeight="1">
      <c r="G286" s="1061"/>
      <c r="H286" s="1061"/>
      <c r="I286" s="1061"/>
      <c r="J286" s="1061"/>
      <c r="BG286" s="1061"/>
      <c r="BH286" s="1061"/>
      <c r="BI286" s="1061"/>
      <c r="BJ286" s="1061"/>
      <c r="BK286" s="1061"/>
      <c r="BL286" s="1061"/>
      <c r="BM286" s="1061"/>
      <c r="BN286" s="1061"/>
      <c r="BO286" s="1061"/>
      <c r="BP286" s="1061"/>
      <c r="BQ286" s="1061"/>
      <c r="BU286" s="1087"/>
      <c r="BV286" s="1086"/>
      <c r="BW286" s="1086"/>
      <c r="BX286" s="1086"/>
    </row>
    <row r="287" spans="2:78" ht="12.75" customHeight="1">
      <c r="B287" s="1291"/>
      <c r="C287" s="1298"/>
      <c r="D287" s="1298"/>
      <c r="E287" s="1298"/>
      <c r="F287" s="1299"/>
      <c r="G287" s="1300"/>
      <c r="H287" s="1300"/>
      <c r="I287" s="1300"/>
      <c r="J287" s="1300"/>
      <c r="K287" s="1298"/>
      <c r="L287" s="1298"/>
      <c r="M287" s="1298"/>
      <c r="N287" s="1298"/>
      <c r="O287" s="1298"/>
      <c r="P287" s="1298"/>
      <c r="Q287" s="1298"/>
      <c r="R287" s="1298"/>
      <c r="S287" s="1298"/>
      <c r="T287" s="1298"/>
      <c r="U287" s="1298"/>
      <c r="V287" s="1298"/>
      <c r="W287" s="1298"/>
      <c r="X287" s="1298"/>
      <c r="Y287" s="1298"/>
      <c r="Z287" s="1298"/>
      <c r="AA287" s="1298"/>
      <c r="AB287" s="1298"/>
      <c r="AC287" s="1298"/>
      <c r="AD287" s="1298"/>
      <c r="AE287" s="1298"/>
      <c r="AF287" s="1298"/>
      <c r="AG287" s="1298"/>
      <c r="AH287" s="1298"/>
      <c r="AI287" s="1298"/>
      <c r="AJ287" s="1298"/>
      <c r="AK287" s="1298"/>
      <c r="AL287" s="1298"/>
      <c r="AM287" s="1298"/>
      <c r="AN287" s="1298"/>
      <c r="AO287" s="1298"/>
      <c r="AP287" s="1298"/>
      <c r="AQ287" s="1298"/>
      <c r="AR287" s="1298"/>
      <c r="AS287" s="1298"/>
      <c r="AT287" s="1298"/>
      <c r="AU287" s="1298"/>
      <c r="AV287" s="1298"/>
      <c r="AW287" s="1298"/>
      <c r="AX287" s="1298"/>
      <c r="AY287" s="1298"/>
      <c r="AZ287" s="1298"/>
      <c r="BA287" s="1298"/>
      <c r="BB287" s="1298"/>
      <c r="BC287" s="1298"/>
      <c r="BD287" s="1298"/>
      <c r="BE287" s="1298"/>
      <c r="BF287" s="1298"/>
      <c r="BR287" s="1298"/>
      <c r="BS287" s="1298"/>
      <c r="BT287" s="1298"/>
      <c r="BU287" s="1087"/>
      <c r="BV287" s="1086"/>
      <c r="BW287" s="1086"/>
      <c r="BX287" s="1086"/>
      <c r="BY287" s="1298"/>
      <c r="BZ287" s="1298"/>
    </row>
    <row r="288" spans="2:78" ht="12.75" customHeight="1">
      <c r="B288" s="1291"/>
      <c r="C288" s="1298"/>
      <c r="D288" s="1298"/>
      <c r="E288" s="1298"/>
      <c r="F288" s="1299"/>
      <c r="G288" s="1300"/>
      <c r="H288" s="1300"/>
      <c r="I288" s="1300"/>
      <c r="J288" s="1300"/>
      <c r="K288" s="1298"/>
      <c r="L288" s="1298"/>
      <c r="M288" s="1298"/>
      <c r="N288" s="1298"/>
      <c r="O288" s="1298"/>
      <c r="P288" s="1298"/>
      <c r="Q288" s="1298"/>
      <c r="R288" s="1298"/>
      <c r="S288" s="1298"/>
      <c r="T288" s="1298"/>
      <c r="U288" s="1298"/>
      <c r="V288" s="1298"/>
      <c r="W288" s="1298"/>
      <c r="X288" s="1298"/>
      <c r="Y288" s="1298"/>
      <c r="Z288" s="1298"/>
      <c r="AA288" s="1298"/>
      <c r="AB288" s="1298"/>
      <c r="AC288" s="1298"/>
      <c r="AD288" s="1298"/>
      <c r="AE288" s="1298"/>
      <c r="AF288" s="1298"/>
      <c r="AG288" s="1298"/>
      <c r="AH288" s="1298"/>
      <c r="AI288" s="1298"/>
      <c r="AJ288" s="1298"/>
      <c r="AK288" s="1298"/>
      <c r="AL288" s="1298"/>
      <c r="AM288" s="1298"/>
      <c r="AN288" s="1298"/>
      <c r="AO288" s="1298"/>
      <c r="AP288" s="1298"/>
      <c r="AQ288" s="1298"/>
      <c r="AR288" s="1298"/>
      <c r="AS288" s="1298"/>
      <c r="AT288" s="1298"/>
      <c r="AU288" s="1298"/>
      <c r="AV288" s="1298"/>
      <c r="AW288" s="1298"/>
      <c r="AX288" s="1298"/>
      <c r="AY288" s="1298"/>
      <c r="AZ288" s="1298"/>
      <c r="BA288" s="1298"/>
      <c r="BB288" s="1298"/>
      <c r="BC288" s="1298"/>
      <c r="BD288" s="1298"/>
      <c r="BE288" s="1298"/>
      <c r="BF288" s="1298"/>
      <c r="BR288" s="1298"/>
      <c r="BS288" s="1298"/>
      <c r="BT288" s="1298"/>
      <c r="BU288" s="1087"/>
      <c r="BV288" s="1086"/>
      <c r="BW288" s="1086"/>
      <c r="BX288" s="1086"/>
      <c r="BY288" s="1298"/>
      <c r="BZ288" s="1298"/>
    </row>
    <row r="289" spans="2:78" ht="12.75" customHeight="1">
      <c r="B289" s="1291"/>
      <c r="C289" s="1298"/>
      <c r="D289" s="1298"/>
      <c r="E289" s="1298"/>
      <c r="F289" s="1299"/>
      <c r="G289" s="1300"/>
      <c r="H289" s="1300"/>
      <c r="I289" s="1300"/>
      <c r="J289" s="1300"/>
      <c r="K289" s="1298"/>
      <c r="L289" s="1298"/>
      <c r="M289" s="1298"/>
      <c r="N289" s="1298"/>
      <c r="O289" s="1298"/>
      <c r="P289" s="1298"/>
      <c r="Q289" s="1298"/>
      <c r="R289" s="1298"/>
      <c r="S289" s="1298"/>
      <c r="T289" s="1298"/>
      <c r="U289" s="1298"/>
      <c r="V289" s="1298"/>
      <c r="W289" s="1298"/>
      <c r="X289" s="1298"/>
      <c r="Y289" s="1298"/>
      <c r="Z289" s="1298"/>
      <c r="AA289" s="1298"/>
      <c r="AB289" s="1298"/>
      <c r="AC289" s="1298"/>
      <c r="AD289" s="1298"/>
      <c r="AE289" s="1298"/>
      <c r="AF289" s="1298"/>
      <c r="AG289" s="1298"/>
      <c r="AH289" s="1298"/>
      <c r="AI289" s="1298"/>
      <c r="AJ289" s="1298"/>
      <c r="AK289" s="1298"/>
      <c r="AL289" s="1298"/>
      <c r="AM289" s="1298"/>
      <c r="AN289" s="1298"/>
      <c r="AO289" s="1298"/>
      <c r="AP289" s="1298"/>
      <c r="AQ289" s="1298"/>
      <c r="AR289" s="1298"/>
      <c r="AS289" s="1298"/>
      <c r="AT289" s="1298"/>
      <c r="AU289" s="1298"/>
      <c r="AV289" s="1298"/>
      <c r="AW289" s="1298"/>
      <c r="AX289" s="1298"/>
      <c r="AY289" s="1298"/>
      <c r="AZ289" s="1298"/>
      <c r="BA289" s="1298"/>
      <c r="BB289" s="1298"/>
      <c r="BC289" s="1298"/>
      <c r="BD289" s="1298"/>
      <c r="BE289" s="1298"/>
      <c r="BF289" s="1298"/>
      <c r="BR289" s="1298"/>
      <c r="BS289" s="1298"/>
      <c r="BT289" s="1298"/>
      <c r="BU289" s="1087"/>
      <c r="BV289" s="1086"/>
      <c r="BW289" s="1086"/>
      <c r="BX289" s="1086"/>
      <c r="BY289" s="1298"/>
      <c r="BZ289" s="1298"/>
    </row>
    <row r="290" spans="2:78" ht="12.75" customHeight="1">
      <c r="B290" s="1291"/>
      <c r="C290" s="1298"/>
      <c r="D290" s="1298"/>
      <c r="E290" s="1298"/>
      <c r="F290" s="1299"/>
      <c r="G290" s="1300"/>
      <c r="H290" s="1300"/>
      <c r="I290" s="1300"/>
      <c r="J290" s="1300"/>
      <c r="K290" s="1298"/>
      <c r="L290" s="1298"/>
      <c r="M290" s="1298"/>
      <c r="N290" s="1298"/>
      <c r="O290" s="1298"/>
      <c r="P290" s="1298"/>
      <c r="Q290" s="1298"/>
      <c r="R290" s="1298"/>
      <c r="S290" s="1298"/>
      <c r="T290" s="1298"/>
      <c r="U290" s="1298"/>
      <c r="V290" s="1298"/>
      <c r="W290" s="1298"/>
      <c r="X290" s="1298"/>
      <c r="Y290" s="1298"/>
      <c r="Z290" s="1298"/>
      <c r="AA290" s="1298"/>
      <c r="AB290" s="1298"/>
      <c r="AC290" s="1298"/>
      <c r="AD290" s="1298"/>
      <c r="AE290" s="1298"/>
      <c r="AF290" s="1298"/>
      <c r="AG290" s="1298"/>
      <c r="AH290" s="1298"/>
      <c r="AI290" s="1298"/>
      <c r="AJ290" s="1298"/>
      <c r="AK290" s="1298"/>
      <c r="AL290" s="1298"/>
      <c r="AM290" s="1298"/>
      <c r="AN290" s="1298"/>
      <c r="AO290" s="1298"/>
      <c r="AP290" s="1298"/>
      <c r="AQ290" s="1298"/>
      <c r="AR290" s="1298"/>
      <c r="AS290" s="1298"/>
      <c r="AT290" s="1298"/>
      <c r="AU290" s="1298"/>
      <c r="AV290" s="1298"/>
      <c r="AW290" s="1298"/>
      <c r="AX290" s="1298"/>
      <c r="AY290" s="1298"/>
      <c r="AZ290" s="1298"/>
      <c r="BA290" s="1298"/>
      <c r="BB290" s="1298"/>
      <c r="BC290" s="1298"/>
      <c r="BD290" s="1298"/>
      <c r="BE290" s="1298"/>
      <c r="BF290" s="1298"/>
      <c r="BR290" s="1298"/>
      <c r="BS290" s="1298"/>
      <c r="BT290" s="1298"/>
      <c r="BU290" s="1087"/>
      <c r="BV290" s="1086"/>
      <c r="BW290" s="1086"/>
      <c r="BX290" s="1086"/>
      <c r="BY290" s="1298"/>
      <c r="BZ290" s="1298"/>
    </row>
    <row r="291" spans="2:78" ht="12.75" customHeight="1">
      <c r="B291" s="1291"/>
      <c r="C291" s="1298"/>
      <c r="D291" s="1298"/>
      <c r="E291" s="1298"/>
      <c r="F291" s="1299"/>
      <c r="G291" s="1300"/>
      <c r="H291" s="1300"/>
      <c r="I291" s="1300"/>
      <c r="J291" s="1300"/>
      <c r="K291" s="1298"/>
      <c r="L291" s="1298"/>
      <c r="M291" s="1298"/>
      <c r="N291" s="1298"/>
      <c r="O291" s="1298"/>
      <c r="P291" s="1298"/>
      <c r="Q291" s="1298"/>
      <c r="R291" s="1298"/>
      <c r="S291" s="1298"/>
      <c r="T291" s="1298"/>
      <c r="U291" s="1298"/>
      <c r="V291" s="1298"/>
      <c r="W291" s="1298"/>
      <c r="X291" s="1298"/>
      <c r="Y291" s="1298"/>
      <c r="Z291" s="1298"/>
      <c r="AA291" s="1298"/>
      <c r="AB291" s="1298"/>
      <c r="AC291" s="1298"/>
      <c r="AD291" s="1298"/>
      <c r="AE291" s="1298"/>
      <c r="AF291" s="1298"/>
      <c r="AG291" s="1298"/>
      <c r="AH291" s="1298"/>
      <c r="AI291" s="1298"/>
      <c r="AJ291" s="1298"/>
      <c r="AK291" s="1298"/>
      <c r="AL291" s="1298"/>
      <c r="AM291" s="1298"/>
      <c r="AN291" s="1298"/>
      <c r="AO291" s="1298"/>
      <c r="AP291" s="1298"/>
      <c r="AQ291" s="1298"/>
      <c r="AR291" s="1298"/>
      <c r="AS291" s="1298"/>
      <c r="AT291" s="1298"/>
      <c r="AU291" s="1298"/>
      <c r="AV291" s="1298"/>
      <c r="AW291" s="1298"/>
      <c r="AX291" s="1298"/>
      <c r="AY291" s="1298"/>
      <c r="AZ291" s="1298"/>
      <c r="BA291" s="1298"/>
      <c r="BB291" s="1298"/>
      <c r="BC291" s="1298"/>
      <c r="BD291" s="1298"/>
      <c r="BE291" s="1298"/>
      <c r="BF291" s="1298"/>
      <c r="BR291" s="1298"/>
      <c r="BS291" s="1298"/>
      <c r="BT291" s="1298"/>
      <c r="BU291" s="1087"/>
      <c r="BV291" s="1086"/>
      <c r="BW291" s="1086"/>
      <c r="BX291" s="1086"/>
      <c r="BY291" s="1298"/>
      <c r="BZ291" s="1298"/>
    </row>
    <row r="292" spans="2:78" ht="12.75" customHeight="1">
      <c r="B292" s="1291"/>
      <c r="C292" s="1298"/>
      <c r="D292" s="1298"/>
      <c r="E292" s="1298"/>
      <c r="F292" s="1299"/>
      <c r="G292" s="1300"/>
      <c r="H292" s="1300"/>
      <c r="I292" s="1300"/>
      <c r="J292" s="1300"/>
      <c r="K292" s="1298"/>
      <c r="L292" s="1298"/>
      <c r="M292" s="1298"/>
      <c r="N292" s="1298"/>
      <c r="O292" s="1298"/>
      <c r="P292" s="1298"/>
      <c r="Q292" s="1298"/>
      <c r="R292" s="1298"/>
      <c r="S292" s="1298"/>
      <c r="T292" s="1298"/>
      <c r="U292" s="1298"/>
      <c r="V292" s="1298"/>
      <c r="W292" s="1298"/>
      <c r="X292" s="1298"/>
      <c r="Y292" s="1298"/>
      <c r="Z292" s="1298"/>
      <c r="AA292" s="1298"/>
      <c r="AB292" s="1298"/>
      <c r="AC292" s="1298"/>
      <c r="AD292" s="1298"/>
      <c r="AE292" s="1298"/>
      <c r="AF292" s="1298"/>
      <c r="AG292" s="1298"/>
      <c r="AH292" s="1298"/>
      <c r="AI292" s="1298"/>
      <c r="AJ292" s="1298"/>
      <c r="AK292" s="1298"/>
      <c r="AL292" s="1298"/>
      <c r="AM292" s="1298"/>
      <c r="AN292" s="1298"/>
      <c r="AO292" s="1298"/>
      <c r="AP292" s="1298"/>
      <c r="AQ292" s="1298"/>
      <c r="AR292" s="1298"/>
      <c r="AS292" s="1298"/>
      <c r="AT292" s="1298"/>
      <c r="AU292" s="1298"/>
      <c r="AV292" s="1298"/>
      <c r="AW292" s="1298"/>
      <c r="AX292" s="1298"/>
      <c r="AY292" s="1298"/>
      <c r="AZ292" s="1298"/>
      <c r="BA292" s="1298"/>
      <c r="BB292" s="1298"/>
      <c r="BC292" s="1298"/>
      <c r="BD292" s="1298"/>
      <c r="BE292" s="1298"/>
      <c r="BF292" s="1298"/>
      <c r="BR292" s="1298"/>
      <c r="BS292" s="1298"/>
      <c r="BT292" s="1298"/>
      <c r="BU292" s="1087"/>
      <c r="BV292" s="1086"/>
      <c r="BW292" s="1086"/>
      <c r="BX292" s="1086"/>
      <c r="BY292" s="1298"/>
      <c r="BZ292" s="1298"/>
    </row>
    <row r="293" spans="2:78" ht="12.75" customHeight="1">
      <c r="B293" s="1291"/>
      <c r="C293" s="1298"/>
      <c r="D293" s="1298"/>
      <c r="E293" s="1298"/>
      <c r="F293" s="1299"/>
      <c r="G293" s="1300"/>
      <c r="H293" s="1300"/>
      <c r="I293" s="1300"/>
      <c r="J293" s="1300"/>
      <c r="K293" s="1298"/>
      <c r="L293" s="1298"/>
      <c r="M293" s="1298"/>
      <c r="N293" s="1298"/>
      <c r="O293" s="1298"/>
      <c r="P293" s="1298"/>
      <c r="Q293" s="1298"/>
      <c r="R293" s="1298"/>
      <c r="S293" s="1298"/>
      <c r="T293" s="1298"/>
      <c r="U293" s="1298"/>
      <c r="V293" s="1298"/>
      <c r="W293" s="1298"/>
      <c r="X293" s="1298"/>
      <c r="Y293" s="1298"/>
      <c r="Z293" s="1298"/>
      <c r="AA293" s="1298"/>
      <c r="AB293" s="1298"/>
      <c r="AC293" s="1298"/>
      <c r="AD293" s="1298"/>
      <c r="AE293" s="1298"/>
      <c r="AF293" s="1298"/>
      <c r="AG293" s="1298"/>
      <c r="AH293" s="1298"/>
      <c r="AI293" s="1298"/>
      <c r="AJ293" s="1298"/>
      <c r="AK293" s="1298"/>
      <c r="AL293" s="1298"/>
      <c r="AM293" s="1298"/>
      <c r="AN293" s="1298"/>
      <c r="AO293" s="1298"/>
      <c r="AP293" s="1298"/>
      <c r="AQ293" s="1298"/>
      <c r="AR293" s="1298"/>
      <c r="AS293" s="1298"/>
      <c r="AT293" s="1298"/>
      <c r="AU293" s="1298"/>
      <c r="AV293" s="1298"/>
      <c r="AW293" s="1298"/>
      <c r="AX293" s="1298"/>
      <c r="AY293" s="1298"/>
      <c r="AZ293" s="1298"/>
      <c r="BA293" s="1298"/>
      <c r="BB293" s="1298"/>
      <c r="BC293" s="1298"/>
      <c r="BD293" s="1298"/>
      <c r="BE293" s="1298"/>
      <c r="BF293" s="1298"/>
      <c r="BR293" s="1298"/>
      <c r="BS293" s="1298"/>
      <c r="BT293" s="1298"/>
      <c r="BU293" s="1087"/>
      <c r="BV293" s="1086"/>
      <c r="BW293" s="1086"/>
      <c r="BX293" s="1086"/>
      <c r="BY293" s="1298"/>
      <c r="BZ293" s="1298"/>
    </row>
    <row r="294" spans="2:78" ht="12.75" customHeight="1">
      <c r="B294" s="1291"/>
      <c r="C294" s="1298"/>
      <c r="D294" s="1298"/>
      <c r="E294" s="1298"/>
      <c r="F294" s="1299"/>
      <c r="G294" s="1300"/>
      <c r="H294" s="1300"/>
      <c r="I294" s="1300"/>
      <c r="J294" s="1300"/>
      <c r="K294" s="1298"/>
      <c r="L294" s="1298"/>
      <c r="M294" s="1298"/>
      <c r="N294" s="1298"/>
      <c r="O294" s="1298"/>
      <c r="P294" s="1298"/>
      <c r="Q294" s="1298"/>
      <c r="R294" s="1298"/>
      <c r="S294" s="1298"/>
      <c r="T294" s="1298"/>
      <c r="U294" s="1298"/>
      <c r="V294" s="1298"/>
      <c r="W294" s="1298"/>
      <c r="X294" s="1298"/>
      <c r="Y294" s="1298"/>
      <c r="Z294" s="1298"/>
      <c r="AA294" s="1298"/>
      <c r="AB294" s="1298"/>
      <c r="AC294" s="1298"/>
      <c r="AD294" s="1298"/>
      <c r="AE294" s="1298"/>
      <c r="AF294" s="1298"/>
      <c r="AG294" s="1298"/>
      <c r="AH294" s="1298"/>
      <c r="AI294" s="1298"/>
      <c r="AJ294" s="1298"/>
      <c r="AK294" s="1298"/>
      <c r="AL294" s="1298"/>
      <c r="AM294" s="1298"/>
      <c r="AN294" s="1298"/>
      <c r="AO294" s="1298"/>
      <c r="AP294" s="1298"/>
      <c r="AQ294" s="1298"/>
      <c r="AR294" s="1298"/>
      <c r="AS294" s="1298"/>
      <c r="AT294" s="1298"/>
      <c r="AU294" s="1298"/>
      <c r="AV294" s="1298"/>
      <c r="AW294" s="1298"/>
      <c r="AX294" s="1298"/>
      <c r="AY294" s="1298"/>
      <c r="AZ294" s="1298"/>
      <c r="BA294" s="1298"/>
      <c r="BB294" s="1298"/>
      <c r="BC294" s="1298"/>
      <c r="BD294" s="1298"/>
      <c r="BE294" s="1298"/>
      <c r="BF294" s="1298"/>
      <c r="BR294" s="1298"/>
      <c r="BS294" s="1298"/>
      <c r="BT294" s="1298"/>
      <c r="BU294" s="1087"/>
      <c r="BV294" s="1086"/>
      <c r="BW294" s="1086"/>
      <c r="BX294" s="1086"/>
      <c r="BY294" s="1298"/>
      <c r="BZ294" s="1298"/>
    </row>
    <row r="295" spans="2:78" ht="12.75" customHeight="1">
      <c r="B295" s="1291"/>
      <c r="C295" s="1298"/>
      <c r="D295" s="1298"/>
      <c r="E295" s="1298"/>
      <c r="F295" s="1299"/>
      <c r="G295" s="1300"/>
      <c r="H295" s="1300"/>
      <c r="I295" s="1300"/>
      <c r="J295" s="1300"/>
      <c r="K295" s="1298"/>
      <c r="L295" s="1298"/>
      <c r="M295" s="1298"/>
      <c r="N295" s="1298"/>
      <c r="O295" s="1298"/>
      <c r="P295" s="1298"/>
      <c r="Q295" s="1298"/>
      <c r="R295" s="1298"/>
      <c r="S295" s="1298"/>
      <c r="T295" s="1298"/>
      <c r="U295" s="1298"/>
      <c r="V295" s="1298"/>
      <c r="W295" s="1298"/>
      <c r="X295" s="1298"/>
      <c r="Y295" s="1298"/>
      <c r="Z295" s="1298"/>
      <c r="AA295" s="1298"/>
      <c r="AB295" s="1298"/>
      <c r="AC295" s="1298"/>
      <c r="AD295" s="1298"/>
      <c r="AE295" s="1298"/>
      <c r="AF295" s="1298"/>
      <c r="AG295" s="1298"/>
      <c r="AH295" s="1298"/>
      <c r="AI295" s="1298"/>
      <c r="AJ295" s="1298"/>
      <c r="AK295" s="1298"/>
      <c r="AL295" s="1298"/>
      <c r="AM295" s="1298"/>
      <c r="AN295" s="1298"/>
      <c r="AO295" s="1298"/>
      <c r="AP295" s="1298"/>
      <c r="AQ295" s="1298"/>
      <c r="AR295" s="1298"/>
      <c r="AS295" s="1298"/>
      <c r="AT295" s="1298"/>
      <c r="AU295" s="1298"/>
      <c r="AV295" s="1298"/>
      <c r="AW295" s="1298"/>
      <c r="AX295" s="1298"/>
      <c r="AY295" s="1298"/>
      <c r="AZ295" s="1298"/>
      <c r="BA295" s="1298"/>
      <c r="BB295" s="1298"/>
      <c r="BC295" s="1298"/>
      <c r="BD295" s="1298"/>
      <c r="BE295" s="1298"/>
      <c r="BF295" s="1298"/>
      <c r="BR295" s="1298"/>
      <c r="BS295" s="1298"/>
      <c r="BT295" s="1298"/>
      <c r="BU295" s="1087"/>
      <c r="BV295" s="1086"/>
      <c r="BW295" s="1086"/>
      <c r="BX295" s="1086"/>
      <c r="BY295" s="1298"/>
      <c r="BZ295" s="1298"/>
    </row>
    <row r="296" spans="2:78" ht="12.75" customHeight="1">
      <c r="B296" s="1291"/>
      <c r="C296" s="1298"/>
      <c r="D296" s="1298"/>
      <c r="E296" s="1298"/>
      <c r="F296" s="1299"/>
      <c r="G296" s="1300"/>
      <c r="H296" s="1300"/>
      <c r="I296" s="1300"/>
      <c r="J296" s="1300"/>
      <c r="K296" s="1298"/>
      <c r="L296" s="1298"/>
      <c r="M296" s="1298"/>
      <c r="N296" s="1298"/>
      <c r="O296" s="1298"/>
      <c r="P296" s="1298"/>
      <c r="Q296" s="1298"/>
      <c r="R296" s="1298"/>
      <c r="S296" s="1298"/>
      <c r="T296" s="1298"/>
      <c r="U296" s="1298"/>
      <c r="V296" s="1298"/>
      <c r="W296" s="1298"/>
      <c r="X296" s="1298"/>
      <c r="Y296" s="1298"/>
      <c r="Z296" s="1298"/>
      <c r="AA296" s="1298"/>
      <c r="AB296" s="1298"/>
      <c r="AC296" s="1298"/>
      <c r="AD296" s="1298"/>
      <c r="AE296" s="1298"/>
      <c r="AF296" s="1298"/>
      <c r="AG296" s="1298"/>
      <c r="AH296" s="1298"/>
      <c r="AI296" s="1298"/>
      <c r="AJ296" s="1298"/>
      <c r="AK296" s="1298"/>
      <c r="AL296" s="1298"/>
      <c r="AM296" s="1298"/>
      <c r="AN296" s="1298"/>
      <c r="AO296" s="1298"/>
      <c r="AP296" s="1298"/>
      <c r="AQ296" s="1298"/>
      <c r="AR296" s="1298"/>
      <c r="AS296" s="1298"/>
      <c r="AT296" s="1298"/>
      <c r="AU296" s="1298"/>
      <c r="AV296" s="1298"/>
      <c r="AW296" s="1298"/>
      <c r="AX296" s="1298"/>
      <c r="AY296" s="1298"/>
      <c r="AZ296" s="1298"/>
      <c r="BA296" s="1298"/>
      <c r="BB296" s="1298"/>
      <c r="BC296" s="1298"/>
      <c r="BD296" s="1298"/>
      <c r="BE296" s="1298"/>
      <c r="BF296" s="1298"/>
      <c r="BR296" s="1298"/>
      <c r="BS296" s="1298"/>
      <c r="BT296" s="1298"/>
      <c r="BU296" s="1087"/>
      <c r="BV296" s="1086"/>
      <c r="BW296" s="1086"/>
      <c r="BX296" s="1086"/>
      <c r="BY296" s="1298"/>
      <c r="BZ296" s="1298"/>
    </row>
    <row r="297" spans="2:78" ht="12.75" customHeight="1">
      <c r="B297" s="1291"/>
      <c r="C297" s="1298"/>
      <c r="D297" s="1298"/>
      <c r="E297" s="1298"/>
      <c r="F297" s="1299"/>
      <c r="G297" s="1300"/>
      <c r="H297" s="1300"/>
      <c r="I297" s="1300"/>
      <c r="J297" s="1300"/>
      <c r="K297" s="1298"/>
      <c r="L297" s="1298"/>
      <c r="M297" s="1298"/>
      <c r="N297" s="1298"/>
      <c r="O297" s="1298"/>
      <c r="P297" s="1298"/>
      <c r="Q297" s="1298"/>
      <c r="R297" s="1298"/>
      <c r="S297" s="1298"/>
      <c r="T297" s="1298"/>
      <c r="U297" s="1298"/>
      <c r="V297" s="1298"/>
      <c r="W297" s="1298"/>
      <c r="X297" s="1298"/>
      <c r="Y297" s="1298"/>
      <c r="Z297" s="1298"/>
      <c r="AA297" s="1298"/>
      <c r="AB297" s="1298"/>
      <c r="AC297" s="1298"/>
      <c r="AD297" s="1298"/>
      <c r="AE297" s="1298"/>
      <c r="AF297" s="1298"/>
      <c r="AG297" s="1298"/>
      <c r="AH297" s="1298"/>
      <c r="AI297" s="1298"/>
      <c r="AJ297" s="1298"/>
      <c r="AK297" s="1298"/>
      <c r="AL297" s="1298"/>
      <c r="AM297" s="1298"/>
      <c r="AN297" s="1298"/>
      <c r="AO297" s="1298"/>
      <c r="AP297" s="1298"/>
      <c r="AQ297" s="1298"/>
      <c r="AR297" s="1298"/>
      <c r="AS297" s="1298"/>
      <c r="AT297" s="1298"/>
      <c r="AU297" s="1298"/>
      <c r="AV297" s="1298"/>
      <c r="AW297" s="1298"/>
      <c r="AX297" s="1298"/>
      <c r="AY297" s="1298"/>
      <c r="AZ297" s="1298"/>
      <c r="BA297" s="1298"/>
      <c r="BB297" s="1298"/>
      <c r="BC297" s="1298"/>
      <c r="BD297" s="1298"/>
      <c r="BE297" s="1298"/>
      <c r="BF297" s="1298"/>
      <c r="BR297" s="1298"/>
      <c r="BS297" s="1298"/>
      <c r="BT297" s="1298"/>
      <c r="BU297" s="1087"/>
      <c r="BV297" s="1086"/>
      <c r="BW297" s="1086"/>
      <c r="BX297" s="1086"/>
      <c r="BY297" s="1298"/>
      <c r="BZ297" s="1298"/>
    </row>
    <row r="298" spans="2:78" ht="12.75" customHeight="1">
      <c r="B298" s="1291"/>
      <c r="C298" s="1298"/>
      <c r="D298" s="1298"/>
      <c r="E298" s="1298"/>
      <c r="F298" s="1299"/>
      <c r="G298" s="1300"/>
      <c r="H298" s="1300"/>
      <c r="I298" s="1300"/>
      <c r="J298" s="1300"/>
      <c r="K298" s="1298"/>
      <c r="L298" s="1298"/>
      <c r="M298" s="1298"/>
      <c r="N298" s="1298"/>
      <c r="O298" s="1298"/>
      <c r="P298" s="1298"/>
      <c r="Q298" s="1298"/>
      <c r="R298" s="1298"/>
      <c r="S298" s="1298"/>
      <c r="T298" s="1298"/>
      <c r="U298" s="1298"/>
      <c r="V298" s="1298"/>
      <c r="W298" s="1298"/>
      <c r="X298" s="1298"/>
      <c r="Y298" s="1298"/>
      <c r="Z298" s="1298"/>
      <c r="AA298" s="1298"/>
      <c r="AB298" s="1298"/>
      <c r="AC298" s="1298"/>
      <c r="AD298" s="1298"/>
      <c r="AE298" s="1298"/>
      <c r="AF298" s="1298"/>
      <c r="AG298" s="1298"/>
      <c r="AH298" s="1298"/>
      <c r="AI298" s="1298"/>
      <c r="AJ298" s="1298"/>
      <c r="AK298" s="1298"/>
      <c r="AL298" s="1298"/>
      <c r="AM298" s="1298"/>
      <c r="AN298" s="1298"/>
      <c r="AO298" s="1298"/>
      <c r="AP298" s="1298"/>
      <c r="AQ298" s="1298"/>
      <c r="AR298" s="1298"/>
      <c r="AS298" s="1298"/>
      <c r="AT298" s="1298"/>
      <c r="AU298" s="1298"/>
      <c r="AV298" s="1298"/>
      <c r="AW298" s="1298"/>
      <c r="AX298" s="1298"/>
      <c r="AY298" s="1298"/>
      <c r="AZ298" s="1298"/>
      <c r="BA298" s="1298"/>
      <c r="BB298" s="1298"/>
      <c r="BC298" s="1298"/>
      <c r="BD298" s="1298"/>
      <c r="BE298" s="1298"/>
      <c r="BF298" s="1298"/>
      <c r="BR298" s="1298"/>
      <c r="BS298" s="1298"/>
      <c r="BT298" s="1298"/>
      <c r="BU298" s="1087"/>
      <c r="BV298" s="1086"/>
      <c r="BW298" s="1086"/>
      <c r="BX298" s="1086"/>
      <c r="BY298" s="1298"/>
      <c r="BZ298" s="1298"/>
    </row>
    <row r="299" spans="2:78" ht="12.75" customHeight="1">
      <c r="B299" s="1291"/>
      <c r="C299" s="1298"/>
      <c r="D299" s="1298"/>
      <c r="E299" s="1298"/>
      <c r="F299" s="1299"/>
      <c r="G299" s="1300"/>
      <c r="H299" s="1300"/>
      <c r="I299" s="1300"/>
      <c r="J299" s="1300"/>
      <c r="K299" s="1298"/>
      <c r="L299" s="1298"/>
      <c r="M299" s="1298"/>
      <c r="N299" s="1298"/>
      <c r="O299" s="1298"/>
      <c r="P299" s="1298"/>
      <c r="Q299" s="1298"/>
      <c r="R299" s="1298"/>
      <c r="S299" s="1298"/>
      <c r="T299" s="1298"/>
      <c r="U299" s="1298"/>
      <c r="V299" s="1298"/>
      <c r="W299" s="1298"/>
      <c r="X299" s="1298"/>
      <c r="Y299" s="1298"/>
      <c r="Z299" s="1298"/>
      <c r="AA299" s="1298"/>
      <c r="AB299" s="1298"/>
      <c r="AC299" s="1298"/>
      <c r="AD299" s="1298"/>
      <c r="AE299" s="1298"/>
      <c r="AF299" s="1298"/>
      <c r="AG299" s="1298"/>
      <c r="AH299" s="1298"/>
      <c r="AI299" s="1298"/>
      <c r="AJ299" s="1298"/>
      <c r="AK299" s="1298"/>
      <c r="AL299" s="1298"/>
      <c r="AM299" s="1298"/>
      <c r="AN299" s="1298"/>
      <c r="AO299" s="1298"/>
      <c r="AP299" s="1298"/>
      <c r="AQ299" s="1298"/>
      <c r="AR299" s="1298"/>
      <c r="AS299" s="1298"/>
      <c r="AT299" s="1298"/>
      <c r="AU299" s="1298"/>
      <c r="AV299" s="1298"/>
      <c r="AW299" s="1298"/>
      <c r="AX299" s="1298"/>
      <c r="AY299" s="1298"/>
      <c r="AZ299" s="1298"/>
      <c r="BA299" s="1298"/>
      <c r="BB299" s="1298"/>
      <c r="BC299" s="1298"/>
      <c r="BD299" s="1298"/>
      <c r="BE299" s="1298"/>
      <c r="BF299" s="1298"/>
      <c r="BR299" s="1298"/>
      <c r="BS299" s="1298"/>
      <c r="BT299" s="1298"/>
      <c r="BU299" s="1087"/>
      <c r="BV299" s="1086"/>
      <c r="BW299" s="1086"/>
      <c r="BX299" s="1086"/>
      <c r="BY299" s="1298"/>
      <c r="BZ299" s="1298"/>
    </row>
    <row r="300" spans="2:78" ht="12.75" customHeight="1">
      <c r="B300" s="1291"/>
      <c r="C300" s="1298"/>
      <c r="D300" s="1298"/>
      <c r="E300" s="1298"/>
      <c r="F300" s="1299"/>
      <c r="G300" s="1300"/>
      <c r="H300" s="1300"/>
      <c r="I300" s="1300"/>
      <c r="J300" s="1300"/>
      <c r="K300" s="1298"/>
      <c r="L300" s="1298"/>
      <c r="M300" s="1298"/>
      <c r="N300" s="1298"/>
      <c r="O300" s="1298"/>
      <c r="P300" s="1298"/>
      <c r="Q300" s="1298"/>
      <c r="R300" s="1298"/>
      <c r="S300" s="1298"/>
      <c r="T300" s="1298"/>
      <c r="U300" s="1298"/>
      <c r="V300" s="1298"/>
      <c r="W300" s="1298"/>
      <c r="X300" s="1298"/>
      <c r="Y300" s="1298"/>
      <c r="Z300" s="1298"/>
      <c r="AA300" s="1298"/>
      <c r="AB300" s="1298"/>
      <c r="AC300" s="1298"/>
      <c r="AD300" s="1298"/>
      <c r="AE300" s="1298"/>
      <c r="AF300" s="1298"/>
      <c r="AG300" s="1298"/>
      <c r="AH300" s="1298"/>
      <c r="AI300" s="1298"/>
      <c r="AJ300" s="1298"/>
      <c r="AK300" s="1298"/>
      <c r="AL300" s="1298"/>
      <c r="AM300" s="1298"/>
      <c r="AN300" s="1298"/>
      <c r="AO300" s="1298"/>
      <c r="AP300" s="1298"/>
      <c r="AQ300" s="1298"/>
      <c r="AR300" s="1298"/>
      <c r="AS300" s="1298"/>
      <c r="AT300" s="1298"/>
      <c r="AU300" s="1298"/>
      <c r="AV300" s="1298"/>
      <c r="AW300" s="1298"/>
      <c r="AX300" s="1298"/>
      <c r="AY300" s="1298"/>
      <c r="AZ300" s="1298"/>
      <c r="BA300" s="1298"/>
      <c r="BB300" s="1298"/>
      <c r="BC300" s="1298"/>
      <c r="BD300" s="1298"/>
      <c r="BE300" s="1298"/>
      <c r="BF300" s="1298"/>
      <c r="BR300" s="1298"/>
      <c r="BS300" s="1298"/>
      <c r="BT300" s="1298"/>
      <c r="BU300" s="1087"/>
      <c r="BV300" s="1086"/>
      <c r="BW300" s="1086"/>
      <c r="BX300" s="1086"/>
      <c r="BY300" s="1298"/>
      <c r="BZ300" s="1298"/>
    </row>
    <row r="301" spans="2:78" ht="12.75" customHeight="1">
      <c r="B301" s="1291"/>
      <c r="C301" s="1298"/>
      <c r="D301" s="1298"/>
      <c r="E301" s="1298"/>
      <c r="F301" s="1299"/>
      <c r="G301" s="1300"/>
      <c r="H301" s="1300"/>
      <c r="I301" s="1300"/>
      <c r="J301" s="1300"/>
      <c r="K301" s="1298"/>
      <c r="L301" s="1298"/>
      <c r="M301" s="1298"/>
      <c r="N301" s="1298"/>
      <c r="O301" s="1298"/>
      <c r="P301" s="1298"/>
      <c r="Q301" s="1298"/>
      <c r="R301" s="1298"/>
      <c r="S301" s="1298"/>
      <c r="T301" s="1298"/>
      <c r="U301" s="1298"/>
      <c r="V301" s="1298"/>
      <c r="W301" s="1298"/>
      <c r="X301" s="1298"/>
      <c r="Y301" s="1298"/>
      <c r="Z301" s="1298"/>
      <c r="AA301" s="1298"/>
      <c r="AB301" s="1298"/>
      <c r="AC301" s="1298"/>
      <c r="AD301" s="1298"/>
      <c r="AE301" s="1298"/>
      <c r="AF301" s="1298"/>
      <c r="AG301" s="1298"/>
      <c r="AH301" s="1298"/>
      <c r="AI301" s="1298"/>
      <c r="AJ301" s="1298"/>
      <c r="AK301" s="1298"/>
      <c r="AL301" s="1298"/>
      <c r="AM301" s="1298"/>
      <c r="AN301" s="1298"/>
      <c r="AO301" s="1298"/>
      <c r="AP301" s="1298"/>
      <c r="AQ301" s="1298"/>
      <c r="AR301" s="1298"/>
      <c r="AS301" s="1298"/>
      <c r="AT301" s="1298"/>
      <c r="AU301" s="1298"/>
      <c r="AV301" s="1298"/>
      <c r="AW301" s="1298"/>
      <c r="AX301" s="1298"/>
      <c r="AY301" s="1298"/>
      <c r="AZ301" s="1298"/>
      <c r="BA301" s="1298"/>
      <c r="BB301" s="1298"/>
      <c r="BC301" s="1298"/>
      <c r="BD301" s="1298"/>
      <c r="BE301" s="1298"/>
      <c r="BF301" s="1298"/>
      <c r="BR301" s="1298"/>
      <c r="BS301" s="1298"/>
      <c r="BT301" s="1298"/>
      <c r="BU301" s="1087"/>
      <c r="BV301" s="1086"/>
      <c r="BW301" s="1086"/>
      <c r="BX301" s="1086"/>
      <c r="BY301" s="1298"/>
      <c r="BZ301" s="1298"/>
    </row>
    <row r="302" spans="2:78" ht="12.75" customHeight="1">
      <c r="B302" s="1291"/>
      <c r="C302" s="1298"/>
      <c r="D302" s="1298"/>
      <c r="E302" s="1298"/>
      <c r="F302" s="1299"/>
      <c r="G302" s="1300"/>
      <c r="H302" s="1300"/>
      <c r="I302" s="1300"/>
      <c r="J302" s="1300"/>
      <c r="K302" s="1298"/>
      <c r="L302" s="1298"/>
      <c r="M302" s="1298"/>
      <c r="N302" s="1298"/>
      <c r="O302" s="1298"/>
      <c r="P302" s="1298"/>
      <c r="Q302" s="1298"/>
      <c r="R302" s="1298"/>
      <c r="S302" s="1298"/>
      <c r="T302" s="1298"/>
      <c r="U302" s="1298"/>
      <c r="V302" s="1298"/>
      <c r="W302" s="1298"/>
      <c r="X302" s="1298"/>
      <c r="Y302" s="1298"/>
      <c r="Z302" s="1298"/>
      <c r="AA302" s="1298"/>
      <c r="AB302" s="1298"/>
      <c r="AC302" s="1298"/>
      <c r="AD302" s="1298"/>
      <c r="AE302" s="1298"/>
      <c r="AF302" s="1298"/>
      <c r="AG302" s="1298"/>
      <c r="AH302" s="1298"/>
      <c r="AI302" s="1298"/>
      <c r="AJ302" s="1298"/>
      <c r="AK302" s="1298"/>
      <c r="AL302" s="1298"/>
      <c r="AM302" s="1298"/>
      <c r="AN302" s="1298"/>
      <c r="AO302" s="1298"/>
      <c r="AP302" s="1298"/>
      <c r="AQ302" s="1298"/>
      <c r="AR302" s="1298"/>
      <c r="AS302" s="1298"/>
      <c r="AT302" s="1298"/>
      <c r="AU302" s="1298"/>
      <c r="AV302" s="1298"/>
      <c r="AW302" s="1298"/>
      <c r="AX302" s="1298"/>
      <c r="AY302" s="1298"/>
      <c r="AZ302" s="1298"/>
      <c r="BA302" s="1298"/>
      <c r="BB302" s="1298"/>
      <c r="BC302" s="1298"/>
      <c r="BD302" s="1298"/>
      <c r="BE302" s="1298"/>
      <c r="BF302" s="1298"/>
      <c r="BR302" s="1298"/>
      <c r="BS302" s="1298"/>
      <c r="BT302" s="1298"/>
      <c r="BU302" s="1087"/>
      <c r="BV302" s="1086"/>
      <c r="BW302" s="1086"/>
      <c r="BX302" s="1086"/>
      <c r="BY302" s="1298"/>
      <c r="BZ302" s="1298"/>
    </row>
    <row r="303" spans="2:78" ht="12.75" customHeight="1">
      <c r="B303" s="1291"/>
      <c r="C303" s="1298"/>
      <c r="D303" s="1298"/>
      <c r="E303" s="1298"/>
      <c r="F303" s="1299"/>
      <c r="G303" s="1300"/>
      <c r="H303" s="1300"/>
      <c r="I303" s="1300"/>
      <c r="J303" s="1300"/>
      <c r="K303" s="1298"/>
      <c r="L303" s="1298"/>
      <c r="M303" s="1298"/>
      <c r="N303" s="1298"/>
      <c r="O303" s="1298"/>
      <c r="P303" s="1298"/>
      <c r="Q303" s="1298"/>
      <c r="R303" s="1298"/>
      <c r="S303" s="1298"/>
      <c r="T303" s="1298"/>
      <c r="U303" s="1298"/>
      <c r="V303" s="1298"/>
      <c r="W303" s="1298"/>
      <c r="X303" s="1298"/>
      <c r="Y303" s="1298"/>
      <c r="Z303" s="1298"/>
      <c r="AA303" s="1298"/>
      <c r="AB303" s="1298"/>
      <c r="AC303" s="1298"/>
      <c r="AD303" s="1298"/>
      <c r="AE303" s="1298"/>
      <c r="AF303" s="1298"/>
      <c r="AG303" s="1298"/>
      <c r="AH303" s="1298"/>
      <c r="AI303" s="1298"/>
      <c r="AJ303" s="1298"/>
      <c r="AK303" s="1298"/>
      <c r="AL303" s="1298"/>
      <c r="AM303" s="1298"/>
      <c r="AN303" s="1298"/>
      <c r="AO303" s="1298"/>
      <c r="AP303" s="1298"/>
      <c r="AQ303" s="1298"/>
      <c r="AR303" s="1298"/>
      <c r="AS303" s="1298"/>
      <c r="AT303" s="1298"/>
      <c r="AU303" s="1298"/>
      <c r="AV303" s="1298"/>
      <c r="AW303" s="1298"/>
      <c r="AX303" s="1298"/>
      <c r="AY303" s="1298"/>
      <c r="AZ303" s="1298"/>
      <c r="BA303" s="1298"/>
      <c r="BB303" s="1298"/>
      <c r="BC303" s="1298"/>
      <c r="BD303" s="1298"/>
      <c r="BE303" s="1298"/>
      <c r="BF303" s="1298"/>
      <c r="BR303" s="1298"/>
      <c r="BS303" s="1298"/>
      <c r="BT303" s="1298"/>
      <c r="BU303" s="1087"/>
      <c r="BV303" s="1086"/>
      <c r="BW303" s="1086"/>
      <c r="BX303" s="1086"/>
      <c r="BY303" s="1298"/>
      <c r="BZ303" s="1298"/>
    </row>
    <row r="304" spans="2:78" ht="12.75" customHeight="1">
      <c r="B304" s="1291"/>
      <c r="C304" s="1298"/>
      <c r="D304" s="1298"/>
      <c r="E304" s="1298"/>
      <c r="F304" s="1299"/>
      <c r="G304" s="1300"/>
      <c r="H304" s="1300"/>
      <c r="I304" s="1300"/>
      <c r="J304" s="1300"/>
      <c r="K304" s="1298"/>
      <c r="L304" s="1298"/>
      <c r="M304" s="1298"/>
      <c r="N304" s="1298"/>
      <c r="O304" s="1298"/>
      <c r="P304" s="1298"/>
      <c r="Q304" s="1298"/>
      <c r="R304" s="1298"/>
      <c r="S304" s="1298"/>
      <c r="T304" s="1298"/>
      <c r="U304" s="1298"/>
      <c r="V304" s="1298"/>
      <c r="W304" s="1298"/>
      <c r="X304" s="1298"/>
      <c r="Y304" s="1298"/>
      <c r="Z304" s="1298"/>
      <c r="AA304" s="1298"/>
      <c r="AB304" s="1298"/>
      <c r="AC304" s="1298"/>
      <c r="AD304" s="1298"/>
      <c r="AE304" s="1298"/>
      <c r="AF304" s="1298"/>
      <c r="AG304" s="1298"/>
      <c r="AH304" s="1298"/>
      <c r="AI304" s="1298"/>
      <c r="AJ304" s="1298"/>
      <c r="AK304" s="1298"/>
      <c r="AL304" s="1298"/>
      <c r="AM304" s="1298"/>
      <c r="AN304" s="1298"/>
      <c r="AO304" s="1298"/>
      <c r="AP304" s="1298"/>
      <c r="AQ304" s="1298"/>
      <c r="AR304" s="1298"/>
      <c r="AS304" s="1298"/>
      <c r="AT304" s="1298"/>
      <c r="AU304" s="1298"/>
      <c r="AV304" s="1298"/>
      <c r="AW304" s="1298"/>
      <c r="AX304" s="1298"/>
      <c r="AY304" s="1298"/>
      <c r="AZ304" s="1298"/>
      <c r="BA304" s="1298"/>
      <c r="BB304" s="1298"/>
      <c r="BC304" s="1298"/>
      <c r="BD304" s="1298"/>
      <c r="BE304" s="1298"/>
      <c r="BF304" s="1298"/>
      <c r="BR304" s="1298"/>
      <c r="BS304" s="1298"/>
      <c r="BT304" s="1298"/>
      <c r="BU304" s="1087"/>
      <c r="BV304" s="1086"/>
      <c r="BW304" s="1086"/>
      <c r="BX304" s="1086"/>
      <c r="BY304" s="1298"/>
      <c r="BZ304" s="1298"/>
    </row>
    <row r="305" spans="2:78" ht="12.75" customHeight="1">
      <c r="B305" s="1291"/>
      <c r="C305" s="1298"/>
      <c r="D305" s="1298"/>
      <c r="E305" s="1298"/>
      <c r="F305" s="1299"/>
      <c r="G305" s="1300"/>
      <c r="H305" s="1300"/>
      <c r="I305" s="1300"/>
      <c r="J305" s="1300"/>
      <c r="K305" s="1298"/>
      <c r="L305" s="1298"/>
      <c r="M305" s="1298"/>
      <c r="N305" s="1298"/>
      <c r="O305" s="1298"/>
      <c r="P305" s="1298"/>
      <c r="Q305" s="1298"/>
      <c r="R305" s="1298"/>
      <c r="S305" s="1298"/>
      <c r="T305" s="1298"/>
      <c r="U305" s="1298"/>
      <c r="V305" s="1298"/>
      <c r="W305" s="1298"/>
      <c r="X305" s="1298"/>
      <c r="Y305" s="1298"/>
      <c r="Z305" s="1298"/>
      <c r="AA305" s="1298"/>
      <c r="AB305" s="1298"/>
      <c r="AC305" s="1298"/>
      <c r="AD305" s="1298"/>
      <c r="AE305" s="1298"/>
      <c r="AF305" s="1298"/>
      <c r="AG305" s="1298"/>
      <c r="AH305" s="1298"/>
      <c r="AI305" s="1298"/>
      <c r="AJ305" s="1298"/>
      <c r="AK305" s="1298"/>
      <c r="AL305" s="1298"/>
      <c r="AM305" s="1298"/>
      <c r="AN305" s="1298"/>
      <c r="AO305" s="1298"/>
      <c r="AP305" s="1298"/>
      <c r="AQ305" s="1298"/>
      <c r="AR305" s="1298"/>
      <c r="AS305" s="1298"/>
      <c r="AT305" s="1298"/>
      <c r="AU305" s="1298"/>
      <c r="AV305" s="1298"/>
      <c r="AW305" s="1298"/>
      <c r="AX305" s="1298"/>
      <c r="AY305" s="1298"/>
      <c r="AZ305" s="1298"/>
      <c r="BA305" s="1298"/>
      <c r="BB305" s="1298"/>
      <c r="BC305" s="1298"/>
      <c r="BD305" s="1298"/>
      <c r="BE305" s="1298"/>
      <c r="BF305" s="1298"/>
      <c r="BR305" s="1298"/>
      <c r="BS305" s="1298"/>
      <c r="BT305" s="1298"/>
      <c r="BU305" s="1087"/>
      <c r="BV305" s="1086"/>
      <c r="BW305" s="1086"/>
      <c r="BX305" s="1086"/>
      <c r="BY305" s="1298"/>
      <c r="BZ305" s="1298"/>
    </row>
    <row r="306" spans="2:78" ht="12.75" customHeight="1">
      <c r="B306" s="1291"/>
      <c r="C306" s="1298"/>
      <c r="D306" s="1298"/>
      <c r="E306" s="1298"/>
      <c r="F306" s="1299"/>
      <c r="G306" s="1300"/>
      <c r="H306" s="1300"/>
      <c r="I306" s="1300"/>
      <c r="J306" s="1300"/>
      <c r="K306" s="1298"/>
      <c r="L306" s="1298"/>
      <c r="M306" s="1298"/>
      <c r="N306" s="1298"/>
      <c r="O306" s="1298"/>
      <c r="P306" s="1298"/>
      <c r="Q306" s="1298"/>
      <c r="R306" s="1298"/>
      <c r="S306" s="1298"/>
      <c r="T306" s="1298"/>
      <c r="U306" s="1298"/>
      <c r="V306" s="1298"/>
      <c r="W306" s="1298"/>
      <c r="X306" s="1298"/>
      <c r="Y306" s="1298"/>
      <c r="Z306" s="1298"/>
      <c r="AA306" s="1298"/>
      <c r="AB306" s="1298"/>
      <c r="AC306" s="1298"/>
      <c r="AD306" s="1298"/>
      <c r="AE306" s="1298"/>
      <c r="AF306" s="1298"/>
      <c r="AG306" s="1298"/>
      <c r="AH306" s="1298"/>
      <c r="AI306" s="1298"/>
      <c r="AJ306" s="1298"/>
      <c r="AK306" s="1298"/>
      <c r="AL306" s="1298"/>
      <c r="AM306" s="1298"/>
      <c r="AN306" s="1298"/>
      <c r="AO306" s="1298"/>
      <c r="AP306" s="1298"/>
      <c r="AQ306" s="1298"/>
      <c r="AR306" s="1298"/>
      <c r="AS306" s="1298"/>
      <c r="AT306" s="1298"/>
      <c r="AU306" s="1298"/>
      <c r="AV306" s="1298"/>
      <c r="AW306" s="1298"/>
      <c r="AX306" s="1298"/>
      <c r="AY306" s="1298"/>
      <c r="AZ306" s="1298"/>
      <c r="BA306" s="1298"/>
      <c r="BB306" s="1298"/>
      <c r="BC306" s="1298"/>
      <c r="BD306" s="1298"/>
      <c r="BE306" s="1298"/>
      <c r="BF306" s="1298"/>
      <c r="BR306" s="1298"/>
      <c r="BS306" s="1298"/>
      <c r="BT306" s="1298"/>
      <c r="BU306" s="1087"/>
      <c r="BV306" s="1086"/>
      <c r="BW306" s="1086"/>
      <c r="BX306" s="1086"/>
      <c r="BY306" s="1298"/>
      <c r="BZ306" s="1298"/>
    </row>
    <row r="307" spans="2:78" ht="12.75" customHeight="1">
      <c r="B307" s="1291"/>
      <c r="C307" s="1298"/>
      <c r="D307" s="1298"/>
      <c r="E307" s="1298"/>
      <c r="F307" s="1299"/>
      <c r="G307" s="1300"/>
      <c r="H307" s="1300"/>
      <c r="I307" s="1300"/>
      <c r="J307" s="1300"/>
      <c r="K307" s="1298"/>
      <c r="L307" s="1298"/>
      <c r="M307" s="1298"/>
      <c r="N307" s="1298"/>
      <c r="O307" s="1298"/>
      <c r="P307" s="1298"/>
      <c r="Q307" s="1298"/>
      <c r="R307" s="1298"/>
      <c r="S307" s="1298"/>
      <c r="T307" s="1298"/>
      <c r="U307" s="1298"/>
      <c r="V307" s="1298"/>
      <c r="W307" s="1298"/>
      <c r="X307" s="1298"/>
      <c r="Y307" s="1298"/>
      <c r="Z307" s="1298"/>
      <c r="AA307" s="1298"/>
      <c r="AB307" s="1298"/>
      <c r="AC307" s="1298"/>
      <c r="AD307" s="1298"/>
      <c r="AE307" s="1298"/>
      <c r="AF307" s="1298"/>
      <c r="AG307" s="1298"/>
      <c r="AH307" s="1298"/>
      <c r="AI307" s="1298"/>
      <c r="AJ307" s="1298"/>
      <c r="AK307" s="1298"/>
      <c r="AL307" s="1298"/>
      <c r="AM307" s="1298"/>
      <c r="AN307" s="1298"/>
      <c r="AO307" s="1298"/>
      <c r="AP307" s="1298"/>
      <c r="AQ307" s="1298"/>
      <c r="AR307" s="1298"/>
      <c r="AS307" s="1298"/>
      <c r="AT307" s="1298"/>
      <c r="AU307" s="1298"/>
      <c r="AV307" s="1298"/>
      <c r="AW307" s="1298"/>
      <c r="AX307" s="1298"/>
      <c r="AY307" s="1298"/>
      <c r="AZ307" s="1298"/>
      <c r="BA307" s="1298"/>
      <c r="BB307" s="1298"/>
      <c r="BC307" s="1298"/>
      <c r="BD307" s="1298"/>
      <c r="BE307" s="1298"/>
      <c r="BF307" s="1298"/>
      <c r="BR307" s="1298"/>
      <c r="BS307" s="1298"/>
      <c r="BT307" s="1298"/>
      <c r="BU307" s="1087"/>
      <c r="BV307" s="1086"/>
      <c r="BW307" s="1086"/>
      <c r="BX307" s="1086"/>
      <c r="BY307" s="1298"/>
      <c r="BZ307" s="1298"/>
    </row>
    <row r="308" spans="2:78" ht="12.75" customHeight="1">
      <c r="B308" s="1291"/>
      <c r="C308" s="1298"/>
      <c r="D308" s="1298"/>
      <c r="E308" s="1298"/>
      <c r="F308" s="1299"/>
      <c r="G308" s="1300"/>
      <c r="H308" s="1300"/>
      <c r="I308" s="1300"/>
      <c r="J308" s="1300"/>
      <c r="K308" s="1298"/>
      <c r="L308" s="1298"/>
      <c r="M308" s="1298"/>
      <c r="N308" s="1298"/>
      <c r="O308" s="1298"/>
      <c r="P308" s="1298"/>
      <c r="Q308" s="1298"/>
      <c r="R308" s="1298"/>
      <c r="S308" s="1298"/>
      <c r="T308" s="1298"/>
      <c r="U308" s="1298"/>
      <c r="V308" s="1298"/>
      <c r="W308" s="1298"/>
      <c r="X308" s="1298"/>
      <c r="Y308" s="1298"/>
      <c r="Z308" s="1298"/>
      <c r="AA308" s="1298"/>
      <c r="AB308" s="1298"/>
      <c r="AC308" s="1298"/>
      <c r="AD308" s="1298"/>
      <c r="AE308" s="1298"/>
      <c r="AF308" s="1298"/>
      <c r="AG308" s="1298"/>
      <c r="AH308" s="1298"/>
      <c r="AI308" s="1298"/>
      <c r="AJ308" s="1298"/>
      <c r="AK308" s="1298"/>
      <c r="AL308" s="1298"/>
      <c r="AM308" s="1298"/>
      <c r="AN308" s="1298"/>
      <c r="AO308" s="1298"/>
      <c r="AP308" s="1298"/>
      <c r="AQ308" s="1298"/>
      <c r="AR308" s="1298"/>
      <c r="AS308" s="1298"/>
      <c r="AT308" s="1298"/>
      <c r="AU308" s="1298"/>
      <c r="AV308" s="1298"/>
      <c r="AW308" s="1298"/>
      <c r="AX308" s="1298"/>
      <c r="AY308" s="1298"/>
      <c r="AZ308" s="1298"/>
      <c r="BA308" s="1298"/>
      <c r="BB308" s="1298"/>
      <c r="BC308" s="1298"/>
      <c r="BD308" s="1298"/>
      <c r="BE308" s="1298"/>
      <c r="BF308" s="1298"/>
      <c r="BR308" s="1298"/>
      <c r="BS308" s="1298"/>
      <c r="BT308" s="1298"/>
      <c r="BU308" s="1087"/>
      <c r="BV308" s="1086"/>
      <c r="BW308" s="1086"/>
      <c r="BX308" s="1086"/>
      <c r="BY308" s="1298"/>
      <c r="BZ308" s="1298"/>
    </row>
    <row r="309" spans="2:78" ht="12.75" customHeight="1">
      <c r="B309" s="1291"/>
      <c r="C309" s="1298"/>
      <c r="D309" s="1298"/>
      <c r="E309" s="1298"/>
      <c r="F309" s="1299"/>
      <c r="G309" s="1300"/>
      <c r="H309" s="1300"/>
      <c r="I309" s="1300"/>
      <c r="J309" s="1300"/>
      <c r="K309" s="1298"/>
      <c r="L309" s="1298"/>
      <c r="M309" s="1298"/>
      <c r="N309" s="1298"/>
      <c r="O309" s="1298"/>
      <c r="P309" s="1298"/>
      <c r="Q309" s="1298"/>
      <c r="R309" s="1298"/>
      <c r="S309" s="1298"/>
      <c r="T309" s="1298"/>
      <c r="U309" s="1298"/>
      <c r="V309" s="1298"/>
      <c r="W309" s="1298"/>
      <c r="X309" s="1298"/>
      <c r="Y309" s="1298"/>
      <c r="Z309" s="1298"/>
      <c r="AA309" s="1298"/>
      <c r="AB309" s="1298"/>
      <c r="AC309" s="1298"/>
      <c r="AD309" s="1298"/>
      <c r="AE309" s="1298"/>
      <c r="AF309" s="1298"/>
      <c r="AG309" s="1298"/>
      <c r="AH309" s="1298"/>
      <c r="AI309" s="1298"/>
      <c r="AJ309" s="1298"/>
      <c r="AK309" s="1298"/>
      <c r="AL309" s="1298"/>
      <c r="AM309" s="1298"/>
      <c r="AN309" s="1298"/>
      <c r="AO309" s="1298"/>
      <c r="AP309" s="1298"/>
      <c r="AQ309" s="1298"/>
      <c r="AR309" s="1298"/>
      <c r="AS309" s="1298"/>
      <c r="AT309" s="1298"/>
      <c r="AU309" s="1298"/>
      <c r="AV309" s="1298"/>
      <c r="AW309" s="1298"/>
      <c r="AX309" s="1298"/>
      <c r="AY309" s="1298"/>
      <c r="AZ309" s="1298"/>
      <c r="BA309" s="1298"/>
      <c r="BB309" s="1298"/>
      <c r="BC309" s="1298"/>
      <c r="BD309" s="1298"/>
      <c r="BE309" s="1298"/>
      <c r="BF309" s="1298"/>
      <c r="BR309" s="1298"/>
      <c r="BS309" s="1298"/>
      <c r="BT309" s="1298"/>
      <c r="BU309" s="1087"/>
      <c r="BV309" s="1086"/>
      <c r="BW309" s="1086"/>
      <c r="BX309" s="1086"/>
      <c r="BY309" s="1298"/>
      <c r="BZ309" s="1298"/>
    </row>
    <row r="310" spans="2:78" ht="12.75" customHeight="1">
      <c r="B310" s="1291"/>
      <c r="C310" s="1298"/>
      <c r="D310" s="1298"/>
      <c r="E310" s="1298"/>
      <c r="F310" s="1299"/>
      <c r="G310" s="1300"/>
      <c r="H310" s="1300"/>
      <c r="I310" s="1300"/>
      <c r="J310" s="1300"/>
      <c r="K310" s="1298"/>
      <c r="L310" s="1298"/>
      <c r="M310" s="1298"/>
      <c r="N310" s="1298"/>
      <c r="O310" s="1298"/>
      <c r="P310" s="1298"/>
      <c r="Q310" s="1298"/>
      <c r="R310" s="1298"/>
      <c r="S310" s="1298"/>
      <c r="T310" s="1298"/>
      <c r="U310" s="1298"/>
      <c r="V310" s="1298"/>
      <c r="W310" s="1298"/>
      <c r="X310" s="1298"/>
      <c r="Y310" s="1298"/>
      <c r="Z310" s="1298"/>
      <c r="AA310" s="1298"/>
      <c r="AB310" s="1298"/>
      <c r="AC310" s="1298"/>
      <c r="AD310" s="1298"/>
      <c r="AE310" s="1298"/>
      <c r="AF310" s="1298"/>
      <c r="AG310" s="1298"/>
      <c r="AH310" s="1298"/>
      <c r="AI310" s="1298"/>
      <c r="AJ310" s="1298"/>
      <c r="AK310" s="1298"/>
      <c r="AL310" s="1298"/>
      <c r="AM310" s="1298"/>
      <c r="AN310" s="1298"/>
      <c r="AO310" s="1298"/>
      <c r="AP310" s="1298"/>
      <c r="AQ310" s="1298"/>
      <c r="AR310" s="1298"/>
      <c r="AS310" s="1298"/>
      <c r="AT310" s="1298"/>
      <c r="AU310" s="1298"/>
      <c r="AV310" s="1298"/>
      <c r="AW310" s="1298"/>
      <c r="AX310" s="1298"/>
      <c r="AY310" s="1298"/>
      <c r="AZ310" s="1298"/>
      <c r="BA310" s="1298"/>
      <c r="BB310" s="1298"/>
      <c r="BC310" s="1298"/>
      <c r="BD310" s="1298"/>
      <c r="BE310" s="1298"/>
      <c r="BF310" s="1298"/>
      <c r="BR310" s="1298"/>
      <c r="BS310" s="1298"/>
      <c r="BT310" s="1298"/>
      <c r="BU310" s="1087"/>
      <c r="BV310" s="1086"/>
      <c r="BW310" s="1086"/>
      <c r="BX310" s="1086"/>
      <c r="BY310" s="1298"/>
      <c r="BZ310" s="1298"/>
    </row>
    <row r="311" spans="2:78" ht="12.75" customHeight="1">
      <c r="B311" s="1291"/>
      <c r="C311" s="1298"/>
      <c r="D311" s="1298"/>
      <c r="E311" s="1298"/>
      <c r="F311" s="1299"/>
      <c r="G311" s="1300"/>
      <c r="H311" s="1300"/>
      <c r="I311" s="1300"/>
      <c r="J311" s="1300"/>
      <c r="K311" s="1298"/>
      <c r="L311" s="1298"/>
      <c r="M311" s="1298"/>
      <c r="N311" s="1298"/>
      <c r="O311" s="1298"/>
      <c r="P311" s="1298"/>
      <c r="Q311" s="1298"/>
      <c r="R311" s="1298"/>
      <c r="S311" s="1298"/>
      <c r="T311" s="1298"/>
      <c r="U311" s="1298"/>
      <c r="V311" s="1298"/>
      <c r="W311" s="1298"/>
      <c r="X311" s="1298"/>
      <c r="Y311" s="1298"/>
      <c r="Z311" s="1298"/>
      <c r="AA311" s="1298"/>
      <c r="AB311" s="1298"/>
      <c r="AC311" s="1298"/>
      <c r="AD311" s="1298"/>
      <c r="AE311" s="1298"/>
      <c r="AF311" s="1298"/>
      <c r="AG311" s="1298"/>
      <c r="AH311" s="1298"/>
      <c r="AI311" s="1298"/>
      <c r="AJ311" s="1298"/>
      <c r="AK311" s="1298"/>
      <c r="AL311" s="1298"/>
      <c r="AM311" s="1298"/>
      <c r="AN311" s="1298"/>
      <c r="AO311" s="1298"/>
      <c r="AP311" s="1298"/>
      <c r="AQ311" s="1298"/>
      <c r="AR311" s="1298"/>
      <c r="AS311" s="1298"/>
      <c r="AT311" s="1298"/>
      <c r="AU311" s="1298"/>
      <c r="AV311" s="1298"/>
      <c r="AW311" s="1298"/>
      <c r="AX311" s="1298"/>
      <c r="AY311" s="1298"/>
      <c r="AZ311" s="1298"/>
      <c r="BA311" s="1298"/>
      <c r="BB311" s="1298"/>
      <c r="BC311" s="1298"/>
      <c r="BD311" s="1298"/>
      <c r="BE311" s="1298"/>
      <c r="BF311" s="1298"/>
      <c r="BR311" s="1298"/>
      <c r="BS311" s="1298"/>
      <c r="BT311" s="1298"/>
      <c r="BU311" s="1087"/>
      <c r="BV311" s="1086"/>
      <c r="BW311" s="1086"/>
      <c r="BX311" s="1086"/>
      <c r="BY311" s="1298"/>
      <c r="BZ311" s="1298"/>
    </row>
    <row r="312" spans="2:78" ht="12.75" customHeight="1">
      <c r="B312" s="1291"/>
      <c r="C312" s="1298"/>
      <c r="D312" s="1298"/>
      <c r="E312" s="1298"/>
      <c r="F312" s="1299"/>
      <c r="G312" s="1300"/>
      <c r="H312" s="1300"/>
      <c r="I312" s="1300"/>
      <c r="J312" s="1300"/>
      <c r="K312" s="1298"/>
      <c r="L312" s="1298"/>
      <c r="M312" s="1298"/>
      <c r="N312" s="1298"/>
      <c r="O312" s="1298"/>
      <c r="P312" s="1298"/>
      <c r="Q312" s="1298"/>
      <c r="R312" s="1298"/>
      <c r="S312" s="1298"/>
      <c r="T312" s="1298"/>
      <c r="U312" s="1298"/>
      <c r="V312" s="1298"/>
      <c r="W312" s="1298"/>
      <c r="X312" s="1298"/>
      <c r="Y312" s="1298"/>
      <c r="Z312" s="1298"/>
      <c r="AA312" s="1298"/>
      <c r="AB312" s="1298"/>
      <c r="AC312" s="1298"/>
      <c r="AD312" s="1298"/>
      <c r="AE312" s="1298"/>
      <c r="AF312" s="1298"/>
      <c r="AG312" s="1298"/>
      <c r="AH312" s="1298"/>
      <c r="AI312" s="1298"/>
      <c r="AJ312" s="1298"/>
      <c r="AK312" s="1298"/>
      <c r="AL312" s="1298"/>
      <c r="AM312" s="1298"/>
      <c r="AN312" s="1298"/>
      <c r="AO312" s="1298"/>
      <c r="AP312" s="1298"/>
      <c r="AQ312" s="1298"/>
      <c r="AR312" s="1298"/>
      <c r="AS312" s="1298"/>
      <c r="AT312" s="1298"/>
      <c r="AU312" s="1298"/>
      <c r="AV312" s="1298"/>
      <c r="AW312" s="1298"/>
      <c r="AX312" s="1298"/>
      <c r="AY312" s="1298"/>
      <c r="AZ312" s="1298"/>
      <c r="BA312" s="1298"/>
      <c r="BB312" s="1298"/>
      <c r="BC312" s="1298"/>
      <c r="BD312" s="1298"/>
      <c r="BE312" s="1298"/>
      <c r="BF312" s="1298"/>
      <c r="BR312" s="1298"/>
      <c r="BS312" s="1298"/>
      <c r="BT312" s="1298"/>
      <c r="BU312" s="1087"/>
      <c r="BV312" s="1086"/>
      <c r="BW312" s="1086"/>
      <c r="BX312" s="1086"/>
      <c r="BY312" s="1298"/>
      <c r="BZ312" s="1298"/>
    </row>
    <row r="313" spans="2:78" ht="12.75" customHeight="1">
      <c r="B313" s="1291"/>
      <c r="C313" s="1298"/>
      <c r="D313" s="1298"/>
      <c r="E313" s="1298"/>
      <c r="F313" s="1299"/>
      <c r="G313" s="1300"/>
      <c r="H313" s="1300"/>
      <c r="I313" s="1300"/>
      <c r="J313" s="1300"/>
      <c r="K313" s="1298"/>
      <c r="L313" s="1298"/>
      <c r="M313" s="1298"/>
      <c r="N313" s="1298"/>
      <c r="O313" s="1298"/>
      <c r="P313" s="1298"/>
      <c r="Q313" s="1298"/>
      <c r="R313" s="1298"/>
      <c r="S313" s="1298"/>
      <c r="T313" s="1298"/>
      <c r="U313" s="1298"/>
      <c r="V313" s="1298"/>
      <c r="W313" s="1298"/>
      <c r="X313" s="1298"/>
      <c r="Y313" s="1298"/>
      <c r="Z313" s="1298"/>
      <c r="AA313" s="1298"/>
      <c r="AB313" s="1298"/>
      <c r="AC313" s="1298"/>
      <c r="AD313" s="1298"/>
      <c r="AE313" s="1298"/>
      <c r="AF313" s="1298"/>
      <c r="AG313" s="1298"/>
      <c r="AH313" s="1298"/>
      <c r="AI313" s="1298"/>
      <c r="AJ313" s="1298"/>
      <c r="AK313" s="1298"/>
      <c r="AL313" s="1298"/>
      <c r="AM313" s="1298"/>
      <c r="AN313" s="1298"/>
      <c r="AO313" s="1298"/>
      <c r="AP313" s="1298"/>
      <c r="AQ313" s="1298"/>
      <c r="AR313" s="1298"/>
      <c r="AS313" s="1298"/>
      <c r="AT313" s="1298"/>
      <c r="AU313" s="1298"/>
      <c r="AV313" s="1298"/>
      <c r="AW313" s="1298"/>
      <c r="AX313" s="1298"/>
      <c r="AY313" s="1298"/>
      <c r="AZ313" s="1298"/>
      <c r="BA313" s="1298"/>
      <c r="BB313" s="1298"/>
      <c r="BC313" s="1298"/>
      <c r="BD313" s="1298"/>
      <c r="BE313" s="1298"/>
      <c r="BF313" s="1298"/>
      <c r="BR313" s="1298"/>
      <c r="BS313" s="1298"/>
      <c r="BT313" s="1298"/>
      <c r="BU313" s="1087"/>
      <c r="BV313" s="1086"/>
      <c r="BW313" s="1086"/>
      <c r="BX313" s="1086"/>
      <c r="BY313" s="1298"/>
      <c r="BZ313" s="1298"/>
    </row>
    <row r="314" spans="2:78" ht="12.75" customHeight="1">
      <c r="B314" s="1291"/>
      <c r="C314" s="1298"/>
      <c r="D314" s="1298"/>
      <c r="E314" s="1298"/>
      <c r="F314" s="1299"/>
      <c r="G314" s="1300"/>
      <c r="H314" s="1300"/>
      <c r="I314" s="1300"/>
      <c r="J314" s="1300"/>
      <c r="K314" s="1298"/>
      <c r="L314" s="1298"/>
      <c r="M314" s="1298"/>
      <c r="N314" s="1298"/>
      <c r="O314" s="1298"/>
      <c r="P314" s="1298"/>
      <c r="Q314" s="1298"/>
      <c r="R314" s="1298"/>
      <c r="S314" s="1298"/>
      <c r="T314" s="1298"/>
      <c r="U314" s="1298"/>
      <c r="V314" s="1298"/>
      <c r="W314" s="1298"/>
      <c r="X314" s="1298"/>
      <c r="Y314" s="1298"/>
      <c r="Z314" s="1298"/>
      <c r="AA314" s="1298"/>
      <c r="AB314" s="1298"/>
      <c r="AC314" s="1298"/>
      <c r="AD314" s="1298"/>
      <c r="AE314" s="1298"/>
      <c r="AF314" s="1298"/>
      <c r="AG314" s="1298"/>
      <c r="AH314" s="1298"/>
      <c r="AI314" s="1298"/>
      <c r="AJ314" s="1298"/>
      <c r="AK314" s="1298"/>
      <c r="AL314" s="1298"/>
      <c r="AM314" s="1298"/>
      <c r="AN314" s="1298"/>
      <c r="AO314" s="1298"/>
      <c r="AP314" s="1298"/>
      <c r="AQ314" s="1298"/>
      <c r="AR314" s="1298"/>
      <c r="AS314" s="1298"/>
      <c r="AT314" s="1298"/>
      <c r="AU314" s="1298"/>
      <c r="AV314" s="1298"/>
      <c r="AW314" s="1298"/>
      <c r="AX314" s="1298"/>
      <c r="AY314" s="1298"/>
      <c r="AZ314" s="1298"/>
      <c r="BA314" s="1298"/>
      <c r="BB314" s="1298"/>
      <c r="BC314" s="1298"/>
      <c r="BD314" s="1298"/>
      <c r="BE314" s="1298"/>
      <c r="BF314" s="1298"/>
      <c r="BR314" s="1298"/>
      <c r="BS314" s="1298"/>
      <c r="BT314" s="1298"/>
      <c r="BU314" s="1087"/>
      <c r="BV314" s="1086"/>
      <c r="BW314" s="1086"/>
      <c r="BX314" s="1086"/>
      <c r="BY314" s="1298"/>
      <c r="BZ314" s="1298"/>
    </row>
    <row r="315" spans="2:78" ht="12.75" customHeight="1">
      <c r="B315" s="1291"/>
      <c r="C315" s="1298"/>
      <c r="D315" s="1298"/>
      <c r="E315" s="1298"/>
      <c r="F315" s="1299"/>
      <c r="G315" s="1300"/>
      <c r="H315" s="1300"/>
      <c r="I315" s="1300"/>
      <c r="J315" s="1300"/>
      <c r="K315" s="1298"/>
      <c r="L315" s="1298"/>
      <c r="M315" s="1298"/>
      <c r="N315" s="1298"/>
      <c r="O315" s="1298"/>
      <c r="P315" s="1298"/>
      <c r="Q315" s="1298"/>
      <c r="R315" s="1298"/>
      <c r="S315" s="1298"/>
      <c r="T315" s="1298"/>
      <c r="U315" s="1298"/>
      <c r="V315" s="1298"/>
      <c r="W315" s="1298"/>
      <c r="X315" s="1298"/>
      <c r="Y315" s="1298"/>
      <c r="Z315" s="1298"/>
      <c r="AA315" s="1298"/>
      <c r="AB315" s="1298"/>
      <c r="AC315" s="1298"/>
      <c r="AD315" s="1298"/>
      <c r="AE315" s="1298"/>
      <c r="AF315" s="1298"/>
      <c r="AG315" s="1298"/>
      <c r="AH315" s="1298"/>
      <c r="AI315" s="1298"/>
      <c r="AJ315" s="1298"/>
      <c r="AK315" s="1298"/>
      <c r="AL315" s="1298"/>
      <c r="AM315" s="1298"/>
      <c r="AN315" s="1298"/>
      <c r="AO315" s="1298"/>
      <c r="AP315" s="1298"/>
      <c r="AQ315" s="1298"/>
      <c r="AR315" s="1298"/>
      <c r="AS315" s="1298"/>
      <c r="AT315" s="1298"/>
      <c r="AU315" s="1298"/>
      <c r="AV315" s="1298"/>
      <c r="AW315" s="1298"/>
      <c r="AX315" s="1298"/>
      <c r="AY315" s="1298"/>
      <c r="AZ315" s="1298"/>
      <c r="BA315" s="1298"/>
      <c r="BB315" s="1298"/>
      <c r="BC315" s="1298"/>
      <c r="BD315" s="1298"/>
      <c r="BE315" s="1298"/>
      <c r="BF315" s="1298"/>
      <c r="BR315" s="1298"/>
      <c r="BS315" s="1298"/>
      <c r="BT315" s="1298"/>
      <c r="BU315" s="1087"/>
      <c r="BV315" s="1086"/>
      <c r="BW315" s="1086"/>
      <c r="BX315" s="1086"/>
      <c r="BY315" s="1298"/>
      <c r="BZ315" s="1298"/>
    </row>
    <row r="316" spans="2:78" ht="12.75" customHeight="1">
      <c r="B316" s="1291"/>
      <c r="C316" s="1298"/>
      <c r="D316" s="1298"/>
      <c r="E316" s="1298"/>
      <c r="F316" s="1299"/>
      <c r="G316" s="1300"/>
      <c r="H316" s="1300"/>
      <c r="I316" s="1300"/>
      <c r="J316" s="1300"/>
      <c r="K316" s="1298"/>
      <c r="L316" s="1298"/>
      <c r="M316" s="1298"/>
      <c r="N316" s="1298"/>
      <c r="O316" s="1298"/>
      <c r="P316" s="1298"/>
      <c r="Q316" s="1298"/>
      <c r="R316" s="1298"/>
      <c r="S316" s="1298"/>
      <c r="T316" s="1298"/>
      <c r="U316" s="1298"/>
      <c r="V316" s="1298"/>
      <c r="W316" s="1298"/>
      <c r="X316" s="1298"/>
      <c r="Y316" s="1298"/>
      <c r="Z316" s="1298"/>
      <c r="AA316" s="1298"/>
      <c r="AB316" s="1298"/>
      <c r="AC316" s="1298"/>
      <c r="AD316" s="1298"/>
      <c r="AE316" s="1298"/>
      <c r="AF316" s="1298"/>
      <c r="AG316" s="1298"/>
      <c r="AH316" s="1298"/>
      <c r="AI316" s="1298"/>
      <c r="AJ316" s="1298"/>
      <c r="AK316" s="1298"/>
      <c r="AL316" s="1298"/>
      <c r="AM316" s="1298"/>
      <c r="AN316" s="1298"/>
      <c r="AO316" s="1298"/>
      <c r="AP316" s="1298"/>
      <c r="AQ316" s="1298"/>
      <c r="AR316" s="1298"/>
      <c r="AS316" s="1298"/>
      <c r="AT316" s="1298"/>
      <c r="AU316" s="1298"/>
      <c r="AV316" s="1298"/>
      <c r="AW316" s="1298"/>
      <c r="AX316" s="1298"/>
      <c r="AY316" s="1298"/>
      <c r="AZ316" s="1298"/>
      <c r="BA316" s="1298"/>
      <c r="BB316" s="1298"/>
      <c r="BC316" s="1298"/>
      <c r="BD316" s="1298"/>
      <c r="BE316" s="1298"/>
      <c r="BF316" s="1298"/>
      <c r="BR316" s="1298"/>
      <c r="BS316" s="1298"/>
      <c r="BT316" s="1298"/>
      <c r="BU316" s="1087"/>
      <c r="BV316" s="1086"/>
      <c r="BW316" s="1086"/>
      <c r="BX316" s="1086"/>
      <c r="BY316" s="1298"/>
      <c r="BZ316" s="1298"/>
    </row>
    <row r="317" spans="2:78" ht="12.75" customHeight="1">
      <c r="B317" s="1291"/>
      <c r="C317" s="1298"/>
      <c r="D317" s="1298"/>
      <c r="E317" s="1298"/>
      <c r="F317" s="1299"/>
      <c r="G317" s="1300"/>
      <c r="H317" s="1300"/>
      <c r="I317" s="1300"/>
      <c r="J317" s="1300"/>
      <c r="K317" s="1298"/>
      <c r="L317" s="1298"/>
      <c r="M317" s="1298"/>
      <c r="N317" s="1298"/>
      <c r="O317" s="1298"/>
      <c r="P317" s="1298"/>
      <c r="Q317" s="1298"/>
      <c r="R317" s="1298"/>
      <c r="S317" s="1298"/>
      <c r="T317" s="1298"/>
      <c r="U317" s="1298"/>
      <c r="V317" s="1298"/>
      <c r="W317" s="1298"/>
      <c r="X317" s="1298"/>
      <c r="Y317" s="1298"/>
      <c r="Z317" s="1298"/>
      <c r="AA317" s="1298"/>
      <c r="AB317" s="1298"/>
      <c r="AC317" s="1298"/>
      <c r="AD317" s="1298"/>
      <c r="AE317" s="1298"/>
      <c r="AF317" s="1298"/>
      <c r="AG317" s="1298"/>
      <c r="AH317" s="1298"/>
      <c r="AI317" s="1298"/>
      <c r="AJ317" s="1298"/>
      <c r="AK317" s="1298"/>
      <c r="AL317" s="1298"/>
      <c r="AM317" s="1298"/>
      <c r="AN317" s="1298"/>
      <c r="AO317" s="1298"/>
      <c r="AP317" s="1298"/>
      <c r="AQ317" s="1298"/>
      <c r="AR317" s="1298"/>
      <c r="AS317" s="1298"/>
      <c r="AT317" s="1298"/>
      <c r="AU317" s="1298"/>
      <c r="AV317" s="1298"/>
      <c r="AW317" s="1298"/>
      <c r="AX317" s="1298"/>
      <c r="AY317" s="1298"/>
      <c r="AZ317" s="1298"/>
      <c r="BA317" s="1298"/>
      <c r="BB317" s="1298"/>
      <c r="BC317" s="1298"/>
      <c r="BD317" s="1298"/>
      <c r="BE317" s="1298"/>
      <c r="BF317" s="1298"/>
      <c r="BR317" s="1298"/>
      <c r="BS317" s="1298"/>
      <c r="BT317" s="1298"/>
      <c r="BU317" s="1087"/>
      <c r="BV317" s="1086"/>
      <c r="BW317" s="1086"/>
      <c r="BX317" s="1086"/>
      <c r="BY317" s="1298"/>
      <c r="BZ317" s="1298"/>
    </row>
    <row r="318" spans="2:78" ht="12.75" customHeight="1">
      <c r="B318" s="1291"/>
      <c r="C318" s="1298"/>
      <c r="D318" s="1298"/>
      <c r="E318" s="1298"/>
      <c r="F318" s="1299"/>
      <c r="G318" s="1300"/>
      <c r="H318" s="1300"/>
      <c r="I318" s="1300"/>
      <c r="J318" s="1300"/>
      <c r="K318" s="1298"/>
      <c r="L318" s="1298"/>
      <c r="M318" s="1298"/>
      <c r="N318" s="1298"/>
      <c r="O318" s="1298"/>
      <c r="P318" s="1298"/>
      <c r="Q318" s="1298"/>
      <c r="R318" s="1298"/>
      <c r="S318" s="1298"/>
      <c r="T318" s="1298"/>
      <c r="U318" s="1298"/>
      <c r="V318" s="1298"/>
      <c r="W318" s="1298"/>
      <c r="X318" s="1298"/>
      <c r="Y318" s="1298"/>
      <c r="Z318" s="1298"/>
      <c r="AA318" s="1298"/>
      <c r="AB318" s="1298"/>
      <c r="AC318" s="1298"/>
      <c r="AD318" s="1298"/>
      <c r="AE318" s="1298"/>
      <c r="AF318" s="1298"/>
      <c r="AG318" s="1298"/>
      <c r="AH318" s="1298"/>
      <c r="AI318" s="1298"/>
      <c r="AJ318" s="1298"/>
      <c r="AK318" s="1298"/>
      <c r="AL318" s="1298"/>
      <c r="AM318" s="1298"/>
      <c r="AN318" s="1298"/>
      <c r="AO318" s="1298"/>
      <c r="AP318" s="1298"/>
      <c r="AQ318" s="1298"/>
      <c r="AR318" s="1298"/>
      <c r="AS318" s="1298"/>
      <c r="AT318" s="1298"/>
      <c r="AU318" s="1298"/>
      <c r="AV318" s="1298"/>
      <c r="AW318" s="1298"/>
      <c r="AX318" s="1298"/>
      <c r="AY318" s="1298"/>
      <c r="AZ318" s="1298"/>
      <c r="BA318" s="1298"/>
      <c r="BB318" s="1298"/>
      <c r="BC318" s="1298"/>
      <c r="BD318" s="1298"/>
      <c r="BE318" s="1298"/>
      <c r="BF318" s="1298"/>
      <c r="BR318" s="1298"/>
      <c r="BS318" s="1298"/>
      <c r="BT318" s="1298"/>
      <c r="BU318" s="1087"/>
      <c r="BV318" s="1086"/>
      <c r="BW318" s="1086"/>
      <c r="BX318" s="1086"/>
      <c r="BY318" s="1298"/>
      <c r="BZ318" s="1298"/>
    </row>
    <row r="319" spans="2:78" ht="12.75" customHeight="1">
      <c r="B319" s="1291"/>
      <c r="C319" s="1298"/>
      <c r="D319" s="1298"/>
      <c r="E319" s="1298"/>
      <c r="F319" s="1299"/>
      <c r="G319" s="1300"/>
      <c r="H319" s="1300"/>
      <c r="I319" s="1300"/>
      <c r="J319" s="1300"/>
      <c r="K319" s="1298"/>
      <c r="L319" s="1298"/>
      <c r="M319" s="1298"/>
      <c r="N319" s="1298"/>
      <c r="O319" s="1298"/>
      <c r="P319" s="1298"/>
      <c r="Q319" s="1298"/>
      <c r="R319" s="1298"/>
      <c r="S319" s="1298"/>
      <c r="T319" s="1298"/>
      <c r="U319" s="1298"/>
      <c r="V319" s="1298"/>
      <c r="W319" s="1298"/>
      <c r="X319" s="1298"/>
      <c r="Y319" s="1298"/>
      <c r="Z319" s="1298"/>
      <c r="AA319" s="1298"/>
      <c r="AB319" s="1298"/>
      <c r="AC319" s="1298"/>
      <c r="AD319" s="1298"/>
      <c r="AE319" s="1298"/>
      <c r="AF319" s="1298"/>
      <c r="AG319" s="1298"/>
      <c r="AH319" s="1298"/>
      <c r="AI319" s="1298"/>
      <c r="AJ319" s="1298"/>
      <c r="AK319" s="1298"/>
      <c r="AL319" s="1298"/>
      <c r="AM319" s="1298"/>
      <c r="AN319" s="1298"/>
      <c r="AO319" s="1298"/>
      <c r="AP319" s="1298"/>
      <c r="AQ319" s="1298"/>
      <c r="AR319" s="1298"/>
      <c r="AS319" s="1298"/>
      <c r="AT319" s="1298"/>
      <c r="AU319" s="1298"/>
      <c r="AV319" s="1298"/>
      <c r="AW319" s="1298"/>
      <c r="AX319" s="1298"/>
      <c r="AY319" s="1298"/>
      <c r="AZ319" s="1298"/>
      <c r="BA319" s="1298"/>
      <c r="BB319" s="1298"/>
      <c r="BC319" s="1298"/>
      <c r="BD319" s="1298"/>
      <c r="BE319" s="1298"/>
      <c r="BF319" s="1298"/>
      <c r="BR319" s="1298"/>
      <c r="BS319" s="1298"/>
      <c r="BT319" s="1298"/>
      <c r="BU319" s="1087"/>
      <c r="BV319" s="1086"/>
      <c r="BW319" s="1086"/>
      <c r="BX319" s="1086"/>
      <c r="BY319" s="1298"/>
      <c r="BZ319" s="1298"/>
    </row>
    <row r="320" spans="2:78" ht="12.75" customHeight="1">
      <c r="B320" s="1291"/>
      <c r="C320" s="1298"/>
      <c r="D320" s="1298"/>
      <c r="E320" s="1298"/>
      <c r="F320" s="1299"/>
      <c r="G320" s="1300"/>
      <c r="H320" s="1300"/>
      <c r="I320" s="1300"/>
      <c r="J320" s="1300"/>
      <c r="K320" s="1298"/>
      <c r="L320" s="1298"/>
      <c r="M320" s="1298"/>
      <c r="N320" s="1298"/>
      <c r="O320" s="1298"/>
      <c r="P320" s="1298"/>
      <c r="Q320" s="1298"/>
      <c r="R320" s="1298"/>
      <c r="S320" s="1298"/>
      <c r="T320" s="1298"/>
      <c r="U320" s="1298"/>
      <c r="V320" s="1298"/>
      <c r="W320" s="1298"/>
      <c r="X320" s="1298"/>
      <c r="Y320" s="1298"/>
      <c r="Z320" s="1298"/>
      <c r="AA320" s="1298"/>
      <c r="AB320" s="1298"/>
      <c r="AC320" s="1298"/>
      <c r="AD320" s="1298"/>
      <c r="AE320" s="1298"/>
      <c r="AF320" s="1298"/>
      <c r="AG320" s="1298"/>
      <c r="AH320" s="1298"/>
      <c r="AI320" s="1298"/>
      <c r="AJ320" s="1298"/>
      <c r="AK320" s="1298"/>
      <c r="AL320" s="1298"/>
      <c r="AM320" s="1298"/>
      <c r="AN320" s="1298"/>
      <c r="AO320" s="1298"/>
      <c r="AP320" s="1298"/>
      <c r="AQ320" s="1298"/>
      <c r="AR320" s="1298"/>
      <c r="AS320" s="1298"/>
      <c r="AT320" s="1298"/>
      <c r="AU320" s="1298"/>
      <c r="AV320" s="1298"/>
      <c r="AW320" s="1298"/>
      <c r="AX320" s="1298"/>
      <c r="AY320" s="1298"/>
      <c r="AZ320" s="1298"/>
      <c r="BA320" s="1298"/>
      <c r="BB320" s="1298"/>
      <c r="BC320" s="1298"/>
      <c r="BD320" s="1298"/>
      <c r="BE320" s="1298"/>
      <c r="BF320" s="1298"/>
      <c r="BR320" s="1298"/>
      <c r="BS320" s="1298"/>
      <c r="BT320" s="1298"/>
      <c r="BU320" s="1087"/>
      <c r="BV320" s="1086"/>
      <c r="BW320" s="1086"/>
      <c r="BX320" s="1086"/>
      <c r="BY320" s="1298"/>
      <c r="BZ320" s="1298"/>
    </row>
    <row r="321" spans="2:78" ht="12.75" customHeight="1">
      <c r="B321" s="1291"/>
      <c r="C321" s="1298"/>
      <c r="D321" s="1298"/>
      <c r="E321" s="1298"/>
      <c r="F321" s="1299"/>
      <c r="G321" s="1300"/>
      <c r="H321" s="1300"/>
      <c r="I321" s="1300"/>
      <c r="J321" s="1300"/>
      <c r="K321" s="1298"/>
      <c r="L321" s="1298"/>
      <c r="M321" s="1298"/>
      <c r="N321" s="1298"/>
      <c r="O321" s="1298"/>
      <c r="P321" s="1298"/>
      <c r="Q321" s="1298"/>
      <c r="R321" s="1298"/>
      <c r="S321" s="1298"/>
      <c r="T321" s="1298"/>
      <c r="U321" s="1298"/>
      <c r="V321" s="1298"/>
      <c r="W321" s="1298"/>
      <c r="X321" s="1298"/>
      <c r="Y321" s="1298"/>
      <c r="Z321" s="1298"/>
      <c r="AA321" s="1298"/>
      <c r="AB321" s="1298"/>
      <c r="AC321" s="1298"/>
      <c r="AD321" s="1298"/>
      <c r="AE321" s="1298"/>
      <c r="AF321" s="1298"/>
      <c r="AG321" s="1298"/>
      <c r="AH321" s="1298"/>
      <c r="AI321" s="1298"/>
      <c r="AJ321" s="1298"/>
      <c r="AK321" s="1298"/>
      <c r="AL321" s="1298"/>
      <c r="AM321" s="1298"/>
      <c r="AN321" s="1298"/>
      <c r="AO321" s="1298"/>
      <c r="AP321" s="1298"/>
      <c r="AQ321" s="1298"/>
      <c r="AR321" s="1298"/>
      <c r="AS321" s="1298"/>
      <c r="AT321" s="1298"/>
      <c r="AU321" s="1298"/>
      <c r="AV321" s="1298"/>
      <c r="AW321" s="1298"/>
      <c r="AX321" s="1298"/>
      <c r="AY321" s="1298"/>
      <c r="AZ321" s="1298"/>
      <c r="BA321" s="1298"/>
      <c r="BB321" s="1298"/>
      <c r="BC321" s="1298"/>
      <c r="BD321" s="1298"/>
      <c r="BE321" s="1298"/>
      <c r="BF321" s="1298"/>
      <c r="BR321" s="1298"/>
      <c r="BS321" s="1298"/>
      <c r="BT321" s="1298"/>
      <c r="BU321" s="1087"/>
      <c r="BV321" s="1086"/>
      <c r="BW321" s="1086"/>
      <c r="BX321" s="1086"/>
      <c r="BY321" s="1298"/>
      <c r="BZ321" s="1298"/>
    </row>
    <row r="322" spans="2:78" ht="12.75" customHeight="1">
      <c r="B322" s="1291"/>
      <c r="C322" s="1298"/>
      <c r="D322" s="1298"/>
      <c r="E322" s="1298"/>
      <c r="F322" s="1299"/>
      <c r="G322" s="1300"/>
      <c r="H322" s="1300"/>
      <c r="I322" s="1300"/>
      <c r="J322" s="1300"/>
      <c r="K322" s="1298"/>
      <c r="L322" s="1298"/>
      <c r="M322" s="1298"/>
      <c r="N322" s="1298"/>
      <c r="O322" s="1298"/>
      <c r="P322" s="1298"/>
      <c r="Q322" s="1298"/>
      <c r="R322" s="1298"/>
      <c r="S322" s="1298"/>
      <c r="T322" s="1298"/>
      <c r="U322" s="1298"/>
      <c r="V322" s="1298"/>
      <c r="W322" s="1298"/>
      <c r="X322" s="1298"/>
      <c r="Y322" s="1298"/>
      <c r="Z322" s="1298"/>
      <c r="AA322" s="1298"/>
      <c r="AB322" s="1298"/>
      <c r="AC322" s="1298"/>
      <c r="AD322" s="1298"/>
      <c r="AE322" s="1298"/>
      <c r="AF322" s="1298"/>
      <c r="AG322" s="1298"/>
      <c r="AH322" s="1298"/>
      <c r="AI322" s="1298"/>
      <c r="AJ322" s="1298"/>
      <c r="AK322" s="1298"/>
      <c r="AL322" s="1298"/>
      <c r="AM322" s="1298"/>
      <c r="AN322" s="1298"/>
      <c r="AO322" s="1298"/>
      <c r="AP322" s="1298"/>
      <c r="AQ322" s="1298"/>
      <c r="AR322" s="1298"/>
      <c r="AS322" s="1298"/>
      <c r="AT322" s="1298"/>
      <c r="AU322" s="1298"/>
      <c r="AV322" s="1298"/>
      <c r="AW322" s="1298"/>
      <c r="AX322" s="1298"/>
      <c r="AY322" s="1298"/>
      <c r="AZ322" s="1298"/>
      <c r="BA322" s="1298"/>
      <c r="BB322" s="1298"/>
      <c r="BC322" s="1298"/>
      <c r="BD322" s="1298"/>
      <c r="BE322" s="1298"/>
      <c r="BF322" s="1298"/>
      <c r="BR322" s="1298"/>
      <c r="BS322" s="1298"/>
      <c r="BT322" s="1298"/>
      <c r="BU322" s="1087"/>
      <c r="BV322" s="1086"/>
      <c r="BW322" s="1086"/>
      <c r="BX322" s="1086"/>
      <c r="BY322" s="1298"/>
      <c r="BZ322" s="1298"/>
    </row>
    <row r="323" spans="2:78" ht="12.75" customHeight="1">
      <c r="B323" s="1291"/>
      <c r="C323" s="1298"/>
      <c r="D323" s="1298"/>
      <c r="E323" s="1298"/>
      <c r="F323" s="1299"/>
      <c r="G323" s="1300"/>
      <c r="H323" s="1300"/>
      <c r="I323" s="1300"/>
      <c r="J323" s="1300"/>
      <c r="K323" s="1298"/>
      <c r="L323" s="1298"/>
      <c r="M323" s="1298"/>
      <c r="N323" s="1298"/>
      <c r="O323" s="1298"/>
      <c r="P323" s="1298"/>
      <c r="Q323" s="1298"/>
      <c r="R323" s="1298"/>
      <c r="S323" s="1298"/>
      <c r="T323" s="1298"/>
      <c r="U323" s="1298"/>
      <c r="V323" s="1298"/>
      <c r="W323" s="1298"/>
      <c r="X323" s="1298"/>
      <c r="Y323" s="1298"/>
      <c r="Z323" s="1298"/>
      <c r="AA323" s="1298"/>
      <c r="AB323" s="1298"/>
      <c r="AC323" s="1298"/>
      <c r="AD323" s="1298"/>
      <c r="AE323" s="1298"/>
      <c r="AF323" s="1298"/>
      <c r="AG323" s="1298"/>
      <c r="AH323" s="1298"/>
      <c r="AI323" s="1298"/>
      <c r="AJ323" s="1298"/>
      <c r="AK323" s="1298"/>
      <c r="AL323" s="1298"/>
      <c r="AM323" s="1298"/>
      <c r="AN323" s="1298"/>
      <c r="AO323" s="1298"/>
      <c r="AP323" s="1298"/>
      <c r="AQ323" s="1298"/>
      <c r="AR323" s="1298"/>
      <c r="AS323" s="1298"/>
      <c r="AT323" s="1298"/>
      <c r="AU323" s="1298"/>
      <c r="AV323" s="1298"/>
      <c r="AW323" s="1298"/>
      <c r="AX323" s="1298"/>
      <c r="AY323" s="1298"/>
      <c r="AZ323" s="1298"/>
      <c r="BA323" s="1298"/>
      <c r="BB323" s="1298"/>
      <c r="BC323" s="1298"/>
      <c r="BD323" s="1298"/>
      <c r="BE323" s="1298"/>
      <c r="BF323" s="1298"/>
      <c r="BR323" s="1298"/>
      <c r="BS323" s="1298"/>
      <c r="BT323" s="1298"/>
      <c r="BU323" s="1087"/>
      <c r="BV323" s="1086"/>
      <c r="BW323" s="1086"/>
      <c r="BX323" s="1086"/>
      <c r="BY323" s="1298"/>
      <c r="BZ323" s="1298"/>
    </row>
    <row r="324" spans="2:78" ht="12.75" customHeight="1">
      <c r="B324" s="1291"/>
      <c r="C324" s="1298"/>
      <c r="D324" s="1298"/>
      <c r="E324" s="1298"/>
      <c r="F324" s="1299"/>
      <c r="G324" s="1300"/>
      <c r="H324" s="1300"/>
      <c r="I324" s="1300"/>
      <c r="J324" s="1300"/>
      <c r="K324" s="1298"/>
      <c r="L324" s="1298"/>
      <c r="M324" s="1298"/>
      <c r="N324" s="1298"/>
      <c r="O324" s="1298"/>
      <c r="P324" s="1298"/>
      <c r="Q324" s="1298"/>
      <c r="R324" s="1298"/>
      <c r="S324" s="1298"/>
      <c r="T324" s="1298"/>
      <c r="U324" s="1298"/>
      <c r="V324" s="1298"/>
      <c r="W324" s="1298"/>
      <c r="X324" s="1298"/>
      <c r="Y324" s="1298"/>
      <c r="Z324" s="1298"/>
      <c r="AA324" s="1298"/>
      <c r="AB324" s="1298"/>
      <c r="AC324" s="1298"/>
      <c r="AD324" s="1298"/>
      <c r="AE324" s="1298"/>
      <c r="AF324" s="1298"/>
      <c r="AG324" s="1298"/>
      <c r="AH324" s="1298"/>
      <c r="AI324" s="1298"/>
      <c r="AJ324" s="1298"/>
      <c r="AK324" s="1298"/>
      <c r="AL324" s="1298"/>
      <c r="AM324" s="1298"/>
      <c r="AN324" s="1298"/>
      <c r="AO324" s="1298"/>
      <c r="AP324" s="1298"/>
      <c r="AQ324" s="1298"/>
      <c r="AR324" s="1298"/>
      <c r="AS324" s="1298"/>
      <c r="AT324" s="1298"/>
      <c r="AU324" s="1298"/>
      <c r="AV324" s="1298"/>
      <c r="AW324" s="1298"/>
      <c r="AX324" s="1298"/>
      <c r="AY324" s="1298"/>
      <c r="AZ324" s="1298"/>
      <c r="BA324" s="1298"/>
      <c r="BB324" s="1298"/>
      <c r="BC324" s="1298"/>
      <c r="BD324" s="1298"/>
      <c r="BE324" s="1298"/>
      <c r="BF324" s="1298"/>
      <c r="BR324" s="1298"/>
      <c r="BS324" s="1298"/>
      <c r="BT324" s="1298"/>
      <c r="BU324" s="1087"/>
      <c r="BV324" s="1086"/>
      <c r="BW324" s="1086"/>
      <c r="BX324" s="1086"/>
      <c r="BY324" s="1298"/>
      <c r="BZ324" s="1298"/>
    </row>
    <row r="325" spans="2:78" ht="12.75" customHeight="1">
      <c r="B325" s="1291"/>
      <c r="C325" s="1298"/>
      <c r="D325" s="1298"/>
      <c r="E325" s="1298"/>
      <c r="F325" s="1299"/>
      <c r="G325" s="1300"/>
      <c r="H325" s="1300"/>
      <c r="I325" s="1300"/>
      <c r="J325" s="1300"/>
      <c r="K325" s="1298"/>
      <c r="L325" s="1298"/>
      <c r="M325" s="1298"/>
      <c r="N325" s="1298"/>
      <c r="O325" s="1298"/>
      <c r="P325" s="1298"/>
      <c r="Q325" s="1298"/>
      <c r="R325" s="1298"/>
      <c r="S325" s="1298"/>
      <c r="T325" s="1298"/>
      <c r="U325" s="1298"/>
      <c r="V325" s="1298"/>
      <c r="W325" s="1298"/>
      <c r="X325" s="1298"/>
      <c r="Y325" s="1298"/>
      <c r="Z325" s="1298"/>
      <c r="AA325" s="1298"/>
      <c r="AB325" s="1298"/>
      <c r="AC325" s="1298"/>
      <c r="AD325" s="1298"/>
      <c r="AE325" s="1298"/>
      <c r="AF325" s="1298"/>
      <c r="AG325" s="1298"/>
      <c r="AH325" s="1298"/>
      <c r="AI325" s="1298"/>
      <c r="AJ325" s="1298"/>
      <c r="AK325" s="1298"/>
      <c r="AL325" s="1298"/>
      <c r="AM325" s="1298"/>
      <c r="AN325" s="1298"/>
      <c r="AO325" s="1298"/>
      <c r="AP325" s="1298"/>
      <c r="AQ325" s="1298"/>
      <c r="AR325" s="1298"/>
      <c r="AS325" s="1298"/>
      <c r="AT325" s="1298"/>
      <c r="AU325" s="1298"/>
      <c r="AV325" s="1298"/>
      <c r="AW325" s="1298"/>
      <c r="AX325" s="1298"/>
      <c r="AY325" s="1298"/>
      <c r="AZ325" s="1298"/>
      <c r="BA325" s="1298"/>
      <c r="BB325" s="1298"/>
      <c r="BC325" s="1298"/>
      <c r="BD325" s="1298"/>
      <c r="BE325" s="1298"/>
      <c r="BF325" s="1298"/>
      <c r="BR325" s="1298"/>
      <c r="BS325" s="1298"/>
      <c r="BT325" s="1298"/>
      <c r="BU325" s="1087"/>
      <c r="BV325" s="1086"/>
      <c r="BW325" s="1086"/>
      <c r="BX325" s="1086"/>
      <c r="BY325" s="1298"/>
      <c r="BZ325" s="1298"/>
    </row>
    <row r="326" spans="2:78" ht="12.75" customHeight="1">
      <c r="B326" s="1291"/>
      <c r="C326" s="1298"/>
      <c r="D326" s="1298"/>
      <c r="E326" s="1298"/>
      <c r="F326" s="1299"/>
      <c r="G326" s="1300"/>
      <c r="H326" s="1300"/>
      <c r="I326" s="1300"/>
      <c r="J326" s="1300"/>
      <c r="K326" s="1298"/>
      <c r="L326" s="1298"/>
      <c r="M326" s="1298"/>
      <c r="N326" s="1298"/>
      <c r="O326" s="1298"/>
      <c r="P326" s="1298"/>
      <c r="Q326" s="1298"/>
      <c r="R326" s="1298"/>
      <c r="S326" s="1298"/>
      <c r="T326" s="1298"/>
      <c r="U326" s="1298"/>
      <c r="V326" s="1298"/>
      <c r="W326" s="1298"/>
      <c r="X326" s="1298"/>
      <c r="Y326" s="1298"/>
      <c r="Z326" s="1298"/>
      <c r="AA326" s="1298"/>
      <c r="AB326" s="1298"/>
      <c r="AC326" s="1298"/>
      <c r="AD326" s="1298"/>
      <c r="AE326" s="1298"/>
      <c r="AF326" s="1298"/>
      <c r="AG326" s="1298"/>
      <c r="AH326" s="1298"/>
      <c r="AI326" s="1298"/>
      <c r="AJ326" s="1298"/>
      <c r="AK326" s="1298"/>
      <c r="AL326" s="1298"/>
      <c r="AM326" s="1298"/>
      <c r="AN326" s="1298"/>
      <c r="AO326" s="1298"/>
      <c r="AP326" s="1298"/>
      <c r="AQ326" s="1298"/>
      <c r="AR326" s="1298"/>
      <c r="AS326" s="1298"/>
      <c r="AT326" s="1298"/>
      <c r="AU326" s="1298"/>
      <c r="AV326" s="1298"/>
      <c r="AW326" s="1298"/>
      <c r="AX326" s="1298"/>
      <c r="AY326" s="1298"/>
      <c r="AZ326" s="1298"/>
      <c r="BA326" s="1298"/>
      <c r="BB326" s="1298"/>
      <c r="BC326" s="1298"/>
      <c r="BD326" s="1298"/>
      <c r="BE326" s="1298"/>
      <c r="BF326" s="1298"/>
      <c r="BR326" s="1298"/>
      <c r="BS326" s="1298"/>
      <c r="BT326" s="1298"/>
      <c r="BU326" s="1087"/>
      <c r="BV326" s="1086"/>
      <c r="BW326" s="1086"/>
      <c r="BX326" s="1086"/>
      <c r="BY326" s="1298"/>
      <c r="BZ326" s="1298"/>
    </row>
    <row r="327" spans="2:78" ht="12.75" customHeight="1">
      <c r="B327" s="1291"/>
      <c r="C327" s="1298"/>
      <c r="D327" s="1298"/>
      <c r="E327" s="1298"/>
      <c r="F327" s="1299"/>
      <c r="G327" s="1300"/>
      <c r="H327" s="1300"/>
      <c r="I327" s="1300"/>
      <c r="J327" s="1300"/>
      <c r="K327" s="1298"/>
      <c r="L327" s="1298"/>
      <c r="M327" s="1298"/>
      <c r="N327" s="1298"/>
      <c r="O327" s="1298"/>
      <c r="P327" s="1298"/>
      <c r="Q327" s="1298"/>
      <c r="R327" s="1298"/>
      <c r="S327" s="1298"/>
      <c r="T327" s="1298"/>
      <c r="U327" s="1298"/>
      <c r="V327" s="1298"/>
      <c r="W327" s="1298"/>
      <c r="X327" s="1298"/>
      <c r="Y327" s="1298"/>
      <c r="Z327" s="1298"/>
      <c r="AA327" s="1298"/>
      <c r="AB327" s="1298"/>
      <c r="AC327" s="1298"/>
      <c r="AD327" s="1298"/>
      <c r="AE327" s="1298"/>
      <c r="AF327" s="1298"/>
      <c r="AG327" s="1298"/>
      <c r="AH327" s="1298"/>
      <c r="AI327" s="1298"/>
      <c r="AJ327" s="1298"/>
      <c r="AK327" s="1298"/>
      <c r="AL327" s="1298"/>
      <c r="AM327" s="1298"/>
      <c r="AN327" s="1298"/>
      <c r="AO327" s="1298"/>
      <c r="AP327" s="1298"/>
      <c r="AQ327" s="1298"/>
      <c r="AR327" s="1298"/>
      <c r="AS327" s="1298"/>
      <c r="AT327" s="1298"/>
      <c r="AU327" s="1298"/>
      <c r="AV327" s="1298"/>
      <c r="AW327" s="1298"/>
      <c r="AX327" s="1298"/>
      <c r="AY327" s="1298"/>
      <c r="AZ327" s="1298"/>
      <c r="BA327" s="1298"/>
      <c r="BB327" s="1298"/>
      <c r="BC327" s="1298"/>
      <c r="BD327" s="1298"/>
      <c r="BE327" s="1298"/>
      <c r="BF327" s="1298"/>
      <c r="BR327" s="1298"/>
      <c r="BS327" s="1298"/>
      <c r="BT327" s="1298"/>
      <c r="BU327" s="1087"/>
      <c r="BV327" s="1086"/>
      <c r="BW327" s="1086"/>
      <c r="BX327" s="1086"/>
      <c r="BY327" s="1298"/>
      <c r="BZ327" s="1298"/>
    </row>
    <row r="328" spans="2:78" ht="12.75" customHeight="1">
      <c r="B328" s="1291"/>
      <c r="C328" s="1298"/>
      <c r="D328" s="1298"/>
      <c r="E328" s="1298"/>
      <c r="F328" s="1299"/>
      <c r="G328" s="1300"/>
      <c r="H328" s="1300"/>
      <c r="I328" s="1300"/>
      <c r="J328" s="1300"/>
      <c r="K328" s="1298"/>
      <c r="L328" s="1298"/>
      <c r="M328" s="1298"/>
      <c r="N328" s="1298"/>
      <c r="O328" s="1298"/>
      <c r="P328" s="1298"/>
      <c r="Q328" s="1298"/>
      <c r="R328" s="1298"/>
      <c r="S328" s="1298"/>
      <c r="T328" s="1298"/>
      <c r="U328" s="1298"/>
      <c r="V328" s="1298"/>
      <c r="W328" s="1298"/>
      <c r="X328" s="1298"/>
      <c r="Y328" s="1298"/>
      <c r="Z328" s="1298"/>
      <c r="AA328" s="1298"/>
      <c r="AB328" s="1298"/>
      <c r="AC328" s="1298"/>
      <c r="AD328" s="1298"/>
      <c r="AE328" s="1298"/>
      <c r="AF328" s="1298"/>
      <c r="AG328" s="1298"/>
      <c r="AH328" s="1298"/>
      <c r="AI328" s="1298"/>
      <c r="AJ328" s="1298"/>
      <c r="AK328" s="1298"/>
      <c r="AL328" s="1298"/>
      <c r="AM328" s="1298"/>
      <c r="AN328" s="1298"/>
      <c r="AO328" s="1298"/>
      <c r="AP328" s="1298"/>
      <c r="AQ328" s="1298"/>
      <c r="AR328" s="1298"/>
      <c r="AS328" s="1298"/>
      <c r="AT328" s="1298"/>
      <c r="AU328" s="1298"/>
      <c r="AV328" s="1298"/>
      <c r="AW328" s="1298"/>
      <c r="AX328" s="1298"/>
      <c r="AY328" s="1298"/>
      <c r="AZ328" s="1298"/>
      <c r="BA328" s="1298"/>
      <c r="BB328" s="1298"/>
      <c r="BC328" s="1298"/>
      <c r="BD328" s="1298"/>
      <c r="BE328" s="1298"/>
      <c r="BF328" s="1298"/>
      <c r="BR328" s="1298"/>
      <c r="BS328" s="1298"/>
      <c r="BT328" s="1298"/>
      <c r="BU328" s="1087"/>
      <c r="BV328" s="1086"/>
      <c r="BW328" s="1086"/>
      <c r="BX328" s="1086"/>
      <c r="BY328" s="1298"/>
      <c r="BZ328" s="1298"/>
    </row>
    <row r="329" spans="2:78" ht="12.75" customHeight="1">
      <c r="B329" s="1291"/>
      <c r="C329" s="1298"/>
      <c r="D329" s="1298"/>
      <c r="E329" s="1298"/>
      <c r="F329" s="1299"/>
      <c r="G329" s="1300"/>
      <c r="H329" s="1300"/>
      <c r="I329" s="1300"/>
      <c r="J329" s="1300"/>
      <c r="K329" s="1298"/>
      <c r="L329" s="1298"/>
      <c r="M329" s="1298"/>
      <c r="N329" s="1298"/>
      <c r="O329" s="1298"/>
      <c r="P329" s="1298"/>
      <c r="Q329" s="1298"/>
      <c r="R329" s="1298"/>
      <c r="S329" s="1298"/>
      <c r="T329" s="1298"/>
      <c r="U329" s="1298"/>
      <c r="V329" s="1298"/>
      <c r="W329" s="1298"/>
      <c r="X329" s="1298"/>
      <c r="Y329" s="1298"/>
      <c r="Z329" s="1298"/>
      <c r="AA329" s="1298"/>
      <c r="AB329" s="1298"/>
      <c r="AC329" s="1298"/>
      <c r="AD329" s="1298"/>
      <c r="AE329" s="1298"/>
      <c r="AF329" s="1298"/>
      <c r="AG329" s="1298"/>
      <c r="AH329" s="1298"/>
      <c r="AI329" s="1298"/>
      <c r="AJ329" s="1298"/>
      <c r="AK329" s="1298"/>
      <c r="AL329" s="1298"/>
      <c r="AM329" s="1298"/>
      <c r="AN329" s="1298"/>
      <c r="AO329" s="1298"/>
      <c r="AP329" s="1298"/>
      <c r="AQ329" s="1298"/>
      <c r="AR329" s="1298"/>
      <c r="AS329" s="1298"/>
      <c r="AT329" s="1298"/>
      <c r="AU329" s="1298"/>
      <c r="AV329" s="1298"/>
      <c r="AW329" s="1298"/>
      <c r="AX329" s="1298"/>
      <c r="AY329" s="1298"/>
      <c r="AZ329" s="1298"/>
      <c r="BA329" s="1298"/>
      <c r="BB329" s="1298"/>
      <c r="BC329" s="1298"/>
      <c r="BD329" s="1298"/>
      <c r="BE329" s="1298"/>
      <c r="BF329" s="1298"/>
      <c r="BR329" s="1298"/>
      <c r="BS329" s="1298"/>
      <c r="BT329" s="1298"/>
      <c r="BU329" s="1087"/>
      <c r="BV329" s="1086"/>
      <c r="BW329" s="1086"/>
      <c r="BX329" s="1086"/>
      <c r="BY329" s="1298"/>
      <c r="BZ329" s="1298"/>
    </row>
    <row r="330" spans="2:78" ht="12.75" customHeight="1">
      <c r="B330" s="1291"/>
      <c r="C330" s="1298"/>
      <c r="D330" s="1298"/>
      <c r="E330" s="1298"/>
      <c r="F330" s="1299"/>
      <c r="G330" s="1300"/>
      <c r="H330" s="1300"/>
      <c r="I330" s="1300"/>
      <c r="J330" s="1300"/>
      <c r="K330" s="1298"/>
      <c r="L330" s="1298"/>
      <c r="M330" s="1298"/>
      <c r="N330" s="1298"/>
      <c r="O330" s="1298"/>
      <c r="P330" s="1298"/>
      <c r="Q330" s="1298"/>
      <c r="R330" s="1298"/>
      <c r="S330" s="1298"/>
      <c r="T330" s="1298"/>
      <c r="U330" s="1298"/>
      <c r="V330" s="1298"/>
      <c r="W330" s="1298"/>
      <c r="X330" s="1298"/>
      <c r="Y330" s="1298"/>
      <c r="Z330" s="1298"/>
      <c r="AA330" s="1298"/>
      <c r="AB330" s="1298"/>
      <c r="AC330" s="1298"/>
      <c r="AD330" s="1298"/>
      <c r="AE330" s="1298"/>
      <c r="AF330" s="1298"/>
      <c r="AG330" s="1298"/>
      <c r="AH330" s="1298"/>
      <c r="AI330" s="1298"/>
      <c r="AJ330" s="1298"/>
      <c r="AK330" s="1298"/>
      <c r="AL330" s="1298"/>
      <c r="AM330" s="1298"/>
      <c r="AN330" s="1298"/>
      <c r="AO330" s="1298"/>
      <c r="AP330" s="1298"/>
      <c r="AQ330" s="1298"/>
      <c r="AR330" s="1298"/>
      <c r="AS330" s="1298"/>
      <c r="AT330" s="1298"/>
      <c r="AU330" s="1298"/>
      <c r="AV330" s="1298"/>
      <c r="AW330" s="1298"/>
      <c r="AX330" s="1298"/>
      <c r="AY330" s="1298"/>
      <c r="AZ330" s="1298"/>
      <c r="BA330" s="1298"/>
      <c r="BB330" s="1298"/>
      <c r="BC330" s="1298"/>
      <c r="BD330" s="1298"/>
      <c r="BE330" s="1298"/>
      <c r="BF330" s="1298"/>
      <c r="BR330" s="1298"/>
      <c r="BS330" s="1298"/>
      <c r="BT330" s="1298"/>
      <c r="BU330" s="1087"/>
      <c r="BV330" s="1086"/>
      <c r="BW330" s="1086"/>
      <c r="BX330" s="1086"/>
      <c r="BY330" s="1298"/>
      <c r="BZ330" s="1298"/>
    </row>
    <row r="331" spans="2:78" ht="12.75" customHeight="1">
      <c r="B331" s="1291"/>
      <c r="C331" s="1298"/>
      <c r="D331" s="1298"/>
      <c r="E331" s="1298"/>
      <c r="F331" s="1299"/>
      <c r="G331" s="1300"/>
      <c r="H331" s="1300"/>
      <c r="I331" s="1300"/>
      <c r="J331" s="1300"/>
      <c r="K331" s="1298"/>
      <c r="L331" s="1298"/>
      <c r="M331" s="1298"/>
      <c r="N331" s="1298"/>
      <c r="O331" s="1298"/>
      <c r="P331" s="1298"/>
      <c r="Q331" s="1298"/>
      <c r="R331" s="1298"/>
      <c r="S331" s="1298"/>
      <c r="T331" s="1298"/>
      <c r="U331" s="1298"/>
      <c r="V331" s="1298"/>
      <c r="W331" s="1298"/>
      <c r="X331" s="1298"/>
      <c r="Y331" s="1298"/>
      <c r="Z331" s="1298"/>
      <c r="AA331" s="1298"/>
      <c r="AB331" s="1298"/>
      <c r="AC331" s="1298"/>
      <c r="AD331" s="1298"/>
      <c r="AE331" s="1298"/>
      <c r="AF331" s="1298"/>
      <c r="AG331" s="1298"/>
      <c r="AH331" s="1298"/>
      <c r="AI331" s="1298"/>
      <c r="AJ331" s="1298"/>
      <c r="AK331" s="1298"/>
      <c r="AL331" s="1298"/>
      <c r="AM331" s="1298"/>
      <c r="AN331" s="1298"/>
      <c r="AO331" s="1298"/>
      <c r="AP331" s="1298"/>
      <c r="AQ331" s="1298"/>
      <c r="AR331" s="1298"/>
      <c r="AS331" s="1298"/>
      <c r="AT331" s="1298"/>
      <c r="AU331" s="1298"/>
      <c r="AV331" s="1298"/>
      <c r="AW331" s="1298"/>
      <c r="AX331" s="1298"/>
      <c r="AY331" s="1298"/>
      <c r="AZ331" s="1298"/>
      <c r="BA331" s="1298"/>
      <c r="BB331" s="1298"/>
      <c r="BC331" s="1298"/>
      <c r="BD331" s="1298"/>
      <c r="BE331" s="1298"/>
      <c r="BF331" s="1298"/>
      <c r="BR331" s="1298"/>
      <c r="BS331" s="1298"/>
      <c r="BT331" s="1298"/>
      <c r="BU331" s="1087"/>
      <c r="BV331" s="1086"/>
      <c r="BW331" s="1086"/>
      <c r="BX331" s="1086"/>
      <c r="BY331" s="1298"/>
      <c r="BZ331" s="1298"/>
    </row>
    <row r="332" spans="2:78" ht="12.75" customHeight="1">
      <c r="B332" s="1291"/>
      <c r="C332" s="1298"/>
      <c r="D332" s="1298"/>
      <c r="E332" s="1298"/>
      <c r="F332" s="1299"/>
      <c r="G332" s="1300"/>
      <c r="H332" s="1300"/>
      <c r="I332" s="1300"/>
      <c r="J332" s="1300"/>
      <c r="K332" s="1298"/>
      <c r="L332" s="1298"/>
      <c r="M332" s="1298"/>
      <c r="N332" s="1298"/>
      <c r="O332" s="1298"/>
      <c r="P332" s="1298"/>
      <c r="Q332" s="1298"/>
      <c r="R332" s="1298"/>
      <c r="S332" s="1298"/>
      <c r="T332" s="1298"/>
      <c r="U332" s="1298"/>
      <c r="V332" s="1298"/>
      <c r="W332" s="1298"/>
      <c r="X332" s="1298"/>
      <c r="Y332" s="1298"/>
      <c r="Z332" s="1298"/>
      <c r="AA332" s="1298"/>
      <c r="AB332" s="1298"/>
      <c r="AC332" s="1298"/>
      <c r="AD332" s="1298"/>
      <c r="AE332" s="1298"/>
      <c r="AF332" s="1298"/>
      <c r="AG332" s="1298"/>
      <c r="AH332" s="1298"/>
      <c r="AI332" s="1298"/>
      <c r="AJ332" s="1298"/>
      <c r="AK332" s="1298"/>
      <c r="AL332" s="1298"/>
      <c r="AM332" s="1298"/>
      <c r="AN332" s="1298"/>
      <c r="AO332" s="1298"/>
      <c r="AP332" s="1298"/>
      <c r="AQ332" s="1298"/>
      <c r="AR332" s="1298"/>
      <c r="AS332" s="1298"/>
      <c r="AT332" s="1298"/>
      <c r="AU332" s="1298"/>
      <c r="AV332" s="1298"/>
      <c r="AW332" s="1298"/>
      <c r="AX332" s="1298"/>
      <c r="AY332" s="1298"/>
      <c r="AZ332" s="1298"/>
      <c r="BA332" s="1298"/>
      <c r="BB332" s="1298"/>
      <c r="BC332" s="1298"/>
      <c r="BD332" s="1298"/>
      <c r="BE332" s="1298"/>
      <c r="BF332" s="1298"/>
      <c r="BR332" s="1298"/>
      <c r="BS332" s="1298"/>
      <c r="BT332" s="1298"/>
      <c r="BU332" s="1087"/>
      <c r="BV332" s="1086"/>
      <c r="BW332" s="1086"/>
      <c r="BX332" s="1086"/>
      <c r="BY332" s="1298"/>
      <c r="BZ332" s="1298"/>
    </row>
    <row r="333" spans="2:78" ht="12.75" customHeight="1">
      <c r="B333" s="1291"/>
      <c r="C333" s="1298"/>
      <c r="D333" s="1298"/>
      <c r="E333" s="1298"/>
      <c r="F333" s="1299"/>
      <c r="G333" s="1300"/>
      <c r="H333" s="1300"/>
      <c r="I333" s="1300"/>
      <c r="J333" s="1300"/>
      <c r="K333" s="1298"/>
      <c r="L333" s="1298"/>
      <c r="M333" s="1298"/>
      <c r="N333" s="1298"/>
      <c r="O333" s="1298"/>
      <c r="P333" s="1298"/>
      <c r="Q333" s="1298"/>
      <c r="R333" s="1298"/>
      <c r="S333" s="1298"/>
      <c r="T333" s="1298"/>
      <c r="U333" s="1298"/>
      <c r="V333" s="1298"/>
      <c r="W333" s="1298"/>
      <c r="X333" s="1298"/>
      <c r="Y333" s="1298"/>
      <c r="Z333" s="1298"/>
      <c r="AA333" s="1298"/>
      <c r="AB333" s="1298"/>
      <c r="AC333" s="1298"/>
      <c r="AD333" s="1298"/>
      <c r="AE333" s="1298"/>
      <c r="AF333" s="1298"/>
      <c r="AG333" s="1298"/>
      <c r="AH333" s="1298"/>
      <c r="AI333" s="1298"/>
      <c r="AJ333" s="1298"/>
      <c r="AK333" s="1298"/>
      <c r="AL333" s="1298"/>
      <c r="AM333" s="1298"/>
      <c r="AN333" s="1298"/>
      <c r="AO333" s="1298"/>
      <c r="AP333" s="1298"/>
      <c r="AQ333" s="1298"/>
      <c r="AR333" s="1298"/>
      <c r="AS333" s="1298"/>
      <c r="AT333" s="1298"/>
      <c r="AU333" s="1298"/>
      <c r="AV333" s="1298"/>
      <c r="AW333" s="1298"/>
      <c r="AX333" s="1298"/>
      <c r="AY333" s="1298"/>
      <c r="AZ333" s="1298"/>
      <c r="BA333" s="1298"/>
      <c r="BB333" s="1298"/>
      <c r="BC333" s="1298"/>
      <c r="BD333" s="1298"/>
      <c r="BE333" s="1298"/>
      <c r="BF333" s="1298"/>
      <c r="BR333" s="1298"/>
      <c r="BS333" s="1298"/>
      <c r="BT333" s="1298"/>
      <c r="BU333" s="1087"/>
      <c r="BV333" s="1086"/>
      <c r="BW333" s="1086"/>
      <c r="BX333" s="1086"/>
      <c r="BY333" s="1298"/>
      <c r="BZ333" s="1298"/>
    </row>
    <row r="334" spans="2:78" ht="12.75" customHeight="1">
      <c r="B334" s="1291"/>
      <c r="C334" s="1298"/>
      <c r="D334" s="1298"/>
      <c r="E334" s="1298"/>
      <c r="F334" s="1299"/>
      <c r="G334" s="1300"/>
      <c r="H334" s="1300"/>
      <c r="I334" s="1300"/>
      <c r="J334" s="1300"/>
      <c r="K334" s="1298"/>
      <c r="L334" s="1298"/>
      <c r="M334" s="1298"/>
      <c r="N334" s="1298"/>
      <c r="O334" s="1298"/>
      <c r="P334" s="1298"/>
      <c r="Q334" s="1298"/>
      <c r="R334" s="1298"/>
      <c r="S334" s="1298"/>
      <c r="T334" s="1298"/>
      <c r="U334" s="1298"/>
      <c r="V334" s="1298"/>
      <c r="W334" s="1298"/>
      <c r="X334" s="1298"/>
      <c r="Y334" s="1298"/>
      <c r="Z334" s="1298"/>
      <c r="AA334" s="1298"/>
      <c r="AB334" s="1298"/>
      <c r="AC334" s="1298"/>
      <c r="AD334" s="1298"/>
      <c r="AE334" s="1298"/>
      <c r="AF334" s="1298"/>
      <c r="AG334" s="1298"/>
      <c r="AH334" s="1298"/>
      <c r="AI334" s="1298"/>
      <c r="AJ334" s="1298"/>
      <c r="AK334" s="1298"/>
      <c r="AL334" s="1298"/>
      <c r="AM334" s="1298"/>
      <c r="AN334" s="1298"/>
      <c r="AO334" s="1298"/>
      <c r="AP334" s="1298"/>
      <c r="AQ334" s="1298"/>
      <c r="AR334" s="1298"/>
      <c r="AS334" s="1298"/>
      <c r="AT334" s="1298"/>
      <c r="AU334" s="1298"/>
      <c r="AV334" s="1298"/>
      <c r="AW334" s="1298"/>
      <c r="AX334" s="1298"/>
      <c r="AY334" s="1298"/>
      <c r="AZ334" s="1298"/>
      <c r="BA334" s="1298"/>
      <c r="BB334" s="1298"/>
      <c r="BC334" s="1298"/>
      <c r="BD334" s="1298"/>
      <c r="BE334" s="1298"/>
      <c r="BF334" s="1298"/>
      <c r="BR334" s="1298"/>
      <c r="BS334" s="1298"/>
      <c r="BT334" s="1298"/>
      <c r="BU334" s="1087"/>
      <c r="BV334" s="1086"/>
      <c r="BW334" s="1086"/>
      <c r="BX334" s="1086"/>
      <c r="BY334" s="1298"/>
      <c r="BZ334" s="1298"/>
    </row>
    <row r="335" spans="2:78" ht="12.75" customHeight="1">
      <c r="B335" s="1291"/>
      <c r="C335" s="1298"/>
      <c r="D335" s="1298"/>
      <c r="E335" s="1298"/>
      <c r="F335" s="1299"/>
      <c r="G335" s="1300"/>
      <c r="H335" s="1300"/>
      <c r="I335" s="1300"/>
      <c r="J335" s="1300"/>
      <c r="K335" s="1298"/>
      <c r="L335" s="1298"/>
      <c r="M335" s="1298"/>
      <c r="N335" s="1298"/>
      <c r="O335" s="1298"/>
      <c r="P335" s="1298"/>
      <c r="Q335" s="1298"/>
      <c r="R335" s="1298"/>
      <c r="S335" s="1298"/>
      <c r="T335" s="1298"/>
      <c r="U335" s="1298"/>
      <c r="V335" s="1298"/>
      <c r="W335" s="1298"/>
      <c r="X335" s="1298"/>
      <c r="Y335" s="1298"/>
      <c r="Z335" s="1298"/>
      <c r="AA335" s="1298"/>
      <c r="AB335" s="1298"/>
      <c r="AC335" s="1298"/>
      <c r="AD335" s="1298"/>
      <c r="AE335" s="1298"/>
      <c r="AF335" s="1298"/>
      <c r="AG335" s="1298"/>
      <c r="AH335" s="1298"/>
      <c r="AI335" s="1298"/>
      <c r="AJ335" s="1298"/>
      <c r="AK335" s="1298"/>
      <c r="AL335" s="1298"/>
      <c r="AM335" s="1298"/>
      <c r="AN335" s="1298"/>
      <c r="AO335" s="1298"/>
      <c r="AP335" s="1298"/>
      <c r="AQ335" s="1298"/>
      <c r="AR335" s="1298"/>
      <c r="AS335" s="1298"/>
      <c r="AT335" s="1298"/>
      <c r="AU335" s="1298"/>
      <c r="AV335" s="1298"/>
      <c r="AW335" s="1298"/>
      <c r="AX335" s="1298"/>
      <c r="AY335" s="1298"/>
      <c r="AZ335" s="1298"/>
      <c r="BA335" s="1298"/>
      <c r="BB335" s="1298"/>
      <c r="BC335" s="1298"/>
      <c r="BD335" s="1298"/>
      <c r="BE335" s="1298"/>
      <c r="BF335" s="1298"/>
      <c r="BR335" s="1298"/>
      <c r="BS335" s="1298"/>
      <c r="BT335" s="1298"/>
      <c r="BU335" s="1087"/>
      <c r="BV335" s="1086"/>
      <c r="BW335" s="1086"/>
      <c r="BX335" s="1086"/>
      <c r="BY335" s="1298"/>
      <c r="BZ335" s="1298"/>
    </row>
    <row r="336" spans="2:78" ht="12.75" customHeight="1">
      <c r="B336" s="1291"/>
      <c r="C336" s="1298"/>
      <c r="D336" s="1298"/>
      <c r="E336" s="1298"/>
      <c r="F336" s="1299"/>
      <c r="G336" s="1300"/>
      <c r="H336" s="1300"/>
      <c r="I336" s="1300"/>
      <c r="J336" s="1300"/>
      <c r="K336" s="1298"/>
      <c r="L336" s="1298"/>
      <c r="M336" s="1298"/>
      <c r="N336" s="1298"/>
      <c r="O336" s="1298"/>
      <c r="P336" s="1298"/>
      <c r="Q336" s="1298"/>
      <c r="R336" s="1298"/>
      <c r="S336" s="1298"/>
      <c r="T336" s="1298"/>
      <c r="U336" s="1298"/>
      <c r="V336" s="1298"/>
      <c r="W336" s="1298"/>
      <c r="X336" s="1298"/>
      <c r="Y336" s="1298"/>
      <c r="Z336" s="1298"/>
      <c r="AA336" s="1298"/>
      <c r="AB336" s="1298"/>
      <c r="AC336" s="1298"/>
      <c r="AD336" s="1298"/>
      <c r="AE336" s="1298"/>
      <c r="AF336" s="1298"/>
      <c r="AG336" s="1298"/>
      <c r="AH336" s="1298"/>
      <c r="AI336" s="1298"/>
      <c r="AJ336" s="1298"/>
      <c r="AK336" s="1298"/>
      <c r="AL336" s="1298"/>
      <c r="AM336" s="1298"/>
      <c r="AN336" s="1298"/>
      <c r="AO336" s="1298"/>
      <c r="AP336" s="1298"/>
      <c r="AQ336" s="1298"/>
      <c r="AR336" s="1298"/>
      <c r="AS336" s="1298"/>
      <c r="AT336" s="1298"/>
      <c r="AU336" s="1298"/>
      <c r="AV336" s="1298"/>
      <c r="AW336" s="1298"/>
      <c r="AX336" s="1298"/>
      <c r="AY336" s="1298"/>
      <c r="AZ336" s="1298"/>
      <c r="BA336" s="1298"/>
      <c r="BB336" s="1298"/>
      <c r="BC336" s="1298"/>
      <c r="BD336" s="1298"/>
      <c r="BE336" s="1298"/>
      <c r="BF336" s="1298"/>
      <c r="BR336" s="1298"/>
      <c r="BS336" s="1298"/>
      <c r="BT336" s="1298"/>
      <c r="BU336" s="1087"/>
      <c r="BV336" s="1086"/>
      <c r="BW336" s="1086"/>
      <c r="BX336" s="1086"/>
      <c r="BY336" s="1298"/>
      <c r="BZ336" s="1298"/>
    </row>
    <row r="337" spans="2:78" ht="12.75" customHeight="1">
      <c r="B337" s="1291"/>
      <c r="C337" s="1298"/>
      <c r="D337" s="1298"/>
      <c r="E337" s="1298"/>
      <c r="F337" s="1299"/>
      <c r="G337" s="1300"/>
      <c r="H337" s="1300"/>
      <c r="I337" s="1300"/>
      <c r="J337" s="1300"/>
      <c r="K337" s="1298"/>
      <c r="L337" s="1298"/>
      <c r="M337" s="1298"/>
      <c r="N337" s="1298"/>
      <c r="O337" s="1298"/>
      <c r="P337" s="1298"/>
      <c r="Q337" s="1298"/>
      <c r="R337" s="1298"/>
      <c r="S337" s="1298"/>
      <c r="T337" s="1298"/>
      <c r="U337" s="1298"/>
      <c r="V337" s="1298"/>
      <c r="W337" s="1298"/>
      <c r="X337" s="1298"/>
      <c r="Y337" s="1298"/>
      <c r="Z337" s="1298"/>
      <c r="AA337" s="1298"/>
      <c r="AB337" s="1298"/>
      <c r="AC337" s="1298"/>
      <c r="AD337" s="1298"/>
      <c r="AE337" s="1298"/>
      <c r="AF337" s="1298"/>
      <c r="AG337" s="1298"/>
      <c r="AH337" s="1298"/>
      <c r="AI337" s="1298"/>
      <c r="AJ337" s="1298"/>
      <c r="AK337" s="1298"/>
      <c r="AL337" s="1298"/>
      <c r="AM337" s="1298"/>
      <c r="AN337" s="1298"/>
      <c r="AO337" s="1298"/>
      <c r="AP337" s="1298"/>
      <c r="AQ337" s="1298"/>
      <c r="AR337" s="1298"/>
      <c r="AS337" s="1298"/>
      <c r="AT337" s="1298"/>
      <c r="AU337" s="1298"/>
      <c r="AV337" s="1298"/>
      <c r="AW337" s="1298"/>
      <c r="AX337" s="1298"/>
      <c r="AY337" s="1298"/>
      <c r="AZ337" s="1298"/>
      <c r="BA337" s="1298"/>
      <c r="BB337" s="1298"/>
      <c r="BC337" s="1298"/>
      <c r="BD337" s="1298"/>
      <c r="BE337" s="1298"/>
      <c r="BF337" s="1298"/>
      <c r="BR337" s="1298"/>
      <c r="BS337" s="1298"/>
      <c r="BT337" s="1298"/>
      <c r="BU337" s="1087"/>
      <c r="BV337" s="1086"/>
      <c r="BW337" s="1086"/>
      <c r="BX337" s="1086"/>
      <c r="BY337" s="1298"/>
      <c r="BZ337" s="1298"/>
    </row>
    <row r="338" spans="2:78" ht="12.75" customHeight="1">
      <c r="B338" s="1291"/>
      <c r="C338" s="1298"/>
      <c r="D338" s="1298"/>
      <c r="E338" s="1298"/>
      <c r="F338" s="1299"/>
      <c r="G338" s="1300"/>
      <c r="H338" s="1300"/>
      <c r="I338" s="1300"/>
      <c r="J338" s="1300"/>
      <c r="K338" s="1298"/>
      <c r="L338" s="1298"/>
      <c r="M338" s="1298"/>
      <c r="N338" s="1298"/>
      <c r="O338" s="1298"/>
      <c r="P338" s="1298"/>
      <c r="Q338" s="1298"/>
      <c r="R338" s="1298"/>
      <c r="S338" s="1298"/>
      <c r="T338" s="1298"/>
      <c r="U338" s="1298"/>
      <c r="V338" s="1298"/>
      <c r="W338" s="1298"/>
      <c r="X338" s="1298"/>
      <c r="Y338" s="1298"/>
      <c r="Z338" s="1298"/>
      <c r="AA338" s="1298"/>
      <c r="AB338" s="1298"/>
      <c r="AC338" s="1298"/>
      <c r="AD338" s="1298"/>
      <c r="AE338" s="1298"/>
      <c r="AF338" s="1298"/>
      <c r="AG338" s="1298"/>
      <c r="AH338" s="1298"/>
      <c r="AI338" s="1298"/>
      <c r="AJ338" s="1298"/>
      <c r="AK338" s="1298"/>
      <c r="AL338" s="1298"/>
      <c r="AM338" s="1298"/>
      <c r="AN338" s="1298"/>
      <c r="AO338" s="1298"/>
      <c r="AP338" s="1298"/>
      <c r="AQ338" s="1298"/>
      <c r="AR338" s="1298"/>
      <c r="AS338" s="1298"/>
      <c r="AT338" s="1298"/>
      <c r="AU338" s="1298"/>
      <c r="AV338" s="1298"/>
      <c r="AW338" s="1298"/>
      <c r="AX338" s="1298"/>
      <c r="AY338" s="1298"/>
      <c r="AZ338" s="1298"/>
      <c r="BA338" s="1298"/>
      <c r="BB338" s="1298"/>
      <c r="BC338" s="1298"/>
      <c r="BD338" s="1298"/>
      <c r="BE338" s="1298"/>
      <c r="BF338" s="1298"/>
      <c r="BR338" s="1298"/>
      <c r="BS338" s="1298"/>
      <c r="BT338" s="1298"/>
      <c r="BU338" s="1087"/>
      <c r="BV338" s="1086"/>
      <c r="BW338" s="1086"/>
      <c r="BX338" s="1086"/>
      <c r="BY338" s="1298"/>
      <c r="BZ338" s="1298"/>
    </row>
    <row r="339" spans="2:78" ht="12.75" customHeight="1">
      <c r="B339" s="1291"/>
      <c r="C339" s="1298"/>
      <c r="D339" s="1298"/>
      <c r="E339" s="1298"/>
      <c r="F339" s="1299"/>
      <c r="G339" s="1300"/>
      <c r="H339" s="1300"/>
      <c r="I339" s="1300"/>
      <c r="J339" s="1300"/>
      <c r="K339" s="1298"/>
      <c r="L339" s="1298"/>
      <c r="M339" s="1298"/>
      <c r="N339" s="1298"/>
      <c r="O339" s="1298"/>
      <c r="P339" s="1298"/>
      <c r="Q339" s="1298"/>
      <c r="R339" s="1298"/>
      <c r="S339" s="1298"/>
      <c r="T339" s="1298"/>
      <c r="U339" s="1298"/>
      <c r="V339" s="1298"/>
      <c r="W339" s="1298"/>
      <c r="X339" s="1298"/>
      <c r="Y339" s="1298"/>
      <c r="Z339" s="1298"/>
      <c r="AA339" s="1298"/>
      <c r="AB339" s="1298"/>
      <c r="AC339" s="1298"/>
      <c r="AD339" s="1298"/>
      <c r="AE339" s="1298"/>
      <c r="AF339" s="1298"/>
      <c r="AG339" s="1298"/>
      <c r="AH339" s="1298"/>
      <c r="AI339" s="1298"/>
      <c r="AJ339" s="1298"/>
      <c r="AK339" s="1298"/>
      <c r="AL339" s="1298"/>
      <c r="AM339" s="1298"/>
      <c r="AN339" s="1298"/>
      <c r="AO339" s="1298"/>
      <c r="AP339" s="1298"/>
      <c r="AQ339" s="1298"/>
      <c r="AR339" s="1298"/>
      <c r="AS339" s="1298"/>
      <c r="AT339" s="1298"/>
      <c r="AU339" s="1298"/>
      <c r="AV339" s="1298"/>
      <c r="AW339" s="1298"/>
      <c r="AX339" s="1298"/>
      <c r="AY339" s="1298"/>
      <c r="AZ339" s="1298"/>
      <c r="BA339" s="1298"/>
      <c r="BB339" s="1298"/>
      <c r="BC339" s="1298"/>
      <c r="BD339" s="1298"/>
      <c r="BE339" s="1298"/>
      <c r="BF339" s="1298"/>
      <c r="BR339" s="1298"/>
      <c r="BS339" s="1298"/>
      <c r="BT339" s="1298"/>
      <c r="BU339" s="1087"/>
      <c r="BV339" s="1086"/>
      <c r="BW339" s="1086"/>
      <c r="BX339" s="1086"/>
      <c r="BY339" s="1298"/>
      <c r="BZ339" s="1298"/>
    </row>
    <row r="340" spans="2:78" ht="12.75" customHeight="1">
      <c r="B340" s="1291"/>
      <c r="C340" s="1298"/>
      <c r="D340" s="1298"/>
      <c r="E340" s="1298"/>
      <c r="F340" s="1299"/>
      <c r="G340" s="1300"/>
      <c r="H340" s="1300"/>
      <c r="I340" s="1300"/>
      <c r="J340" s="1300"/>
      <c r="K340" s="1298"/>
      <c r="L340" s="1298"/>
      <c r="M340" s="1298"/>
      <c r="N340" s="1298"/>
      <c r="O340" s="1298"/>
      <c r="P340" s="1298"/>
      <c r="Q340" s="1298"/>
      <c r="R340" s="1298"/>
      <c r="S340" s="1298"/>
      <c r="T340" s="1298"/>
      <c r="U340" s="1298"/>
      <c r="V340" s="1298"/>
      <c r="W340" s="1298"/>
      <c r="X340" s="1298"/>
      <c r="Y340" s="1298"/>
      <c r="Z340" s="1298"/>
      <c r="AA340" s="1298"/>
      <c r="AB340" s="1298"/>
      <c r="AC340" s="1298"/>
      <c r="AD340" s="1298"/>
      <c r="AE340" s="1298"/>
      <c r="AF340" s="1298"/>
      <c r="AG340" s="1298"/>
      <c r="AH340" s="1298"/>
      <c r="AI340" s="1298"/>
      <c r="AJ340" s="1298"/>
      <c r="AK340" s="1298"/>
      <c r="AL340" s="1298"/>
      <c r="AM340" s="1298"/>
      <c r="AN340" s="1298"/>
      <c r="AO340" s="1298"/>
      <c r="AP340" s="1298"/>
      <c r="AQ340" s="1298"/>
      <c r="AR340" s="1298"/>
      <c r="AS340" s="1298"/>
      <c r="AT340" s="1298"/>
      <c r="AU340" s="1298"/>
      <c r="AV340" s="1298"/>
      <c r="AW340" s="1298"/>
      <c r="AX340" s="1298"/>
      <c r="AY340" s="1298"/>
      <c r="AZ340" s="1298"/>
      <c r="BA340" s="1298"/>
      <c r="BB340" s="1298"/>
      <c r="BC340" s="1298"/>
      <c r="BD340" s="1298"/>
      <c r="BE340" s="1298"/>
      <c r="BF340" s="1298"/>
      <c r="BR340" s="1298"/>
      <c r="BS340" s="1298"/>
      <c r="BT340" s="1298"/>
      <c r="BU340" s="1087"/>
      <c r="BV340" s="1086"/>
      <c r="BW340" s="1086"/>
      <c r="BX340" s="1086"/>
      <c r="BY340" s="1298"/>
      <c r="BZ340" s="1298"/>
    </row>
    <row r="341" spans="2:78" ht="12.75" customHeight="1">
      <c r="B341" s="1291"/>
      <c r="C341" s="1298"/>
      <c r="D341" s="1298"/>
      <c r="E341" s="1298"/>
      <c r="F341" s="1299"/>
      <c r="G341" s="1300"/>
      <c r="H341" s="1300"/>
      <c r="I341" s="1300"/>
      <c r="J341" s="1300"/>
      <c r="K341" s="1298"/>
      <c r="L341" s="1298"/>
      <c r="M341" s="1298"/>
      <c r="N341" s="1298"/>
      <c r="O341" s="1298"/>
      <c r="P341" s="1298"/>
      <c r="Q341" s="1298"/>
      <c r="R341" s="1298"/>
      <c r="S341" s="1298"/>
      <c r="T341" s="1298"/>
      <c r="U341" s="1298"/>
      <c r="V341" s="1298"/>
      <c r="W341" s="1298"/>
      <c r="X341" s="1298"/>
      <c r="Y341" s="1298"/>
      <c r="Z341" s="1298"/>
      <c r="AA341" s="1298"/>
      <c r="AB341" s="1298"/>
      <c r="AC341" s="1298"/>
      <c r="AD341" s="1298"/>
      <c r="AE341" s="1298"/>
      <c r="AF341" s="1298"/>
      <c r="AG341" s="1298"/>
      <c r="AH341" s="1298"/>
      <c r="AI341" s="1298"/>
      <c r="AJ341" s="1298"/>
      <c r="AK341" s="1298"/>
      <c r="AL341" s="1298"/>
      <c r="AM341" s="1298"/>
      <c r="AN341" s="1298"/>
      <c r="AO341" s="1298"/>
      <c r="AP341" s="1298"/>
      <c r="AQ341" s="1298"/>
      <c r="AR341" s="1298"/>
      <c r="AS341" s="1298"/>
      <c r="AT341" s="1298"/>
      <c r="AU341" s="1298"/>
      <c r="AV341" s="1298"/>
      <c r="AW341" s="1298"/>
      <c r="AX341" s="1298"/>
      <c r="AY341" s="1298"/>
      <c r="AZ341" s="1298"/>
      <c r="BA341" s="1298"/>
      <c r="BB341" s="1298"/>
      <c r="BC341" s="1298"/>
      <c r="BD341" s="1298"/>
      <c r="BE341" s="1298"/>
      <c r="BF341" s="1298"/>
      <c r="BR341" s="1298"/>
      <c r="BS341" s="1298"/>
      <c r="BT341" s="1298"/>
      <c r="BU341" s="1087"/>
      <c r="BV341" s="1086"/>
      <c r="BW341" s="1086"/>
      <c r="BX341" s="1086"/>
      <c r="BY341" s="1298"/>
      <c r="BZ341" s="1298"/>
    </row>
    <row r="342" spans="2:78" ht="12.75" customHeight="1">
      <c r="B342" s="1291"/>
      <c r="C342" s="1298"/>
      <c r="D342" s="1298"/>
      <c r="E342" s="1298"/>
      <c r="F342" s="1299"/>
      <c r="G342" s="1300"/>
      <c r="H342" s="1300"/>
      <c r="I342" s="1300"/>
      <c r="J342" s="1300"/>
      <c r="K342" s="1298"/>
      <c r="L342" s="1298"/>
      <c r="M342" s="1298"/>
      <c r="N342" s="1298"/>
      <c r="O342" s="1298"/>
      <c r="P342" s="1298"/>
      <c r="Q342" s="1298"/>
      <c r="R342" s="1298"/>
      <c r="S342" s="1298"/>
      <c r="T342" s="1298"/>
      <c r="U342" s="1298"/>
      <c r="V342" s="1298"/>
      <c r="W342" s="1298"/>
      <c r="X342" s="1298"/>
      <c r="Y342" s="1298"/>
      <c r="Z342" s="1298"/>
      <c r="AA342" s="1298"/>
      <c r="AB342" s="1298"/>
      <c r="AC342" s="1298"/>
      <c r="AD342" s="1298"/>
      <c r="AE342" s="1298"/>
      <c r="AF342" s="1298"/>
      <c r="AG342" s="1298"/>
      <c r="AH342" s="1298"/>
      <c r="AI342" s="1298"/>
      <c r="AJ342" s="1298"/>
      <c r="AK342" s="1298"/>
      <c r="AL342" s="1298"/>
      <c r="AM342" s="1298"/>
      <c r="AN342" s="1298"/>
      <c r="AO342" s="1298"/>
      <c r="AP342" s="1298"/>
      <c r="AQ342" s="1298"/>
      <c r="AR342" s="1298"/>
      <c r="AS342" s="1298"/>
      <c r="AT342" s="1298"/>
      <c r="AU342" s="1298"/>
      <c r="AV342" s="1298"/>
      <c r="AW342" s="1298"/>
      <c r="AX342" s="1298"/>
      <c r="AY342" s="1298"/>
      <c r="AZ342" s="1298"/>
      <c r="BA342" s="1298"/>
      <c r="BB342" s="1298"/>
      <c r="BC342" s="1298"/>
      <c r="BD342" s="1298"/>
      <c r="BE342" s="1298"/>
      <c r="BF342" s="1298"/>
      <c r="BR342" s="1298"/>
      <c r="BS342" s="1298"/>
      <c r="BT342" s="1298"/>
      <c r="BU342" s="1087"/>
      <c r="BV342" s="1086"/>
      <c r="BW342" s="1086"/>
      <c r="BX342" s="1086"/>
      <c r="BY342" s="1298"/>
      <c r="BZ342" s="1298"/>
    </row>
    <row r="343" spans="2:78" ht="12.75" customHeight="1">
      <c r="B343" s="1291"/>
      <c r="C343" s="1298"/>
      <c r="D343" s="1298"/>
      <c r="E343" s="1298"/>
      <c r="F343" s="1299"/>
      <c r="G343" s="1300"/>
      <c r="H343" s="1300"/>
      <c r="I343" s="1300"/>
      <c r="J343" s="1300"/>
      <c r="K343" s="1298"/>
      <c r="L343" s="1298"/>
      <c r="M343" s="1298"/>
      <c r="N343" s="1298"/>
      <c r="O343" s="1298"/>
      <c r="P343" s="1298"/>
      <c r="Q343" s="1298"/>
      <c r="R343" s="1298"/>
      <c r="S343" s="1298"/>
      <c r="T343" s="1298"/>
      <c r="U343" s="1298"/>
      <c r="V343" s="1298"/>
      <c r="W343" s="1298"/>
      <c r="X343" s="1298"/>
      <c r="Y343" s="1298"/>
      <c r="Z343" s="1298"/>
      <c r="AA343" s="1298"/>
      <c r="AB343" s="1298"/>
      <c r="AC343" s="1298"/>
      <c r="AD343" s="1298"/>
      <c r="AE343" s="1298"/>
      <c r="AF343" s="1298"/>
      <c r="AG343" s="1298"/>
      <c r="AH343" s="1298"/>
      <c r="AI343" s="1298"/>
      <c r="AJ343" s="1298"/>
      <c r="AK343" s="1298"/>
      <c r="AL343" s="1298"/>
      <c r="AM343" s="1298"/>
      <c r="AN343" s="1298"/>
      <c r="AO343" s="1298"/>
      <c r="AP343" s="1298"/>
      <c r="AQ343" s="1298"/>
      <c r="AR343" s="1298"/>
      <c r="AS343" s="1298"/>
      <c r="AT343" s="1298"/>
      <c r="AU343" s="1298"/>
      <c r="AV343" s="1298"/>
      <c r="AW343" s="1298"/>
      <c r="AX343" s="1298"/>
      <c r="AY343" s="1298"/>
      <c r="AZ343" s="1298"/>
      <c r="BA343" s="1298"/>
      <c r="BB343" s="1298"/>
      <c r="BC343" s="1298"/>
      <c r="BD343" s="1298"/>
      <c r="BE343" s="1298"/>
      <c r="BF343" s="1298"/>
      <c r="BR343" s="1298"/>
      <c r="BS343" s="1298"/>
      <c r="BT343" s="1298"/>
      <c r="BU343" s="1087"/>
      <c r="BV343" s="1086"/>
      <c r="BW343" s="1086"/>
      <c r="BX343" s="1086"/>
      <c r="BY343" s="1298"/>
      <c r="BZ343" s="1298"/>
    </row>
    <row r="344" spans="2:78" ht="12.75" customHeight="1">
      <c r="B344" s="1291"/>
      <c r="C344" s="1298"/>
      <c r="D344" s="1298"/>
      <c r="E344" s="1298"/>
      <c r="F344" s="1299"/>
      <c r="G344" s="1300"/>
      <c r="H344" s="1300"/>
      <c r="I344" s="1300"/>
      <c r="J344" s="1300"/>
      <c r="K344" s="1298"/>
      <c r="L344" s="1298"/>
      <c r="M344" s="1298"/>
      <c r="N344" s="1298"/>
      <c r="O344" s="1298"/>
      <c r="P344" s="1298"/>
      <c r="Q344" s="1298"/>
      <c r="R344" s="1298"/>
      <c r="S344" s="1298"/>
      <c r="T344" s="1298"/>
      <c r="U344" s="1298"/>
      <c r="V344" s="1298"/>
      <c r="W344" s="1298"/>
      <c r="X344" s="1298"/>
      <c r="Y344" s="1298"/>
      <c r="Z344" s="1298"/>
      <c r="AA344" s="1298"/>
      <c r="AB344" s="1298"/>
      <c r="AC344" s="1298"/>
      <c r="AD344" s="1298"/>
      <c r="AE344" s="1298"/>
      <c r="AF344" s="1298"/>
      <c r="AG344" s="1298"/>
      <c r="AH344" s="1298"/>
      <c r="AI344" s="1298"/>
      <c r="AJ344" s="1298"/>
      <c r="AK344" s="1298"/>
      <c r="AL344" s="1298"/>
      <c r="AM344" s="1298"/>
      <c r="AN344" s="1298"/>
      <c r="AO344" s="1298"/>
      <c r="AP344" s="1298"/>
      <c r="AQ344" s="1298"/>
      <c r="AR344" s="1298"/>
      <c r="AS344" s="1298"/>
      <c r="AT344" s="1298"/>
      <c r="AU344" s="1298"/>
      <c r="AV344" s="1298"/>
      <c r="AW344" s="1298"/>
      <c r="AX344" s="1298"/>
      <c r="AY344" s="1298"/>
      <c r="AZ344" s="1298"/>
      <c r="BA344" s="1298"/>
      <c r="BB344" s="1298"/>
      <c r="BC344" s="1298"/>
      <c r="BD344" s="1298"/>
      <c r="BE344" s="1298"/>
      <c r="BF344" s="1298"/>
      <c r="BR344" s="1298"/>
      <c r="BS344" s="1298"/>
      <c r="BT344" s="1298"/>
      <c r="BU344" s="1087"/>
      <c r="BV344" s="1086"/>
      <c r="BW344" s="1086"/>
      <c r="BX344" s="1086"/>
      <c r="BY344" s="1298"/>
      <c r="BZ344" s="1298"/>
    </row>
    <row r="345" spans="2:78" ht="12.75" customHeight="1">
      <c r="B345" s="1291"/>
      <c r="C345" s="1298"/>
      <c r="D345" s="1298"/>
      <c r="E345" s="1298"/>
      <c r="F345" s="1299"/>
      <c r="G345" s="1300"/>
      <c r="H345" s="1300"/>
      <c r="I345" s="1300"/>
      <c r="J345" s="1300"/>
      <c r="K345" s="1298"/>
      <c r="L345" s="1298"/>
      <c r="M345" s="1298"/>
      <c r="N345" s="1298"/>
      <c r="O345" s="1298"/>
      <c r="P345" s="1298"/>
      <c r="Q345" s="1298"/>
      <c r="R345" s="1298"/>
      <c r="S345" s="1298"/>
      <c r="T345" s="1298"/>
      <c r="U345" s="1298"/>
      <c r="V345" s="1298"/>
      <c r="W345" s="1298"/>
      <c r="X345" s="1298"/>
      <c r="Y345" s="1298"/>
      <c r="Z345" s="1298"/>
      <c r="AA345" s="1298"/>
      <c r="AB345" s="1298"/>
      <c r="AC345" s="1298"/>
      <c r="AD345" s="1298"/>
      <c r="AE345" s="1298"/>
      <c r="AF345" s="1298"/>
      <c r="AG345" s="1298"/>
      <c r="AH345" s="1298"/>
      <c r="AI345" s="1298"/>
      <c r="AJ345" s="1298"/>
      <c r="AK345" s="1298"/>
      <c r="AL345" s="1298"/>
      <c r="AM345" s="1298"/>
      <c r="AN345" s="1298"/>
      <c r="AO345" s="1298"/>
      <c r="AP345" s="1298"/>
      <c r="AQ345" s="1298"/>
      <c r="AR345" s="1298"/>
      <c r="AS345" s="1298"/>
      <c r="AT345" s="1298"/>
      <c r="AU345" s="1298"/>
      <c r="AV345" s="1298"/>
      <c r="AW345" s="1298"/>
      <c r="AX345" s="1298"/>
      <c r="AY345" s="1298"/>
      <c r="AZ345" s="1298"/>
      <c r="BA345" s="1298"/>
      <c r="BB345" s="1298"/>
      <c r="BC345" s="1298"/>
      <c r="BD345" s="1298"/>
      <c r="BE345" s="1298"/>
      <c r="BF345" s="1298"/>
      <c r="BR345" s="1298"/>
      <c r="BS345" s="1298"/>
      <c r="BT345" s="1298"/>
      <c r="BU345" s="1087"/>
      <c r="BV345" s="1086"/>
      <c r="BW345" s="1086"/>
      <c r="BX345" s="1086"/>
      <c r="BY345" s="1298"/>
      <c r="BZ345" s="1298"/>
    </row>
    <row r="346" spans="2:78" ht="12.75" customHeight="1">
      <c r="B346" s="1291"/>
      <c r="C346" s="1298"/>
      <c r="D346" s="1298"/>
      <c r="E346" s="1298"/>
      <c r="F346" s="1299"/>
      <c r="G346" s="1300"/>
      <c r="H346" s="1300"/>
      <c r="I346" s="1300"/>
      <c r="J346" s="1300"/>
      <c r="K346" s="1298"/>
      <c r="L346" s="1298"/>
      <c r="M346" s="1298"/>
      <c r="N346" s="1298"/>
      <c r="O346" s="1298"/>
      <c r="P346" s="1298"/>
      <c r="Q346" s="1298"/>
      <c r="R346" s="1298"/>
      <c r="S346" s="1298"/>
      <c r="T346" s="1298"/>
      <c r="U346" s="1298"/>
      <c r="V346" s="1298"/>
      <c r="W346" s="1298"/>
      <c r="X346" s="1298"/>
      <c r="Y346" s="1298"/>
      <c r="Z346" s="1298"/>
      <c r="AA346" s="1298"/>
      <c r="AB346" s="1298"/>
      <c r="AC346" s="1298"/>
      <c r="AD346" s="1298"/>
      <c r="AE346" s="1298"/>
      <c r="AF346" s="1298"/>
      <c r="AG346" s="1298"/>
      <c r="AH346" s="1298"/>
      <c r="AI346" s="1298"/>
      <c r="AJ346" s="1298"/>
      <c r="AK346" s="1298"/>
      <c r="AL346" s="1298"/>
      <c r="AM346" s="1298"/>
      <c r="AN346" s="1298"/>
      <c r="AO346" s="1298"/>
      <c r="AP346" s="1298"/>
      <c r="AQ346" s="1298"/>
      <c r="AR346" s="1298"/>
      <c r="AS346" s="1298"/>
      <c r="AT346" s="1298"/>
      <c r="AU346" s="1298"/>
      <c r="AV346" s="1298"/>
      <c r="AW346" s="1298"/>
      <c r="AX346" s="1298"/>
      <c r="AY346" s="1298"/>
      <c r="AZ346" s="1298"/>
      <c r="BA346" s="1298"/>
      <c r="BB346" s="1298"/>
      <c r="BC346" s="1298"/>
      <c r="BD346" s="1298"/>
      <c r="BE346" s="1298"/>
      <c r="BF346" s="1298"/>
      <c r="BR346" s="1298"/>
      <c r="BS346" s="1298"/>
      <c r="BT346" s="1298"/>
      <c r="BU346" s="1087"/>
      <c r="BV346" s="1086"/>
      <c r="BW346" s="1086"/>
      <c r="BX346" s="1086"/>
      <c r="BY346" s="1298"/>
      <c r="BZ346" s="1298"/>
    </row>
    <row r="347" spans="2:78" ht="12.75" customHeight="1">
      <c r="B347" s="1291"/>
      <c r="C347" s="1298"/>
      <c r="D347" s="1298"/>
      <c r="E347" s="1298"/>
      <c r="F347" s="1299"/>
      <c r="G347" s="1300"/>
      <c r="H347" s="1300"/>
      <c r="I347" s="1300"/>
      <c r="J347" s="1300"/>
      <c r="K347" s="1298"/>
      <c r="L347" s="1298"/>
      <c r="M347" s="1298"/>
      <c r="N347" s="1298"/>
      <c r="O347" s="1298"/>
      <c r="P347" s="1298"/>
      <c r="Q347" s="1298"/>
      <c r="R347" s="1298"/>
      <c r="S347" s="1298"/>
      <c r="T347" s="1298"/>
      <c r="U347" s="1298"/>
      <c r="V347" s="1298"/>
      <c r="W347" s="1298"/>
      <c r="X347" s="1298"/>
      <c r="Y347" s="1298"/>
      <c r="Z347" s="1298"/>
      <c r="AA347" s="1298"/>
      <c r="AB347" s="1298"/>
      <c r="AC347" s="1298"/>
      <c r="AD347" s="1298"/>
      <c r="AE347" s="1298"/>
      <c r="AF347" s="1298"/>
      <c r="AG347" s="1298"/>
      <c r="AH347" s="1298"/>
      <c r="AI347" s="1298"/>
      <c r="AJ347" s="1298"/>
      <c r="AK347" s="1298"/>
      <c r="AL347" s="1298"/>
      <c r="AM347" s="1298"/>
      <c r="AN347" s="1298"/>
      <c r="AO347" s="1298"/>
      <c r="AP347" s="1298"/>
      <c r="AQ347" s="1298"/>
      <c r="AR347" s="1298"/>
      <c r="AS347" s="1298"/>
      <c r="AT347" s="1298"/>
      <c r="AU347" s="1298"/>
      <c r="AV347" s="1298"/>
      <c r="AW347" s="1298"/>
      <c r="AX347" s="1298"/>
      <c r="AY347" s="1298"/>
      <c r="AZ347" s="1298"/>
      <c r="BA347" s="1298"/>
      <c r="BB347" s="1298"/>
      <c r="BC347" s="1298"/>
      <c r="BD347" s="1298"/>
      <c r="BE347" s="1298"/>
      <c r="BF347" s="1298"/>
      <c r="BR347" s="1298"/>
      <c r="BS347" s="1298"/>
      <c r="BT347" s="1298"/>
      <c r="BU347" s="1087"/>
      <c r="BV347" s="1086"/>
      <c r="BW347" s="1086"/>
      <c r="BX347" s="1086"/>
      <c r="BY347" s="1298"/>
      <c r="BZ347" s="1298"/>
    </row>
    <row r="348" spans="2:78" ht="12.75" customHeight="1">
      <c r="B348" s="1291"/>
      <c r="C348" s="1298"/>
      <c r="D348" s="1298"/>
      <c r="E348" s="1298"/>
      <c r="F348" s="1299"/>
      <c r="G348" s="1300"/>
      <c r="H348" s="1300"/>
      <c r="I348" s="1300"/>
      <c r="J348" s="1300"/>
      <c r="K348" s="1298"/>
      <c r="L348" s="1298"/>
      <c r="M348" s="1298"/>
      <c r="N348" s="1298"/>
      <c r="O348" s="1298"/>
      <c r="P348" s="1298"/>
      <c r="Q348" s="1298"/>
      <c r="R348" s="1298"/>
      <c r="S348" s="1298"/>
      <c r="T348" s="1298"/>
      <c r="U348" s="1298"/>
      <c r="V348" s="1298"/>
      <c r="W348" s="1298"/>
      <c r="X348" s="1298"/>
      <c r="Y348" s="1298"/>
      <c r="Z348" s="1298"/>
      <c r="AA348" s="1298"/>
      <c r="AB348" s="1298"/>
      <c r="AC348" s="1298"/>
      <c r="AD348" s="1298"/>
      <c r="AE348" s="1298"/>
      <c r="AF348" s="1298"/>
      <c r="AG348" s="1298"/>
      <c r="AH348" s="1298"/>
      <c r="AI348" s="1298"/>
      <c r="AJ348" s="1298"/>
      <c r="AK348" s="1298"/>
      <c r="AL348" s="1298"/>
      <c r="AM348" s="1298"/>
      <c r="AN348" s="1298"/>
      <c r="AO348" s="1298"/>
      <c r="AP348" s="1298"/>
      <c r="AQ348" s="1298"/>
      <c r="AR348" s="1298"/>
      <c r="AS348" s="1298"/>
      <c r="AT348" s="1298"/>
      <c r="AU348" s="1298"/>
      <c r="AV348" s="1298"/>
      <c r="AW348" s="1298"/>
      <c r="AX348" s="1298"/>
      <c r="AY348" s="1298"/>
      <c r="AZ348" s="1298"/>
      <c r="BA348" s="1298"/>
      <c r="BB348" s="1298"/>
      <c r="BC348" s="1298"/>
      <c r="BD348" s="1298"/>
      <c r="BE348" s="1298"/>
      <c r="BF348" s="1298"/>
      <c r="BR348" s="1298"/>
      <c r="BS348" s="1298"/>
      <c r="BT348" s="1298"/>
      <c r="BU348" s="1087"/>
      <c r="BV348" s="1086"/>
      <c r="BW348" s="1086"/>
      <c r="BX348" s="1086"/>
      <c r="BY348" s="1298"/>
      <c r="BZ348" s="1298"/>
    </row>
    <row r="349" spans="2:78" ht="12.75" customHeight="1">
      <c r="B349" s="1291"/>
      <c r="C349" s="1298"/>
      <c r="D349" s="1298"/>
      <c r="E349" s="1298"/>
      <c r="F349" s="1299"/>
      <c r="G349" s="1300"/>
      <c r="H349" s="1300"/>
      <c r="I349" s="1300"/>
      <c r="J349" s="1300"/>
      <c r="K349" s="1298"/>
      <c r="L349" s="1298"/>
      <c r="M349" s="1298"/>
      <c r="N349" s="1298"/>
      <c r="O349" s="1298"/>
      <c r="P349" s="1298"/>
      <c r="Q349" s="1298"/>
      <c r="R349" s="1298"/>
      <c r="S349" s="1298"/>
      <c r="T349" s="1298"/>
      <c r="U349" s="1298"/>
      <c r="V349" s="1298"/>
      <c r="W349" s="1298"/>
      <c r="X349" s="1298"/>
      <c r="Y349" s="1298"/>
      <c r="Z349" s="1298"/>
      <c r="AA349" s="1298"/>
      <c r="AB349" s="1298"/>
      <c r="AC349" s="1298"/>
      <c r="AD349" s="1298"/>
      <c r="AE349" s="1298"/>
      <c r="AF349" s="1298"/>
      <c r="AG349" s="1298"/>
      <c r="AH349" s="1298"/>
      <c r="AI349" s="1298"/>
      <c r="AJ349" s="1298"/>
      <c r="AK349" s="1298"/>
      <c r="AL349" s="1298"/>
      <c r="AM349" s="1298"/>
      <c r="AN349" s="1298"/>
      <c r="AO349" s="1298"/>
      <c r="AP349" s="1298"/>
      <c r="AQ349" s="1298"/>
      <c r="AR349" s="1298"/>
      <c r="AS349" s="1298"/>
      <c r="AT349" s="1298"/>
      <c r="AU349" s="1298"/>
      <c r="AV349" s="1298"/>
      <c r="AW349" s="1298"/>
      <c r="AX349" s="1298"/>
      <c r="AY349" s="1298"/>
      <c r="AZ349" s="1298"/>
      <c r="BA349" s="1298"/>
      <c r="BB349" s="1298"/>
      <c r="BC349" s="1298"/>
      <c r="BD349" s="1298"/>
      <c r="BE349" s="1298"/>
      <c r="BF349" s="1298"/>
      <c r="BR349" s="1298"/>
      <c r="BS349" s="1298"/>
      <c r="BT349" s="1298"/>
      <c r="BU349" s="1087"/>
      <c r="BV349" s="1086"/>
      <c r="BW349" s="1086"/>
      <c r="BX349" s="1086"/>
      <c r="BY349" s="1298"/>
      <c r="BZ349" s="1298"/>
    </row>
    <row r="350" spans="2:78" ht="12.75" customHeight="1">
      <c r="B350" s="1291"/>
      <c r="C350" s="1298"/>
      <c r="D350" s="1298"/>
      <c r="E350" s="1298"/>
      <c r="F350" s="1299"/>
      <c r="G350" s="1300"/>
      <c r="H350" s="1300"/>
      <c r="I350" s="1300"/>
      <c r="J350" s="1300"/>
      <c r="K350" s="1298"/>
      <c r="L350" s="1298"/>
      <c r="M350" s="1298"/>
      <c r="N350" s="1298"/>
      <c r="O350" s="1298"/>
      <c r="P350" s="1298"/>
      <c r="Q350" s="1298"/>
      <c r="R350" s="1298"/>
      <c r="S350" s="1298"/>
      <c r="T350" s="1298"/>
      <c r="U350" s="1298"/>
      <c r="V350" s="1298"/>
      <c r="W350" s="1298"/>
      <c r="X350" s="1298"/>
      <c r="Y350" s="1298"/>
      <c r="Z350" s="1298"/>
      <c r="AA350" s="1298"/>
      <c r="AB350" s="1298"/>
      <c r="AC350" s="1298"/>
      <c r="AD350" s="1298"/>
      <c r="AE350" s="1298"/>
      <c r="AF350" s="1298"/>
      <c r="AG350" s="1298"/>
      <c r="AH350" s="1298"/>
      <c r="AI350" s="1298"/>
      <c r="AJ350" s="1298"/>
      <c r="AK350" s="1298"/>
      <c r="AL350" s="1298"/>
      <c r="AM350" s="1298"/>
      <c r="AN350" s="1298"/>
      <c r="AO350" s="1298"/>
      <c r="AP350" s="1298"/>
      <c r="AQ350" s="1298"/>
      <c r="AR350" s="1298"/>
      <c r="AS350" s="1298"/>
      <c r="AT350" s="1298"/>
      <c r="AU350" s="1298"/>
      <c r="AV350" s="1298"/>
      <c r="AW350" s="1298"/>
      <c r="AX350" s="1298"/>
      <c r="AY350" s="1298"/>
      <c r="AZ350" s="1298"/>
      <c r="BA350" s="1298"/>
      <c r="BB350" s="1298"/>
      <c r="BC350" s="1298"/>
      <c r="BD350" s="1298"/>
      <c r="BE350" s="1298"/>
      <c r="BF350" s="1298"/>
      <c r="BR350" s="1298"/>
      <c r="BS350" s="1298"/>
      <c r="BT350" s="1298"/>
      <c r="BU350" s="1087"/>
      <c r="BV350" s="1086"/>
      <c r="BW350" s="1086"/>
      <c r="BX350" s="1086"/>
      <c r="BY350" s="1298"/>
      <c r="BZ350" s="1298"/>
    </row>
    <row r="351" spans="2:78" ht="12.75" customHeight="1">
      <c r="B351" s="1291"/>
      <c r="C351" s="1298"/>
      <c r="D351" s="1298"/>
      <c r="E351" s="1298"/>
      <c r="F351" s="1299"/>
      <c r="G351" s="1300"/>
      <c r="H351" s="1300"/>
      <c r="I351" s="1300"/>
      <c r="J351" s="1300"/>
      <c r="K351" s="1298"/>
      <c r="L351" s="1298"/>
      <c r="M351" s="1298"/>
      <c r="N351" s="1298"/>
      <c r="O351" s="1298"/>
      <c r="P351" s="1298"/>
      <c r="Q351" s="1298"/>
      <c r="R351" s="1298"/>
      <c r="S351" s="1298"/>
      <c r="T351" s="1298"/>
      <c r="U351" s="1298"/>
      <c r="V351" s="1298"/>
      <c r="W351" s="1298"/>
      <c r="X351" s="1298"/>
      <c r="Y351" s="1298"/>
      <c r="Z351" s="1298"/>
      <c r="AA351" s="1298"/>
      <c r="AB351" s="1298"/>
      <c r="AC351" s="1298"/>
      <c r="AD351" s="1298"/>
      <c r="AE351" s="1298"/>
      <c r="AF351" s="1298"/>
      <c r="AG351" s="1298"/>
      <c r="AH351" s="1298"/>
      <c r="AI351" s="1298"/>
      <c r="AJ351" s="1298"/>
      <c r="AK351" s="1298"/>
      <c r="AL351" s="1298"/>
      <c r="AM351" s="1298"/>
      <c r="AN351" s="1298"/>
      <c r="AO351" s="1298"/>
      <c r="AP351" s="1298"/>
      <c r="AQ351" s="1298"/>
      <c r="AR351" s="1298"/>
      <c r="AS351" s="1298"/>
      <c r="AT351" s="1298"/>
      <c r="AU351" s="1298"/>
      <c r="AV351" s="1298"/>
      <c r="AW351" s="1298"/>
      <c r="AX351" s="1298"/>
      <c r="AY351" s="1298"/>
      <c r="AZ351" s="1298"/>
      <c r="BA351" s="1298"/>
      <c r="BB351" s="1298"/>
      <c r="BC351" s="1298"/>
      <c r="BD351" s="1298"/>
      <c r="BE351" s="1298"/>
      <c r="BF351" s="1298"/>
      <c r="BR351" s="1298"/>
      <c r="BS351" s="1298"/>
      <c r="BT351" s="1298"/>
      <c r="BU351" s="1087"/>
      <c r="BV351" s="1086"/>
      <c r="BW351" s="1086"/>
      <c r="BX351" s="1086"/>
      <c r="BY351" s="1298"/>
      <c r="BZ351" s="1298"/>
    </row>
    <row r="352" spans="2:78" ht="12.75" customHeight="1">
      <c r="B352" s="1291"/>
      <c r="C352" s="1298"/>
      <c r="D352" s="1298"/>
      <c r="E352" s="1298"/>
      <c r="F352" s="1299"/>
      <c r="G352" s="1300"/>
      <c r="H352" s="1300"/>
      <c r="I352" s="1300"/>
      <c r="J352" s="1300"/>
      <c r="K352" s="1298"/>
      <c r="L352" s="1298"/>
      <c r="M352" s="1298"/>
      <c r="N352" s="1298"/>
      <c r="O352" s="1298"/>
      <c r="P352" s="1298"/>
      <c r="Q352" s="1298"/>
      <c r="R352" s="1298"/>
      <c r="S352" s="1298"/>
      <c r="T352" s="1298"/>
      <c r="U352" s="1298"/>
      <c r="V352" s="1298"/>
      <c r="W352" s="1298"/>
      <c r="X352" s="1298"/>
      <c r="Y352" s="1298"/>
      <c r="Z352" s="1298"/>
      <c r="AA352" s="1298"/>
      <c r="AB352" s="1298"/>
      <c r="AC352" s="1298"/>
      <c r="AD352" s="1298"/>
      <c r="AE352" s="1298"/>
      <c r="AF352" s="1298"/>
      <c r="AG352" s="1298"/>
      <c r="AH352" s="1298"/>
      <c r="AI352" s="1298"/>
      <c r="AJ352" s="1298"/>
      <c r="AK352" s="1298"/>
      <c r="AL352" s="1298"/>
      <c r="AM352" s="1298"/>
      <c r="AN352" s="1298"/>
      <c r="AO352" s="1298"/>
      <c r="AP352" s="1298"/>
      <c r="AQ352" s="1298"/>
      <c r="AR352" s="1298"/>
      <c r="AS352" s="1298"/>
      <c r="AT352" s="1298"/>
      <c r="AU352" s="1298"/>
      <c r="AV352" s="1298"/>
      <c r="AW352" s="1298"/>
      <c r="AX352" s="1298"/>
      <c r="AY352" s="1298"/>
      <c r="AZ352" s="1298"/>
      <c r="BA352" s="1298"/>
      <c r="BB352" s="1298"/>
      <c r="BC352" s="1298"/>
      <c r="BD352" s="1298"/>
      <c r="BE352" s="1298"/>
      <c r="BF352" s="1298"/>
      <c r="BR352" s="1298"/>
      <c r="BS352" s="1298"/>
      <c r="BT352" s="1298"/>
      <c r="BU352" s="1087"/>
      <c r="BV352" s="1086"/>
      <c r="BW352" s="1086"/>
      <c r="BX352" s="1086"/>
      <c r="BY352" s="1298"/>
      <c r="BZ352" s="1298"/>
    </row>
    <row r="353" spans="2:78" ht="12.75" customHeight="1">
      <c r="B353" s="1291"/>
      <c r="C353" s="1298"/>
      <c r="D353" s="1298"/>
      <c r="E353" s="1298"/>
      <c r="F353" s="1299"/>
      <c r="G353" s="1300"/>
      <c r="H353" s="1300"/>
      <c r="I353" s="1300"/>
      <c r="J353" s="1300"/>
      <c r="K353" s="1298"/>
      <c r="L353" s="1298"/>
      <c r="M353" s="1298"/>
      <c r="N353" s="1298"/>
      <c r="O353" s="1298"/>
      <c r="P353" s="1298"/>
      <c r="Q353" s="1298"/>
      <c r="R353" s="1298"/>
      <c r="S353" s="1298"/>
      <c r="T353" s="1298"/>
      <c r="U353" s="1298"/>
      <c r="V353" s="1298"/>
      <c r="W353" s="1298"/>
      <c r="X353" s="1298"/>
      <c r="Y353" s="1298"/>
      <c r="Z353" s="1298"/>
      <c r="AA353" s="1298"/>
      <c r="AB353" s="1298"/>
      <c r="AC353" s="1298"/>
      <c r="AD353" s="1298"/>
      <c r="AE353" s="1298"/>
      <c r="AF353" s="1298"/>
      <c r="AG353" s="1298"/>
      <c r="AH353" s="1298"/>
      <c r="AI353" s="1298"/>
      <c r="AJ353" s="1298"/>
      <c r="AK353" s="1298"/>
      <c r="AL353" s="1298"/>
      <c r="AM353" s="1298"/>
      <c r="AN353" s="1298"/>
      <c r="AO353" s="1298"/>
      <c r="AP353" s="1298"/>
      <c r="AQ353" s="1298"/>
      <c r="AR353" s="1298"/>
      <c r="AS353" s="1298"/>
      <c r="AT353" s="1298"/>
      <c r="AU353" s="1298"/>
      <c r="AV353" s="1298"/>
      <c r="AW353" s="1298"/>
      <c r="AX353" s="1298"/>
      <c r="AY353" s="1298"/>
      <c r="AZ353" s="1298"/>
      <c r="BA353" s="1298"/>
      <c r="BB353" s="1298"/>
      <c r="BC353" s="1298"/>
      <c r="BD353" s="1298"/>
      <c r="BE353" s="1298"/>
      <c r="BF353" s="1298"/>
      <c r="BR353" s="1298"/>
      <c r="BS353" s="1298"/>
      <c r="BT353" s="1298"/>
      <c r="BU353" s="1087"/>
      <c r="BV353" s="1086"/>
      <c r="BW353" s="1086"/>
      <c r="BX353" s="1086"/>
      <c r="BY353" s="1298"/>
      <c r="BZ353" s="1298"/>
    </row>
    <row r="354" spans="2:78" ht="12.75" customHeight="1">
      <c r="B354" s="1291"/>
      <c r="C354" s="1298"/>
      <c r="D354" s="1298"/>
      <c r="E354" s="1298"/>
      <c r="F354" s="1299"/>
      <c r="G354" s="1300"/>
      <c r="H354" s="1300"/>
      <c r="I354" s="1300"/>
      <c r="J354" s="1300"/>
      <c r="K354" s="1298"/>
      <c r="L354" s="1298"/>
      <c r="M354" s="1298"/>
      <c r="N354" s="1298"/>
      <c r="O354" s="1298"/>
      <c r="P354" s="1298"/>
      <c r="Q354" s="1298"/>
      <c r="R354" s="1298"/>
      <c r="S354" s="1298"/>
      <c r="T354" s="1298"/>
      <c r="U354" s="1298"/>
      <c r="V354" s="1298"/>
      <c r="W354" s="1298"/>
      <c r="X354" s="1298"/>
      <c r="Y354" s="1298"/>
      <c r="Z354" s="1298"/>
      <c r="AA354" s="1298"/>
      <c r="AB354" s="1298"/>
      <c r="AC354" s="1298"/>
      <c r="AD354" s="1298"/>
      <c r="AE354" s="1298"/>
      <c r="AF354" s="1298"/>
      <c r="AG354" s="1298"/>
      <c r="AH354" s="1298"/>
      <c r="AI354" s="1298"/>
      <c r="AJ354" s="1298"/>
      <c r="AK354" s="1298"/>
      <c r="AL354" s="1298"/>
      <c r="AM354" s="1298"/>
      <c r="AN354" s="1298"/>
      <c r="AO354" s="1298"/>
      <c r="AP354" s="1298"/>
      <c r="AQ354" s="1298"/>
      <c r="AR354" s="1298"/>
      <c r="AS354" s="1298"/>
      <c r="AT354" s="1298"/>
      <c r="AU354" s="1298"/>
      <c r="AV354" s="1298"/>
      <c r="AW354" s="1298"/>
      <c r="AX354" s="1298"/>
      <c r="AY354" s="1298"/>
      <c r="AZ354" s="1298"/>
      <c r="BA354" s="1298"/>
      <c r="BB354" s="1298"/>
      <c r="BC354" s="1298"/>
      <c r="BD354" s="1298"/>
      <c r="BE354" s="1298"/>
      <c r="BF354" s="1298"/>
      <c r="BR354" s="1298"/>
      <c r="BS354" s="1298"/>
      <c r="BT354" s="1298"/>
      <c r="BU354" s="1087"/>
      <c r="BV354" s="1086"/>
      <c r="BW354" s="1086"/>
      <c r="BX354" s="1086"/>
      <c r="BY354" s="1298"/>
      <c r="BZ354" s="1298"/>
    </row>
    <row r="355" spans="2:78" ht="12.75" customHeight="1">
      <c r="B355" s="1291"/>
      <c r="C355" s="1298"/>
      <c r="D355" s="1298"/>
      <c r="E355" s="1298"/>
      <c r="F355" s="1299"/>
      <c r="G355" s="1300"/>
      <c r="H355" s="1300"/>
      <c r="I355" s="1300"/>
      <c r="J355" s="1300"/>
      <c r="K355" s="1298"/>
      <c r="L355" s="1298"/>
      <c r="M355" s="1298"/>
      <c r="N355" s="1298"/>
      <c r="O355" s="1298"/>
      <c r="P355" s="1298"/>
      <c r="Q355" s="1298"/>
      <c r="R355" s="1298"/>
      <c r="S355" s="1298"/>
      <c r="T355" s="1298"/>
      <c r="U355" s="1298"/>
      <c r="V355" s="1298"/>
      <c r="W355" s="1298"/>
      <c r="X355" s="1298"/>
      <c r="Y355" s="1298"/>
      <c r="Z355" s="1298"/>
      <c r="AA355" s="1298"/>
      <c r="AB355" s="1298"/>
      <c r="AC355" s="1298"/>
      <c r="AD355" s="1298"/>
      <c r="AE355" s="1298"/>
      <c r="AF355" s="1298"/>
      <c r="AG355" s="1298"/>
      <c r="AH355" s="1298"/>
      <c r="AI355" s="1298"/>
      <c r="AJ355" s="1298"/>
      <c r="AK355" s="1298"/>
      <c r="AL355" s="1298"/>
      <c r="AM355" s="1298"/>
      <c r="AN355" s="1298"/>
      <c r="AO355" s="1298"/>
      <c r="AP355" s="1298"/>
      <c r="AQ355" s="1298"/>
      <c r="AR355" s="1298"/>
      <c r="AS355" s="1298"/>
      <c r="AT355" s="1298"/>
      <c r="AU355" s="1298"/>
      <c r="AV355" s="1298"/>
      <c r="AW355" s="1298"/>
      <c r="AX355" s="1298"/>
      <c r="AY355" s="1298"/>
      <c r="AZ355" s="1298"/>
      <c r="BA355" s="1298"/>
      <c r="BB355" s="1298"/>
      <c r="BC355" s="1298"/>
      <c r="BD355" s="1298"/>
      <c r="BE355" s="1298"/>
      <c r="BF355" s="1298"/>
      <c r="BR355" s="1298"/>
      <c r="BS355" s="1298"/>
      <c r="BT355" s="1298"/>
      <c r="BU355" s="1087"/>
      <c r="BV355" s="1086"/>
      <c r="BW355" s="1086"/>
      <c r="BX355" s="1086"/>
      <c r="BY355" s="1298"/>
      <c r="BZ355" s="1298"/>
    </row>
    <row r="356" spans="2:78" ht="12.75" customHeight="1">
      <c r="B356" s="1291"/>
      <c r="C356" s="1298"/>
      <c r="D356" s="1298"/>
      <c r="E356" s="1298"/>
      <c r="F356" s="1299"/>
      <c r="G356" s="1300"/>
      <c r="H356" s="1300"/>
      <c r="I356" s="1300"/>
      <c r="J356" s="1300"/>
      <c r="K356" s="1298"/>
      <c r="L356" s="1298"/>
      <c r="M356" s="1298"/>
      <c r="N356" s="1298"/>
      <c r="O356" s="1298"/>
      <c r="P356" s="1298"/>
      <c r="Q356" s="1298"/>
      <c r="R356" s="1298"/>
      <c r="S356" s="1298"/>
      <c r="T356" s="1298"/>
      <c r="U356" s="1298"/>
      <c r="V356" s="1298"/>
      <c r="W356" s="1298"/>
      <c r="X356" s="1298"/>
      <c r="Y356" s="1298"/>
      <c r="Z356" s="1298"/>
      <c r="AA356" s="1298"/>
      <c r="AB356" s="1298"/>
      <c r="AC356" s="1298"/>
      <c r="AD356" s="1298"/>
      <c r="AE356" s="1298"/>
      <c r="AF356" s="1298"/>
      <c r="AG356" s="1298"/>
      <c r="AH356" s="1298"/>
      <c r="AI356" s="1298"/>
      <c r="AJ356" s="1298"/>
      <c r="AK356" s="1298"/>
      <c r="AL356" s="1298"/>
      <c r="AM356" s="1298"/>
      <c r="AN356" s="1298"/>
      <c r="AO356" s="1298"/>
      <c r="AP356" s="1298"/>
      <c r="AQ356" s="1298"/>
      <c r="AR356" s="1298"/>
      <c r="AS356" s="1298"/>
      <c r="AT356" s="1298"/>
      <c r="AU356" s="1298"/>
      <c r="AV356" s="1298"/>
      <c r="AW356" s="1298"/>
      <c r="AX356" s="1298"/>
      <c r="AY356" s="1298"/>
      <c r="AZ356" s="1298"/>
      <c r="BA356" s="1298"/>
      <c r="BB356" s="1298"/>
      <c r="BC356" s="1298"/>
      <c r="BD356" s="1298"/>
      <c r="BE356" s="1298"/>
      <c r="BF356" s="1298"/>
      <c r="BR356" s="1298"/>
      <c r="BS356" s="1298"/>
      <c r="BT356" s="1298"/>
      <c r="BU356" s="1087"/>
      <c r="BV356" s="1086"/>
      <c r="BW356" s="1086"/>
      <c r="BX356" s="1086"/>
      <c r="BY356" s="1298"/>
      <c r="BZ356" s="1298"/>
    </row>
    <row r="357" spans="2:78" ht="12.75" customHeight="1">
      <c r="B357" s="1291"/>
      <c r="C357" s="1298"/>
      <c r="D357" s="1298"/>
      <c r="E357" s="1298"/>
      <c r="F357" s="1299"/>
      <c r="G357" s="1300"/>
      <c r="H357" s="1300"/>
      <c r="I357" s="1300"/>
      <c r="J357" s="1300"/>
      <c r="K357" s="1298"/>
      <c r="L357" s="1298"/>
      <c r="M357" s="1298"/>
      <c r="N357" s="1298"/>
      <c r="O357" s="1298"/>
      <c r="P357" s="1298"/>
      <c r="Q357" s="1298"/>
      <c r="R357" s="1298"/>
      <c r="S357" s="1298"/>
      <c r="T357" s="1298"/>
      <c r="U357" s="1298"/>
      <c r="V357" s="1298"/>
      <c r="W357" s="1298"/>
      <c r="X357" s="1298"/>
      <c r="Y357" s="1298"/>
      <c r="Z357" s="1298"/>
      <c r="AA357" s="1298"/>
      <c r="AB357" s="1298"/>
      <c r="AC357" s="1298"/>
      <c r="AD357" s="1298"/>
      <c r="AE357" s="1298"/>
      <c r="AF357" s="1298"/>
      <c r="AG357" s="1298"/>
      <c r="AH357" s="1298"/>
      <c r="AI357" s="1298"/>
      <c r="AJ357" s="1298"/>
      <c r="AK357" s="1298"/>
      <c r="AL357" s="1298"/>
      <c r="AM357" s="1298"/>
      <c r="AN357" s="1298"/>
      <c r="AO357" s="1298"/>
      <c r="AP357" s="1298"/>
      <c r="AQ357" s="1298"/>
      <c r="AR357" s="1298"/>
      <c r="AS357" s="1298"/>
      <c r="AT357" s="1298"/>
      <c r="AU357" s="1298"/>
      <c r="AV357" s="1298"/>
      <c r="AW357" s="1298"/>
      <c r="AX357" s="1298"/>
      <c r="AY357" s="1298"/>
      <c r="AZ357" s="1298"/>
      <c r="BA357" s="1298"/>
      <c r="BB357" s="1298"/>
      <c r="BC357" s="1298"/>
      <c r="BD357" s="1298"/>
      <c r="BE357" s="1298"/>
      <c r="BF357" s="1298"/>
      <c r="BR357" s="1298"/>
      <c r="BS357" s="1298"/>
      <c r="BT357" s="1298"/>
      <c r="BU357" s="1087"/>
      <c r="BV357" s="1086"/>
      <c r="BW357" s="1086"/>
      <c r="BX357" s="1086"/>
      <c r="BY357" s="1298"/>
      <c r="BZ357" s="1298"/>
    </row>
    <row r="358" spans="2:78" ht="12.75" customHeight="1">
      <c r="B358" s="1291"/>
      <c r="C358" s="1298"/>
      <c r="D358" s="1298"/>
      <c r="E358" s="1298"/>
      <c r="F358" s="1299"/>
      <c r="G358" s="1300"/>
      <c r="H358" s="1300"/>
      <c r="I358" s="1300"/>
      <c r="J358" s="1300"/>
      <c r="K358" s="1298"/>
      <c r="L358" s="1298"/>
      <c r="M358" s="1298"/>
      <c r="N358" s="1298"/>
      <c r="O358" s="1298"/>
      <c r="P358" s="1298"/>
      <c r="Q358" s="1298"/>
      <c r="R358" s="1298"/>
      <c r="S358" s="1298"/>
      <c r="T358" s="1298"/>
      <c r="U358" s="1298"/>
      <c r="V358" s="1298"/>
      <c r="W358" s="1298"/>
      <c r="X358" s="1298"/>
      <c r="Y358" s="1298"/>
      <c r="Z358" s="1298"/>
      <c r="AA358" s="1298"/>
      <c r="AB358" s="1298"/>
      <c r="AC358" s="1298"/>
      <c r="AD358" s="1298"/>
      <c r="AE358" s="1298"/>
      <c r="AF358" s="1298"/>
      <c r="AG358" s="1298"/>
      <c r="AH358" s="1298"/>
      <c r="AI358" s="1298"/>
      <c r="AJ358" s="1298"/>
      <c r="AK358" s="1298"/>
      <c r="AL358" s="1298"/>
      <c r="AM358" s="1298"/>
      <c r="AN358" s="1298"/>
      <c r="AO358" s="1298"/>
      <c r="AP358" s="1298"/>
      <c r="AQ358" s="1298"/>
      <c r="AR358" s="1298"/>
      <c r="AS358" s="1298"/>
      <c r="AT358" s="1298"/>
      <c r="AU358" s="1298"/>
      <c r="AV358" s="1298"/>
      <c r="AW358" s="1298"/>
      <c r="AX358" s="1298"/>
      <c r="AY358" s="1298"/>
      <c r="AZ358" s="1298"/>
      <c r="BA358" s="1298"/>
      <c r="BB358" s="1298"/>
      <c r="BC358" s="1298"/>
      <c r="BD358" s="1298"/>
      <c r="BE358" s="1298"/>
      <c r="BF358" s="1298"/>
      <c r="BR358" s="1298"/>
      <c r="BS358" s="1298"/>
      <c r="BT358" s="1298"/>
      <c r="BU358" s="1087"/>
      <c r="BV358" s="1086"/>
      <c r="BW358" s="1086"/>
      <c r="BX358" s="1086"/>
      <c r="BY358" s="1298"/>
      <c r="BZ358" s="1298"/>
    </row>
    <row r="359" spans="2:78" ht="12.75" customHeight="1">
      <c r="B359" s="1291"/>
      <c r="C359" s="1298"/>
      <c r="D359" s="1298"/>
      <c r="E359" s="1298"/>
      <c r="F359" s="1299"/>
      <c r="G359" s="1300"/>
      <c r="H359" s="1300"/>
      <c r="I359" s="1300"/>
      <c r="J359" s="1300"/>
      <c r="K359" s="1298"/>
      <c r="L359" s="1298"/>
      <c r="M359" s="1298"/>
      <c r="N359" s="1298"/>
      <c r="O359" s="1298"/>
      <c r="P359" s="1298"/>
      <c r="Q359" s="1298"/>
      <c r="R359" s="1298"/>
      <c r="S359" s="1298"/>
      <c r="T359" s="1298"/>
      <c r="U359" s="1298"/>
      <c r="V359" s="1298"/>
      <c r="W359" s="1298"/>
      <c r="X359" s="1298"/>
      <c r="Y359" s="1298"/>
      <c r="Z359" s="1298"/>
      <c r="AA359" s="1298"/>
      <c r="AB359" s="1298"/>
      <c r="AC359" s="1298"/>
      <c r="AD359" s="1298"/>
      <c r="AE359" s="1298"/>
      <c r="AF359" s="1298"/>
      <c r="AG359" s="1298"/>
      <c r="AH359" s="1298"/>
      <c r="AI359" s="1298"/>
      <c r="AJ359" s="1298"/>
      <c r="AK359" s="1298"/>
      <c r="AL359" s="1298"/>
      <c r="AM359" s="1298"/>
      <c r="AN359" s="1298"/>
      <c r="AO359" s="1298"/>
      <c r="AP359" s="1298"/>
      <c r="AQ359" s="1298"/>
      <c r="AR359" s="1298"/>
      <c r="AS359" s="1298"/>
      <c r="AT359" s="1298"/>
      <c r="AU359" s="1298"/>
      <c r="AV359" s="1298"/>
      <c r="AW359" s="1298"/>
      <c r="AX359" s="1298"/>
      <c r="AY359" s="1298"/>
      <c r="AZ359" s="1298"/>
      <c r="BA359" s="1298"/>
      <c r="BB359" s="1298"/>
      <c r="BC359" s="1298"/>
      <c r="BD359" s="1298"/>
      <c r="BE359" s="1298"/>
      <c r="BF359" s="1298"/>
      <c r="BR359" s="1298"/>
      <c r="BS359" s="1298"/>
      <c r="BT359" s="1298"/>
      <c r="BU359" s="1087"/>
      <c r="BV359" s="1298"/>
      <c r="BW359" s="1298"/>
      <c r="BX359" s="1298"/>
      <c r="BY359" s="1298"/>
      <c r="BZ359" s="1298"/>
    </row>
    <row r="360" spans="2:78" ht="12.75" customHeight="1">
      <c r="B360" s="1291"/>
      <c r="C360" s="1298"/>
      <c r="D360" s="1298"/>
      <c r="E360" s="1298"/>
      <c r="F360" s="1299"/>
      <c r="G360" s="1300"/>
      <c r="H360" s="1300"/>
      <c r="I360" s="1300"/>
      <c r="J360" s="1300"/>
      <c r="K360" s="1298"/>
      <c r="L360" s="1298"/>
      <c r="M360" s="1298"/>
      <c r="N360" s="1298"/>
      <c r="O360" s="1298"/>
      <c r="P360" s="1298"/>
      <c r="Q360" s="1298"/>
      <c r="R360" s="1298"/>
      <c r="S360" s="1298"/>
      <c r="T360" s="1298"/>
      <c r="U360" s="1298"/>
      <c r="V360" s="1298"/>
      <c r="W360" s="1298"/>
      <c r="X360" s="1298"/>
      <c r="Y360" s="1298"/>
      <c r="Z360" s="1298"/>
      <c r="AA360" s="1298"/>
      <c r="AB360" s="1298"/>
      <c r="AC360" s="1298"/>
      <c r="AD360" s="1298"/>
      <c r="AE360" s="1298"/>
      <c r="AF360" s="1298"/>
      <c r="AG360" s="1298"/>
      <c r="AH360" s="1298"/>
      <c r="AI360" s="1298"/>
      <c r="AJ360" s="1298"/>
      <c r="AK360" s="1298"/>
      <c r="AL360" s="1298"/>
      <c r="AM360" s="1298"/>
      <c r="AN360" s="1298"/>
      <c r="AO360" s="1298"/>
      <c r="AP360" s="1298"/>
      <c r="AQ360" s="1298"/>
      <c r="AR360" s="1298"/>
      <c r="AS360" s="1298"/>
      <c r="AT360" s="1298"/>
      <c r="AU360" s="1298"/>
      <c r="AV360" s="1298"/>
      <c r="AW360" s="1298"/>
      <c r="AX360" s="1298"/>
      <c r="AY360" s="1298"/>
      <c r="AZ360" s="1298"/>
      <c r="BA360" s="1298"/>
      <c r="BB360" s="1298"/>
      <c r="BC360" s="1298"/>
      <c r="BD360" s="1298"/>
      <c r="BE360" s="1298"/>
      <c r="BF360" s="1298"/>
      <c r="BR360" s="1298"/>
      <c r="BS360" s="1298"/>
      <c r="BT360" s="1298"/>
      <c r="BU360" s="1087"/>
      <c r="BV360" s="1298"/>
      <c r="BW360" s="1298"/>
      <c r="BX360" s="1298"/>
      <c r="BY360" s="1298"/>
      <c r="BZ360" s="1298"/>
    </row>
    <row r="361" spans="2:78" ht="12.75" customHeight="1">
      <c r="B361" s="1291"/>
      <c r="C361" s="1298"/>
      <c r="D361" s="1298"/>
      <c r="E361" s="1298"/>
      <c r="F361" s="1299"/>
      <c r="G361" s="1300"/>
      <c r="H361" s="1300"/>
      <c r="I361" s="1300"/>
      <c r="J361" s="1300"/>
      <c r="K361" s="1298"/>
      <c r="L361" s="1298"/>
      <c r="M361" s="1298"/>
      <c r="N361" s="1298"/>
      <c r="O361" s="1298"/>
      <c r="P361" s="1298"/>
      <c r="Q361" s="1298"/>
      <c r="R361" s="1298"/>
      <c r="S361" s="1298"/>
      <c r="T361" s="1298"/>
      <c r="U361" s="1298"/>
      <c r="V361" s="1298"/>
      <c r="W361" s="1298"/>
      <c r="X361" s="1298"/>
      <c r="Y361" s="1298"/>
      <c r="Z361" s="1298"/>
      <c r="AA361" s="1298"/>
      <c r="AB361" s="1298"/>
      <c r="AC361" s="1298"/>
      <c r="AD361" s="1298"/>
      <c r="AE361" s="1298"/>
      <c r="AF361" s="1298"/>
      <c r="AG361" s="1298"/>
      <c r="AH361" s="1298"/>
      <c r="AI361" s="1298"/>
      <c r="AJ361" s="1298"/>
      <c r="AK361" s="1298"/>
      <c r="AL361" s="1298"/>
      <c r="AM361" s="1298"/>
      <c r="AN361" s="1298"/>
      <c r="AO361" s="1298"/>
      <c r="AP361" s="1298"/>
      <c r="AQ361" s="1298"/>
      <c r="AR361" s="1298"/>
      <c r="AS361" s="1298"/>
      <c r="AT361" s="1298"/>
      <c r="AU361" s="1298"/>
      <c r="AV361" s="1298"/>
      <c r="AW361" s="1298"/>
      <c r="AX361" s="1298"/>
      <c r="AY361" s="1298"/>
      <c r="AZ361" s="1298"/>
      <c r="BA361" s="1298"/>
      <c r="BB361" s="1298"/>
      <c r="BC361" s="1298"/>
      <c r="BD361" s="1298"/>
      <c r="BE361" s="1298"/>
      <c r="BF361" s="1298"/>
      <c r="BR361" s="1298"/>
      <c r="BS361" s="1298"/>
      <c r="BT361" s="1298"/>
      <c r="BU361" s="1087"/>
      <c r="BV361" s="1298"/>
      <c r="BW361" s="1298"/>
      <c r="BX361" s="1298"/>
      <c r="BY361" s="1298"/>
      <c r="BZ361" s="1298"/>
    </row>
    <row r="362" spans="2:78" ht="12.75" customHeight="1">
      <c r="B362" s="1291"/>
      <c r="C362" s="1298"/>
      <c r="D362" s="1298"/>
      <c r="E362" s="1298"/>
      <c r="F362" s="1299"/>
      <c r="G362" s="1300"/>
      <c r="H362" s="1300"/>
      <c r="I362" s="1300"/>
      <c r="J362" s="1300"/>
      <c r="K362" s="1298"/>
      <c r="L362" s="1298"/>
      <c r="M362" s="1298"/>
      <c r="N362" s="1298"/>
      <c r="O362" s="1298"/>
      <c r="P362" s="1298"/>
      <c r="Q362" s="1298"/>
      <c r="R362" s="1298"/>
      <c r="S362" s="1298"/>
      <c r="T362" s="1298"/>
      <c r="U362" s="1298"/>
      <c r="V362" s="1298"/>
      <c r="W362" s="1298"/>
      <c r="X362" s="1298"/>
      <c r="Y362" s="1298"/>
      <c r="Z362" s="1298"/>
      <c r="AA362" s="1298"/>
      <c r="AB362" s="1298"/>
      <c r="AC362" s="1298"/>
      <c r="AD362" s="1298"/>
      <c r="AE362" s="1298"/>
      <c r="AF362" s="1298"/>
      <c r="AG362" s="1298"/>
      <c r="AH362" s="1298"/>
      <c r="AI362" s="1298"/>
      <c r="AJ362" s="1298"/>
      <c r="AK362" s="1298"/>
      <c r="AL362" s="1298"/>
      <c r="AM362" s="1298"/>
      <c r="AN362" s="1298"/>
      <c r="AO362" s="1298"/>
      <c r="AP362" s="1298"/>
      <c r="AQ362" s="1298"/>
      <c r="AR362" s="1298"/>
      <c r="AS362" s="1298"/>
      <c r="AT362" s="1298"/>
      <c r="AU362" s="1298"/>
      <c r="AV362" s="1298"/>
      <c r="AW362" s="1298"/>
      <c r="AX362" s="1298"/>
      <c r="AY362" s="1298"/>
      <c r="AZ362" s="1298"/>
      <c r="BA362" s="1298"/>
      <c r="BB362" s="1298"/>
      <c r="BC362" s="1298"/>
      <c r="BD362" s="1298"/>
      <c r="BE362" s="1298"/>
      <c r="BF362" s="1298"/>
      <c r="BR362" s="1298"/>
      <c r="BS362" s="1298"/>
      <c r="BT362" s="1298"/>
      <c r="BU362" s="1087"/>
      <c r="BV362" s="1298"/>
      <c r="BW362" s="1298"/>
      <c r="BX362" s="1298"/>
      <c r="BY362" s="1298"/>
      <c r="BZ362" s="1298"/>
    </row>
    <row r="363" spans="2:78" ht="12.75" customHeight="1">
      <c r="B363" s="1291"/>
      <c r="C363" s="1298"/>
      <c r="D363" s="1298"/>
      <c r="E363" s="1298"/>
      <c r="F363" s="1299"/>
      <c r="G363" s="1300"/>
      <c r="H363" s="1300"/>
      <c r="I363" s="1300"/>
      <c r="J363" s="1300"/>
      <c r="K363" s="1298"/>
      <c r="L363" s="1298"/>
      <c r="M363" s="1298"/>
      <c r="N363" s="1298"/>
      <c r="O363" s="1298"/>
      <c r="P363" s="1298"/>
      <c r="Q363" s="1298"/>
      <c r="R363" s="1298"/>
      <c r="S363" s="1298"/>
      <c r="T363" s="1298"/>
      <c r="U363" s="1298"/>
      <c r="V363" s="1298"/>
      <c r="W363" s="1298"/>
      <c r="X363" s="1298"/>
      <c r="Y363" s="1298"/>
      <c r="Z363" s="1298"/>
      <c r="AA363" s="1298"/>
      <c r="AB363" s="1298"/>
      <c r="AC363" s="1298"/>
      <c r="AD363" s="1298"/>
      <c r="AE363" s="1298"/>
      <c r="AF363" s="1298"/>
      <c r="AG363" s="1298"/>
      <c r="AH363" s="1298"/>
      <c r="AI363" s="1298"/>
      <c r="AJ363" s="1298"/>
      <c r="AK363" s="1298"/>
      <c r="AL363" s="1298"/>
      <c r="AM363" s="1298"/>
      <c r="AN363" s="1298"/>
      <c r="AO363" s="1298"/>
      <c r="AP363" s="1298"/>
      <c r="AQ363" s="1298"/>
      <c r="AR363" s="1298"/>
      <c r="AS363" s="1298"/>
      <c r="AT363" s="1298"/>
      <c r="AU363" s="1298"/>
      <c r="AV363" s="1298"/>
      <c r="AW363" s="1298"/>
      <c r="AX363" s="1298"/>
      <c r="AY363" s="1298"/>
      <c r="AZ363" s="1298"/>
      <c r="BA363" s="1298"/>
      <c r="BB363" s="1298"/>
      <c r="BC363" s="1298"/>
      <c r="BD363" s="1298"/>
      <c r="BE363" s="1298"/>
      <c r="BF363" s="1298"/>
      <c r="BR363" s="1298"/>
      <c r="BS363" s="1298"/>
      <c r="BT363" s="1298"/>
      <c r="BU363" s="1087"/>
      <c r="BV363" s="1298"/>
      <c r="BW363" s="1298"/>
      <c r="BX363" s="1298"/>
      <c r="BY363" s="1298"/>
      <c r="BZ363" s="1298"/>
    </row>
    <row r="364" spans="2:78" ht="12.75" customHeight="1">
      <c r="B364" s="1291"/>
      <c r="C364" s="1298"/>
      <c r="D364" s="1298"/>
      <c r="E364" s="1298"/>
      <c r="F364" s="1299"/>
      <c r="G364" s="1300"/>
      <c r="H364" s="1300"/>
      <c r="I364" s="1300"/>
      <c r="J364" s="1300"/>
      <c r="K364" s="1298"/>
      <c r="L364" s="1298"/>
      <c r="M364" s="1298"/>
      <c r="N364" s="1298"/>
      <c r="O364" s="1298"/>
      <c r="P364" s="1298"/>
      <c r="Q364" s="1298"/>
      <c r="R364" s="1298"/>
      <c r="S364" s="1298"/>
      <c r="T364" s="1298"/>
      <c r="U364" s="1298"/>
      <c r="V364" s="1298"/>
      <c r="W364" s="1298"/>
      <c r="X364" s="1298"/>
      <c r="Y364" s="1298"/>
      <c r="Z364" s="1298"/>
      <c r="AA364" s="1298"/>
      <c r="AB364" s="1298"/>
      <c r="AC364" s="1298"/>
      <c r="AD364" s="1298"/>
      <c r="AE364" s="1298"/>
      <c r="AF364" s="1298"/>
      <c r="AG364" s="1298"/>
      <c r="AH364" s="1298"/>
      <c r="AI364" s="1298"/>
      <c r="AJ364" s="1298"/>
      <c r="AK364" s="1298"/>
      <c r="AL364" s="1298"/>
      <c r="AM364" s="1298"/>
      <c r="AN364" s="1298"/>
      <c r="AO364" s="1298"/>
      <c r="AP364" s="1298"/>
      <c r="AQ364" s="1298"/>
      <c r="AR364" s="1298"/>
      <c r="AS364" s="1298"/>
      <c r="AT364" s="1298"/>
      <c r="AU364" s="1298"/>
      <c r="AV364" s="1298"/>
      <c r="AW364" s="1298"/>
      <c r="AX364" s="1298"/>
      <c r="AY364" s="1298"/>
      <c r="AZ364" s="1298"/>
      <c r="BA364" s="1298"/>
      <c r="BB364" s="1298"/>
      <c r="BC364" s="1298"/>
      <c r="BD364" s="1298"/>
      <c r="BE364" s="1298"/>
      <c r="BF364" s="1298"/>
      <c r="BR364" s="1298"/>
      <c r="BS364" s="1298"/>
      <c r="BT364" s="1298"/>
      <c r="BU364" s="1087"/>
      <c r="BV364" s="1298"/>
      <c r="BW364" s="1298"/>
      <c r="BX364" s="1298"/>
      <c r="BY364" s="1298"/>
      <c r="BZ364" s="1298"/>
    </row>
    <row r="365" spans="2:78" ht="12.75" customHeight="1">
      <c r="B365" s="1291"/>
      <c r="C365" s="1298"/>
      <c r="D365" s="1298"/>
      <c r="E365" s="1298"/>
      <c r="F365" s="1299"/>
      <c r="G365" s="1300"/>
      <c r="H365" s="1300"/>
      <c r="I365" s="1300"/>
      <c r="J365" s="1300"/>
      <c r="K365" s="1298"/>
      <c r="L365" s="1298"/>
      <c r="M365" s="1298"/>
      <c r="N365" s="1298"/>
      <c r="O365" s="1298"/>
      <c r="P365" s="1298"/>
      <c r="Q365" s="1298"/>
      <c r="R365" s="1298"/>
      <c r="S365" s="1298"/>
      <c r="T365" s="1298"/>
      <c r="U365" s="1298"/>
      <c r="V365" s="1298"/>
      <c r="W365" s="1298"/>
      <c r="X365" s="1298"/>
      <c r="Y365" s="1298"/>
      <c r="Z365" s="1298"/>
      <c r="AA365" s="1298"/>
      <c r="AB365" s="1298"/>
      <c r="AC365" s="1298"/>
      <c r="AD365" s="1298"/>
      <c r="AE365" s="1298"/>
      <c r="AF365" s="1298"/>
      <c r="AG365" s="1298"/>
      <c r="AH365" s="1298"/>
      <c r="AI365" s="1298"/>
      <c r="AJ365" s="1298"/>
      <c r="AK365" s="1298"/>
      <c r="AL365" s="1298"/>
      <c r="AM365" s="1298"/>
      <c r="AN365" s="1298"/>
      <c r="AO365" s="1298"/>
      <c r="AP365" s="1298"/>
      <c r="AQ365" s="1298"/>
      <c r="AR365" s="1298"/>
      <c r="AS365" s="1298"/>
      <c r="AT365" s="1298"/>
      <c r="AU365" s="1298"/>
      <c r="AV365" s="1298"/>
      <c r="AW365" s="1298"/>
      <c r="AX365" s="1298"/>
      <c r="AY365" s="1298"/>
      <c r="AZ365" s="1298"/>
      <c r="BA365" s="1298"/>
      <c r="BB365" s="1298"/>
      <c r="BC365" s="1298"/>
      <c r="BD365" s="1298"/>
      <c r="BE365" s="1298"/>
      <c r="BF365" s="1298"/>
      <c r="BR365" s="1298"/>
      <c r="BS365" s="1298"/>
      <c r="BT365" s="1298"/>
      <c r="BU365" s="1087"/>
      <c r="BV365" s="1298"/>
      <c r="BW365" s="1298"/>
      <c r="BX365" s="1298"/>
      <c r="BY365" s="1298"/>
      <c r="BZ365" s="1298"/>
    </row>
    <row r="366" spans="2:78" ht="12.75" customHeight="1">
      <c r="B366" s="1291"/>
      <c r="C366" s="1298"/>
      <c r="D366" s="1298"/>
      <c r="E366" s="1298"/>
      <c r="F366" s="1299"/>
      <c r="G366" s="1300"/>
      <c r="H366" s="1300"/>
      <c r="I366" s="1300"/>
      <c r="J366" s="1300"/>
      <c r="K366" s="1298"/>
      <c r="L366" s="1298"/>
      <c r="M366" s="1298"/>
      <c r="N366" s="1298"/>
      <c r="O366" s="1298"/>
      <c r="P366" s="1298"/>
      <c r="Q366" s="1298"/>
      <c r="R366" s="1298"/>
      <c r="S366" s="1298"/>
      <c r="T366" s="1298"/>
      <c r="U366" s="1298"/>
      <c r="V366" s="1298"/>
      <c r="W366" s="1298"/>
      <c r="X366" s="1298"/>
      <c r="Y366" s="1298"/>
      <c r="Z366" s="1298"/>
      <c r="AA366" s="1298"/>
      <c r="AB366" s="1298"/>
      <c r="AC366" s="1298"/>
      <c r="AD366" s="1298"/>
      <c r="AE366" s="1298"/>
      <c r="AF366" s="1298"/>
      <c r="AG366" s="1298"/>
      <c r="AH366" s="1298"/>
      <c r="AI366" s="1298"/>
      <c r="AJ366" s="1298"/>
      <c r="AK366" s="1298"/>
      <c r="AL366" s="1298"/>
      <c r="AM366" s="1298"/>
      <c r="AN366" s="1298"/>
      <c r="AO366" s="1298"/>
      <c r="AP366" s="1298"/>
      <c r="AQ366" s="1298"/>
      <c r="AR366" s="1298"/>
      <c r="AS366" s="1298"/>
      <c r="AT366" s="1298"/>
      <c r="AU366" s="1298"/>
      <c r="AV366" s="1298"/>
      <c r="AW366" s="1298"/>
      <c r="AX366" s="1298"/>
      <c r="AY366" s="1298"/>
      <c r="AZ366" s="1298"/>
      <c r="BA366" s="1298"/>
      <c r="BB366" s="1298"/>
      <c r="BC366" s="1298"/>
      <c r="BD366" s="1298"/>
      <c r="BE366" s="1298"/>
      <c r="BF366" s="1298"/>
      <c r="BR366" s="1298"/>
      <c r="BS366" s="1298"/>
      <c r="BT366" s="1298"/>
      <c r="BU366" s="1087"/>
      <c r="BV366" s="1298"/>
      <c r="BW366" s="1298"/>
      <c r="BX366" s="1298"/>
      <c r="BY366" s="1298"/>
      <c r="BZ366" s="1298"/>
    </row>
    <row r="367" spans="2:78" ht="12.75" customHeight="1">
      <c r="B367" s="1291"/>
      <c r="C367" s="1298"/>
      <c r="D367" s="1298"/>
      <c r="E367" s="1298"/>
      <c r="F367" s="1299"/>
      <c r="G367" s="1300"/>
      <c r="H367" s="1300"/>
      <c r="I367" s="1300"/>
      <c r="J367" s="1300"/>
      <c r="K367" s="1298"/>
      <c r="L367" s="1298"/>
      <c r="M367" s="1298"/>
      <c r="N367" s="1298"/>
      <c r="O367" s="1298"/>
      <c r="P367" s="1298"/>
      <c r="Q367" s="1298"/>
      <c r="R367" s="1298"/>
      <c r="S367" s="1298"/>
      <c r="T367" s="1298"/>
      <c r="U367" s="1298"/>
      <c r="V367" s="1298"/>
      <c r="W367" s="1298"/>
      <c r="X367" s="1298"/>
      <c r="Y367" s="1298"/>
      <c r="Z367" s="1298"/>
      <c r="AA367" s="1298"/>
      <c r="AB367" s="1298"/>
      <c r="AC367" s="1298"/>
      <c r="AD367" s="1298"/>
      <c r="AE367" s="1298"/>
      <c r="AF367" s="1298"/>
      <c r="AG367" s="1298"/>
      <c r="AH367" s="1298"/>
      <c r="AI367" s="1298"/>
      <c r="AJ367" s="1298"/>
      <c r="AK367" s="1298"/>
      <c r="AL367" s="1298"/>
      <c r="AM367" s="1298"/>
      <c r="AN367" s="1298"/>
      <c r="AO367" s="1298"/>
      <c r="AP367" s="1298"/>
      <c r="AQ367" s="1298"/>
      <c r="AR367" s="1298"/>
      <c r="AS367" s="1298"/>
      <c r="AT367" s="1298"/>
      <c r="AU367" s="1298"/>
      <c r="AV367" s="1298"/>
      <c r="AW367" s="1298"/>
      <c r="AX367" s="1298"/>
      <c r="AY367" s="1298"/>
      <c r="AZ367" s="1298"/>
      <c r="BA367" s="1298"/>
      <c r="BB367" s="1298"/>
      <c r="BC367" s="1298"/>
      <c r="BD367" s="1298"/>
      <c r="BE367" s="1298"/>
      <c r="BF367" s="1298"/>
      <c r="BR367" s="1298"/>
      <c r="BS367" s="1298"/>
      <c r="BT367" s="1298"/>
      <c r="BU367" s="1087"/>
      <c r="BV367" s="1298"/>
      <c r="BW367" s="1298"/>
      <c r="BX367" s="1298"/>
      <c r="BY367" s="1298"/>
      <c r="BZ367" s="1298"/>
    </row>
    <row r="368" spans="2:78" ht="12.75" customHeight="1">
      <c r="B368" s="1291"/>
      <c r="C368" s="1298"/>
      <c r="D368" s="1298"/>
      <c r="E368" s="1298"/>
      <c r="F368" s="1299"/>
      <c r="G368" s="1300"/>
      <c r="H368" s="1300"/>
      <c r="I368" s="1300"/>
      <c r="J368" s="1300"/>
      <c r="K368" s="1298"/>
      <c r="L368" s="1298"/>
      <c r="M368" s="1298"/>
      <c r="N368" s="1298"/>
      <c r="O368" s="1298"/>
      <c r="P368" s="1298"/>
      <c r="Q368" s="1298"/>
      <c r="R368" s="1298"/>
      <c r="S368" s="1298"/>
      <c r="T368" s="1298"/>
      <c r="U368" s="1298"/>
      <c r="V368" s="1298"/>
      <c r="W368" s="1298"/>
      <c r="X368" s="1298"/>
      <c r="Y368" s="1298"/>
      <c r="Z368" s="1298"/>
      <c r="AA368" s="1298"/>
      <c r="AB368" s="1298"/>
      <c r="AC368" s="1298"/>
      <c r="AD368" s="1298"/>
      <c r="AE368" s="1298"/>
      <c r="AF368" s="1298"/>
      <c r="AG368" s="1298"/>
      <c r="AH368" s="1298"/>
      <c r="AI368" s="1298"/>
      <c r="AJ368" s="1298"/>
      <c r="AK368" s="1298"/>
      <c r="AL368" s="1298"/>
      <c r="AM368" s="1298"/>
      <c r="AN368" s="1298"/>
      <c r="AO368" s="1298"/>
      <c r="AP368" s="1298"/>
      <c r="AQ368" s="1298"/>
      <c r="AR368" s="1298"/>
      <c r="AS368" s="1298"/>
      <c r="AT368" s="1298"/>
      <c r="AU368" s="1298"/>
      <c r="AV368" s="1298"/>
      <c r="AW368" s="1298"/>
      <c r="AX368" s="1298"/>
      <c r="AY368" s="1298"/>
      <c r="AZ368" s="1298"/>
      <c r="BA368" s="1298"/>
      <c r="BB368" s="1298"/>
      <c r="BC368" s="1298"/>
      <c r="BD368" s="1298"/>
      <c r="BE368" s="1298"/>
      <c r="BF368" s="1298"/>
      <c r="BR368" s="1298"/>
      <c r="BS368" s="1298"/>
      <c r="BT368" s="1298"/>
      <c r="BU368" s="1087"/>
      <c r="BV368" s="1298"/>
      <c r="BW368" s="1298"/>
      <c r="BX368" s="1298"/>
      <c r="BY368" s="1298"/>
      <c r="BZ368" s="1298"/>
    </row>
    <row r="369" spans="2:78" ht="12.75" customHeight="1">
      <c r="B369" s="1291"/>
      <c r="C369" s="1298"/>
      <c r="D369" s="1298"/>
      <c r="E369" s="1298"/>
      <c r="F369" s="1299"/>
      <c r="G369" s="1300"/>
      <c r="H369" s="1300"/>
      <c r="I369" s="1300"/>
      <c r="J369" s="1300"/>
      <c r="K369" s="1298"/>
      <c r="L369" s="1298"/>
      <c r="M369" s="1298"/>
      <c r="N369" s="1298"/>
      <c r="O369" s="1298"/>
      <c r="P369" s="1298"/>
      <c r="Q369" s="1298"/>
      <c r="R369" s="1298"/>
      <c r="S369" s="1298"/>
      <c r="T369" s="1298"/>
      <c r="U369" s="1298"/>
      <c r="V369" s="1298"/>
      <c r="W369" s="1298"/>
      <c r="X369" s="1298"/>
      <c r="Y369" s="1298"/>
      <c r="Z369" s="1298"/>
      <c r="AA369" s="1298"/>
      <c r="AB369" s="1298"/>
      <c r="AC369" s="1298"/>
      <c r="AD369" s="1298"/>
      <c r="AE369" s="1298"/>
      <c r="AF369" s="1298"/>
      <c r="AG369" s="1298"/>
      <c r="AH369" s="1298"/>
      <c r="AI369" s="1298"/>
      <c r="AJ369" s="1298"/>
      <c r="AK369" s="1298"/>
      <c r="AL369" s="1298"/>
      <c r="AM369" s="1298"/>
      <c r="AN369" s="1298"/>
      <c r="AO369" s="1298"/>
      <c r="AP369" s="1298"/>
      <c r="AQ369" s="1298"/>
      <c r="AR369" s="1298"/>
      <c r="AS369" s="1298"/>
      <c r="AT369" s="1298"/>
      <c r="AU369" s="1298"/>
      <c r="AV369" s="1298"/>
      <c r="AW369" s="1298"/>
      <c r="AX369" s="1298"/>
      <c r="AY369" s="1298"/>
      <c r="AZ369" s="1298"/>
      <c r="BA369" s="1298"/>
      <c r="BB369" s="1298"/>
      <c r="BC369" s="1298"/>
      <c r="BD369" s="1298"/>
      <c r="BE369" s="1298"/>
      <c r="BF369" s="1298"/>
      <c r="BR369" s="1298"/>
      <c r="BS369" s="1298"/>
      <c r="BT369" s="1298"/>
      <c r="BU369" s="1087"/>
      <c r="BV369" s="1298"/>
      <c r="BW369" s="1298"/>
      <c r="BX369" s="1298"/>
      <c r="BY369" s="1298"/>
      <c r="BZ369" s="1298"/>
    </row>
    <row r="370" spans="2:78" ht="12.75" customHeight="1">
      <c r="B370" s="1291"/>
      <c r="C370" s="1298"/>
      <c r="D370" s="1298"/>
      <c r="E370" s="1298"/>
      <c r="F370" s="1299"/>
      <c r="G370" s="1300"/>
      <c r="H370" s="1300"/>
      <c r="I370" s="1300"/>
      <c r="J370" s="1300"/>
      <c r="K370" s="1298"/>
      <c r="L370" s="1298"/>
      <c r="M370" s="1298"/>
      <c r="N370" s="1298"/>
      <c r="O370" s="1298"/>
      <c r="P370" s="1298"/>
      <c r="Q370" s="1298"/>
      <c r="R370" s="1298"/>
      <c r="S370" s="1298"/>
      <c r="T370" s="1298"/>
      <c r="U370" s="1298"/>
      <c r="V370" s="1298"/>
      <c r="W370" s="1298"/>
      <c r="X370" s="1298"/>
      <c r="Y370" s="1298"/>
      <c r="Z370" s="1298"/>
      <c r="AA370" s="1298"/>
      <c r="AB370" s="1298"/>
      <c r="AC370" s="1298"/>
      <c r="AD370" s="1298"/>
      <c r="AE370" s="1298"/>
      <c r="AF370" s="1298"/>
      <c r="AG370" s="1298"/>
      <c r="AH370" s="1298"/>
      <c r="AI370" s="1298"/>
      <c r="AJ370" s="1298"/>
      <c r="AK370" s="1298"/>
      <c r="AL370" s="1298"/>
      <c r="AM370" s="1298"/>
      <c r="AN370" s="1298"/>
      <c r="AO370" s="1298"/>
      <c r="AP370" s="1298"/>
      <c r="AQ370" s="1298"/>
      <c r="AR370" s="1298"/>
      <c r="AS370" s="1298"/>
      <c r="AT370" s="1298"/>
      <c r="AU370" s="1298"/>
      <c r="AV370" s="1298"/>
      <c r="AW370" s="1298"/>
      <c r="AX370" s="1298"/>
      <c r="AY370" s="1298"/>
      <c r="AZ370" s="1298"/>
      <c r="BA370" s="1298"/>
      <c r="BB370" s="1298"/>
      <c r="BC370" s="1298"/>
      <c r="BD370" s="1298"/>
      <c r="BE370" s="1298"/>
      <c r="BF370" s="1298"/>
      <c r="BR370" s="1298"/>
      <c r="BS370" s="1298"/>
      <c r="BT370" s="1298"/>
      <c r="BU370" s="1087"/>
      <c r="BV370" s="1298"/>
      <c r="BW370" s="1298"/>
      <c r="BX370" s="1298"/>
      <c r="BY370" s="1298"/>
      <c r="BZ370" s="1298"/>
    </row>
    <row r="371" spans="2:78" ht="12.75" customHeight="1">
      <c r="B371" s="1291"/>
      <c r="C371" s="1298"/>
      <c r="D371" s="1298"/>
      <c r="E371" s="1298"/>
      <c r="F371" s="1299"/>
      <c r="G371" s="1300"/>
      <c r="H371" s="1300"/>
      <c r="I371" s="1300"/>
      <c r="J371" s="1300"/>
      <c r="K371" s="1298"/>
      <c r="L371" s="1298"/>
      <c r="M371" s="1298"/>
      <c r="N371" s="1298"/>
      <c r="O371" s="1298"/>
      <c r="P371" s="1298"/>
      <c r="Q371" s="1298"/>
      <c r="R371" s="1298"/>
      <c r="S371" s="1298"/>
      <c r="T371" s="1298"/>
      <c r="U371" s="1298"/>
      <c r="V371" s="1298"/>
      <c r="W371" s="1298"/>
      <c r="X371" s="1298"/>
      <c r="Y371" s="1298"/>
      <c r="Z371" s="1298"/>
      <c r="AA371" s="1298"/>
      <c r="AB371" s="1298"/>
      <c r="AC371" s="1298"/>
      <c r="AD371" s="1298"/>
      <c r="AE371" s="1298"/>
      <c r="AF371" s="1298"/>
      <c r="AG371" s="1298"/>
      <c r="AH371" s="1298"/>
      <c r="AI371" s="1298"/>
      <c r="AJ371" s="1298"/>
      <c r="AK371" s="1298"/>
      <c r="AL371" s="1298"/>
      <c r="AM371" s="1298"/>
      <c r="AN371" s="1298"/>
      <c r="AO371" s="1298"/>
      <c r="AP371" s="1298"/>
      <c r="AQ371" s="1298"/>
      <c r="AR371" s="1298"/>
      <c r="AS371" s="1298"/>
      <c r="AT371" s="1298"/>
      <c r="AU371" s="1298"/>
      <c r="AV371" s="1298"/>
      <c r="AW371" s="1298"/>
      <c r="AX371" s="1298"/>
      <c r="AY371" s="1298"/>
      <c r="AZ371" s="1298"/>
      <c r="BA371" s="1298"/>
      <c r="BB371" s="1298"/>
      <c r="BC371" s="1298"/>
      <c r="BD371" s="1298"/>
      <c r="BE371" s="1298"/>
      <c r="BF371" s="1298"/>
      <c r="BR371" s="1298"/>
      <c r="BS371" s="1298"/>
      <c r="BT371" s="1298"/>
      <c r="BU371" s="1087"/>
      <c r="BV371" s="1298"/>
      <c r="BW371" s="1298"/>
      <c r="BX371" s="1298"/>
      <c r="BY371" s="1298"/>
      <c r="BZ371" s="1298"/>
    </row>
    <row r="372" spans="2:78" ht="12.75" customHeight="1">
      <c r="B372" s="1291"/>
      <c r="C372" s="1298"/>
      <c r="D372" s="1298"/>
      <c r="E372" s="1298"/>
      <c r="F372" s="1299"/>
      <c r="G372" s="1300"/>
      <c r="H372" s="1300"/>
      <c r="I372" s="1300"/>
      <c r="J372" s="1300"/>
      <c r="K372" s="1298"/>
      <c r="L372" s="1298"/>
      <c r="M372" s="1298"/>
      <c r="N372" s="1298"/>
      <c r="O372" s="1298"/>
      <c r="P372" s="1298"/>
      <c r="Q372" s="1298"/>
      <c r="R372" s="1298"/>
      <c r="S372" s="1298"/>
      <c r="T372" s="1298"/>
      <c r="U372" s="1298"/>
      <c r="V372" s="1298"/>
      <c r="W372" s="1298"/>
      <c r="X372" s="1298"/>
      <c r="Y372" s="1298"/>
      <c r="Z372" s="1298"/>
      <c r="AA372" s="1298"/>
      <c r="AB372" s="1298"/>
      <c r="AC372" s="1298"/>
      <c r="AD372" s="1298"/>
      <c r="AE372" s="1298"/>
      <c r="AF372" s="1298"/>
      <c r="AG372" s="1298"/>
      <c r="AH372" s="1298"/>
      <c r="AI372" s="1298"/>
      <c r="AJ372" s="1298"/>
      <c r="AK372" s="1298"/>
      <c r="AL372" s="1298"/>
      <c r="AM372" s="1298"/>
      <c r="AN372" s="1298"/>
      <c r="AO372" s="1298"/>
      <c r="AP372" s="1298"/>
      <c r="AQ372" s="1298"/>
      <c r="AR372" s="1298"/>
      <c r="AS372" s="1298"/>
      <c r="AT372" s="1298"/>
      <c r="AU372" s="1298"/>
      <c r="AV372" s="1298"/>
      <c r="AW372" s="1298"/>
      <c r="AX372" s="1298"/>
      <c r="AY372" s="1298"/>
      <c r="AZ372" s="1298"/>
      <c r="BA372" s="1298"/>
      <c r="BB372" s="1298"/>
      <c r="BC372" s="1298"/>
      <c r="BD372" s="1298"/>
      <c r="BE372" s="1298"/>
      <c r="BF372" s="1298"/>
      <c r="BR372" s="1298"/>
      <c r="BS372" s="1298"/>
      <c r="BT372" s="1298"/>
      <c r="BU372" s="1087"/>
      <c r="BV372" s="1298"/>
      <c r="BW372" s="1298"/>
      <c r="BX372" s="1298"/>
      <c r="BY372" s="1298"/>
      <c r="BZ372" s="1298"/>
    </row>
    <row r="373" spans="2:78" ht="12.75" customHeight="1">
      <c r="B373" s="1291"/>
      <c r="C373" s="1298"/>
      <c r="D373" s="1298"/>
      <c r="E373" s="1298"/>
      <c r="F373" s="1299"/>
      <c r="G373" s="1300"/>
      <c r="H373" s="1300"/>
      <c r="I373" s="1300"/>
      <c r="J373" s="1300"/>
      <c r="K373" s="1298"/>
      <c r="L373" s="1298"/>
      <c r="M373" s="1298"/>
      <c r="N373" s="1298"/>
      <c r="O373" s="1298"/>
      <c r="P373" s="1298"/>
      <c r="Q373" s="1298"/>
      <c r="R373" s="1298"/>
      <c r="S373" s="1298"/>
      <c r="T373" s="1298"/>
      <c r="U373" s="1298"/>
      <c r="V373" s="1298"/>
      <c r="W373" s="1298"/>
      <c r="X373" s="1298"/>
      <c r="Y373" s="1298"/>
      <c r="Z373" s="1298"/>
      <c r="AA373" s="1298"/>
      <c r="AB373" s="1298"/>
      <c r="AC373" s="1298"/>
      <c r="AD373" s="1298"/>
      <c r="AE373" s="1298"/>
      <c r="AF373" s="1298"/>
      <c r="AG373" s="1298"/>
      <c r="AH373" s="1298"/>
      <c r="AI373" s="1298"/>
      <c r="AJ373" s="1298"/>
      <c r="AK373" s="1298"/>
      <c r="AL373" s="1298"/>
      <c r="AM373" s="1298"/>
      <c r="AN373" s="1298"/>
      <c r="AO373" s="1298"/>
      <c r="AP373" s="1298"/>
      <c r="AQ373" s="1298"/>
      <c r="AR373" s="1298"/>
      <c r="AS373" s="1298"/>
      <c r="AT373" s="1298"/>
      <c r="AU373" s="1298"/>
      <c r="AV373" s="1298"/>
      <c r="AW373" s="1298"/>
      <c r="AX373" s="1298"/>
      <c r="AY373" s="1298"/>
      <c r="AZ373" s="1298"/>
      <c r="BA373" s="1298"/>
      <c r="BB373" s="1298"/>
      <c r="BC373" s="1298"/>
      <c r="BD373" s="1298"/>
      <c r="BE373" s="1298"/>
      <c r="BF373" s="1298"/>
      <c r="BR373" s="1298"/>
      <c r="BS373" s="1298"/>
      <c r="BT373" s="1298"/>
      <c r="BU373" s="1087"/>
      <c r="BV373" s="1298"/>
      <c r="BW373" s="1298"/>
      <c r="BX373" s="1298"/>
      <c r="BY373" s="1298"/>
      <c r="BZ373" s="1298"/>
    </row>
    <row r="374" spans="2:78" ht="12.75" customHeight="1">
      <c r="B374" s="1291"/>
      <c r="C374" s="1298"/>
      <c r="D374" s="1298"/>
      <c r="E374" s="1298"/>
      <c r="F374" s="1299"/>
      <c r="G374" s="1300"/>
      <c r="H374" s="1300"/>
      <c r="I374" s="1300"/>
      <c r="J374" s="1300"/>
      <c r="K374" s="1298"/>
      <c r="L374" s="1298"/>
      <c r="M374" s="1298"/>
      <c r="N374" s="1298"/>
      <c r="O374" s="1298"/>
      <c r="P374" s="1298"/>
      <c r="Q374" s="1298"/>
      <c r="R374" s="1298"/>
      <c r="S374" s="1298"/>
      <c r="T374" s="1298"/>
      <c r="U374" s="1298"/>
      <c r="V374" s="1298"/>
      <c r="W374" s="1298"/>
      <c r="X374" s="1298"/>
      <c r="Y374" s="1298"/>
      <c r="Z374" s="1298"/>
      <c r="AA374" s="1298"/>
      <c r="AB374" s="1298"/>
      <c r="AC374" s="1298"/>
      <c r="AD374" s="1298"/>
      <c r="AE374" s="1298"/>
      <c r="AF374" s="1298"/>
      <c r="AG374" s="1298"/>
      <c r="AH374" s="1298"/>
      <c r="AI374" s="1298"/>
      <c r="AJ374" s="1298"/>
      <c r="AK374" s="1298"/>
      <c r="AL374" s="1298"/>
      <c r="AM374" s="1298"/>
      <c r="AN374" s="1298"/>
      <c r="AO374" s="1298"/>
      <c r="AP374" s="1298"/>
      <c r="AQ374" s="1298"/>
      <c r="AR374" s="1298"/>
      <c r="AS374" s="1298"/>
      <c r="AT374" s="1298"/>
      <c r="AU374" s="1298"/>
      <c r="AV374" s="1298"/>
      <c r="AW374" s="1298"/>
      <c r="AX374" s="1298"/>
      <c r="AY374" s="1298"/>
      <c r="AZ374" s="1298"/>
      <c r="BA374" s="1298"/>
      <c r="BB374" s="1298"/>
      <c r="BC374" s="1298"/>
      <c r="BD374" s="1298"/>
      <c r="BE374" s="1298"/>
      <c r="BF374" s="1298"/>
      <c r="BR374" s="1298"/>
      <c r="BS374" s="1298"/>
      <c r="BT374" s="1298"/>
      <c r="BU374" s="1087"/>
      <c r="BV374" s="1298"/>
      <c r="BW374" s="1298"/>
      <c r="BX374" s="1298"/>
      <c r="BY374" s="1298"/>
      <c r="BZ374" s="1298"/>
    </row>
    <row r="375" spans="2:78" ht="12.75" customHeight="1">
      <c r="B375" s="1291"/>
      <c r="C375" s="1298"/>
      <c r="D375" s="1298"/>
      <c r="E375" s="1298"/>
      <c r="F375" s="1299"/>
      <c r="G375" s="1300"/>
      <c r="H375" s="1300"/>
      <c r="I375" s="1300"/>
      <c r="J375" s="1300"/>
      <c r="K375" s="1298"/>
      <c r="L375" s="1298"/>
      <c r="M375" s="1298"/>
      <c r="N375" s="1298"/>
      <c r="O375" s="1298"/>
      <c r="P375" s="1298"/>
      <c r="Q375" s="1298"/>
      <c r="R375" s="1298"/>
      <c r="S375" s="1298"/>
      <c r="T375" s="1298"/>
      <c r="U375" s="1298"/>
      <c r="V375" s="1298"/>
      <c r="W375" s="1298"/>
      <c r="X375" s="1298"/>
      <c r="Y375" s="1298"/>
      <c r="Z375" s="1298"/>
      <c r="AA375" s="1298"/>
      <c r="AB375" s="1298"/>
      <c r="AC375" s="1298"/>
      <c r="AD375" s="1298"/>
      <c r="AE375" s="1298"/>
      <c r="AF375" s="1298"/>
      <c r="AG375" s="1298"/>
      <c r="AH375" s="1298"/>
      <c r="AI375" s="1298"/>
      <c r="AJ375" s="1298"/>
      <c r="AK375" s="1298"/>
      <c r="AL375" s="1298"/>
      <c r="AM375" s="1298"/>
      <c r="AN375" s="1298"/>
      <c r="AO375" s="1298"/>
      <c r="AP375" s="1298"/>
      <c r="AQ375" s="1298"/>
      <c r="AR375" s="1298"/>
      <c r="AS375" s="1298"/>
      <c r="AT375" s="1298"/>
      <c r="AU375" s="1298"/>
      <c r="AV375" s="1298"/>
      <c r="AW375" s="1298"/>
      <c r="AX375" s="1298"/>
      <c r="AY375" s="1298"/>
      <c r="AZ375" s="1298"/>
      <c r="BA375" s="1298"/>
      <c r="BB375" s="1298"/>
      <c r="BC375" s="1298"/>
      <c r="BD375" s="1298"/>
      <c r="BE375" s="1298"/>
      <c r="BF375" s="1298"/>
      <c r="BR375" s="1298"/>
      <c r="BS375" s="1298"/>
      <c r="BT375" s="1298"/>
      <c r="BU375" s="1087"/>
      <c r="BV375" s="1298"/>
      <c r="BW375" s="1298"/>
      <c r="BX375" s="1298"/>
      <c r="BY375" s="1298"/>
      <c r="BZ375" s="1298"/>
    </row>
    <row r="376" spans="2:78" ht="12.75" customHeight="1">
      <c r="B376" s="1291"/>
      <c r="C376" s="1298"/>
      <c r="D376" s="1298"/>
      <c r="E376" s="1298"/>
      <c r="F376" s="1299"/>
      <c r="G376" s="1300"/>
      <c r="H376" s="1300"/>
      <c r="I376" s="1300"/>
      <c r="J376" s="1300"/>
      <c r="K376" s="1298"/>
      <c r="L376" s="1298"/>
      <c r="M376" s="1298"/>
      <c r="N376" s="1298"/>
      <c r="O376" s="1298"/>
      <c r="P376" s="1298"/>
      <c r="Q376" s="1298"/>
      <c r="R376" s="1298"/>
      <c r="S376" s="1298"/>
      <c r="T376" s="1298"/>
      <c r="U376" s="1298"/>
      <c r="V376" s="1298"/>
      <c r="W376" s="1298"/>
      <c r="X376" s="1298"/>
      <c r="Y376" s="1298"/>
      <c r="Z376" s="1298"/>
      <c r="AA376" s="1298"/>
      <c r="AB376" s="1298"/>
      <c r="AC376" s="1298"/>
      <c r="AD376" s="1298"/>
      <c r="AE376" s="1298"/>
      <c r="AF376" s="1298"/>
      <c r="AG376" s="1298"/>
      <c r="AH376" s="1298"/>
      <c r="AI376" s="1298"/>
      <c r="AJ376" s="1298"/>
      <c r="AK376" s="1298"/>
      <c r="AL376" s="1298"/>
      <c r="AM376" s="1298"/>
      <c r="AN376" s="1298"/>
      <c r="AO376" s="1298"/>
      <c r="AP376" s="1298"/>
      <c r="AQ376" s="1298"/>
      <c r="AR376" s="1298"/>
      <c r="AS376" s="1298"/>
      <c r="AT376" s="1298"/>
      <c r="AU376" s="1298"/>
      <c r="AV376" s="1298"/>
      <c r="AW376" s="1298"/>
      <c r="AX376" s="1298"/>
      <c r="AY376" s="1298"/>
      <c r="AZ376" s="1298"/>
      <c r="BA376" s="1298"/>
      <c r="BB376" s="1298"/>
      <c r="BC376" s="1298"/>
      <c r="BD376" s="1298"/>
      <c r="BE376" s="1298"/>
      <c r="BF376" s="1298"/>
      <c r="BR376" s="1298"/>
      <c r="BS376" s="1298"/>
      <c r="BT376" s="1298"/>
      <c r="BU376" s="1087"/>
      <c r="BV376" s="1298"/>
      <c r="BW376" s="1298"/>
      <c r="BX376" s="1298"/>
      <c r="BY376" s="1298"/>
      <c r="BZ376" s="1298"/>
    </row>
    <row r="377" spans="2:78" ht="12.75" customHeight="1">
      <c r="B377" s="1291"/>
      <c r="C377" s="1298"/>
      <c r="D377" s="1298"/>
      <c r="E377" s="1298"/>
      <c r="F377" s="1299"/>
      <c r="G377" s="1300"/>
      <c r="H377" s="1300"/>
      <c r="I377" s="1300"/>
      <c r="J377" s="1300"/>
      <c r="K377" s="1298"/>
      <c r="L377" s="1298"/>
      <c r="M377" s="1298"/>
      <c r="N377" s="1298"/>
      <c r="O377" s="1298"/>
      <c r="P377" s="1298"/>
      <c r="Q377" s="1298"/>
      <c r="R377" s="1298"/>
      <c r="S377" s="1298"/>
      <c r="T377" s="1298"/>
      <c r="U377" s="1298"/>
      <c r="V377" s="1298"/>
      <c r="W377" s="1298"/>
      <c r="X377" s="1298"/>
      <c r="Y377" s="1298"/>
      <c r="Z377" s="1298"/>
      <c r="AA377" s="1298"/>
      <c r="AB377" s="1298"/>
      <c r="AC377" s="1298"/>
      <c r="AD377" s="1298"/>
      <c r="AE377" s="1298"/>
      <c r="AF377" s="1298"/>
      <c r="AG377" s="1298"/>
      <c r="AH377" s="1298"/>
      <c r="AI377" s="1298"/>
      <c r="AJ377" s="1298"/>
      <c r="AK377" s="1298"/>
      <c r="AL377" s="1298"/>
      <c r="AM377" s="1298"/>
      <c r="AN377" s="1298"/>
      <c r="AO377" s="1298"/>
      <c r="AP377" s="1298"/>
      <c r="AQ377" s="1298"/>
      <c r="AR377" s="1298"/>
      <c r="AS377" s="1298"/>
      <c r="AT377" s="1298"/>
      <c r="AU377" s="1298"/>
      <c r="AV377" s="1298"/>
      <c r="AW377" s="1298"/>
      <c r="AX377" s="1298"/>
      <c r="AY377" s="1298"/>
      <c r="AZ377" s="1298"/>
      <c r="BA377" s="1298"/>
      <c r="BB377" s="1298"/>
      <c r="BC377" s="1298"/>
      <c r="BD377" s="1298"/>
      <c r="BE377" s="1298"/>
      <c r="BF377" s="1298"/>
      <c r="BR377" s="1298"/>
      <c r="BS377" s="1298"/>
      <c r="BT377" s="1298"/>
      <c r="BU377" s="1087"/>
      <c r="BV377" s="1298"/>
      <c r="BW377" s="1298"/>
      <c r="BX377" s="1298"/>
      <c r="BY377" s="1298"/>
      <c r="BZ377" s="1298"/>
    </row>
    <row r="378" spans="2:78" ht="12.75" customHeight="1">
      <c r="B378" s="1291"/>
      <c r="C378" s="1298"/>
      <c r="D378" s="1298"/>
      <c r="E378" s="1298"/>
      <c r="F378" s="1299"/>
      <c r="G378" s="1300"/>
      <c r="H378" s="1300"/>
      <c r="I378" s="1300"/>
      <c r="J378" s="1300"/>
      <c r="K378" s="1298"/>
      <c r="L378" s="1298"/>
      <c r="M378" s="1298"/>
      <c r="N378" s="1298"/>
      <c r="O378" s="1298"/>
      <c r="P378" s="1298"/>
      <c r="Q378" s="1298"/>
      <c r="R378" s="1298"/>
      <c r="S378" s="1298"/>
      <c r="T378" s="1298"/>
      <c r="U378" s="1298"/>
      <c r="V378" s="1298"/>
      <c r="W378" s="1298"/>
      <c r="X378" s="1298"/>
      <c r="Y378" s="1298"/>
      <c r="Z378" s="1298"/>
      <c r="AA378" s="1298"/>
      <c r="AB378" s="1298"/>
      <c r="AC378" s="1298"/>
      <c r="AD378" s="1298"/>
      <c r="AE378" s="1298"/>
      <c r="AF378" s="1298"/>
      <c r="AG378" s="1298"/>
      <c r="AH378" s="1298"/>
      <c r="AI378" s="1298"/>
      <c r="AJ378" s="1298"/>
      <c r="AK378" s="1298"/>
      <c r="AL378" s="1298"/>
      <c r="AM378" s="1298"/>
      <c r="AN378" s="1298"/>
      <c r="AO378" s="1298"/>
      <c r="AP378" s="1298"/>
      <c r="AQ378" s="1298"/>
      <c r="AR378" s="1298"/>
      <c r="AS378" s="1298"/>
      <c r="AT378" s="1298"/>
      <c r="AU378" s="1298"/>
      <c r="AV378" s="1298"/>
      <c r="AW378" s="1298"/>
      <c r="AX378" s="1298"/>
      <c r="AY378" s="1298"/>
      <c r="AZ378" s="1298"/>
      <c r="BA378" s="1298"/>
      <c r="BB378" s="1298"/>
      <c r="BC378" s="1298"/>
      <c r="BD378" s="1298"/>
      <c r="BE378" s="1298"/>
      <c r="BF378" s="1298"/>
      <c r="BR378" s="1298"/>
      <c r="BS378" s="1298"/>
      <c r="BT378" s="1298"/>
      <c r="BU378" s="1087"/>
      <c r="BV378" s="1298"/>
      <c r="BW378" s="1298"/>
      <c r="BX378" s="1298"/>
      <c r="BY378" s="1298"/>
      <c r="BZ378" s="1298"/>
    </row>
    <row r="379" spans="2:78" ht="12.75" customHeight="1">
      <c r="B379" s="1291"/>
      <c r="C379" s="1298"/>
      <c r="D379" s="1298"/>
      <c r="E379" s="1298"/>
      <c r="F379" s="1299"/>
      <c r="G379" s="1300"/>
      <c r="H379" s="1300"/>
      <c r="I379" s="1300"/>
      <c r="J379" s="1300"/>
      <c r="K379" s="1298"/>
      <c r="L379" s="1298"/>
      <c r="M379" s="1298"/>
      <c r="N379" s="1298"/>
      <c r="O379" s="1298"/>
      <c r="P379" s="1298"/>
      <c r="Q379" s="1298"/>
      <c r="R379" s="1298"/>
      <c r="S379" s="1298"/>
      <c r="T379" s="1298"/>
      <c r="U379" s="1298"/>
      <c r="V379" s="1298"/>
      <c r="W379" s="1298"/>
      <c r="X379" s="1298"/>
      <c r="Y379" s="1298"/>
      <c r="Z379" s="1298"/>
      <c r="AA379" s="1298"/>
      <c r="AB379" s="1298"/>
      <c r="AC379" s="1298"/>
      <c r="AD379" s="1298"/>
      <c r="AE379" s="1298"/>
      <c r="AF379" s="1298"/>
      <c r="AG379" s="1298"/>
      <c r="AH379" s="1298"/>
      <c r="AI379" s="1298"/>
      <c r="AJ379" s="1298"/>
      <c r="AK379" s="1298"/>
      <c r="AL379" s="1298"/>
      <c r="AM379" s="1298"/>
      <c r="AN379" s="1298"/>
      <c r="AO379" s="1298"/>
      <c r="AP379" s="1298"/>
      <c r="AQ379" s="1298"/>
      <c r="AR379" s="1298"/>
      <c r="AS379" s="1298"/>
      <c r="AT379" s="1298"/>
      <c r="AU379" s="1298"/>
      <c r="AV379" s="1298"/>
      <c r="AW379" s="1298"/>
      <c r="AX379" s="1298"/>
      <c r="AY379" s="1298"/>
      <c r="AZ379" s="1298"/>
      <c r="BA379" s="1298"/>
      <c r="BB379" s="1298"/>
      <c r="BC379" s="1298"/>
      <c r="BD379" s="1298"/>
      <c r="BE379" s="1298"/>
      <c r="BF379" s="1298"/>
      <c r="BR379" s="1298"/>
      <c r="BS379" s="1298"/>
      <c r="BT379" s="1298"/>
      <c r="BU379" s="1087"/>
      <c r="BV379" s="1298"/>
      <c r="BW379" s="1298"/>
      <c r="BX379" s="1298"/>
      <c r="BY379" s="1298"/>
      <c r="BZ379" s="1298"/>
    </row>
    <row r="380" spans="2:78" ht="12.75" customHeight="1">
      <c r="B380" s="1291"/>
      <c r="C380" s="1298"/>
      <c r="D380" s="1298"/>
      <c r="E380" s="1298"/>
      <c r="F380" s="1299"/>
      <c r="G380" s="1300"/>
      <c r="H380" s="1300"/>
      <c r="I380" s="1300"/>
      <c r="J380" s="1300"/>
      <c r="K380" s="1298"/>
      <c r="L380" s="1298"/>
      <c r="M380" s="1298"/>
      <c r="N380" s="1298"/>
      <c r="O380" s="1298"/>
      <c r="P380" s="1298"/>
      <c r="Q380" s="1298"/>
      <c r="R380" s="1298"/>
      <c r="S380" s="1298"/>
      <c r="T380" s="1298"/>
      <c r="U380" s="1298"/>
      <c r="V380" s="1298"/>
      <c r="W380" s="1298"/>
      <c r="X380" s="1298"/>
      <c r="Y380" s="1298"/>
      <c r="Z380" s="1298"/>
      <c r="AA380" s="1298"/>
      <c r="AB380" s="1298"/>
      <c r="AC380" s="1298"/>
      <c r="AD380" s="1298"/>
      <c r="AE380" s="1298"/>
      <c r="AF380" s="1298"/>
      <c r="AG380" s="1298"/>
      <c r="AH380" s="1298"/>
      <c r="AI380" s="1298"/>
      <c r="AJ380" s="1298"/>
      <c r="AK380" s="1298"/>
      <c r="AL380" s="1298"/>
      <c r="AM380" s="1298"/>
      <c r="AN380" s="1298"/>
      <c r="AO380" s="1298"/>
      <c r="AP380" s="1298"/>
      <c r="AQ380" s="1298"/>
      <c r="AR380" s="1298"/>
      <c r="AS380" s="1298"/>
      <c r="AT380" s="1298"/>
      <c r="AU380" s="1298"/>
      <c r="AV380" s="1298"/>
      <c r="AW380" s="1298"/>
      <c r="AX380" s="1298"/>
      <c r="AY380" s="1298"/>
      <c r="AZ380" s="1298"/>
      <c r="BA380" s="1298"/>
      <c r="BB380" s="1298"/>
      <c r="BC380" s="1298"/>
      <c r="BD380" s="1298"/>
      <c r="BE380" s="1298"/>
      <c r="BF380" s="1298"/>
      <c r="BR380" s="1298"/>
      <c r="BS380" s="1298"/>
      <c r="BT380" s="1298"/>
      <c r="BU380" s="1087"/>
      <c r="BV380" s="1298"/>
      <c r="BW380" s="1298"/>
      <c r="BX380" s="1298"/>
      <c r="BY380" s="1298"/>
      <c r="BZ380" s="1298"/>
    </row>
    <row r="381" spans="2:78" ht="12.75" customHeight="1">
      <c r="B381" s="1291"/>
      <c r="C381" s="1298"/>
      <c r="D381" s="1298"/>
      <c r="E381" s="1298"/>
      <c r="F381" s="1299"/>
      <c r="G381" s="1300"/>
      <c r="H381" s="1300"/>
      <c r="I381" s="1300"/>
      <c r="J381" s="1300"/>
      <c r="K381" s="1298"/>
      <c r="L381" s="1298"/>
      <c r="M381" s="1298"/>
      <c r="N381" s="1298"/>
      <c r="O381" s="1298"/>
      <c r="P381" s="1298"/>
      <c r="Q381" s="1298"/>
      <c r="R381" s="1298"/>
      <c r="S381" s="1298"/>
      <c r="T381" s="1298"/>
      <c r="U381" s="1298"/>
      <c r="V381" s="1298"/>
      <c r="W381" s="1298"/>
      <c r="X381" s="1298"/>
      <c r="Y381" s="1298"/>
      <c r="Z381" s="1298"/>
      <c r="AA381" s="1298"/>
      <c r="AB381" s="1298"/>
      <c r="AC381" s="1298"/>
      <c r="AD381" s="1298"/>
      <c r="AE381" s="1298"/>
      <c r="AF381" s="1298"/>
      <c r="AG381" s="1298"/>
      <c r="AH381" s="1298"/>
      <c r="AI381" s="1298"/>
      <c r="AJ381" s="1298"/>
      <c r="AK381" s="1298"/>
      <c r="AL381" s="1298"/>
      <c r="AM381" s="1298"/>
      <c r="AN381" s="1298"/>
      <c r="AO381" s="1298"/>
      <c r="AP381" s="1298"/>
      <c r="AQ381" s="1298"/>
      <c r="AR381" s="1298"/>
      <c r="AS381" s="1298"/>
      <c r="AT381" s="1298"/>
      <c r="AU381" s="1298"/>
      <c r="AV381" s="1298"/>
      <c r="AW381" s="1298"/>
      <c r="AX381" s="1298"/>
      <c r="AY381" s="1298"/>
      <c r="AZ381" s="1298"/>
      <c r="BA381" s="1298"/>
      <c r="BB381" s="1298"/>
      <c r="BC381" s="1298"/>
      <c r="BD381" s="1298"/>
      <c r="BE381" s="1298"/>
      <c r="BF381" s="1298"/>
      <c r="BR381" s="1298"/>
      <c r="BS381" s="1298"/>
      <c r="BT381" s="1298"/>
      <c r="BU381" s="1087"/>
      <c r="BV381" s="1298"/>
      <c r="BW381" s="1298"/>
      <c r="BX381" s="1298"/>
      <c r="BY381" s="1298"/>
      <c r="BZ381" s="1298"/>
    </row>
    <row r="382" spans="2:78" ht="12.75" customHeight="1">
      <c r="B382" s="1291"/>
      <c r="C382" s="1298"/>
      <c r="D382" s="1298"/>
      <c r="E382" s="1298"/>
      <c r="F382" s="1299"/>
      <c r="G382" s="1300"/>
      <c r="H382" s="1300"/>
      <c r="I382" s="1300"/>
      <c r="J382" s="1300"/>
      <c r="K382" s="1298"/>
      <c r="L382" s="1298"/>
      <c r="M382" s="1298"/>
      <c r="N382" s="1298"/>
      <c r="O382" s="1298"/>
      <c r="P382" s="1298"/>
      <c r="Q382" s="1298"/>
      <c r="R382" s="1298"/>
      <c r="S382" s="1298"/>
      <c r="T382" s="1298"/>
      <c r="U382" s="1298"/>
      <c r="V382" s="1298"/>
      <c r="W382" s="1298"/>
      <c r="X382" s="1298"/>
      <c r="Y382" s="1298"/>
      <c r="Z382" s="1298"/>
      <c r="AA382" s="1298"/>
      <c r="AB382" s="1298"/>
      <c r="AC382" s="1298"/>
      <c r="AD382" s="1298"/>
      <c r="AE382" s="1298"/>
      <c r="AF382" s="1298"/>
      <c r="AG382" s="1298"/>
      <c r="AH382" s="1298"/>
      <c r="AI382" s="1298"/>
      <c r="AJ382" s="1298"/>
      <c r="AK382" s="1298"/>
      <c r="AL382" s="1298"/>
      <c r="AM382" s="1298"/>
      <c r="AN382" s="1298"/>
      <c r="AO382" s="1298"/>
      <c r="AP382" s="1298"/>
      <c r="AQ382" s="1298"/>
      <c r="AR382" s="1298"/>
      <c r="AS382" s="1298"/>
      <c r="AT382" s="1298"/>
      <c r="AU382" s="1298"/>
      <c r="AV382" s="1298"/>
      <c r="AW382" s="1298"/>
      <c r="AX382" s="1298"/>
      <c r="AY382" s="1298"/>
      <c r="AZ382" s="1298"/>
      <c r="BA382" s="1298"/>
      <c r="BB382" s="1298"/>
      <c r="BC382" s="1298"/>
      <c r="BD382" s="1298"/>
      <c r="BE382" s="1298"/>
      <c r="BF382" s="1298"/>
      <c r="BR382" s="1298"/>
      <c r="BS382" s="1298"/>
      <c r="BT382" s="1298"/>
      <c r="BU382" s="1087"/>
      <c r="BV382" s="1298"/>
      <c r="BW382" s="1298"/>
      <c r="BX382" s="1298"/>
      <c r="BY382" s="1298"/>
      <c r="BZ382" s="1298"/>
    </row>
    <row r="383" spans="2:78" ht="12.75" customHeight="1">
      <c r="B383" s="1291"/>
      <c r="C383" s="1298"/>
      <c r="D383" s="1298"/>
      <c r="E383" s="1298"/>
      <c r="F383" s="1299"/>
      <c r="G383" s="1300"/>
      <c r="H383" s="1300"/>
      <c r="I383" s="1300"/>
      <c r="J383" s="1300"/>
      <c r="K383" s="1298"/>
      <c r="L383" s="1298"/>
      <c r="M383" s="1298"/>
      <c r="N383" s="1298"/>
      <c r="O383" s="1298"/>
      <c r="P383" s="1298"/>
      <c r="Q383" s="1298"/>
      <c r="R383" s="1298"/>
      <c r="S383" s="1298"/>
      <c r="T383" s="1298"/>
      <c r="U383" s="1298"/>
      <c r="V383" s="1298"/>
      <c r="W383" s="1298"/>
      <c r="X383" s="1298"/>
      <c r="Y383" s="1298"/>
      <c r="Z383" s="1298"/>
      <c r="AA383" s="1298"/>
      <c r="AB383" s="1298"/>
      <c r="AC383" s="1298"/>
      <c r="AD383" s="1298"/>
      <c r="AE383" s="1298"/>
      <c r="AF383" s="1298"/>
      <c r="AG383" s="1298"/>
      <c r="AH383" s="1298"/>
      <c r="AI383" s="1298"/>
      <c r="AJ383" s="1298"/>
      <c r="AK383" s="1298"/>
      <c r="AL383" s="1298"/>
      <c r="AM383" s="1298"/>
      <c r="AN383" s="1298"/>
      <c r="AO383" s="1298"/>
      <c r="AP383" s="1298"/>
      <c r="AQ383" s="1298"/>
      <c r="AR383" s="1298"/>
      <c r="AS383" s="1298"/>
      <c r="AT383" s="1298"/>
      <c r="AU383" s="1298"/>
      <c r="AV383" s="1298"/>
      <c r="AW383" s="1298"/>
      <c r="AX383" s="1298"/>
      <c r="AY383" s="1298"/>
      <c r="AZ383" s="1298"/>
      <c r="BA383" s="1298"/>
      <c r="BB383" s="1298"/>
      <c r="BC383" s="1298"/>
      <c r="BD383" s="1298"/>
      <c r="BE383" s="1298"/>
      <c r="BF383" s="1298"/>
      <c r="BR383" s="1298"/>
      <c r="BS383" s="1298"/>
      <c r="BT383" s="1298"/>
      <c r="BU383" s="1087"/>
      <c r="BV383" s="1298"/>
      <c r="BW383" s="1298"/>
      <c r="BX383" s="1298"/>
      <c r="BY383" s="1298"/>
      <c r="BZ383" s="1298"/>
    </row>
    <row r="384" spans="2:78" ht="12.75" customHeight="1">
      <c r="B384" s="1291"/>
      <c r="C384" s="1298"/>
      <c r="D384" s="1298"/>
      <c r="E384" s="1298"/>
      <c r="F384" s="1299"/>
      <c r="G384" s="1300"/>
      <c r="H384" s="1300"/>
      <c r="I384" s="1300"/>
      <c r="J384" s="1300"/>
      <c r="K384" s="1298"/>
      <c r="L384" s="1298"/>
      <c r="M384" s="1298"/>
      <c r="N384" s="1298"/>
      <c r="O384" s="1298"/>
      <c r="P384" s="1298"/>
      <c r="Q384" s="1298"/>
      <c r="R384" s="1298"/>
      <c r="S384" s="1298"/>
      <c r="T384" s="1298"/>
      <c r="U384" s="1298"/>
      <c r="V384" s="1298"/>
      <c r="W384" s="1298"/>
      <c r="X384" s="1298"/>
      <c r="Y384" s="1298"/>
      <c r="Z384" s="1298"/>
      <c r="AA384" s="1298"/>
      <c r="AB384" s="1298"/>
      <c r="AC384" s="1298"/>
      <c r="AD384" s="1298"/>
      <c r="AE384" s="1298"/>
      <c r="AF384" s="1298"/>
      <c r="AG384" s="1298"/>
      <c r="AH384" s="1298"/>
      <c r="AI384" s="1298"/>
      <c r="AJ384" s="1298"/>
      <c r="AK384" s="1298"/>
      <c r="AL384" s="1298"/>
      <c r="AM384" s="1298"/>
      <c r="AN384" s="1298"/>
      <c r="AO384" s="1298"/>
      <c r="AP384" s="1298"/>
      <c r="AQ384" s="1298"/>
      <c r="AR384" s="1298"/>
      <c r="AS384" s="1298"/>
      <c r="AT384" s="1298"/>
      <c r="AU384" s="1298"/>
      <c r="AV384" s="1298"/>
      <c r="AW384" s="1298"/>
      <c r="AX384" s="1298"/>
      <c r="AY384" s="1298"/>
      <c r="AZ384" s="1298"/>
      <c r="BA384" s="1298"/>
      <c r="BB384" s="1298"/>
      <c r="BC384" s="1298"/>
      <c r="BD384" s="1298"/>
      <c r="BE384" s="1298"/>
      <c r="BF384" s="1298"/>
      <c r="BR384" s="1298"/>
      <c r="BS384" s="1298"/>
      <c r="BT384" s="1298"/>
      <c r="BU384" s="1087"/>
      <c r="BV384" s="1298"/>
      <c r="BW384" s="1298"/>
      <c r="BX384" s="1298"/>
      <c r="BY384" s="1298"/>
      <c r="BZ384" s="1298"/>
    </row>
    <row r="385" spans="2:78" ht="12.75" customHeight="1">
      <c r="B385" s="1291"/>
      <c r="C385" s="1298"/>
      <c r="D385" s="1298"/>
      <c r="E385" s="1298"/>
      <c r="F385" s="1299"/>
      <c r="G385" s="1300"/>
      <c r="H385" s="1300"/>
      <c r="I385" s="1300"/>
      <c r="J385" s="1300"/>
      <c r="K385" s="1298"/>
      <c r="L385" s="1298"/>
      <c r="M385" s="1298"/>
      <c r="N385" s="1298"/>
      <c r="O385" s="1298"/>
      <c r="P385" s="1298"/>
      <c r="Q385" s="1298"/>
      <c r="R385" s="1298"/>
      <c r="S385" s="1298"/>
      <c r="T385" s="1298"/>
      <c r="U385" s="1298"/>
      <c r="V385" s="1298"/>
      <c r="W385" s="1298"/>
      <c r="X385" s="1298"/>
      <c r="Y385" s="1298"/>
      <c r="Z385" s="1298"/>
      <c r="AA385" s="1298"/>
      <c r="AB385" s="1298"/>
      <c r="AC385" s="1298"/>
      <c r="AD385" s="1298"/>
      <c r="AE385" s="1298"/>
      <c r="AF385" s="1298"/>
      <c r="AG385" s="1298"/>
      <c r="AH385" s="1298"/>
      <c r="AI385" s="1298"/>
      <c r="AJ385" s="1298"/>
      <c r="AK385" s="1298"/>
      <c r="AL385" s="1298"/>
      <c r="AM385" s="1298"/>
      <c r="AN385" s="1298"/>
      <c r="AO385" s="1298"/>
      <c r="AP385" s="1298"/>
      <c r="AQ385" s="1298"/>
      <c r="AR385" s="1298"/>
      <c r="AS385" s="1298"/>
      <c r="AT385" s="1298"/>
      <c r="AU385" s="1298"/>
      <c r="AV385" s="1298"/>
      <c r="AW385" s="1298"/>
      <c r="AX385" s="1298"/>
      <c r="AY385" s="1298"/>
      <c r="AZ385" s="1298"/>
      <c r="BA385" s="1298"/>
      <c r="BB385" s="1298"/>
      <c r="BC385" s="1298"/>
      <c r="BD385" s="1298"/>
      <c r="BE385" s="1298"/>
      <c r="BF385" s="1298"/>
      <c r="BR385" s="1298"/>
      <c r="BS385" s="1298"/>
      <c r="BT385" s="1298"/>
      <c r="BU385" s="1087"/>
      <c r="BV385" s="1298"/>
      <c r="BW385" s="1298"/>
      <c r="BX385" s="1298"/>
      <c r="BY385" s="1298"/>
      <c r="BZ385" s="1298"/>
    </row>
    <row r="386" spans="2:78" ht="12.75" customHeight="1">
      <c r="B386" s="1291"/>
      <c r="C386" s="1298"/>
      <c r="D386" s="1298"/>
      <c r="E386" s="1298"/>
      <c r="F386" s="1299"/>
      <c r="G386" s="1300"/>
      <c r="H386" s="1300"/>
      <c r="I386" s="1300"/>
      <c r="J386" s="1300"/>
      <c r="K386" s="1298"/>
      <c r="L386" s="1298"/>
      <c r="M386" s="1298"/>
      <c r="N386" s="1298"/>
      <c r="O386" s="1298"/>
      <c r="P386" s="1298"/>
      <c r="Q386" s="1298"/>
      <c r="R386" s="1298"/>
      <c r="S386" s="1298"/>
      <c r="T386" s="1298"/>
      <c r="U386" s="1298"/>
      <c r="V386" s="1298"/>
      <c r="W386" s="1298"/>
      <c r="X386" s="1298"/>
      <c r="Y386" s="1298"/>
      <c r="Z386" s="1298"/>
      <c r="AA386" s="1298"/>
      <c r="AB386" s="1298"/>
      <c r="AC386" s="1298"/>
      <c r="AD386" s="1298"/>
      <c r="AE386" s="1298"/>
      <c r="AF386" s="1298"/>
      <c r="AG386" s="1298"/>
      <c r="AH386" s="1298"/>
      <c r="AI386" s="1298"/>
      <c r="AJ386" s="1298"/>
      <c r="AK386" s="1298"/>
      <c r="AL386" s="1298"/>
      <c r="AM386" s="1298"/>
      <c r="AN386" s="1298"/>
      <c r="AO386" s="1298"/>
      <c r="AP386" s="1298"/>
      <c r="AQ386" s="1298"/>
      <c r="AR386" s="1298"/>
      <c r="AS386" s="1298"/>
      <c r="AT386" s="1298"/>
      <c r="AU386" s="1298"/>
      <c r="AV386" s="1298"/>
      <c r="AW386" s="1298"/>
      <c r="AX386" s="1298"/>
      <c r="AY386" s="1298"/>
      <c r="AZ386" s="1298"/>
      <c r="BA386" s="1298"/>
      <c r="BB386" s="1298"/>
      <c r="BC386" s="1298"/>
      <c r="BD386" s="1298"/>
      <c r="BE386" s="1298"/>
      <c r="BF386" s="1298"/>
      <c r="BR386" s="1298"/>
      <c r="BS386" s="1298"/>
      <c r="BT386" s="1298"/>
      <c r="BU386" s="1087"/>
      <c r="BV386" s="1298"/>
      <c r="BW386" s="1298"/>
      <c r="BX386" s="1298"/>
      <c r="BY386" s="1298"/>
      <c r="BZ386" s="1298"/>
    </row>
    <row r="387" spans="2:78" ht="12.75" customHeight="1">
      <c r="B387" s="1291"/>
      <c r="C387" s="1298"/>
      <c r="D387" s="1298"/>
      <c r="E387" s="1298"/>
      <c r="F387" s="1299"/>
      <c r="G387" s="1300"/>
      <c r="H387" s="1300"/>
      <c r="I387" s="1300"/>
      <c r="J387" s="1300"/>
      <c r="K387" s="1298"/>
      <c r="L387" s="1298"/>
      <c r="M387" s="1298"/>
      <c r="N387" s="1298"/>
      <c r="O387" s="1298"/>
      <c r="P387" s="1298"/>
      <c r="Q387" s="1298"/>
      <c r="R387" s="1298"/>
      <c r="S387" s="1298"/>
      <c r="T387" s="1298"/>
      <c r="U387" s="1298"/>
      <c r="V387" s="1298"/>
      <c r="W387" s="1298"/>
      <c r="X387" s="1298"/>
      <c r="Y387" s="1298"/>
      <c r="Z387" s="1298"/>
      <c r="AA387" s="1298"/>
      <c r="AB387" s="1298"/>
      <c r="AC387" s="1298"/>
      <c r="AD387" s="1298"/>
      <c r="AE387" s="1298"/>
      <c r="AF387" s="1298"/>
      <c r="AG387" s="1298"/>
      <c r="AH387" s="1298"/>
      <c r="AI387" s="1298"/>
      <c r="AJ387" s="1298"/>
      <c r="AK387" s="1298"/>
      <c r="AL387" s="1298"/>
      <c r="AM387" s="1298"/>
      <c r="AN387" s="1298"/>
      <c r="AO387" s="1298"/>
      <c r="AP387" s="1298"/>
      <c r="AQ387" s="1298"/>
      <c r="AR387" s="1298"/>
      <c r="AS387" s="1298"/>
      <c r="AT387" s="1298"/>
      <c r="AU387" s="1298"/>
      <c r="AV387" s="1298"/>
      <c r="AW387" s="1298"/>
      <c r="AX387" s="1298"/>
      <c r="AY387" s="1298"/>
      <c r="AZ387" s="1298"/>
      <c r="BA387" s="1298"/>
      <c r="BB387" s="1298"/>
      <c r="BC387" s="1298"/>
      <c r="BD387" s="1298"/>
      <c r="BE387" s="1298"/>
      <c r="BF387" s="1298"/>
      <c r="BR387" s="1298"/>
      <c r="BS387" s="1298"/>
      <c r="BT387" s="1298"/>
      <c r="BU387" s="1087"/>
      <c r="BV387" s="1298"/>
      <c r="BW387" s="1298"/>
      <c r="BX387" s="1298"/>
      <c r="BY387" s="1298"/>
      <c r="BZ387" s="1298"/>
    </row>
    <row r="388" spans="2:78" ht="12.75" customHeight="1">
      <c r="B388" s="1291"/>
      <c r="C388" s="1298"/>
      <c r="D388" s="1298"/>
      <c r="E388" s="1298"/>
      <c r="F388" s="1299"/>
      <c r="G388" s="1300"/>
      <c r="H388" s="1300"/>
      <c r="I388" s="1300"/>
      <c r="J388" s="1300"/>
      <c r="K388" s="1298"/>
      <c r="L388" s="1298"/>
      <c r="M388" s="1298"/>
      <c r="N388" s="1298"/>
      <c r="O388" s="1298"/>
      <c r="P388" s="1298"/>
      <c r="Q388" s="1298"/>
      <c r="R388" s="1298"/>
      <c r="S388" s="1298"/>
      <c r="T388" s="1298"/>
      <c r="U388" s="1298"/>
      <c r="V388" s="1298"/>
      <c r="W388" s="1298"/>
      <c r="X388" s="1298"/>
      <c r="Y388" s="1298"/>
      <c r="Z388" s="1298"/>
      <c r="AA388" s="1298"/>
      <c r="AB388" s="1298"/>
      <c r="AC388" s="1298"/>
      <c r="AD388" s="1298"/>
      <c r="AE388" s="1298"/>
      <c r="AF388" s="1298"/>
      <c r="AG388" s="1298"/>
      <c r="AH388" s="1298"/>
      <c r="AI388" s="1298"/>
      <c r="AJ388" s="1298"/>
      <c r="AK388" s="1298"/>
      <c r="AL388" s="1298"/>
      <c r="AM388" s="1298"/>
      <c r="AN388" s="1298"/>
      <c r="AO388" s="1298"/>
      <c r="AP388" s="1298"/>
      <c r="AQ388" s="1298"/>
      <c r="AR388" s="1298"/>
      <c r="AS388" s="1298"/>
      <c r="AT388" s="1298"/>
      <c r="AU388" s="1298"/>
      <c r="AV388" s="1298"/>
      <c r="AW388" s="1298"/>
      <c r="AX388" s="1298"/>
      <c r="AY388" s="1298"/>
      <c r="AZ388" s="1298"/>
      <c r="BA388" s="1298"/>
      <c r="BB388" s="1298"/>
      <c r="BC388" s="1298"/>
      <c r="BD388" s="1298"/>
      <c r="BE388" s="1298"/>
      <c r="BF388" s="1298"/>
      <c r="BR388" s="1298"/>
      <c r="BS388" s="1298"/>
      <c r="BT388" s="1298"/>
      <c r="BU388" s="1087"/>
      <c r="BV388" s="1298"/>
      <c r="BW388" s="1298"/>
      <c r="BX388" s="1298"/>
      <c r="BY388" s="1298"/>
      <c r="BZ388" s="1298"/>
    </row>
    <row r="389" spans="2:78" ht="12.75" customHeight="1">
      <c r="B389" s="1291"/>
      <c r="C389" s="1298"/>
      <c r="D389" s="1298"/>
      <c r="E389" s="1298"/>
      <c r="F389" s="1299"/>
      <c r="G389" s="1300"/>
      <c r="H389" s="1300"/>
      <c r="I389" s="1300"/>
      <c r="J389" s="1300"/>
      <c r="K389" s="1298"/>
      <c r="L389" s="1298"/>
      <c r="M389" s="1298"/>
      <c r="N389" s="1298"/>
      <c r="O389" s="1298"/>
      <c r="P389" s="1298"/>
      <c r="Q389" s="1298"/>
      <c r="R389" s="1298"/>
      <c r="S389" s="1298"/>
      <c r="T389" s="1298"/>
      <c r="U389" s="1298"/>
      <c r="V389" s="1298"/>
      <c r="W389" s="1298"/>
      <c r="X389" s="1298"/>
      <c r="Y389" s="1298"/>
      <c r="Z389" s="1298"/>
      <c r="AA389" s="1298"/>
      <c r="AB389" s="1298"/>
      <c r="AC389" s="1298"/>
      <c r="AD389" s="1298"/>
      <c r="AE389" s="1298"/>
      <c r="AF389" s="1298"/>
      <c r="AG389" s="1298"/>
      <c r="AH389" s="1298"/>
      <c r="AI389" s="1298"/>
      <c r="AJ389" s="1298"/>
      <c r="AK389" s="1298"/>
      <c r="AL389" s="1298"/>
      <c r="AM389" s="1298"/>
      <c r="AN389" s="1298"/>
      <c r="AO389" s="1298"/>
      <c r="AP389" s="1298"/>
      <c r="AQ389" s="1298"/>
      <c r="AR389" s="1298"/>
      <c r="AS389" s="1298"/>
      <c r="AT389" s="1298"/>
      <c r="AU389" s="1298"/>
      <c r="AV389" s="1298"/>
      <c r="AW389" s="1298"/>
      <c r="AX389" s="1298"/>
      <c r="AY389" s="1298"/>
      <c r="AZ389" s="1298"/>
      <c r="BA389" s="1298"/>
      <c r="BB389" s="1298"/>
      <c r="BC389" s="1298"/>
      <c r="BD389" s="1298"/>
      <c r="BE389" s="1298"/>
      <c r="BF389" s="1298"/>
      <c r="BR389" s="1298"/>
      <c r="BS389" s="1298"/>
      <c r="BT389" s="1298"/>
      <c r="BU389" s="1087"/>
      <c r="BV389" s="1298"/>
      <c r="BW389" s="1298"/>
      <c r="BX389" s="1298"/>
      <c r="BY389" s="1298"/>
      <c r="BZ389" s="1298"/>
    </row>
    <row r="390" spans="2:78" ht="12.75" customHeight="1">
      <c r="B390" s="1291"/>
      <c r="C390" s="1298"/>
      <c r="D390" s="1298"/>
      <c r="E390" s="1298"/>
      <c r="F390" s="1299"/>
      <c r="G390" s="1300"/>
      <c r="H390" s="1300"/>
      <c r="I390" s="1300"/>
      <c r="J390" s="1300"/>
      <c r="K390" s="1298"/>
      <c r="L390" s="1298"/>
      <c r="M390" s="1298"/>
      <c r="N390" s="1298"/>
      <c r="O390" s="1298"/>
      <c r="P390" s="1298"/>
      <c r="Q390" s="1298"/>
      <c r="R390" s="1298"/>
      <c r="S390" s="1298"/>
      <c r="T390" s="1298"/>
      <c r="U390" s="1298"/>
      <c r="V390" s="1298"/>
      <c r="W390" s="1298"/>
      <c r="X390" s="1298"/>
      <c r="Y390" s="1298"/>
      <c r="Z390" s="1298"/>
      <c r="AA390" s="1298"/>
      <c r="AB390" s="1298"/>
      <c r="AC390" s="1298"/>
      <c r="AD390" s="1298"/>
      <c r="AE390" s="1298"/>
      <c r="AF390" s="1298"/>
      <c r="AG390" s="1298"/>
      <c r="AH390" s="1298"/>
      <c r="AI390" s="1298"/>
      <c r="AJ390" s="1298"/>
      <c r="AK390" s="1298"/>
      <c r="AL390" s="1298"/>
      <c r="AM390" s="1298"/>
      <c r="AN390" s="1298"/>
      <c r="AO390" s="1298"/>
      <c r="AP390" s="1298"/>
      <c r="AQ390" s="1298"/>
      <c r="AR390" s="1298"/>
      <c r="AS390" s="1298"/>
      <c r="AT390" s="1298"/>
      <c r="AU390" s="1298"/>
      <c r="AV390" s="1298"/>
      <c r="AW390" s="1298"/>
      <c r="AX390" s="1298"/>
      <c r="AY390" s="1298"/>
      <c r="AZ390" s="1298"/>
      <c r="BA390" s="1298"/>
      <c r="BB390" s="1298"/>
      <c r="BC390" s="1298"/>
      <c r="BD390" s="1298"/>
      <c r="BE390" s="1298"/>
      <c r="BF390" s="1298"/>
      <c r="BR390" s="1298"/>
      <c r="BS390" s="1298"/>
      <c r="BT390" s="1298"/>
      <c r="BU390" s="1087"/>
      <c r="BV390" s="1298"/>
      <c r="BW390" s="1298"/>
      <c r="BX390" s="1298"/>
      <c r="BY390" s="1298"/>
      <c r="BZ390" s="1298"/>
    </row>
    <row r="391" spans="2:78" ht="12.75" customHeight="1">
      <c r="B391" s="1291"/>
      <c r="C391" s="1298"/>
      <c r="D391" s="1298"/>
      <c r="E391" s="1298"/>
      <c r="F391" s="1299"/>
      <c r="G391" s="1300"/>
      <c r="H391" s="1300"/>
      <c r="I391" s="1300"/>
      <c r="J391" s="1300"/>
      <c r="K391" s="1298"/>
      <c r="L391" s="1298"/>
      <c r="M391" s="1298"/>
      <c r="N391" s="1298"/>
      <c r="O391" s="1298"/>
      <c r="P391" s="1298"/>
      <c r="Q391" s="1298"/>
      <c r="R391" s="1298"/>
      <c r="S391" s="1298"/>
      <c r="T391" s="1298"/>
      <c r="U391" s="1298"/>
      <c r="V391" s="1298"/>
      <c r="W391" s="1298"/>
      <c r="X391" s="1298"/>
      <c r="Y391" s="1298"/>
      <c r="Z391" s="1298"/>
      <c r="AA391" s="1298"/>
      <c r="AB391" s="1298"/>
      <c r="AC391" s="1298"/>
      <c r="AD391" s="1298"/>
      <c r="AE391" s="1298"/>
      <c r="AF391" s="1298"/>
      <c r="AG391" s="1298"/>
      <c r="AH391" s="1298"/>
      <c r="AI391" s="1298"/>
      <c r="AJ391" s="1298"/>
      <c r="AK391" s="1298"/>
      <c r="AL391" s="1298"/>
      <c r="AM391" s="1298"/>
      <c r="AN391" s="1298"/>
      <c r="AO391" s="1298"/>
      <c r="AP391" s="1298"/>
      <c r="AQ391" s="1298"/>
      <c r="AR391" s="1298"/>
      <c r="AS391" s="1298"/>
      <c r="AT391" s="1298"/>
      <c r="AU391" s="1298"/>
      <c r="AV391" s="1298"/>
      <c r="AW391" s="1298"/>
      <c r="AX391" s="1298"/>
      <c r="AY391" s="1298"/>
      <c r="AZ391" s="1298"/>
      <c r="BA391" s="1298"/>
      <c r="BB391" s="1298"/>
      <c r="BC391" s="1298"/>
      <c r="BD391" s="1298"/>
      <c r="BE391" s="1298"/>
      <c r="BF391" s="1298"/>
      <c r="BR391" s="1298"/>
      <c r="BS391" s="1298"/>
      <c r="BT391" s="1298"/>
      <c r="BU391" s="1087"/>
      <c r="BV391" s="1298"/>
      <c r="BW391" s="1298"/>
      <c r="BX391" s="1298"/>
      <c r="BY391" s="1298"/>
      <c r="BZ391" s="1298"/>
    </row>
    <row r="392" spans="2:78" ht="12.75" customHeight="1">
      <c r="BR392" s="1298"/>
      <c r="BU392" s="1087"/>
    </row>
    <row r="393" spans="2:78" ht="12.75" customHeight="1">
      <c r="BR393" s="1298"/>
      <c r="BU393" s="1087"/>
    </row>
    <row r="394" spans="2:78" ht="12.75" customHeight="1">
      <c r="BR394" s="1298"/>
      <c r="BU394" s="1087"/>
    </row>
    <row r="395" spans="2:78" ht="12.75" customHeight="1">
      <c r="BR395" s="1298"/>
      <c r="BU395" s="1087"/>
    </row>
    <row r="396" spans="2:78" ht="12.75" customHeight="1">
      <c r="BR396" s="1298"/>
      <c r="BU396" s="1087"/>
    </row>
    <row r="397" spans="2:78" ht="12.75" customHeight="1">
      <c r="BR397" s="1298"/>
      <c r="BU397" s="1087"/>
    </row>
    <row r="398" spans="2:78" ht="12.75" customHeight="1">
      <c r="BR398" s="1298"/>
      <c r="BU398" s="1087"/>
    </row>
    <row r="399" spans="2:78" ht="12.75" customHeight="1">
      <c r="BR399" s="1298"/>
      <c r="BU399" s="1087"/>
    </row>
    <row r="400" spans="2:78" ht="12.75" customHeight="1">
      <c r="BR400" s="1298"/>
      <c r="BU400" s="1087"/>
    </row>
    <row r="401" spans="70:73" ht="12.75" customHeight="1">
      <c r="BR401" s="1298"/>
      <c r="BU401" s="1087"/>
    </row>
    <row r="402" spans="70:73" ht="12.75" customHeight="1">
      <c r="BR402" s="1298"/>
      <c r="BU402" s="1087"/>
    </row>
    <row r="403" spans="70:73" ht="12.75" customHeight="1">
      <c r="BR403" s="1298"/>
      <c r="BU403" s="1087"/>
    </row>
    <row r="404" spans="70:73" ht="12.75" customHeight="1">
      <c r="BR404" s="1298"/>
      <c r="BU404" s="1087"/>
    </row>
    <row r="405" spans="70:73" ht="12.75" customHeight="1">
      <c r="BR405" s="1298"/>
      <c r="BU405" s="1087"/>
    </row>
    <row r="406" spans="70:73" ht="12.75" customHeight="1">
      <c r="BR406" s="1298"/>
      <c r="BU406" s="1087"/>
    </row>
    <row r="407" spans="70:73" ht="12.75" customHeight="1">
      <c r="BR407" s="1298"/>
      <c r="BU407" s="1087"/>
    </row>
    <row r="408" spans="70:73" ht="12.75" customHeight="1">
      <c r="BU408" s="1087"/>
    </row>
    <row r="409" spans="70:73" ht="12.75" customHeight="1">
      <c r="BU409" s="1087"/>
    </row>
    <row r="410" spans="70:73" ht="12.75" customHeight="1">
      <c r="BU410" s="1087"/>
    </row>
    <row r="411" spans="70:73" ht="12.75" customHeight="1">
      <c r="BU411" s="1087"/>
    </row>
    <row r="412" spans="70:73" ht="12.75" customHeight="1">
      <c r="BU412" s="1087"/>
    </row>
    <row r="413" spans="70:73" ht="12.75" customHeight="1">
      <c r="BU413" s="1087"/>
    </row>
    <row r="414" spans="70:73" ht="12.75" customHeight="1">
      <c r="BU414" s="1087"/>
    </row>
    <row r="415" spans="70:73" ht="12.75" customHeight="1">
      <c r="BU415" s="1087"/>
    </row>
    <row r="416" spans="70:73" ht="12.75" customHeight="1">
      <c r="BU416" s="1087"/>
    </row>
    <row r="417" spans="73:73" ht="12.75" customHeight="1">
      <c r="BU417" s="1087"/>
    </row>
    <row r="418" spans="73:73" ht="12.75" customHeight="1">
      <c r="BU418" s="1087"/>
    </row>
    <row r="419" spans="73:73" ht="12.75" customHeight="1">
      <c r="BU419" s="1087"/>
    </row>
    <row r="420" spans="73:73" ht="12.75" customHeight="1">
      <c r="BU420" s="1087"/>
    </row>
    <row r="421" spans="73:73" ht="12.75" customHeight="1">
      <c r="BU421" s="1087"/>
    </row>
    <row r="422" spans="73:73" ht="12.75" customHeight="1">
      <c r="BU422" s="1087"/>
    </row>
    <row r="423" spans="73:73" ht="12.75" customHeight="1">
      <c r="BU423" s="1087"/>
    </row>
    <row r="424" spans="73:73" ht="12.75" customHeight="1">
      <c r="BU424" s="1087"/>
    </row>
    <row r="425" spans="73:73" ht="12.75" customHeight="1">
      <c r="BU425" s="1087"/>
    </row>
    <row r="426" spans="73:73" ht="12.75" customHeight="1">
      <c r="BU426" s="1087"/>
    </row>
    <row r="427" spans="73:73" ht="12.75" customHeight="1">
      <c r="BU427" s="1087"/>
    </row>
    <row r="428" spans="73:73" ht="12.75" customHeight="1">
      <c r="BU428" s="1087"/>
    </row>
    <row r="429" spans="73:73" ht="12.75" customHeight="1">
      <c r="BU429" s="1087"/>
    </row>
    <row r="430" spans="73:73" ht="12.75" customHeight="1">
      <c r="BU430" s="1087"/>
    </row>
    <row r="431" spans="73:73" ht="12.75" customHeight="1">
      <c r="BU431" s="1087"/>
    </row>
    <row r="432" spans="73:73" ht="12.75" customHeight="1">
      <c r="BU432" s="1087"/>
    </row>
    <row r="433" spans="73:73" ht="12.75" customHeight="1">
      <c r="BU433" s="1087"/>
    </row>
    <row r="434" spans="73:73" ht="12.75" customHeight="1">
      <c r="BU434" s="1087"/>
    </row>
    <row r="435" spans="73:73" ht="12.75" customHeight="1">
      <c r="BU435" s="1087"/>
    </row>
    <row r="436" spans="73:73" ht="12.75" customHeight="1">
      <c r="BU436" s="1087"/>
    </row>
    <row r="437" spans="73:73" ht="12.75" customHeight="1">
      <c r="BU437" s="1087"/>
    </row>
    <row r="438" spans="73:73" ht="12.75" customHeight="1">
      <c r="BU438" s="1087"/>
    </row>
    <row r="439" spans="73:73" ht="12.75" customHeight="1">
      <c r="BU439" s="1087"/>
    </row>
    <row r="440" spans="73:73" ht="12.75" customHeight="1">
      <c r="BU440" s="1087"/>
    </row>
    <row r="441" spans="73:73" ht="12.75" customHeight="1">
      <c r="BU441" s="1087"/>
    </row>
    <row r="442" spans="73:73" ht="12.75" customHeight="1">
      <c r="BU442" s="1087"/>
    </row>
    <row r="443" spans="73:73" ht="12.75" customHeight="1">
      <c r="BU443" s="1087"/>
    </row>
    <row r="444" spans="73:73" ht="12.75" customHeight="1">
      <c r="BU444" s="1087"/>
    </row>
    <row r="445" spans="73:73" ht="12.75" customHeight="1">
      <c r="BU445" s="1087"/>
    </row>
    <row r="446" spans="73:73" ht="12.75" customHeight="1">
      <c r="BU446" s="1087"/>
    </row>
    <row r="447" spans="73:73" ht="12.75" customHeight="1">
      <c r="BU447" s="1087"/>
    </row>
    <row r="448" spans="73:73" ht="12.75" customHeight="1">
      <c r="BU448" s="1087"/>
    </row>
    <row r="449" spans="73:73" ht="12.75" customHeight="1">
      <c r="BU449" s="1087"/>
    </row>
    <row r="450" spans="73:73" ht="12.75" customHeight="1">
      <c r="BU450" s="1087"/>
    </row>
    <row r="451" spans="73:73" ht="12.75" customHeight="1"/>
    <row r="452" spans="73:73" ht="12.75" customHeight="1"/>
    <row r="453" spans="73:73" ht="12.75" customHeight="1"/>
    <row r="454" spans="73:73" ht="12.75" customHeight="1"/>
    <row r="455" spans="73:73" ht="12.75" customHeight="1"/>
    <row r="456" spans="73:73" ht="12.75" customHeight="1"/>
    <row r="457" spans="73:73" ht="12.75" customHeight="1"/>
    <row r="458" spans="73:73" ht="12.75" customHeight="1"/>
    <row r="459" spans="73:73" ht="12.75" customHeight="1"/>
    <row r="460" spans="73:73" ht="12.75" customHeight="1"/>
    <row r="461" spans="73:73" ht="12.75" customHeight="1"/>
    <row r="462" spans="73:73" ht="12.75" customHeight="1"/>
    <row r="463" spans="73:73" ht="12.75" customHeight="1"/>
    <row r="464" spans="73:73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</sheetData>
  <phoneticPr fontId="27" type="noConversion"/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3"/>
  <sheetViews>
    <sheetView workbookViewId="0">
      <selection activeCell="B42" sqref="B42"/>
    </sheetView>
  </sheetViews>
  <sheetFormatPr defaultRowHeight="12.75"/>
  <cols>
    <col min="1" max="1" width="29.5703125" style="1764" bestFit="1" customWidth="1"/>
    <col min="2" max="2" width="19.85546875" style="1786" customWidth="1"/>
    <col min="3" max="3" width="12" style="1764" bestFit="1" customWidth="1"/>
    <col min="4" max="256" width="9.140625" style="1764"/>
    <col min="257" max="257" width="29.5703125" style="1764" bestFit="1" customWidth="1"/>
    <col min="258" max="258" width="19.85546875" style="1764" customWidth="1"/>
    <col min="259" max="259" width="12" style="1764" bestFit="1" customWidth="1"/>
    <col min="260" max="512" width="9.140625" style="1764"/>
    <col min="513" max="513" width="29.5703125" style="1764" bestFit="1" customWidth="1"/>
    <col min="514" max="514" width="19.85546875" style="1764" customWidth="1"/>
    <col min="515" max="515" width="12" style="1764" bestFit="1" customWidth="1"/>
    <col min="516" max="768" width="9.140625" style="1764"/>
    <col min="769" max="769" width="29.5703125" style="1764" bestFit="1" customWidth="1"/>
    <col min="770" max="770" width="19.85546875" style="1764" customWidth="1"/>
    <col min="771" max="771" width="12" style="1764" bestFit="1" customWidth="1"/>
    <col min="772" max="1024" width="9.140625" style="1764"/>
    <col min="1025" max="1025" width="29.5703125" style="1764" bestFit="1" customWidth="1"/>
    <col min="1026" max="1026" width="19.85546875" style="1764" customWidth="1"/>
    <col min="1027" max="1027" width="12" style="1764" bestFit="1" customWidth="1"/>
    <col min="1028" max="1280" width="9.140625" style="1764"/>
    <col min="1281" max="1281" width="29.5703125" style="1764" bestFit="1" customWidth="1"/>
    <col min="1282" max="1282" width="19.85546875" style="1764" customWidth="1"/>
    <col min="1283" max="1283" width="12" style="1764" bestFit="1" customWidth="1"/>
    <col min="1284" max="1536" width="9.140625" style="1764"/>
    <col min="1537" max="1537" width="29.5703125" style="1764" bestFit="1" customWidth="1"/>
    <col min="1538" max="1538" width="19.85546875" style="1764" customWidth="1"/>
    <col min="1539" max="1539" width="12" style="1764" bestFit="1" customWidth="1"/>
    <col min="1540" max="1792" width="9.140625" style="1764"/>
    <col min="1793" max="1793" width="29.5703125" style="1764" bestFit="1" customWidth="1"/>
    <col min="1794" max="1794" width="19.85546875" style="1764" customWidth="1"/>
    <col min="1795" max="1795" width="12" style="1764" bestFit="1" customWidth="1"/>
    <col min="1796" max="2048" width="9.140625" style="1764"/>
    <col min="2049" max="2049" width="29.5703125" style="1764" bestFit="1" customWidth="1"/>
    <col min="2050" max="2050" width="19.85546875" style="1764" customWidth="1"/>
    <col min="2051" max="2051" width="12" style="1764" bestFit="1" customWidth="1"/>
    <col min="2052" max="2304" width="9.140625" style="1764"/>
    <col min="2305" max="2305" width="29.5703125" style="1764" bestFit="1" customWidth="1"/>
    <col min="2306" max="2306" width="19.85546875" style="1764" customWidth="1"/>
    <col min="2307" max="2307" width="12" style="1764" bestFit="1" customWidth="1"/>
    <col min="2308" max="2560" width="9.140625" style="1764"/>
    <col min="2561" max="2561" width="29.5703125" style="1764" bestFit="1" customWidth="1"/>
    <col min="2562" max="2562" width="19.85546875" style="1764" customWidth="1"/>
    <col min="2563" max="2563" width="12" style="1764" bestFit="1" customWidth="1"/>
    <col min="2564" max="2816" width="9.140625" style="1764"/>
    <col min="2817" max="2817" width="29.5703125" style="1764" bestFit="1" customWidth="1"/>
    <col min="2818" max="2818" width="19.85546875" style="1764" customWidth="1"/>
    <col min="2819" max="2819" width="12" style="1764" bestFit="1" customWidth="1"/>
    <col min="2820" max="3072" width="9.140625" style="1764"/>
    <col min="3073" max="3073" width="29.5703125" style="1764" bestFit="1" customWidth="1"/>
    <col min="3074" max="3074" width="19.85546875" style="1764" customWidth="1"/>
    <col min="3075" max="3075" width="12" style="1764" bestFit="1" customWidth="1"/>
    <col min="3076" max="3328" width="9.140625" style="1764"/>
    <col min="3329" max="3329" width="29.5703125" style="1764" bestFit="1" customWidth="1"/>
    <col min="3330" max="3330" width="19.85546875" style="1764" customWidth="1"/>
    <col min="3331" max="3331" width="12" style="1764" bestFit="1" customWidth="1"/>
    <col min="3332" max="3584" width="9.140625" style="1764"/>
    <col min="3585" max="3585" width="29.5703125" style="1764" bestFit="1" customWidth="1"/>
    <col min="3586" max="3586" width="19.85546875" style="1764" customWidth="1"/>
    <col min="3587" max="3587" width="12" style="1764" bestFit="1" customWidth="1"/>
    <col min="3588" max="3840" width="9.140625" style="1764"/>
    <col min="3841" max="3841" width="29.5703125" style="1764" bestFit="1" customWidth="1"/>
    <col min="3842" max="3842" width="19.85546875" style="1764" customWidth="1"/>
    <col min="3843" max="3843" width="12" style="1764" bestFit="1" customWidth="1"/>
    <col min="3844" max="4096" width="9.140625" style="1764"/>
    <col min="4097" max="4097" width="29.5703125" style="1764" bestFit="1" customWidth="1"/>
    <col min="4098" max="4098" width="19.85546875" style="1764" customWidth="1"/>
    <col min="4099" max="4099" width="12" style="1764" bestFit="1" customWidth="1"/>
    <col min="4100" max="4352" width="9.140625" style="1764"/>
    <col min="4353" max="4353" width="29.5703125" style="1764" bestFit="1" customWidth="1"/>
    <col min="4354" max="4354" width="19.85546875" style="1764" customWidth="1"/>
    <col min="4355" max="4355" width="12" style="1764" bestFit="1" customWidth="1"/>
    <col min="4356" max="4608" width="9.140625" style="1764"/>
    <col min="4609" max="4609" width="29.5703125" style="1764" bestFit="1" customWidth="1"/>
    <col min="4610" max="4610" width="19.85546875" style="1764" customWidth="1"/>
    <col min="4611" max="4611" width="12" style="1764" bestFit="1" customWidth="1"/>
    <col min="4612" max="4864" width="9.140625" style="1764"/>
    <col min="4865" max="4865" width="29.5703125" style="1764" bestFit="1" customWidth="1"/>
    <col min="4866" max="4866" width="19.85546875" style="1764" customWidth="1"/>
    <col min="4867" max="4867" width="12" style="1764" bestFit="1" customWidth="1"/>
    <col min="4868" max="5120" width="9.140625" style="1764"/>
    <col min="5121" max="5121" width="29.5703125" style="1764" bestFit="1" customWidth="1"/>
    <col min="5122" max="5122" width="19.85546875" style="1764" customWidth="1"/>
    <col min="5123" max="5123" width="12" style="1764" bestFit="1" customWidth="1"/>
    <col min="5124" max="5376" width="9.140625" style="1764"/>
    <col min="5377" max="5377" width="29.5703125" style="1764" bestFit="1" customWidth="1"/>
    <col min="5378" max="5378" width="19.85546875" style="1764" customWidth="1"/>
    <col min="5379" max="5379" width="12" style="1764" bestFit="1" customWidth="1"/>
    <col min="5380" max="5632" width="9.140625" style="1764"/>
    <col min="5633" max="5633" width="29.5703125" style="1764" bestFit="1" customWidth="1"/>
    <col min="5634" max="5634" width="19.85546875" style="1764" customWidth="1"/>
    <col min="5635" max="5635" width="12" style="1764" bestFit="1" customWidth="1"/>
    <col min="5636" max="5888" width="9.140625" style="1764"/>
    <col min="5889" max="5889" width="29.5703125" style="1764" bestFit="1" customWidth="1"/>
    <col min="5890" max="5890" width="19.85546875" style="1764" customWidth="1"/>
    <col min="5891" max="5891" width="12" style="1764" bestFit="1" customWidth="1"/>
    <col min="5892" max="6144" width="9.140625" style="1764"/>
    <col min="6145" max="6145" width="29.5703125" style="1764" bestFit="1" customWidth="1"/>
    <col min="6146" max="6146" width="19.85546875" style="1764" customWidth="1"/>
    <col min="6147" max="6147" width="12" style="1764" bestFit="1" customWidth="1"/>
    <col min="6148" max="6400" width="9.140625" style="1764"/>
    <col min="6401" max="6401" width="29.5703125" style="1764" bestFit="1" customWidth="1"/>
    <col min="6402" max="6402" width="19.85546875" style="1764" customWidth="1"/>
    <col min="6403" max="6403" width="12" style="1764" bestFit="1" customWidth="1"/>
    <col min="6404" max="6656" width="9.140625" style="1764"/>
    <col min="6657" max="6657" width="29.5703125" style="1764" bestFit="1" customWidth="1"/>
    <col min="6658" max="6658" width="19.85546875" style="1764" customWidth="1"/>
    <col min="6659" max="6659" width="12" style="1764" bestFit="1" customWidth="1"/>
    <col min="6660" max="6912" width="9.140625" style="1764"/>
    <col min="6913" max="6913" width="29.5703125" style="1764" bestFit="1" customWidth="1"/>
    <col min="6914" max="6914" width="19.85546875" style="1764" customWidth="1"/>
    <col min="6915" max="6915" width="12" style="1764" bestFit="1" customWidth="1"/>
    <col min="6916" max="7168" width="9.140625" style="1764"/>
    <col min="7169" max="7169" width="29.5703125" style="1764" bestFit="1" customWidth="1"/>
    <col min="7170" max="7170" width="19.85546875" style="1764" customWidth="1"/>
    <col min="7171" max="7171" width="12" style="1764" bestFit="1" customWidth="1"/>
    <col min="7172" max="7424" width="9.140625" style="1764"/>
    <col min="7425" max="7425" width="29.5703125" style="1764" bestFit="1" customWidth="1"/>
    <col min="7426" max="7426" width="19.85546875" style="1764" customWidth="1"/>
    <col min="7427" max="7427" width="12" style="1764" bestFit="1" customWidth="1"/>
    <col min="7428" max="7680" width="9.140625" style="1764"/>
    <col min="7681" max="7681" width="29.5703125" style="1764" bestFit="1" customWidth="1"/>
    <col min="7682" max="7682" width="19.85546875" style="1764" customWidth="1"/>
    <col min="7683" max="7683" width="12" style="1764" bestFit="1" customWidth="1"/>
    <col min="7684" max="7936" width="9.140625" style="1764"/>
    <col min="7937" max="7937" width="29.5703125" style="1764" bestFit="1" customWidth="1"/>
    <col min="7938" max="7938" width="19.85546875" style="1764" customWidth="1"/>
    <col min="7939" max="7939" width="12" style="1764" bestFit="1" customWidth="1"/>
    <col min="7940" max="8192" width="9.140625" style="1764"/>
    <col min="8193" max="8193" width="29.5703125" style="1764" bestFit="1" customWidth="1"/>
    <col min="8194" max="8194" width="19.85546875" style="1764" customWidth="1"/>
    <col min="8195" max="8195" width="12" style="1764" bestFit="1" customWidth="1"/>
    <col min="8196" max="8448" width="9.140625" style="1764"/>
    <col min="8449" max="8449" width="29.5703125" style="1764" bestFit="1" customWidth="1"/>
    <col min="8450" max="8450" width="19.85546875" style="1764" customWidth="1"/>
    <col min="8451" max="8451" width="12" style="1764" bestFit="1" customWidth="1"/>
    <col min="8452" max="8704" width="9.140625" style="1764"/>
    <col min="8705" max="8705" width="29.5703125" style="1764" bestFit="1" customWidth="1"/>
    <col min="8706" max="8706" width="19.85546875" style="1764" customWidth="1"/>
    <col min="8707" max="8707" width="12" style="1764" bestFit="1" customWidth="1"/>
    <col min="8708" max="8960" width="9.140625" style="1764"/>
    <col min="8961" max="8961" width="29.5703125" style="1764" bestFit="1" customWidth="1"/>
    <col min="8962" max="8962" width="19.85546875" style="1764" customWidth="1"/>
    <col min="8963" max="8963" width="12" style="1764" bestFit="1" customWidth="1"/>
    <col min="8964" max="9216" width="9.140625" style="1764"/>
    <col min="9217" max="9217" width="29.5703125" style="1764" bestFit="1" customWidth="1"/>
    <col min="9218" max="9218" width="19.85546875" style="1764" customWidth="1"/>
    <col min="9219" max="9219" width="12" style="1764" bestFit="1" customWidth="1"/>
    <col min="9220" max="9472" width="9.140625" style="1764"/>
    <col min="9473" max="9473" width="29.5703125" style="1764" bestFit="1" customWidth="1"/>
    <col min="9474" max="9474" width="19.85546875" style="1764" customWidth="1"/>
    <col min="9475" max="9475" width="12" style="1764" bestFit="1" customWidth="1"/>
    <col min="9476" max="9728" width="9.140625" style="1764"/>
    <col min="9729" max="9729" width="29.5703125" style="1764" bestFit="1" customWidth="1"/>
    <col min="9730" max="9730" width="19.85546875" style="1764" customWidth="1"/>
    <col min="9731" max="9731" width="12" style="1764" bestFit="1" customWidth="1"/>
    <col min="9732" max="9984" width="9.140625" style="1764"/>
    <col min="9985" max="9985" width="29.5703125" style="1764" bestFit="1" customWidth="1"/>
    <col min="9986" max="9986" width="19.85546875" style="1764" customWidth="1"/>
    <col min="9987" max="9987" width="12" style="1764" bestFit="1" customWidth="1"/>
    <col min="9988" max="10240" width="9.140625" style="1764"/>
    <col min="10241" max="10241" width="29.5703125" style="1764" bestFit="1" customWidth="1"/>
    <col min="10242" max="10242" width="19.85546875" style="1764" customWidth="1"/>
    <col min="10243" max="10243" width="12" style="1764" bestFit="1" customWidth="1"/>
    <col min="10244" max="10496" width="9.140625" style="1764"/>
    <col min="10497" max="10497" width="29.5703125" style="1764" bestFit="1" customWidth="1"/>
    <col min="10498" max="10498" width="19.85546875" style="1764" customWidth="1"/>
    <col min="10499" max="10499" width="12" style="1764" bestFit="1" customWidth="1"/>
    <col min="10500" max="10752" width="9.140625" style="1764"/>
    <col min="10753" max="10753" width="29.5703125" style="1764" bestFit="1" customWidth="1"/>
    <col min="10754" max="10754" width="19.85546875" style="1764" customWidth="1"/>
    <col min="10755" max="10755" width="12" style="1764" bestFit="1" customWidth="1"/>
    <col min="10756" max="11008" width="9.140625" style="1764"/>
    <col min="11009" max="11009" width="29.5703125" style="1764" bestFit="1" customWidth="1"/>
    <col min="11010" max="11010" width="19.85546875" style="1764" customWidth="1"/>
    <col min="11011" max="11011" width="12" style="1764" bestFit="1" customWidth="1"/>
    <col min="11012" max="11264" width="9.140625" style="1764"/>
    <col min="11265" max="11265" width="29.5703125" style="1764" bestFit="1" customWidth="1"/>
    <col min="11266" max="11266" width="19.85546875" style="1764" customWidth="1"/>
    <col min="11267" max="11267" width="12" style="1764" bestFit="1" customWidth="1"/>
    <col min="11268" max="11520" width="9.140625" style="1764"/>
    <col min="11521" max="11521" width="29.5703125" style="1764" bestFit="1" customWidth="1"/>
    <col min="11522" max="11522" width="19.85546875" style="1764" customWidth="1"/>
    <col min="11523" max="11523" width="12" style="1764" bestFit="1" customWidth="1"/>
    <col min="11524" max="11776" width="9.140625" style="1764"/>
    <col min="11777" max="11777" width="29.5703125" style="1764" bestFit="1" customWidth="1"/>
    <col min="11778" max="11778" width="19.85546875" style="1764" customWidth="1"/>
    <col min="11779" max="11779" width="12" style="1764" bestFit="1" customWidth="1"/>
    <col min="11780" max="12032" width="9.140625" style="1764"/>
    <col min="12033" max="12033" width="29.5703125" style="1764" bestFit="1" customWidth="1"/>
    <col min="12034" max="12034" width="19.85546875" style="1764" customWidth="1"/>
    <col min="12035" max="12035" width="12" style="1764" bestFit="1" customWidth="1"/>
    <col min="12036" max="12288" width="9.140625" style="1764"/>
    <col min="12289" max="12289" width="29.5703125" style="1764" bestFit="1" customWidth="1"/>
    <col min="12290" max="12290" width="19.85546875" style="1764" customWidth="1"/>
    <col min="12291" max="12291" width="12" style="1764" bestFit="1" customWidth="1"/>
    <col min="12292" max="12544" width="9.140625" style="1764"/>
    <col min="12545" max="12545" width="29.5703125" style="1764" bestFit="1" customWidth="1"/>
    <col min="12546" max="12546" width="19.85546875" style="1764" customWidth="1"/>
    <col min="12547" max="12547" width="12" style="1764" bestFit="1" customWidth="1"/>
    <col min="12548" max="12800" width="9.140625" style="1764"/>
    <col min="12801" max="12801" width="29.5703125" style="1764" bestFit="1" customWidth="1"/>
    <col min="12802" max="12802" width="19.85546875" style="1764" customWidth="1"/>
    <col min="12803" max="12803" width="12" style="1764" bestFit="1" customWidth="1"/>
    <col min="12804" max="13056" width="9.140625" style="1764"/>
    <col min="13057" max="13057" width="29.5703125" style="1764" bestFit="1" customWidth="1"/>
    <col min="13058" max="13058" width="19.85546875" style="1764" customWidth="1"/>
    <col min="13059" max="13059" width="12" style="1764" bestFit="1" customWidth="1"/>
    <col min="13060" max="13312" width="9.140625" style="1764"/>
    <col min="13313" max="13313" width="29.5703125" style="1764" bestFit="1" customWidth="1"/>
    <col min="13314" max="13314" width="19.85546875" style="1764" customWidth="1"/>
    <col min="13315" max="13315" width="12" style="1764" bestFit="1" customWidth="1"/>
    <col min="13316" max="13568" width="9.140625" style="1764"/>
    <col min="13569" max="13569" width="29.5703125" style="1764" bestFit="1" customWidth="1"/>
    <col min="13570" max="13570" width="19.85546875" style="1764" customWidth="1"/>
    <col min="13571" max="13571" width="12" style="1764" bestFit="1" customWidth="1"/>
    <col min="13572" max="13824" width="9.140625" style="1764"/>
    <col min="13825" max="13825" width="29.5703125" style="1764" bestFit="1" customWidth="1"/>
    <col min="13826" max="13826" width="19.85546875" style="1764" customWidth="1"/>
    <col min="13827" max="13827" width="12" style="1764" bestFit="1" customWidth="1"/>
    <col min="13828" max="14080" width="9.140625" style="1764"/>
    <col min="14081" max="14081" width="29.5703125" style="1764" bestFit="1" customWidth="1"/>
    <col min="14082" max="14082" width="19.85546875" style="1764" customWidth="1"/>
    <col min="14083" max="14083" width="12" style="1764" bestFit="1" customWidth="1"/>
    <col min="14084" max="14336" width="9.140625" style="1764"/>
    <col min="14337" max="14337" width="29.5703125" style="1764" bestFit="1" customWidth="1"/>
    <col min="14338" max="14338" width="19.85546875" style="1764" customWidth="1"/>
    <col min="14339" max="14339" width="12" style="1764" bestFit="1" customWidth="1"/>
    <col min="14340" max="14592" width="9.140625" style="1764"/>
    <col min="14593" max="14593" width="29.5703125" style="1764" bestFit="1" customWidth="1"/>
    <col min="14594" max="14594" width="19.85546875" style="1764" customWidth="1"/>
    <col min="14595" max="14595" width="12" style="1764" bestFit="1" customWidth="1"/>
    <col min="14596" max="14848" width="9.140625" style="1764"/>
    <col min="14849" max="14849" width="29.5703125" style="1764" bestFit="1" customWidth="1"/>
    <col min="14850" max="14850" width="19.85546875" style="1764" customWidth="1"/>
    <col min="14851" max="14851" width="12" style="1764" bestFit="1" customWidth="1"/>
    <col min="14852" max="15104" width="9.140625" style="1764"/>
    <col min="15105" max="15105" width="29.5703125" style="1764" bestFit="1" customWidth="1"/>
    <col min="15106" max="15106" width="19.85546875" style="1764" customWidth="1"/>
    <col min="15107" max="15107" width="12" style="1764" bestFit="1" customWidth="1"/>
    <col min="15108" max="15360" width="9.140625" style="1764"/>
    <col min="15361" max="15361" width="29.5703125" style="1764" bestFit="1" customWidth="1"/>
    <col min="15362" max="15362" width="19.85546875" style="1764" customWidth="1"/>
    <col min="15363" max="15363" width="12" style="1764" bestFit="1" customWidth="1"/>
    <col min="15364" max="15616" width="9.140625" style="1764"/>
    <col min="15617" max="15617" width="29.5703125" style="1764" bestFit="1" customWidth="1"/>
    <col min="15618" max="15618" width="19.85546875" style="1764" customWidth="1"/>
    <col min="15619" max="15619" width="12" style="1764" bestFit="1" customWidth="1"/>
    <col min="15620" max="15872" width="9.140625" style="1764"/>
    <col min="15873" max="15873" width="29.5703125" style="1764" bestFit="1" customWidth="1"/>
    <col min="15874" max="15874" width="19.85546875" style="1764" customWidth="1"/>
    <col min="15875" max="15875" width="12" style="1764" bestFit="1" customWidth="1"/>
    <col min="15876" max="16128" width="9.140625" style="1764"/>
    <col min="16129" max="16129" width="29.5703125" style="1764" bestFit="1" customWidth="1"/>
    <col min="16130" max="16130" width="19.85546875" style="1764" customWidth="1"/>
    <col min="16131" max="16131" width="12" style="1764" bestFit="1" customWidth="1"/>
    <col min="16132" max="16384" width="9.140625" style="1764"/>
  </cols>
  <sheetData>
    <row r="1" spans="1:2">
      <c r="A1" s="1764" t="s">
        <v>1425</v>
      </c>
      <c r="B1" s="1785">
        <v>6.1</v>
      </c>
    </row>
    <row r="2" spans="1:2">
      <c r="A2" s="1764" t="s">
        <v>1426</v>
      </c>
      <c r="B2" s="1789">
        <v>43203.674976851849</v>
      </c>
    </row>
    <row r="3" spans="1:2">
      <c r="A3" s="1764" t="s">
        <v>1427</v>
      </c>
      <c r="B3" s="1786" t="s">
        <v>1120</v>
      </c>
    </row>
    <row r="4" spans="1:2">
      <c r="A4" s="1764" t="s">
        <v>1428</v>
      </c>
      <c r="B4" s="1786" t="s">
        <v>1429</v>
      </c>
    </row>
    <row r="5" spans="1:2">
      <c r="A5" s="1764" t="s">
        <v>1430</v>
      </c>
      <c r="B5" s="1786" t="s">
        <v>572</v>
      </c>
    </row>
    <row r="6" spans="1:2">
      <c r="A6" s="1764" t="s">
        <v>1431</v>
      </c>
    </row>
    <row r="7" spans="1:2">
      <c r="A7" s="1764" t="s">
        <v>1432</v>
      </c>
      <c r="B7" s="1786" t="s">
        <v>586</v>
      </c>
    </row>
    <row r="8" spans="1:2">
      <c r="A8" s="1764" t="s">
        <v>1433</v>
      </c>
      <c r="B8" s="1786" t="s">
        <v>1434</v>
      </c>
    </row>
    <row r="9" spans="1:2">
      <c r="A9" s="1764" t="s">
        <v>1435</v>
      </c>
      <c r="B9" s="1786" t="s">
        <v>1471</v>
      </c>
    </row>
    <row r="10" spans="1:2">
      <c r="A10" s="1764" t="s">
        <v>1436</v>
      </c>
    </row>
    <row r="11" spans="1:2">
      <c r="A11" s="1764" t="s">
        <v>1437</v>
      </c>
    </row>
    <row r="12" spans="1:2">
      <c r="A12" s="1764" t="s">
        <v>1438</v>
      </c>
    </row>
    <row r="13" spans="1:2">
      <c r="A13" s="1764" t="s">
        <v>1439</v>
      </c>
    </row>
    <row r="14" spans="1:2">
      <c r="A14" s="1764" t="s">
        <v>1440</v>
      </c>
    </row>
    <row r="15" spans="1:2">
      <c r="A15" s="1764" t="s">
        <v>1441</v>
      </c>
    </row>
    <row r="16" spans="1:2">
      <c r="A16" s="1764" t="s">
        <v>1442</v>
      </c>
    </row>
    <row r="17" spans="1:4">
      <c r="A17" s="1764" t="s">
        <v>1443</v>
      </c>
      <c r="B17" s="1786" t="s">
        <v>1472</v>
      </c>
    </row>
    <row r="18" spans="1:4">
      <c r="A18" s="1764" t="s">
        <v>1444</v>
      </c>
      <c r="B18" s="1786" t="s">
        <v>1121</v>
      </c>
    </row>
    <row r="19" spans="1:4">
      <c r="A19" s="1764" t="s">
        <v>1445</v>
      </c>
      <c r="B19" s="1786" t="s">
        <v>585</v>
      </c>
    </row>
    <row r="20" spans="1:4">
      <c r="A20" s="1764" t="s">
        <v>1446</v>
      </c>
      <c r="B20" s="1787">
        <v>744573106</v>
      </c>
    </row>
    <row r="21" spans="1:4">
      <c r="A21" s="1764" t="s">
        <v>1447</v>
      </c>
      <c r="B21" s="1786" t="s">
        <v>585</v>
      </c>
    </row>
    <row r="22" spans="1:4">
      <c r="A22" s="1764" t="s">
        <v>1448</v>
      </c>
      <c r="B22" s="1787">
        <v>2707677</v>
      </c>
    </row>
    <row r="23" spans="1:4">
      <c r="A23" s="1764" t="s">
        <v>606</v>
      </c>
      <c r="B23" s="1785">
        <v>49.83</v>
      </c>
    </row>
    <row r="24" spans="1:4">
      <c r="A24" s="1764" t="s">
        <v>605</v>
      </c>
      <c r="B24" s="1786" t="s">
        <v>595</v>
      </c>
      <c r="D24" s="1764" t="s">
        <v>77</v>
      </c>
    </row>
    <row r="25" spans="1:4">
      <c r="A25" s="1764" t="s">
        <v>1449</v>
      </c>
      <c r="B25" s="1786" t="s">
        <v>1475</v>
      </c>
    </row>
    <row r="26" spans="1:4">
      <c r="A26" s="1764" t="s">
        <v>166</v>
      </c>
      <c r="B26" s="1786">
        <v>0</v>
      </c>
    </row>
    <row r="27" spans="1:4">
      <c r="A27" s="1764" t="s">
        <v>1450</v>
      </c>
      <c r="B27" s="1786" t="s">
        <v>1451</v>
      </c>
    </row>
    <row r="28" spans="1:4">
      <c r="A28" s="1764" t="s">
        <v>1452</v>
      </c>
      <c r="B28" s="1786" t="s">
        <v>1453</v>
      </c>
    </row>
    <row r="29" spans="1:4">
      <c r="A29" s="1764" t="s">
        <v>1454</v>
      </c>
    </row>
    <row r="30" spans="1:4">
      <c r="A30" s="1764" t="s">
        <v>1455</v>
      </c>
    </row>
    <row r="31" spans="1:4">
      <c r="A31" s="1764" t="s">
        <v>1456</v>
      </c>
    </row>
    <row r="32" spans="1:4">
      <c r="A32" s="1764" t="s">
        <v>1457</v>
      </c>
      <c r="B32" s="1785"/>
    </row>
    <row r="33" spans="1:2">
      <c r="A33" s="1764" t="s">
        <v>1458</v>
      </c>
      <c r="B33" s="1785"/>
    </row>
    <row r="34" spans="1:2">
      <c r="A34" s="1764" t="s">
        <v>1459</v>
      </c>
      <c r="B34" s="1785"/>
    </row>
    <row r="35" spans="1:2">
      <c r="A35" s="1764" t="s">
        <v>1460</v>
      </c>
      <c r="B35" s="1786">
        <v>1000000</v>
      </c>
    </row>
    <row r="36" spans="1:2">
      <c r="A36" s="1764" t="s">
        <v>1461</v>
      </c>
      <c r="B36" s="1786" t="s">
        <v>1473</v>
      </c>
    </row>
    <row r="37" spans="1:2">
      <c r="A37" s="1764" t="s">
        <v>1462</v>
      </c>
      <c r="B37" s="1786" t="s">
        <v>1463</v>
      </c>
    </row>
    <row r="38" spans="1:2">
      <c r="A38" s="1764" t="s">
        <v>1464</v>
      </c>
      <c r="B38" s="1786" t="s">
        <v>1465</v>
      </c>
    </row>
    <row r="39" spans="1:2">
      <c r="A39" s="1764" t="s">
        <v>1466</v>
      </c>
      <c r="B39" s="1786" t="s">
        <v>1474</v>
      </c>
    </row>
    <row r="40" spans="1:2">
      <c r="A40" s="1764" t="s">
        <v>1467</v>
      </c>
      <c r="B40" s="1786">
        <v>1500005508</v>
      </c>
    </row>
    <row r="41" spans="1:2">
      <c r="A41" s="1764" t="s">
        <v>1468</v>
      </c>
      <c r="B41" s="1786">
        <v>1</v>
      </c>
    </row>
    <row r="42" spans="1:2">
      <c r="A42" s="1788" t="s">
        <v>1469</v>
      </c>
    </row>
    <row r="43" spans="1:2">
      <c r="A43" s="1764" t="s">
        <v>1470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3"/>
  <sheetViews>
    <sheetView workbookViewId="0">
      <selection activeCell="E11" sqref="E11"/>
    </sheetView>
  </sheetViews>
  <sheetFormatPr defaultRowHeight="12.75"/>
  <cols>
    <col min="1" max="1" width="28.5703125" style="1764" bestFit="1" customWidth="1"/>
    <col min="2" max="256" width="9.140625" style="1764"/>
    <col min="257" max="257" width="28.5703125" style="1764" bestFit="1" customWidth="1"/>
    <col min="258" max="512" width="9.140625" style="1764"/>
    <col min="513" max="513" width="28.5703125" style="1764" bestFit="1" customWidth="1"/>
    <col min="514" max="768" width="9.140625" style="1764"/>
    <col min="769" max="769" width="28.5703125" style="1764" bestFit="1" customWidth="1"/>
    <col min="770" max="1024" width="9.140625" style="1764"/>
    <col min="1025" max="1025" width="28.5703125" style="1764" bestFit="1" customWidth="1"/>
    <col min="1026" max="1280" width="9.140625" style="1764"/>
    <col min="1281" max="1281" width="28.5703125" style="1764" bestFit="1" customWidth="1"/>
    <col min="1282" max="1536" width="9.140625" style="1764"/>
    <col min="1537" max="1537" width="28.5703125" style="1764" bestFit="1" customWidth="1"/>
    <col min="1538" max="1792" width="9.140625" style="1764"/>
    <col min="1793" max="1793" width="28.5703125" style="1764" bestFit="1" customWidth="1"/>
    <col min="1794" max="2048" width="9.140625" style="1764"/>
    <col min="2049" max="2049" width="28.5703125" style="1764" bestFit="1" customWidth="1"/>
    <col min="2050" max="2304" width="9.140625" style="1764"/>
    <col min="2305" max="2305" width="28.5703125" style="1764" bestFit="1" customWidth="1"/>
    <col min="2306" max="2560" width="9.140625" style="1764"/>
    <col min="2561" max="2561" width="28.5703125" style="1764" bestFit="1" customWidth="1"/>
    <col min="2562" max="2816" width="9.140625" style="1764"/>
    <col min="2817" max="2817" width="28.5703125" style="1764" bestFit="1" customWidth="1"/>
    <col min="2818" max="3072" width="9.140625" style="1764"/>
    <col min="3073" max="3073" width="28.5703125" style="1764" bestFit="1" customWidth="1"/>
    <col min="3074" max="3328" width="9.140625" style="1764"/>
    <col min="3329" max="3329" width="28.5703125" style="1764" bestFit="1" customWidth="1"/>
    <col min="3330" max="3584" width="9.140625" style="1764"/>
    <col min="3585" max="3585" width="28.5703125" style="1764" bestFit="1" customWidth="1"/>
    <col min="3586" max="3840" width="9.140625" style="1764"/>
    <col min="3841" max="3841" width="28.5703125" style="1764" bestFit="1" customWidth="1"/>
    <col min="3842" max="4096" width="9.140625" style="1764"/>
    <col min="4097" max="4097" width="28.5703125" style="1764" bestFit="1" customWidth="1"/>
    <col min="4098" max="4352" width="9.140625" style="1764"/>
    <col min="4353" max="4353" width="28.5703125" style="1764" bestFit="1" customWidth="1"/>
    <col min="4354" max="4608" width="9.140625" style="1764"/>
    <col min="4609" max="4609" width="28.5703125" style="1764" bestFit="1" customWidth="1"/>
    <col min="4610" max="4864" width="9.140625" style="1764"/>
    <col min="4865" max="4865" width="28.5703125" style="1764" bestFit="1" customWidth="1"/>
    <col min="4866" max="5120" width="9.140625" style="1764"/>
    <col min="5121" max="5121" width="28.5703125" style="1764" bestFit="1" customWidth="1"/>
    <col min="5122" max="5376" width="9.140625" style="1764"/>
    <col min="5377" max="5377" width="28.5703125" style="1764" bestFit="1" customWidth="1"/>
    <col min="5378" max="5632" width="9.140625" style="1764"/>
    <col min="5633" max="5633" width="28.5703125" style="1764" bestFit="1" customWidth="1"/>
    <col min="5634" max="5888" width="9.140625" style="1764"/>
    <col min="5889" max="5889" width="28.5703125" style="1764" bestFit="1" customWidth="1"/>
    <col min="5890" max="6144" width="9.140625" style="1764"/>
    <col min="6145" max="6145" width="28.5703125" style="1764" bestFit="1" customWidth="1"/>
    <col min="6146" max="6400" width="9.140625" style="1764"/>
    <col min="6401" max="6401" width="28.5703125" style="1764" bestFit="1" customWidth="1"/>
    <col min="6402" max="6656" width="9.140625" style="1764"/>
    <col min="6657" max="6657" width="28.5703125" style="1764" bestFit="1" customWidth="1"/>
    <col min="6658" max="6912" width="9.140625" style="1764"/>
    <col min="6913" max="6913" width="28.5703125" style="1764" bestFit="1" customWidth="1"/>
    <col min="6914" max="7168" width="9.140625" style="1764"/>
    <col min="7169" max="7169" width="28.5703125" style="1764" bestFit="1" customWidth="1"/>
    <col min="7170" max="7424" width="9.140625" style="1764"/>
    <col min="7425" max="7425" width="28.5703125" style="1764" bestFit="1" customWidth="1"/>
    <col min="7426" max="7680" width="9.140625" style="1764"/>
    <col min="7681" max="7681" width="28.5703125" style="1764" bestFit="1" customWidth="1"/>
    <col min="7682" max="7936" width="9.140625" style="1764"/>
    <col min="7937" max="7937" width="28.5703125" style="1764" bestFit="1" customWidth="1"/>
    <col min="7938" max="8192" width="9.140625" style="1764"/>
    <col min="8193" max="8193" width="28.5703125" style="1764" bestFit="1" customWidth="1"/>
    <col min="8194" max="8448" width="9.140625" style="1764"/>
    <col min="8449" max="8449" width="28.5703125" style="1764" bestFit="1" customWidth="1"/>
    <col min="8450" max="8704" width="9.140625" style="1764"/>
    <col min="8705" max="8705" width="28.5703125" style="1764" bestFit="1" customWidth="1"/>
    <col min="8706" max="8960" width="9.140625" style="1764"/>
    <col min="8961" max="8961" width="28.5703125" style="1764" bestFit="1" customWidth="1"/>
    <col min="8962" max="9216" width="9.140625" style="1764"/>
    <col min="9217" max="9217" width="28.5703125" style="1764" bestFit="1" customWidth="1"/>
    <col min="9218" max="9472" width="9.140625" style="1764"/>
    <col min="9473" max="9473" width="28.5703125" style="1764" bestFit="1" customWidth="1"/>
    <col min="9474" max="9728" width="9.140625" style="1764"/>
    <col min="9729" max="9729" width="28.5703125" style="1764" bestFit="1" customWidth="1"/>
    <col min="9730" max="9984" width="9.140625" style="1764"/>
    <col min="9985" max="9985" width="28.5703125" style="1764" bestFit="1" customWidth="1"/>
    <col min="9986" max="10240" width="9.140625" style="1764"/>
    <col min="10241" max="10241" width="28.5703125" style="1764" bestFit="1" customWidth="1"/>
    <col min="10242" max="10496" width="9.140625" style="1764"/>
    <col min="10497" max="10497" width="28.5703125" style="1764" bestFit="1" customWidth="1"/>
    <col min="10498" max="10752" width="9.140625" style="1764"/>
    <col min="10753" max="10753" width="28.5703125" style="1764" bestFit="1" customWidth="1"/>
    <col min="10754" max="11008" width="9.140625" style="1764"/>
    <col min="11009" max="11009" width="28.5703125" style="1764" bestFit="1" customWidth="1"/>
    <col min="11010" max="11264" width="9.140625" style="1764"/>
    <col min="11265" max="11265" width="28.5703125" style="1764" bestFit="1" customWidth="1"/>
    <col min="11266" max="11520" width="9.140625" style="1764"/>
    <col min="11521" max="11521" width="28.5703125" style="1764" bestFit="1" customWidth="1"/>
    <col min="11522" max="11776" width="9.140625" style="1764"/>
    <col min="11777" max="11777" width="28.5703125" style="1764" bestFit="1" customWidth="1"/>
    <col min="11778" max="12032" width="9.140625" style="1764"/>
    <col min="12033" max="12033" width="28.5703125" style="1764" bestFit="1" customWidth="1"/>
    <col min="12034" max="12288" width="9.140625" style="1764"/>
    <col min="12289" max="12289" width="28.5703125" style="1764" bestFit="1" customWidth="1"/>
    <col min="12290" max="12544" width="9.140625" style="1764"/>
    <col min="12545" max="12545" width="28.5703125" style="1764" bestFit="1" customWidth="1"/>
    <col min="12546" max="12800" width="9.140625" style="1764"/>
    <col min="12801" max="12801" width="28.5703125" style="1764" bestFit="1" customWidth="1"/>
    <col min="12802" max="13056" width="9.140625" style="1764"/>
    <col min="13057" max="13057" width="28.5703125" style="1764" bestFit="1" customWidth="1"/>
    <col min="13058" max="13312" width="9.140625" style="1764"/>
    <col min="13313" max="13313" width="28.5703125" style="1764" bestFit="1" customWidth="1"/>
    <col min="13314" max="13568" width="9.140625" style="1764"/>
    <col min="13569" max="13569" width="28.5703125" style="1764" bestFit="1" customWidth="1"/>
    <col min="13570" max="13824" width="9.140625" style="1764"/>
    <col min="13825" max="13825" width="28.5703125" style="1764" bestFit="1" customWidth="1"/>
    <col min="13826" max="14080" width="9.140625" style="1764"/>
    <col min="14081" max="14081" width="28.5703125" style="1764" bestFit="1" customWidth="1"/>
    <col min="14082" max="14336" width="9.140625" style="1764"/>
    <col min="14337" max="14337" width="28.5703125" style="1764" bestFit="1" customWidth="1"/>
    <col min="14338" max="14592" width="9.140625" style="1764"/>
    <col min="14593" max="14593" width="28.5703125" style="1764" bestFit="1" customWidth="1"/>
    <col min="14594" max="14848" width="9.140625" style="1764"/>
    <col min="14849" max="14849" width="28.5703125" style="1764" bestFit="1" customWidth="1"/>
    <col min="14850" max="15104" width="9.140625" style="1764"/>
    <col min="15105" max="15105" width="28.5703125" style="1764" bestFit="1" customWidth="1"/>
    <col min="15106" max="15360" width="9.140625" style="1764"/>
    <col min="15361" max="15361" width="28.5703125" style="1764" bestFit="1" customWidth="1"/>
    <col min="15362" max="15616" width="9.140625" style="1764"/>
    <col min="15617" max="15617" width="28.5703125" style="1764" bestFit="1" customWidth="1"/>
    <col min="15618" max="15872" width="9.140625" style="1764"/>
    <col min="15873" max="15873" width="28.5703125" style="1764" bestFit="1" customWidth="1"/>
    <col min="15874" max="16128" width="9.140625" style="1764"/>
    <col min="16129" max="16129" width="28.5703125" style="1764" bestFit="1" customWidth="1"/>
    <col min="16130" max="16384" width="9.140625" style="1764"/>
  </cols>
  <sheetData>
    <row r="1" spans="1:1">
      <c r="A1" s="1790" t="s">
        <v>1476</v>
      </c>
    </row>
    <row r="2" spans="1:1">
      <c r="A2" s="1790" t="s">
        <v>1481</v>
      </c>
    </row>
    <row r="3" spans="1:1">
      <c r="A3" s="1790" t="s">
        <v>1482</v>
      </c>
    </row>
    <row r="4" spans="1:1">
      <c r="A4" s="1790" t="s">
        <v>1483</v>
      </c>
    </row>
    <row r="5" spans="1:1">
      <c r="A5" s="1790" t="s">
        <v>1484</v>
      </c>
    </row>
    <row r="6" spans="1:1">
      <c r="A6" s="1790" t="s">
        <v>1477</v>
      </c>
    </row>
    <row r="7" spans="1:1">
      <c r="A7" s="1790" t="s">
        <v>1485</v>
      </c>
    </row>
    <row r="8" spans="1:1">
      <c r="A8" s="1790" t="s">
        <v>1486</v>
      </c>
    </row>
    <row r="9" spans="1:1">
      <c r="A9" s="1790" t="s">
        <v>1487</v>
      </c>
    </row>
    <row r="10" spans="1:1">
      <c r="A10" s="1790" t="s">
        <v>1478</v>
      </c>
    </row>
    <row r="11" spans="1:1">
      <c r="A11" s="1790" t="s">
        <v>1488</v>
      </c>
    </row>
    <row r="12" spans="1:1">
      <c r="A12" s="1790" t="s">
        <v>1479</v>
      </c>
    </row>
    <row r="13" spans="1:1">
      <c r="A13" s="1790" t="s">
        <v>1480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Z2"/>
  <sheetViews>
    <sheetView workbookViewId="0"/>
  </sheetViews>
  <sheetFormatPr defaultRowHeight="12.75"/>
  <sheetData>
    <row r="1" spans="1:26">
      <c r="A1" t="s">
        <v>601</v>
      </c>
    </row>
    <row r="2" spans="1:26">
      <c r="A2" s="72" t="s">
        <v>354</v>
      </c>
      <c r="B2" s="72" t="s">
        <v>722</v>
      </c>
      <c r="C2" s="72" t="s">
        <v>541</v>
      </c>
      <c r="D2" s="72" t="s">
        <v>355</v>
      </c>
      <c r="E2" s="72" t="s">
        <v>542</v>
      </c>
      <c r="F2" s="72" t="s">
        <v>355</v>
      </c>
      <c r="G2" s="72" t="s">
        <v>526</v>
      </c>
      <c r="H2" s="72" t="s">
        <v>529</v>
      </c>
      <c r="I2" s="72" t="s">
        <v>527</v>
      </c>
      <c r="J2" s="72" t="s">
        <v>513</v>
      </c>
      <c r="K2" s="72" t="s">
        <v>540</v>
      </c>
      <c r="L2" s="72" t="s">
        <v>355</v>
      </c>
      <c r="M2" s="72" t="s">
        <v>599</v>
      </c>
      <c r="N2" s="72" t="s">
        <v>356</v>
      </c>
      <c r="O2" s="72" t="s">
        <v>598</v>
      </c>
      <c r="P2" s="72" t="s">
        <v>356</v>
      </c>
      <c r="Q2" s="72" t="s">
        <v>600</v>
      </c>
      <c r="R2" s="72" t="s">
        <v>356</v>
      </c>
      <c r="S2" s="72" t="s">
        <v>525</v>
      </c>
      <c r="T2" s="72" t="s">
        <v>595</v>
      </c>
      <c r="U2" s="72" t="s">
        <v>543</v>
      </c>
      <c r="V2" s="72" t="s">
        <v>355</v>
      </c>
      <c r="W2" s="72" t="s">
        <v>39</v>
      </c>
      <c r="X2" s="72" t="s">
        <v>595</v>
      </c>
      <c r="Y2" s="72" t="s">
        <v>38</v>
      </c>
      <c r="Z2" s="72" t="s">
        <v>1115</v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/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31CAF92D-931C-41A1-BFB2-D8247B9FBB45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6C420E06-E98E-4518-A365-8C1DA3516DB4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106</vt:i4>
      </vt:variant>
    </vt:vector>
  </HeadingPairs>
  <TitlesOfParts>
    <vt:vector size="118" baseType="lpstr">
      <vt:lpstr>ImportantDisclosures</vt:lpstr>
      <vt:lpstr>Cover</vt:lpstr>
      <vt:lpstr>Valuation</vt:lpstr>
      <vt:lpstr>Financial</vt:lpstr>
      <vt:lpstr>PEG</vt:lpstr>
      <vt:lpstr>PSE&amp;G</vt:lpstr>
      <vt:lpstr>Power</vt:lpstr>
      <vt:lpstr>Parent</vt:lpstr>
      <vt:lpstr>Debt</vt:lpstr>
      <vt:lpstr>Market Prices</vt:lpstr>
      <vt:lpstr>IndexInformation</vt:lpstr>
      <vt:lpstr>ModPubIndex</vt:lpstr>
      <vt:lpstr>Financial!_bdm.48BD514DC04A4AB4891E926213491EC9.edm</vt:lpstr>
      <vt:lpstr>Financial!_bdm.530488839E8A407C8F1C1B550BFC2836.edm</vt:lpstr>
      <vt:lpstr>Financial!_bdm.7264DC3258CD40029D96B7569D540AD9.edm</vt:lpstr>
      <vt:lpstr>Financial!_bdm.E967D92EDBF846E2B7B774FBF88F28E1.edm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Valuation!basept</vt:lpstr>
      <vt:lpstr>Valuation!bearpt</vt:lpstr>
      <vt:lpstr>ModPubIndex!BRO</vt:lpstr>
      <vt:lpstr>Valuation!bullpt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EPS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GenCo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</vt:lpstr>
      <vt:lpstr>Linking_2</vt:lpstr>
      <vt:lpstr>Linking_3</vt:lpstr>
      <vt:lpstr>Financial!Linking_Range_1</vt:lpstr>
      <vt:lpstr>Linking_Range_10</vt:lpstr>
      <vt:lpstr>Linking_Range_11</vt:lpstr>
      <vt:lpstr>Linking_Range_12</vt:lpstr>
      <vt:lpstr>Linking_Range_13</vt:lpstr>
      <vt:lpstr>Linking_Range_14</vt:lpstr>
      <vt:lpstr>Linking_Range_15</vt:lpstr>
      <vt:lpstr>Linking_Range_7</vt:lpstr>
      <vt:lpstr>Linking_Range_8</vt:lpstr>
      <vt:lpstr>Linking_Range_9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Premium</vt:lpstr>
      <vt:lpstr>Debt!Print_Area</vt:lpstr>
      <vt:lpstr>Financial!Print_Area</vt:lpstr>
      <vt:lpstr>Parent!Print_Area</vt:lpstr>
      <vt:lpstr>PEG!Print_Area</vt:lpstr>
      <vt:lpstr>Power!Print_Area</vt:lpstr>
      <vt:lpstr>Valuation!Print_Area</vt:lpstr>
      <vt:lpstr>Power!Print_Titles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Financial!RegPct</vt:lpstr>
      <vt:lpstr>IndexInformation!ResearchTopic</vt:lpstr>
      <vt:lpstr>IndexInformation!RIC</vt:lpstr>
      <vt:lpstr>IndexInformation!SEDOL</vt:lpstr>
      <vt:lpstr>Financial!SO</vt:lpstr>
      <vt:lpstr>ImportantDisclosures!SourceDefined</vt:lpstr>
      <vt:lpstr>ImportantDisclosures!StockRating</vt:lpstr>
      <vt:lpstr>IndexInformation!SubjectCode</vt:lpstr>
      <vt:lpstr>SubmitterUserId</vt:lpstr>
      <vt:lpstr>Financial!Subs</vt:lpstr>
      <vt:lpstr>ModPubIndex!SUPPRESSED</vt:lpstr>
      <vt:lpstr>ImportantDisclosures!TargetPrice</vt:lpstr>
      <vt:lpstr>TemplateRegion</vt:lpstr>
      <vt:lpstr>ImportantDisclosures!Ticker</vt:lpstr>
      <vt:lpstr>Valuation!ticker</vt:lpstr>
      <vt:lpstr>TickerRegion</vt:lpstr>
      <vt:lpstr>IndexInformation!Tickers</vt:lpstr>
      <vt:lpstr>IndexInformation!UpdateReason</vt:lpstr>
      <vt:lpstr>'Market Prices'!Uplift</vt:lpstr>
      <vt:lpstr>UtilityEPS</vt:lpstr>
      <vt:lpstr>UtilityPE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2009-06-05T15:21:31Z</dcterms:created>
  <dc:creator>Jonathan Cohen</dc:creator>
  <cp:lastModifiedBy>Ellison, Ethan C (Research)</cp:lastModifiedBy>
  <cp:lastPrinted>2017-09-20T22:10:35Z</cp:lastPrinted>
  <dcterms:modified xsi:type="dcterms:W3CDTF">2018-04-13T20:12:00Z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15</vt:lpwstr>
  </property>
  <property fmtid="{D5CDD505-2E9C-101B-9397-08002B2CF9AE}" name="{A44787D4-0540-4523-9961-78E4036D8C6D}" pid="3">
    <vt:lpwstr>{D97B282D-168E-4DBA-81CC-8358FE76F825}</vt:lpwstr>
  </property>
  <property fmtid="{D5CDD505-2E9C-101B-9397-08002B2CF9AE}" name="ERModPubTicket" pid="4">
    <vt:lpwstr>NA</vt:lpwstr>
  </property>
  <property fmtid="{D5CDD505-2E9C-101B-9397-08002B2CF9AE}" name="ERCompanyUploadState" pid="5">
    <vt:lpwstr>P</vt:lpwstr>
  </property>
  <property fmtid="{D5CDD505-2E9C-101B-9397-08002B2CF9AE}" name="ModelId" pid="6">
    <vt:lpwstr>761643</vt:lpwstr>
  </property>
  <property fmtid="{D5CDD505-2E9C-101B-9397-08002B2CF9AE}" name="ERModPubCompanyName" pid="7">
    <vt:lpwstr>Public Service Enterprise Group Inc</vt:lpwstr>
  </property>
  <property fmtid="{D5CDD505-2E9C-101B-9397-08002B2CF9AE}" name="MSDH34TAG" pid="8">
    <vt:lpwstr>.TEZUF76X5TAHATHESADREYAK-00-INB160+*94600-06=f0b675ae/-3f56/-11e8/-b3f7/-7a79cfe26848,MD=20180413162820/-0400,ZZ=000Z-f904.</vt:lpwstr>
  </property>
</Properties>
</file>